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8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0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bstudentcloud-my.sharepoint.com/personal/40160179_ads_qub_ac_uk/Documents/HTKE/PD_Python_HTKE/htke/ir_data/GL-06-53-2/"/>
    </mc:Choice>
  </mc:AlternateContent>
  <xr:revisionPtr revIDLastSave="6093" documentId="8_{772715ED-D722-4FDA-835A-38D60B8D01E9}" xr6:coauthVersionLast="47" xr6:coauthVersionMax="47" xr10:uidLastSave="{14A704A3-7805-4F84-AEBB-6E066C9DCAF4}"/>
  <bookViews>
    <workbookView xWindow="-120" yWindow="-120" windowWidth="29040" windowHeight="15840" xr2:uid="{1365FB88-706B-46A5-B038-3BE2467EA8B2}"/>
  </bookViews>
  <sheets>
    <sheet name="SPKA-Average" sheetId="50" r:id="rId1"/>
    <sheet name="SPKA-RPKA-1 Average" sheetId="51" r:id="rId2"/>
    <sheet name="SPKA-1" sheetId="20" r:id="rId3"/>
    <sheet name="SPKA-RPKA-1" sheetId="31" r:id="rId4"/>
    <sheet name="SPKA-2" sheetId="44" r:id="rId5"/>
    <sheet name="SPKA-RPKA-2" sheetId="45" r:id="rId6"/>
    <sheet name="SPKA-3" sheetId="46" r:id="rId7"/>
    <sheet name="SPKA-RPKA-3" sheetId="47" r:id="rId8"/>
    <sheet name="SPKA-4" sheetId="48" r:id="rId9"/>
    <sheet name="SPKA-RPKA-4" sheetId="49" r:id="rId10"/>
    <sheet name="Slug Concentration" sheetId="24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51" l="1"/>
  <c r="B4" i="51"/>
  <c r="C4" i="51"/>
  <c r="D4" i="51"/>
  <c r="E4" i="51"/>
  <c r="D14" i="51" s="1"/>
  <c r="F4" i="51"/>
  <c r="G4" i="51"/>
  <c r="H4" i="51"/>
  <c r="I4" i="51"/>
  <c r="J4" i="51"/>
  <c r="A5" i="51"/>
  <c r="B15" i="51" s="1"/>
  <c r="B5" i="51"/>
  <c r="E15" i="51" s="1"/>
  <c r="C5" i="51"/>
  <c r="D5" i="51"/>
  <c r="A15" i="51" s="1"/>
  <c r="E5" i="51"/>
  <c r="F5" i="51"/>
  <c r="G5" i="51"/>
  <c r="H5" i="51"/>
  <c r="C15" i="51" s="1"/>
  <c r="I5" i="51"/>
  <c r="J5" i="51"/>
  <c r="A6" i="51"/>
  <c r="B6" i="51"/>
  <c r="C6" i="51"/>
  <c r="D6" i="51"/>
  <c r="E6" i="51"/>
  <c r="F6" i="51"/>
  <c r="G6" i="51"/>
  <c r="H6" i="51"/>
  <c r="I6" i="51"/>
  <c r="H16" i="51" s="1"/>
  <c r="J6" i="51"/>
  <c r="G16" i="51" s="1"/>
  <c r="C14" i="51"/>
  <c r="E16" i="51"/>
  <c r="A16" i="51"/>
  <c r="B3" i="51"/>
  <c r="E13" i="51" s="1"/>
  <c r="C3" i="51"/>
  <c r="D3" i="51"/>
  <c r="A13" i="51" s="1"/>
  <c r="E3" i="51"/>
  <c r="F3" i="51"/>
  <c r="G3" i="51"/>
  <c r="H3" i="51"/>
  <c r="I3" i="51"/>
  <c r="J3" i="51"/>
  <c r="A3" i="51"/>
  <c r="B13" i="51" s="1"/>
  <c r="M5" i="50"/>
  <c r="K18" i="50" s="1"/>
  <c r="M6" i="50"/>
  <c r="M7" i="50"/>
  <c r="K20" i="50" s="1"/>
  <c r="I5" i="50"/>
  <c r="I6" i="50"/>
  <c r="I7" i="50"/>
  <c r="M4" i="50"/>
  <c r="I4" i="50"/>
  <c r="E5" i="50"/>
  <c r="E6" i="50"/>
  <c r="E7" i="50"/>
  <c r="E4" i="50"/>
  <c r="G3" i="50"/>
  <c r="G4" i="50" s="1"/>
  <c r="K3" i="50"/>
  <c r="K5" i="50" s="1"/>
  <c r="C3" i="50"/>
  <c r="C7" i="50" s="1"/>
  <c r="D16" i="51"/>
  <c r="H15" i="51"/>
  <c r="G14" i="51"/>
  <c r="B14" i="51"/>
  <c r="D13" i="51"/>
  <c r="C16" i="51"/>
  <c r="B16" i="51"/>
  <c r="G15" i="51"/>
  <c r="D15" i="51"/>
  <c r="H14" i="51"/>
  <c r="A14" i="51"/>
  <c r="E14" i="51"/>
  <c r="F14" i="51"/>
  <c r="G13" i="51"/>
  <c r="H13" i="51"/>
  <c r="C13" i="51"/>
  <c r="C12" i="50"/>
  <c r="B12" i="50"/>
  <c r="B11" i="50"/>
  <c r="B10" i="50"/>
  <c r="K7" i="50"/>
  <c r="K6" i="50"/>
  <c r="K4" i="50"/>
  <c r="A4" i="49"/>
  <c r="B4" i="49"/>
  <c r="C4" i="49"/>
  <c r="D4" i="49"/>
  <c r="E4" i="49"/>
  <c r="D14" i="49" s="1"/>
  <c r="F4" i="49"/>
  <c r="G4" i="49"/>
  <c r="H4" i="49"/>
  <c r="I4" i="49"/>
  <c r="J4" i="49"/>
  <c r="A5" i="49"/>
  <c r="B5" i="49"/>
  <c r="C5" i="49"/>
  <c r="D5" i="49"/>
  <c r="A15" i="49" s="1"/>
  <c r="E5" i="49"/>
  <c r="F5" i="49"/>
  <c r="G5" i="49"/>
  <c r="H5" i="49"/>
  <c r="C15" i="49" s="1"/>
  <c r="I5" i="49"/>
  <c r="J5" i="49"/>
  <c r="A6" i="49"/>
  <c r="B6" i="49"/>
  <c r="C6" i="49"/>
  <c r="D6" i="49"/>
  <c r="A16" i="49" s="1"/>
  <c r="E6" i="49"/>
  <c r="F6" i="49"/>
  <c r="G6" i="49"/>
  <c r="H6" i="49"/>
  <c r="I6" i="49"/>
  <c r="J6" i="49"/>
  <c r="G16" i="49" s="1"/>
  <c r="C14" i="49"/>
  <c r="H14" i="49"/>
  <c r="D15" i="49"/>
  <c r="G15" i="49"/>
  <c r="B16" i="49"/>
  <c r="D16" i="49"/>
  <c r="C16" i="49"/>
  <c r="F14" i="49"/>
  <c r="F15" i="49"/>
  <c r="E15" i="49"/>
  <c r="H15" i="49"/>
  <c r="A14" i="49"/>
  <c r="B3" i="49"/>
  <c r="C3" i="49"/>
  <c r="D3" i="49"/>
  <c r="A13" i="49" s="1"/>
  <c r="E3" i="49"/>
  <c r="F3" i="49"/>
  <c r="G3" i="49"/>
  <c r="C13" i="49" s="1"/>
  <c r="H3" i="49"/>
  <c r="I3" i="49"/>
  <c r="J3" i="49"/>
  <c r="A3" i="49"/>
  <c r="B13" i="49" s="1"/>
  <c r="G14" i="49"/>
  <c r="D13" i="49"/>
  <c r="H16" i="49"/>
  <c r="E16" i="49"/>
  <c r="E14" i="49"/>
  <c r="G13" i="49"/>
  <c r="H13" i="49"/>
  <c r="E13" i="49"/>
  <c r="C12" i="48"/>
  <c r="K18" i="48" s="1"/>
  <c r="B12" i="48"/>
  <c r="C11" i="48"/>
  <c r="G19" i="48" s="1"/>
  <c r="B11" i="48"/>
  <c r="C10" i="48"/>
  <c r="B10" i="48"/>
  <c r="C20" i="48" s="1"/>
  <c r="K7" i="48"/>
  <c r="G7" i="48"/>
  <c r="C7" i="48"/>
  <c r="K6" i="48"/>
  <c r="G6" i="48"/>
  <c r="C6" i="48"/>
  <c r="K5" i="48"/>
  <c r="G5" i="48"/>
  <c r="C5" i="48"/>
  <c r="K4" i="48"/>
  <c r="G4" i="48"/>
  <c r="C4" i="48"/>
  <c r="B5" i="47"/>
  <c r="E15" i="47" s="1"/>
  <c r="A4" i="47"/>
  <c r="B4" i="47"/>
  <c r="C4" i="47"/>
  <c r="D4" i="47"/>
  <c r="E4" i="47"/>
  <c r="D14" i="47" s="1"/>
  <c r="F4" i="47"/>
  <c r="G4" i="47"/>
  <c r="H4" i="47"/>
  <c r="I4" i="47"/>
  <c r="J4" i="47"/>
  <c r="A5" i="47"/>
  <c r="F15" i="47" s="1"/>
  <c r="C5" i="47"/>
  <c r="D5" i="47"/>
  <c r="E5" i="47"/>
  <c r="F5" i="47"/>
  <c r="G5" i="47"/>
  <c r="H5" i="47"/>
  <c r="C15" i="47" s="1"/>
  <c r="I5" i="47"/>
  <c r="J5" i="47"/>
  <c r="A6" i="47"/>
  <c r="B6" i="47"/>
  <c r="C6" i="47"/>
  <c r="D6" i="47"/>
  <c r="E6" i="47"/>
  <c r="F6" i="47"/>
  <c r="G6" i="47"/>
  <c r="H6" i="47"/>
  <c r="I6" i="47"/>
  <c r="H16" i="47" s="1"/>
  <c r="J6" i="47"/>
  <c r="G16" i="47" s="1"/>
  <c r="C14" i="47"/>
  <c r="A16" i="47"/>
  <c r="F14" i="47"/>
  <c r="E14" i="47"/>
  <c r="A15" i="47"/>
  <c r="D15" i="47"/>
  <c r="H15" i="47"/>
  <c r="D16" i="47"/>
  <c r="B3" i="47"/>
  <c r="C3" i="47"/>
  <c r="D3" i="47"/>
  <c r="A13" i="47" s="1"/>
  <c r="E3" i="47"/>
  <c r="F3" i="47"/>
  <c r="G3" i="47"/>
  <c r="H3" i="47"/>
  <c r="C13" i="47" s="1"/>
  <c r="I3" i="47"/>
  <c r="H13" i="47" s="1"/>
  <c r="J3" i="47"/>
  <c r="A3" i="47"/>
  <c r="B13" i="47"/>
  <c r="I17" i="46"/>
  <c r="H17" i="46"/>
  <c r="F17" i="46"/>
  <c r="E17" i="46"/>
  <c r="C17" i="46"/>
  <c r="C16" i="47"/>
  <c r="G15" i="47"/>
  <c r="G14" i="47"/>
  <c r="B14" i="47"/>
  <c r="D13" i="47"/>
  <c r="E16" i="47"/>
  <c r="B16" i="47"/>
  <c r="H14" i="47"/>
  <c r="A14" i="47"/>
  <c r="G13" i="47"/>
  <c r="E13" i="47"/>
  <c r="C12" i="46"/>
  <c r="K17" i="46" s="1"/>
  <c r="B12" i="46"/>
  <c r="K18" i="46" s="1"/>
  <c r="C11" i="46"/>
  <c r="B11" i="46"/>
  <c r="C10" i="46"/>
  <c r="B10" i="46"/>
  <c r="C20" i="46" s="1"/>
  <c r="K7" i="46"/>
  <c r="G7" i="46"/>
  <c r="C7" i="46"/>
  <c r="K6" i="46"/>
  <c r="G6" i="46"/>
  <c r="C6" i="46"/>
  <c r="K5" i="46"/>
  <c r="G5" i="46"/>
  <c r="C5" i="46"/>
  <c r="K4" i="46"/>
  <c r="G4" i="46"/>
  <c r="C4" i="46"/>
  <c r="G16" i="45"/>
  <c r="E16" i="45"/>
  <c r="A4" i="45"/>
  <c r="F14" i="45" s="1"/>
  <c r="B4" i="45"/>
  <c r="E14" i="45" s="1"/>
  <c r="C4" i="45"/>
  <c r="D4" i="45"/>
  <c r="E4" i="45"/>
  <c r="F4" i="45"/>
  <c r="G4" i="45"/>
  <c r="H4" i="45"/>
  <c r="I4" i="45"/>
  <c r="H14" i="45" s="1"/>
  <c r="J4" i="45"/>
  <c r="A5" i="45"/>
  <c r="B15" i="45" s="1"/>
  <c r="B5" i="45"/>
  <c r="E15" i="45" s="1"/>
  <c r="C5" i="45"/>
  <c r="D5" i="45"/>
  <c r="A15" i="45" s="1"/>
  <c r="E5" i="45"/>
  <c r="F5" i="45"/>
  <c r="G5" i="45"/>
  <c r="H5" i="45"/>
  <c r="I5" i="45"/>
  <c r="J5" i="45"/>
  <c r="A6" i="45"/>
  <c r="B16" i="45" s="1"/>
  <c r="B6" i="45"/>
  <c r="C6" i="45"/>
  <c r="D6" i="45"/>
  <c r="E6" i="45"/>
  <c r="D16" i="45" s="1"/>
  <c r="F6" i="45"/>
  <c r="G6" i="45"/>
  <c r="C16" i="45" s="1"/>
  <c r="H6" i="45"/>
  <c r="I6" i="45"/>
  <c r="J6" i="45"/>
  <c r="B3" i="45"/>
  <c r="C3" i="45"/>
  <c r="A13" i="45" s="1"/>
  <c r="D3" i="45"/>
  <c r="E3" i="45"/>
  <c r="F3" i="45"/>
  <c r="G3" i="45"/>
  <c r="H3" i="45"/>
  <c r="C13" i="45" s="1"/>
  <c r="I3" i="45"/>
  <c r="J3" i="45"/>
  <c r="A3" i="45"/>
  <c r="B13" i="45" s="1"/>
  <c r="K18" i="44"/>
  <c r="K17" i="44"/>
  <c r="I18" i="44"/>
  <c r="I17" i="44"/>
  <c r="G19" i="44"/>
  <c r="G18" i="44"/>
  <c r="G17" i="44"/>
  <c r="E19" i="44"/>
  <c r="E18" i="44"/>
  <c r="E17" i="44"/>
  <c r="C19" i="44"/>
  <c r="C18" i="44"/>
  <c r="C17" i="44"/>
  <c r="J16" i="44"/>
  <c r="H16" i="44"/>
  <c r="F16" i="44"/>
  <c r="D16" i="44"/>
  <c r="B16" i="44"/>
  <c r="H16" i="45"/>
  <c r="H15" i="45"/>
  <c r="D15" i="45"/>
  <c r="G14" i="45"/>
  <c r="D14" i="45"/>
  <c r="H13" i="45"/>
  <c r="A16" i="45"/>
  <c r="G15" i="45"/>
  <c r="C15" i="45"/>
  <c r="F15" i="45"/>
  <c r="C14" i="45"/>
  <c r="A14" i="45"/>
  <c r="G13" i="45"/>
  <c r="D13" i="45"/>
  <c r="E13" i="45"/>
  <c r="C12" i="44"/>
  <c r="B12" i="44"/>
  <c r="C11" i="44"/>
  <c r="B11" i="44"/>
  <c r="C10" i="44"/>
  <c r="B10" i="44"/>
  <c r="K7" i="44"/>
  <c r="G7" i="44"/>
  <c r="C7" i="44"/>
  <c r="K6" i="44"/>
  <c r="G6" i="44"/>
  <c r="C6" i="44"/>
  <c r="K5" i="44"/>
  <c r="G5" i="44"/>
  <c r="C5" i="44"/>
  <c r="K4" i="44"/>
  <c r="G4" i="44"/>
  <c r="C4" i="44"/>
  <c r="K17" i="20"/>
  <c r="J17" i="20"/>
  <c r="B16" i="31"/>
  <c r="C26" i="20"/>
  <c r="B26" i="20"/>
  <c r="B20" i="20"/>
  <c r="B19" i="20"/>
  <c r="C19" i="20"/>
  <c r="C20" i="20"/>
  <c r="A14" i="31"/>
  <c r="B14" i="31"/>
  <c r="C14" i="31"/>
  <c r="D14" i="31"/>
  <c r="E14" i="31"/>
  <c r="F14" i="31"/>
  <c r="G14" i="31"/>
  <c r="H14" i="31"/>
  <c r="A15" i="31"/>
  <c r="B15" i="31"/>
  <c r="C15" i="31"/>
  <c r="D15" i="31"/>
  <c r="E15" i="31"/>
  <c r="F15" i="31"/>
  <c r="G15" i="31"/>
  <c r="H15" i="31"/>
  <c r="A16" i="31"/>
  <c r="C16" i="31"/>
  <c r="D16" i="31"/>
  <c r="E16" i="31"/>
  <c r="F16" i="31"/>
  <c r="G16" i="31"/>
  <c r="H16" i="31"/>
  <c r="A4" i="31"/>
  <c r="B4" i="31"/>
  <c r="C4" i="31"/>
  <c r="D4" i="31"/>
  <c r="E4" i="31"/>
  <c r="F4" i="31"/>
  <c r="G4" i="31"/>
  <c r="H4" i="31"/>
  <c r="I4" i="31"/>
  <c r="J4" i="31"/>
  <c r="A5" i="31"/>
  <c r="B5" i="31"/>
  <c r="C5" i="31"/>
  <c r="D5" i="31"/>
  <c r="E5" i="31"/>
  <c r="F5" i="31"/>
  <c r="G5" i="31"/>
  <c r="H5" i="31"/>
  <c r="I5" i="31"/>
  <c r="J5" i="31"/>
  <c r="A6" i="31"/>
  <c r="B6" i="31"/>
  <c r="C6" i="31"/>
  <c r="D6" i="31"/>
  <c r="E6" i="31"/>
  <c r="F6" i="31"/>
  <c r="G6" i="31"/>
  <c r="H6" i="31"/>
  <c r="I6" i="31"/>
  <c r="J6" i="31"/>
  <c r="C23" i="20"/>
  <c r="B23" i="20"/>
  <c r="J18" i="20"/>
  <c r="K19" i="20"/>
  <c r="K5" i="20"/>
  <c r="K6" i="20"/>
  <c r="K7" i="20"/>
  <c r="I18" i="20"/>
  <c r="I17" i="20"/>
  <c r="G17" i="20"/>
  <c r="F17" i="20"/>
  <c r="F16" i="20"/>
  <c r="D17" i="20"/>
  <c r="D16" i="20"/>
  <c r="B18" i="20"/>
  <c r="B17" i="20"/>
  <c r="C17" i="20"/>
  <c r="G5" i="20"/>
  <c r="G6" i="20"/>
  <c r="G7" i="20"/>
  <c r="C5" i="20"/>
  <c r="C6" i="20"/>
  <c r="C7" i="20"/>
  <c r="C12" i="20"/>
  <c r="C11" i="20"/>
  <c r="C10" i="20"/>
  <c r="K4" i="20"/>
  <c r="C4" i="20"/>
  <c r="F15" i="51" l="1"/>
  <c r="K17" i="50"/>
  <c r="G5" i="50"/>
  <c r="C11" i="50"/>
  <c r="G7" i="50"/>
  <c r="K19" i="50"/>
  <c r="G6" i="50"/>
  <c r="G19" i="50"/>
  <c r="C4" i="50"/>
  <c r="C6" i="50"/>
  <c r="C10" i="50"/>
  <c r="C19" i="50" s="1"/>
  <c r="C5" i="50"/>
  <c r="F16" i="51"/>
  <c r="F13" i="51"/>
  <c r="F16" i="50"/>
  <c r="G18" i="50"/>
  <c r="J16" i="50"/>
  <c r="G17" i="50"/>
  <c r="G20" i="50"/>
  <c r="B16" i="50"/>
  <c r="C17" i="50"/>
  <c r="B14" i="49"/>
  <c r="B15" i="49"/>
  <c r="K19" i="48"/>
  <c r="G20" i="48"/>
  <c r="F13" i="49"/>
  <c r="F16" i="49"/>
  <c r="C17" i="48"/>
  <c r="F16" i="48"/>
  <c r="K17" i="48"/>
  <c r="G18" i="48"/>
  <c r="C19" i="48"/>
  <c r="K20" i="48"/>
  <c r="B16" i="48"/>
  <c r="J16" i="48"/>
  <c r="G17" i="48"/>
  <c r="C18" i="48"/>
  <c r="B15" i="47"/>
  <c r="K20" i="46"/>
  <c r="G19" i="46"/>
  <c r="F13" i="47"/>
  <c r="F16" i="47"/>
  <c r="C19" i="46"/>
  <c r="B16" i="46"/>
  <c r="F16" i="46"/>
  <c r="G18" i="46"/>
  <c r="J16" i="46"/>
  <c r="G17" i="46"/>
  <c r="C18" i="46"/>
  <c r="K19" i="46"/>
  <c r="G20" i="46"/>
  <c r="F16" i="45"/>
  <c r="F13" i="45"/>
  <c r="K19" i="44"/>
  <c r="K20" i="44"/>
  <c r="C20" i="44"/>
  <c r="B14" i="45"/>
  <c r="G20" i="44"/>
  <c r="C18" i="50" l="1"/>
  <c r="C20" i="50"/>
  <c r="B20" i="50"/>
  <c r="B17" i="50"/>
  <c r="B19" i="50"/>
  <c r="D16" i="50"/>
  <c r="B18" i="50"/>
  <c r="F18" i="50"/>
  <c r="F19" i="50"/>
  <c r="F20" i="50"/>
  <c r="F17" i="50"/>
  <c r="H16" i="50"/>
  <c r="J18" i="50"/>
  <c r="J17" i="50"/>
  <c r="J20" i="50"/>
  <c r="J19" i="50"/>
  <c r="J18" i="48"/>
  <c r="J19" i="48"/>
  <c r="J20" i="48"/>
  <c r="J17" i="48"/>
  <c r="F19" i="48"/>
  <c r="F20" i="48"/>
  <c r="F17" i="48"/>
  <c r="H16" i="48"/>
  <c r="F18" i="48"/>
  <c r="B20" i="48"/>
  <c r="B17" i="48"/>
  <c r="B19" i="48"/>
  <c r="D16" i="48"/>
  <c r="B18" i="48"/>
  <c r="F19" i="46"/>
  <c r="F20" i="46"/>
  <c r="H16" i="46"/>
  <c r="F18" i="46"/>
  <c r="B20" i="46"/>
  <c r="B17" i="46"/>
  <c r="B19" i="46"/>
  <c r="D16" i="46"/>
  <c r="B18" i="46"/>
  <c r="J18" i="46"/>
  <c r="J20" i="46"/>
  <c r="J17" i="46"/>
  <c r="J19" i="46"/>
  <c r="B19" i="44"/>
  <c r="B20" i="44"/>
  <c r="B17" i="44"/>
  <c r="B18" i="44"/>
  <c r="J17" i="44"/>
  <c r="J18" i="44"/>
  <c r="J19" i="44"/>
  <c r="J20" i="44"/>
  <c r="F19" i="44"/>
  <c r="F17" i="44"/>
  <c r="F18" i="44"/>
  <c r="F20" i="44"/>
  <c r="G4" i="20"/>
  <c r="K26" i="50" l="1"/>
  <c r="J26" i="50"/>
  <c r="G25" i="50"/>
  <c r="H19" i="50"/>
  <c r="F25" i="50"/>
  <c r="G24" i="50"/>
  <c r="F24" i="50"/>
  <c r="H18" i="50"/>
  <c r="B24" i="50"/>
  <c r="C24" i="50"/>
  <c r="D18" i="50"/>
  <c r="D17" i="50"/>
  <c r="D19" i="50"/>
  <c r="D20" i="50"/>
  <c r="H17" i="50"/>
  <c r="F23" i="50"/>
  <c r="G23" i="50"/>
  <c r="C25" i="50"/>
  <c r="B25" i="50"/>
  <c r="K23" i="50"/>
  <c r="J23" i="50"/>
  <c r="K24" i="50"/>
  <c r="J24" i="50"/>
  <c r="K25" i="50"/>
  <c r="J25" i="50"/>
  <c r="F26" i="50"/>
  <c r="H20" i="50"/>
  <c r="G26" i="50"/>
  <c r="C23" i="50"/>
  <c r="B23" i="50"/>
  <c r="C26" i="50"/>
  <c r="B26" i="50"/>
  <c r="B25" i="48"/>
  <c r="C25" i="48"/>
  <c r="H20" i="48"/>
  <c r="G26" i="48"/>
  <c r="F26" i="48"/>
  <c r="C23" i="48"/>
  <c r="B23" i="48"/>
  <c r="G25" i="48"/>
  <c r="F25" i="48"/>
  <c r="H19" i="48"/>
  <c r="C26" i="48"/>
  <c r="B26" i="48"/>
  <c r="J23" i="48"/>
  <c r="K23" i="48"/>
  <c r="F24" i="48"/>
  <c r="H18" i="48"/>
  <c r="G24" i="48"/>
  <c r="J26" i="48"/>
  <c r="K26" i="48"/>
  <c r="B24" i="48"/>
  <c r="C24" i="48"/>
  <c r="J25" i="48"/>
  <c r="K25" i="48"/>
  <c r="D18" i="48"/>
  <c r="D20" i="48"/>
  <c r="D17" i="48"/>
  <c r="D19" i="48"/>
  <c r="H17" i="48"/>
  <c r="F23" i="48"/>
  <c r="G23" i="48"/>
  <c r="K24" i="48"/>
  <c r="J24" i="48"/>
  <c r="K26" i="46"/>
  <c r="J26" i="46"/>
  <c r="F23" i="46"/>
  <c r="G23" i="46"/>
  <c r="C26" i="46"/>
  <c r="B26" i="46"/>
  <c r="G24" i="46"/>
  <c r="F24" i="46"/>
  <c r="H18" i="46"/>
  <c r="K25" i="46"/>
  <c r="J25" i="46"/>
  <c r="C25" i="46"/>
  <c r="B25" i="46"/>
  <c r="H20" i="46"/>
  <c r="F26" i="46"/>
  <c r="G26" i="46"/>
  <c r="K24" i="46"/>
  <c r="J24" i="46"/>
  <c r="B24" i="46"/>
  <c r="C24" i="46"/>
  <c r="D18" i="46"/>
  <c r="D17" i="46"/>
  <c r="D19" i="46"/>
  <c r="D20" i="46"/>
  <c r="K23" i="46"/>
  <c r="J23" i="46"/>
  <c r="C23" i="46"/>
  <c r="B23" i="46"/>
  <c r="G25" i="46"/>
  <c r="H19" i="46"/>
  <c r="F25" i="46"/>
  <c r="H20" i="44"/>
  <c r="G26" i="44"/>
  <c r="F26" i="44"/>
  <c r="B26" i="44"/>
  <c r="C26" i="44"/>
  <c r="G24" i="44"/>
  <c r="H18" i="44"/>
  <c r="F24" i="44"/>
  <c r="J24" i="44"/>
  <c r="K24" i="44"/>
  <c r="F23" i="44"/>
  <c r="H17" i="44"/>
  <c r="G23" i="44"/>
  <c r="K23" i="44"/>
  <c r="J23" i="44"/>
  <c r="F25" i="44"/>
  <c r="H19" i="44"/>
  <c r="G25" i="44"/>
  <c r="B24" i="44"/>
  <c r="C24" i="44"/>
  <c r="D18" i="44"/>
  <c r="D19" i="44"/>
  <c r="D20" i="44"/>
  <c r="D17" i="44"/>
  <c r="K26" i="44"/>
  <c r="J26" i="44"/>
  <c r="B23" i="44"/>
  <c r="C23" i="44"/>
  <c r="K25" i="44"/>
  <c r="J25" i="44"/>
  <c r="C25" i="44"/>
  <c r="B25" i="44"/>
  <c r="L9" i="24"/>
  <c r="M9" i="24"/>
  <c r="N9" i="24"/>
  <c r="N7" i="24"/>
  <c r="L5" i="24"/>
  <c r="M7" i="24"/>
  <c r="M5" i="24"/>
  <c r="N5" i="24"/>
  <c r="M3" i="24"/>
  <c r="L3" i="24"/>
  <c r="I3" i="24"/>
  <c r="G3" i="24"/>
  <c r="B3" i="24"/>
  <c r="E3" i="24" s="1"/>
  <c r="E19" i="50" l="1"/>
  <c r="E25" i="50" s="1"/>
  <c r="I19" i="50"/>
  <c r="H25" i="50" s="1"/>
  <c r="E18" i="50"/>
  <c r="E24" i="50" s="1"/>
  <c r="I20" i="50"/>
  <c r="I26" i="50" s="1"/>
  <c r="I17" i="50"/>
  <c r="I23" i="50" s="1"/>
  <c r="E17" i="50"/>
  <c r="E23" i="50" s="1"/>
  <c r="E20" i="50"/>
  <c r="D26" i="50" s="1"/>
  <c r="I18" i="50"/>
  <c r="I24" i="50" s="1"/>
  <c r="E18" i="48"/>
  <c r="E24" i="48" s="1"/>
  <c r="I17" i="48"/>
  <c r="I23" i="48"/>
  <c r="H23" i="48"/>
  <c r="I18" i="48"/>
  <c r="H24" i="48" s="1"/>
  <c r="I19" i="48"/>
  <c r="H25" i="48" s="1"/>
  <c r="E19" i="48"/>
  <c r="E25" i="48" s="1"/>
  <c r="D25" i="48"/>
  <c r="I20" i="48"/>
  <c r="H26" i="48" s="1"/>
  <c r="E17" i="48"/>
  <c r="D23" i="48" s="1"/>
  <c r="E20" i="48"/>
  <c r="D26" i="48" s="1"/>
  <c r="E18" i="46"/>
  <c r="E24" i="46" s="1"/>
  <c r="I20" i="46"/>
  <c r="H26" i="46" s="1"/>
  <c r="H23" i="46"/>
  <c r="E19" i="46"/>
  <c r="E25" i="46" s="1"/>
  <c r="I18" i="46"/>
  <c r="I24" i="46" s="1"/>
  <c r="E23" i="46"/>
  <c r="I19" i="46"/>
  <c r="I25" i="46" s="1"/>
  <c r="E20" i="46"/>
  <c r="E26" i="46" s="1"/>
  <c r="H24" i="44"/>
  <c r="I20" i="44"/>
  <c r="I26" i="44" s="1"/>
  <c r="D23" i="44"/>
  <c r="H23" i="44"/>
  <c r="E20" i="44"/>
  <c r="D26" i="44" s="1"/>
  <c r="I19" i="44"/>
  <c r="I25" i="44" s="1"/>
  <c r="D25" i="44"/>
  <c r="D24" i="44"/>
  <c r="J3" i="24"/>
  <c r="K3" i="24" s="1"/>
  <c r="N3" i="24" s="1"/>
  <c r="H24" i="50" l="1"/>
  <c r="D25" i="50"/>
  <c r="D23" i="50"/>
  <c r="H26" i="50"/>
  <c r="E26" i="50"/>
  <c r="I25" i="50"/>
  <c r="H23" i="50"/>
  <c r="D24" i="50"/>
  <c r="I24" i="48"/>
  <c r="E26" i="48"/>
  <c r="I25" i="48"/>
  <c r="I26" i="48"/>
  <c r="E23" i="48"/>
  <c r="D24" i="48"/>
  <c r="I23" i="46"/>
  <c r="I26" i="46"/>
  <c r="H24" i="46"/>
  <c r="D24" i="46"/>
  <c r="D25" i="46"/>
  <c r="D26" i="46"/>
  <c r="D23" i="46"/>
  <c r="H25" i="46"/>
  <c r="H26" i="44"/>
  <c r="I23" i="44"/>
  <c r="I24" i="44"/>
  <c r="H25" i="44"/>
  <c r="E23" i="44"/>
  <c r="E26" i="44"/>
  <c r="E24" i="44"/>
  <c r="E25" i="44"/>
  <c r="B12" i="20"/>
  <c r="B11" i="20"/>
  <c r="B10" i="20"/>
  <c r="C18" i="20" l="1"/>
  <c r="G20" i="20"/>
  <c r="G18" i="20"/>
  <c r="G19" i="20"/>
  <c r="K20" i="20"/>
  <c r="K18" i="20"/>
  <c r="B16" i="20"/>
  <c r="J16" i="20"/>
  <c r="J20" i="20" l="1"/>
  <c r="J19" i="20"/>
  <c r="F20" i="20"/>
  <c r="F18" i="20"/>
  <c r="F19" i="20"/>
  <c r="H16" i="20"/>
  <c r="H17" i="20"/>
  <c r="K23" i="20"/>
  <c r="J3" i="31" s="1"/>
  <c r="G13" i="31" s="1"/>
  <c r="J26" i="20" l="1"/>
  <c r="K26" i="20"/>
  <c r="D19" i="20"/>
  <c r="D18" i="20"/>
  <c r="D20" i="20"/>
  <c r="B25" i="20"/>
  <c r="C25" i="20"/>
  <c r="B24" i="20"/>
  <c r="C24" i="20"/>
  <c r="G23" i="20"/>
  <c r="F3" i="31" s="1"/>
  <c r="G26" i="20"/>
  <c r="H20" i="20"/>
  <c r="F26" i="20"/>
  <c r="F25" i="20"/>
  <c r="H19" i="20"/>
  <c r="G25" i="20"/>
  <c r="J25" i="20"/>
  <c r="K25" i="20"/>
  <c r="F24" i="20"/>
  <c r="G24" i="20"/>
  <c r="H18" i="20"/>
  <c r="J24" i="20"/>
  <c r="K24" i="20"/>
  <c r="J23" i="20"/>
  <c r="I3" i="31" s="1"/>
  <c r="H13" i="31" s="1"/>
  <c r="F23" i="20"/>
  <c r="E3" i="31" s="1"/>
  <c r="D13" i="31" s="1"/>
  <c r="A3" i="31"/>
  <c r="B13" i="31" s="1"/>
  <c r="B3" i="31"/>
  <c r="E13" i="31" s="1"/>
  <c r="E17" i="20"/>
  <c r="H23" i="20"/>
  <c r="H24" i="20" l="1"/>
  <c r="I24" i="20"/>
  <c r="E18" i="20"/>
  <c r="D24" i="20" s="1"/>
  <c r="E24" i="20"/>
  <c r="E19" i="20"/>
  <c r="D25" i="20" s="1"/>
  <c r="I19" i="20"/>
  <c r="H25" i="20" s="1"/>
  <c r="I25" i="20"/>
  <c r="E20" i="20"/>
  <c r="D26" i="20"/>
  <c r="E26" i="20"/>
  <c r="I20" i="20"/>
  <c r="H26" i="20" s="1"/>
  <c r="I26" i="20"/>
  <c r="D23" i="20"/>
  <c r="C3" i="31" s="1"/>
  <c r="F13" i="31"/>
  <c r="I23" i="20"/>
  <c r="H3" i="31" s="1"/>
  <c r="E23" i="20"/>
  <c r="D3" i="31" s="1"/>
  <c r="G3" i="31"/>
  <c r="E25" i="20" l="1"/>
  <c r="A13" i="31"/>
  <c r="C13" i="31"/>
</calcChain>
</file>

<file path=xl/sharedStrings.xml><?xml version="1.0" encoding="utf-8"?>
<sst xmlns="http://schemas.openxmlformats.org/spreadsheetml/2006/main" count="579" uniqueCount="80">
  <si>
    <t>Kinetic Profiles</t>
  </si>
  <si>
    <t>Conversion</t>
  </si>
  <si>
    <t>HTKE</t>
  </si>
  <si>
    <t>Python IR</t>
  </si>
  <si>
    <t>Peak at 1592cm-1</t>
  </si>
  <si>
    <t>Slug#</t>
  </si>
  <si>
    <t>t0 (Theory)</t>
  </si>
  <si>
    <t>Rxn (Exp)</t>
  </si>
  <si>
    <t>IR Data</t>
  </si>
  <si>
    <t>[A] (Theory-Exp)</t>
  </si>
  <si>
    <t>IR Calibration</t>
  </si>
  <si>
    <t>[A]</t>
  </si>
  <si>
    <t>IR Peak Area</t>
  </si>
  <si>
    <t>Rate (Theory-Exp)</t>
  </si>
  <si>
    <t>135-TMB (g)</t>
  </si>
  <si>
    <t>135-TMB (mmol)</t>
  </si>
  <si>
    <t>∫135-TMB</t>
  </si>
  <si>
    <t>∫2-CBA</t>
  </si>
  <si>
    <t>2-CBA (mmol)</t>
  </si>
  <si>
    <t>NMR</t>
  </si>
  <si>
    <t>Experimental</t>
  </si>
  <si>
    <t>2-CBA (g)</t>
  </si>
  <si>
    <t>2-CBA (mL)</t>
  </si>
  <si>
    <t>DMSO (g)</t>
  </si>
  <si>
    <t>DMSO (mL)</t>
  </si>
  <si>
    <t>Slug Concentration</t>
  </si>
  <si>
    <t>Aliquot (mL)</t>
  </si>
  <si>
    <t>Slug (mL)</t>
  </si>
  <si>
    <t>[2-CBA] (M)</t>
  </si>
  <si>
    <t>Chemical</t>
  </si>
  <si>
    <t>RMM</t>
  </si>
  <si>
    <t>ρ</t>
  </si>
  <si>
    <t>135-TMB</t>
  </si>
  <si>
    <t>2-CBA</t>
  </si>
  <si>
    <t>DMSO</t>
  </si>
  <si>
    <t>-</t>
  </si>
  <si>
    <t>[2-CBA] Stock (M)</t>
  </si>
  <si>
    <t>Acetone</t>
  </si>
  <si>
    <t>Proline</t>
  </si>
  <si>
    <t>Methanol</t>
  </si>
  <si>
    <t>Acetone (g)</t>
  </si>
  <si>
    <t>Acetone (mL)</t>
  </si>
  <si>
    <t>[Acetone] (Stock)</t>
  </si>
  <si>
    <t>Acetone (mmol)</t>
  </si>
  <si>
    <t>Methanol (g)</t>
  </si>
  <si>
    <t>Methanol (mL)</t>
  </si>
  <si>
    <t>Methanol (mmol)</t>
  </si>
  <si>
    <t>[Acetone] (M)</t>
  </si>
  <si>
    <t>[Methanol] (M)</t>
  </si>
  <si>
    <t>Volume (mL)</t>
  </si>
  <si>
    <t>Proline (g)</t>
  </si>
  <si>
    <t>Proline (mmol)</t>
  </si>
  <si>
    <t>[Proline] (M)</t>
  </si>
  <si>
    <t>τ (min)</t>
  </si>
  <si>
    <t>t0 - 4</t>
  </si>
  <si>
    <t>Rxn - 4</t>
  </si>
  <si>
    <t>Standard</t>
  </si>
  <si>
    <t>dxs Ketone</t>
  </si>
  <si>
    <t>dxs Catalyst</t>
  </si>
  <si>
    <t>t0 - 5</t>
  </si>
  <si>
    <t>Rxn - 5</t>
  </si>
  <si>
    <t>t0 (Ald)</t>
  </si>
  <si>
    <t>t0 (Ket)</t>
  </si>
  <si>
    <t>Rxn (Ket)</t>
  </si>
  <si>
    <t>[B] (Theory-Exp)</t>
  </si>
  <si>
    <t>RPKA</t>
  </si>
  <si>
    <t>Order in [A]:</t>
  </si>
  <si>
    <t>Order in [B]:</t>
  </si>
  <si>
    <t>Rate/[B]</t>
  </si>
  <si>
    <t>Order in [cat]:</t>
  </si>
  <si>
    <t>Lo Catalyst</t>
  </si>
  <si>
    <t>Rate/[cat]</t>
  </si>
  <si>
    <t>Experiment</t>
  </si>
  <si>
    <t>dxs[B]</t>
  </si>
  <si>
    <t>dxs[Cat]</t>
  </si>
  <si>
    <t>Different XS</t>
  </si>
  <si>
    <t>t0 - 1</t>
  </si>
  <si>
    <t>Standard-1</t>
  </si>
  <si>
    <t>Rxn - 1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</si>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</sst>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D5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1" fillId="0" borderId="10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10" xfId="0" applyFont="1" applyBorder="1"/>
    <xf numFmtId="0" fontId="1" fillId="0" borderId="12" xfId="0" applyFont="1" applyBorder="1"/>
    <xf numFmtId="0" fontId="1" fillId="0" borderId="11" xfId="0" applyFont="1" applyBorder="1"/>
    <xf numFmtId="0" fontId="0" fillId="0" borderId="12" xfId="0" applyBorder="1"/>
    <xf numFmtId="0" fontId="0" fillId="0" borderId="11" xfId="0" applyBorder="1"/>
    <xf numFmtId="0" fontId="2" fillId="0" borderId="1" xfId="0" applyFont="1" applyBorder="1" applyAlignment="1">
      <alignment horizontal="center"/>
    </xf>
    <xf numFmtId="0" fontId="0" fillId="0" borderId="10" xfId="0" applyBorder="1"/>
    <xf numFmtId="0" fontId="2" fillId="0" borderId="1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D5D5"/>
      <color rgb="FFFFA7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'SPKA-Average'!$B$23:$B$26</c:f>
              <c:numCache>
                <c:formatCode>General</c:formatCode>
                <c:ptCount val="4"/>
                <c:pt idx="0">
                  <c:v>7.3598998807215821E-2</c:v>
                </c:pt>
                <c:pt idx="1">
                  <c:v>5.8552017433855359E-2</c:v>
                </c:pt>
                <c:pt idx="2">
                  <c:v>4.3506417183768534E-2</c:v>
                </c:pt>
                <c:pt idx="3">
                  <c:v>2.793941066001044E-2</c:v>
                </c:pt>
              </c:numCache>
            </c:numRef>
          </c:xVal>
          <c:yVal>
            <c:numRef>
              <c:f>'SPKA-Average'!$C$23:$C$26</c:f>
              <c:numCache>
                <c:formatCode>General</c:formatCode>
                <c:ptCount val="4"/>
                <c:pt idx="0">
                  <c:v>1.911078965399383E-5</c:v>
                </c:pt>
                <c:pt idx="1">
                  <c:v>1.3405151096375806E-5</c:v>
                </c:pt>
                <c:pt idx="2">
                  <c:v>7.695474166612658E-6</c:v>
                </c:pt>
                <c:pt idx="3">
                  <c:v>3.5103769844263725E-6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88-4597-8C93-6BB856EB252B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'SPKA-Average'!$F$23:$F$26</c:f>
              <c:numCache>
                <c:formatCode>General</c:formatCode>
                <c:ptCount val="4"/>
                <c:pt idx="0">
                  <c:v>7.3977711201385618E-2</c:v>
                </c:pt>
                <c:pt idx="1">
                  <c:v>5.8351895148209647E-2</c:v>
                </c:pt>
                <c:pt idx="2">
                  <c:v>4.2656445454740052E-2</c:v>
                </c:pt>
                <c:pt idx="3">
                  <c:v>2.7030629401564098E-2</c:v>
                </c:pt>
              </c:numCache>
            </c:numRef>
          </c:xVal>
          <c:yVal>
            <c:numRef>
              <c:f>'SPKA-Average'!$G$23:$G$26</c:f>
              <c:numCache>
                <c:formatCode>General</c:formatCode>
                <c:ptCount val="4"/>
                <c:pt idx="0">
                  <c:v>1.8003443472210777E-5</c:v>
                </c:pt>
                <c:pt idx="1">
                  <c:v>1.3990303978380814E-5</c:v>
                </c:pt>
                <c:pt idx="2">
                  <c:v>1.0180771619912311E-5</c:v>
                </c:pt>
                <c:pt idx="3">
                  <c:v>6.1676321260823467E-6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88-4597-8C93-6BB856EB252B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'SPKA-Average'!$J$23:$J$26</c:f>
              <c:numCache>
                <c:formatCode>General</c:formatCode>
                <c:ptCount val="4"/>
                <c:pt idx="0">
                  <c:v>7.5308562179168231E-2</c:v>
                </c:pt>
                <c:pt idx="1">
                  <c:v>5.9893231062672907E-2</c:v>
                </c:pt>
                <c:pt idx="2">
                  <c:v>4.4484052515467415E-2</c:v>
                </c:pt>
                <c:pt idx="3">
                  <c:v>2.8995627540945892E-2</c:v>
                </c:pt>
              </c:numCache>
            </c:numRef>
          </c:xVal>
          <c:yVal>
            <c:numRef>
              <c:f>'SPKA-Average'!$K$23:$K$26</c:f>
              <c:numCache>
                <c:formatCode>General</c:formatCode>
                <c:ptCount val="4"/>
                <c:pt idx="0">
                  <c:v>1.411206634419144E-5</c:v>
                </c:pt>
                <c:pt idx="1">
                  <c:v>9.4834738191315153E-6</c:v>
                </c:pt>
                <c:pt idx="2">
                  <c:v>4.8368913253878589E-6</c:v>
                </c:pt>
                <c:pt idx="3">
                  <c:v>4.2202353139874067E-7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688-4597-8C93-6BB856EB2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'SPKA-1'!$K$17:$K$20</c:f>
              <c:numCache>
                <c:formatCode>General</c:formatCode>
                <c:ptCount val="4"/>
                <c:pt idx="0">
                  <c:v>7.5675049251367768E-2</c:v>
                </c:pt>
                <c:pt idx="1">
                  <c:v>6.0007335869987397E-2</c:v>
                </c:pt>
                <c:pt idx="2">
                  <c:v>4.4339622488607039E-2</c:v>
                </c:pt>
                <c:pt idx="3">
                  <c:v>2.833130664241406E-2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'SPKA-RPKA-1'!$B$13:$B$16</c:f>
              <c:numCache>
                <c:formatCode>General</c:formatCode>
                <c:ptCount val="4"/>
                <c:pt idx="0">
                  <c:v>7.3453900198729202E-2</c:v>
                </c:pt>
                <c:pt idx="1">
                  <c:v>5.757761797242307E-2</c:v>
                </c:pt>
                <c:pt idx="2">
                  <c:v>4.1701335746116938E-2</c:v>
                </c:pt>
                <c:pt idx="3">
                  <c:v>2.4060957850049816E-2</c:v>
                </c:pt>
              </c:numCache>
            </c:numRef>
          </c:xVal>
          <c:yVal>
            <c:numRef>
              <c:f>'SPKA-RPKA-1'!$A$13:$A$16</c:f>
              <c:numCache>
                <c:formatCode>General</c:formatCode>
                <c:ptCount val="4"/>
                <c:pt idx="0">
                  <c:v>1.6009649746578393E-4</c:v>
                </c:pt>
                <c:pt idx="1">
                  <c:v>1.5313384698763502E-4</c:v>
                </c:pt>
                <c:pt idx="2">
                  <c:v>1.4372202108612015E-4</c:v>
                </c:pt>
                <c:pt idx="3">
                  <c:v>2.044799915694139E-4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F-4A59-AA77-ED74052B8E70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'SPKA-RPKA-1'!$D$13:$D$16</c:f>
              <c:numCache>
                <c:formatCode>General</c:formatCode>
                <c:ptCount val="4"/>
                <c:pt idx="0">
                  <c:v>7.5392913106811593E-2</c:v>
                </c:pt>
                <c:pt idx="1">
                  <c:v>5.9782557391734062E-2</c:v>
                </c:pt>
                <c:pt idx="2">
                  <c:v>4.3863019031654585E-2</c:v>
                </c:pt>
                <c:pt idx="3">
                  <c:v>2.8252663316577047E-2</c:v>
                </c:pt>
              </c:numCache>
            </c:numRef>
          </c:xVal>
          <c:yVal>
            <c:numRef>
              <c:f>'SPKA-RPKA-1'!$C$13:$C$16</c:f>
              <c:numCache>
                <c:formatCode>General</c:formatCode>
                <c:ptCount val="4"/>
                <c:pt idx="0">
                  <c:v>1.8390887993994563E-4</c:v>
                </c:pt>
                <c:pt idx="1">
                  <c:v>1.6404586006310413E-4</c:v>
                </c:pt>
                <c:pt idx="2">
                  <c:v>1.5167170094143413E-4</c:v>
                </c:pt>
                <c:pt idx="3">
                  <c:v>9.1829698145692046E-5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F-4A59-AA77-ED74052B8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'SPKA-RPKA-1'!$F$13:$F$16</c:f>
              <c:numCache>
                <c:formatCode>General</c:formatCode>
                <c:ptCount val="4"/>
                <c:pt idx="0">
                  <c:v>7.3453900198729202E-2</c:v>
                </c:pt>
                <c:pt idx="1">
                  <c:v>5.757761797242307E-2</c:v>
                </c:pt>
                <c:pt idx="2">
                  <c:v>4.1701335746116938E-2</c:v>
                </c:pt>
                <c:pt idx="3">
                  <c:v>2.4060957850049816E-2</c:v>
                </c:pt>
              </c:numCache>
            </c:numRef>
          </c:xVal>
          <c:yVal>
            <c:numRef>
              <c:f>'SPKA-RPKA-1'!$E$13:$E$16</c:f>
              <c:numCache>
                <c:formatCode>General</c:formatCode>
                <c:ptCount val="4"/>
                <c:pt idx="0">
                  <c:v>4.8837636477722962E-2</c:v>
                </c:pt>
                <c:pt idx="1">
                  <c:v>4.0635680821584877E-2</c:v>
                </c:pt>
                <c:pt idx="2">
                  <c:v>3.243372516544684E-2</c:v>
                </c:pt>
                <c:pt idx="3">
                  <c:v>3.7127205691772261E-2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C9-4DC5-B312-2B83A375BD73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'SPKA-RPKA-1'!$H$13:$H$16</c:f>
              <c:numCache>
                <c:formatCode>General</c:formatCode>
                <c:ptCount val="4"/>
                <c:pt idx="0">
                  <c:v>7.7904969060124729E-2</c:v>
                </c:pt>
                <c:pt idx="1">
                  <c:v>6.1571957489401641E-2</c:v>
                </c:pt>
                <c:pt idx="2">
                  <c:v>4.5238945918678553E-2</c:v>
                </c:pt>
                <c:pt idx="3">
                  <c:v>2.8735633115549161E-2</c:v>
                </c:pt>
              </c:numCache>
            </c:numRef>
          </c:xVal>
          <c:yVal>
            <c:numRef>
              <c:f>'SPKA-RPKA-1'!$G$13:$G$16</c:f>
              <c:numCache>
                <c:formatCode>General</c:formatCode>
                <c:ptCount val="4"/>
                <c:pt idx="0">
                  <c:v>6.5202333589385028E-2</c:v>
                </c:pt>
                <c:pt idx="1">
                  <c:v>4.5749170158311231E-2</c:v>
                </c:pt>
                <c:pt idx="2">
                  <c:v>2.6296006727237239E-2</c:v>
                </c:pt>
                <c:pt idx="3">
                  <c:v>1.1822411495178377E-2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C9-4DC5-B312-2B83A375B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'SPKA-2'!$B$23:$B$26</c:f>
              <c:numCache>
                <c:formatCode>General</c:formatCode>
                <c:ptCount val="4"/>
                <c:pt idx="0">
                  <c:v>7.1297676394522336E-2</c:v>
                </c:pt>
                <c:pt idx="1">
                  <c:v>5.7641643918829866E-2</c:v>
                </c:pt>
                <c:pt idx="2">
                  <c:v>4.387350540844917E-2</c:v>
                </c:pt>
                <c:pt idx="3">
                  <c:v>3.0105366898068472E-2</c:v>
                </c:pt>
              </c:numCache>
            </c:numRef>
          </c:xVal>
          <c:yVal>
            <c:numRef>
              <c:f>'SPKA-2'!$C$23:$C$26</c:f>
              <c:numCache>
                <c:formatCode>General</c:formatCode>
                <c:ptCount val="4"/>
                <c:pt idx="0">
                  <c:v>2.5839802556606351E-5</c:v>
                </c:pt>
                <c:pt idx="1">
                  <c:v>1.606706195902345E-5</c:v>
                </c:pt>
                <c:pt idx="2">
                  <c:v>6.6221167845055529E-6</c:v>
                </c:pt>
                <c:pt idx="3">
                  <c:v>-2.8228283900123118E-6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D0-435F-AF97-5276F123B6BD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'SPKA-2'!$F$23:$F$26</c:f>
              <c:numCache>
                <c:formatCode>General</c:formatCode>
                <c:ptCount val="4"/>
                <c:pt idx="0">
                  <c:v>7.5548858750689812E-2</c:v>
                </c:pt>
                <c:pt idx="1">
                  <c:v>5.8876488261870655E-2</c:v>
                </c:pt>
                <c:pt idx="2">
                  <c:v>4.2378015977493771E-2</c:v>
                </c:pt>
                <c:pt idx="3">
                  <c:v>2.5705645488674666E-2</c:v>
                </c:pt>
              </c:numCache>
            </c:numRef>
          </c:xVal>
          <c:yVal>
            <c:numRef>
              <c:f>'SPKA-2'!$G$23:$G$26</c:f>
              <c:numCache>
                <c:formatCode>General</c:formatCode>
                <c:ptCount val="4"/>
                <c:pt idx="0">
                  <c:v>1.3409444790034792E-5</c:v>
                </c:pt>
                <c:pt idx="1">
                  <c:v>1.2456405985219961E-5</c:v>
                </c:pt>
                <c:pt idx="2">
                  <c:v>1.0994892898410209E-5</c:v>
                </c:pt>
                <c:pt idx="3">
                  <c:v>1.0041854093595308E-5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1D0-435F-AF97-5276F123B6BD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'SPKA-2'!$J$23:$J$26</c:f>
              <c:numCache>
                <c:formatCode>General</c:formatCode>
                <c:ptCount val="4"/>
                <c:pt idx="0">
                  <c:v>7.6662769425925675E-2</c:v>
                </c:pt>
                <c:pt idx="1">
                  <c:v>6.1179196012910081E-2</c:v>
                </c:pt>
                <c:pt idx="2">
                  <c:v>4.5564222540663238E-2</c:v>
                </c:pt>
                <c:pt idx="3">
                  <c:v>2.9929033674688531E-2</c:v>
                </c:pt>
              </c:numCache>
            </c:numRef>
          </c:xVal>
          <c:yVal>
            <c:numRef>
              <c:f>'SPKA-2'!$K$23:$K$26</c:f>
              <c:numCache>
                <c:formatCode>General</c:formatCode>
                <c:ptCount val="4"/>
                <c:pt idx="0">
                  <c:v>1.0152396032035151E-5</c:v>
                </c:pt>
                <c:pt idx="1">
                  <c:v>5.7233423856894956E-6</c:v>
                </c:pt>
                <c:pt idx="2">
                  <c:v>1.6784994388503853E-6</c:v>
                </c:pt>
                <c:pt idx="3">
                  <c:v>-2.3072341696031297E-6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1D0-435F-AF97-5276F123B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4B-4B6D-8928-0AC75A070590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'SPKA-2'!$C$17:$C$20</c:f>
              <c:numCache>
                <c:formatCode>General</c:formatCode>
                <c:ptCount val="4"/>
                <c:pt idx="0">
                  <c:v>6.2460463920162961E-2</c:v>
                </c:pt>
                <c:pt idx="1">
                  <c:v>5.2146708728843846E-2</c:v>
                </c:pt>
                <c:pt idx="2">
                  <c:v>4.1608741468148268E-2</c:v>
                </c:pt>
                <c:pt idx="3">
                  <c:v>3.1070774207452682E-2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4B-4B6D-8928-0AC75A070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9-4C14-966F-277BB8A1595A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'SPKA-2'!$G$17:$G$20</c:f>
              <c:numCache>
                <c:formatCode>General</c:formatCode>
                <c:ptCount val="4"/>
                <c:pt idx="0">
                  <c:v>7.0962828632497907E-2</c:v>
                </c:pt>
                <c:pt idx="1">
                  <c:v>5.4616397414925431E-2</c:v>
                </c:pt>
                <c:pt idx="2">
                  <c:v>3.8617762606237484E-2</c:v>
                </c:pt>
                <c:pt idx="3">
                  <c:v>2.2271331388665071E-2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B9-4C14-966F-277BB8A15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01-4029-AFCA-BD55204277D0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'SPKA-2'!$A$17:$A$20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'SPKA-2'!$K$17:$K$20</c:f>
              <c:numCache>
                <c:formatCode>General</c:formatCode>
                <c:ptCount val="4"/>
                <c:pt idx="0">
                  <c:v>7.3190649982969661E-2</c:v>
                </c:pt>
                <c:pt idx="1">
                  <c:v>5.922181291700427E-2</c:v>
                </c:pt>
                <c:pt idx="2">
                  <c:v>4.4990175732576403E-2</c:v>
                </c:pt>
                <c:pt idx="3">
                  <c:v>3.0718107760692802E-2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01-4029-AFCA-BD552042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'SPKA-RPKA-2'!$B$13:$B$16</c:f>
              <c:numCache>
                <c:formatCode>General</c:formatCode>
                <c:ptCount val="4"/>
                <c:pt idx="0">
                  <c:v>7.1297676394522336E-2</c:v>
                </c:pt>
                <c:pt idx="1">
                  <c:v>5.7641643918829866E-2</c:v>
                </c:pt>
                <c:pt idx="2">
                  <c:v>4.387350540844917E-2</c:v>
                </c:pt>
                <c:pt idx="3">
                  <c:v>3.0105366898068472E-2</c:v>
                </c:pt>
              </c:numCache>
            </c:numRef>
          </c:xVal>
          <c:yVal>
            <c:numRef>
              <c:f>'SPKA-RPKA-2'!$A$13:$A$16</c:f>
              <c:numCache>
                <c:formatCode>General</c:formatCode>
                <c:ptCount val="4"/>
                <c:pt idx="0">
                  <c:v>4.8829498197766037E-5</c:v>
                </c:pt>
                <c:pt idx="1">
                  <c:v>3.1483934546421752E-5</c:v>
                </c:pt>
                <c:pt idx="2">
                  <c:v>1.3528159244704513E-5</c:v>
                </c:pt>
                <c:pt idx="3">
                  <c:v>-6.0525512466957806E-6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E9-4363-B381-CB0092720AE2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'SPKA-RPKA-2'!$D$13:$D$16</c:f>
              <c:numCache>
                <c:formatCode>General</c:formatCode>
                <c:ptCount val="4"/>
                <c:pt idx="0">
                  <c:v>7.5548858750689812E-2</c:v>
                </c:pt>
                <c:pt idx="1">
                  <c:v>5.8876488261870655E-2</c:v>
                </c:pt>
                <c:pt idx="2">
                  <c:v>4.2378015977493771E-2</c:v>
                </c:pt>
                <c:pt idx="3">
                  <c:v>2.5705645488674666E-2</c:v>
                </c:pt>
              </c:numCache>
            </c:numRef>
          </c:xVal>
          <c:yVal>
            <c:numRef>
              <c:f>'SPKA-RPKA-2'!$C$13:$C$16</c:f>
              <c:numCache>
                <c:formatCode>General</c:formatCode>
                <c:ptCount val="4"/>
                <c:pt idx="0">
                  <c:v>2.910331259655927E-5</c:v>
                </c:pt>
                <c:pt idx="1">
                  <c:v>2.9134675482831144E-5</c:v>
                </c:pt>
                <c:pt idx="2">
                  <c:v>2.8382380443457442E-5</c:v>
                </c:pt>
                <c:pt idx="3">
                  <c:v>3.0116559217703073E-5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8E9-4363-B381-CB0092720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'SPKA-RPKA-2'!$F$13:$F$16</c:f>
              <c:numCache>
                <c:formatCode>General</c:formatCode>
                <c:ptCount val="4"/>
                <c:pt idx="0">
                  <c:v>7.1297676394522336E-2</c:v>
                </c:pt>
                <c:pt idx="1">
                  <c:v>5.7641643918829866E-2</c:v>
                </c:pt>
                <c:pt idx="2">
                  <c:v>4.387350540844917E-2</c:v>
                </c:pt>
                <c:pt idx="3">
                  <c:v>3.0105366898068472E-2</c:v>
                </c:pt>
              </c:numCache>
            </c:numRef>
          </c:xVal>
          <c:yVal>
            <c:numRef>
              <c:f>'SPKA-RPKA-2'!$E$13:$E$16</c:f>
              <c:numCache>
                <c:formatCode>General</c:formatCode>
                <c:ptCount val="4"/>
                <c:pt idx="0">
                  <c:v>1.9977364710155751E-2</c:v>
                </c:pt>
                <c:pt idx="1">
                  <c:v>1.2421826980795489E-2</c:v>
                </c:pt>
                <c:pt idx="2">
                  <c:v>5.1197156738137951E-3</c:v>
                </c:pt>
                <c:pt idx="3">
                  <c:v>-2.1823956331678729E-3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06-4755-B020-94381674A73A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'SPKA-RPKA-2'!$H$13:$H$16</c:f>
              <c:numCache>
                <c:formatCode>General</c:formatCode>
                <c:ptCount val="4"/>
                <c:pt idx="0">
                  <c:v>7.6662769425925675E-2</c:v>
                </c:pt>
                <c:pt idx="1">
                  <c:v>6.1179196012910081E-2</c:v>
                </c:pt>
                <c:pt idx="2">
                  <c:v>4.5564222540663238E-2</c:v>
                </c:pt>
                <c:pt idx="3">
                  <c:v>2.9929033674688531E-2</c:v>
                </c:pt>
              </c:numCache>
            </c:numRef>
          </c:xVal>
          <c:yVal>
            <c:numRef>
              <c:f>'SPKA-RPKA-2'!$G$13:$G$16</c:f>
              <c:numCache>
                <c:formatCode>General</c:formatCode>
                <c:ptCount val="4"/>
                <c:pt idx="0">
                  <c:v>2.5501665840180762E-2</c:v>
                </c:pt>
                <c:pt idx="1">
                  <c:v>1.4376386081497095E-2</c:v>
                </c:pt>
                <c:pt idx="2">
                  <c:v>4.2161999657447215E-3</c:v>
                </c:pt>
                <c:pt idx="3">
                  <c:v>-5.7955102049413671E-3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A06-4755-B020-94381674A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'SPKA-3'!$B$23:$B$26</c:f>
              <c:numCache>
                <c:formatCode>General</c:formatCode>
                <c:ptCount val="4"/>
                <c:pt idx="0">
                  <c:v>7.6184702557881762E-2</c:v>
                </c:pt>
                <c:pt idx="1">
                  <c:v>6.050493843848688E-2</c:v>
                </c:pt>
                <c:pt idx="2">
                  <c:v>4.4669074118236327E-2</c:v>
                </c:pt>
                <c:pt idx="3">
                  <c:v>2.8989309998841441E-2</c:v>
                </c:pt>
              </c:numCache>
            </c:numRef>
          </c:xVal>
          <c:yVal>
            <c:numRef>
              <c:f>'SPKA-3'!$C$23:$C$26</c:f>
              <c:numCache>
                <c:formatCode>General</c:formatCode>
                <c:ptCount val="4"/>
                <c:pt idx="0">
                  <c:v>1.155025237134484E-5</c:v>
                </c:pt>
                <c:pt idx="1">
                  <c:v>7.694855761195921E-6</c:v>
                </c:pt>
                <c:pt idx="2">
                  <c:v>4.2958924868822897E-6</c:v>
                </c:pt>
                <c:pt idx="3">
                  <c:v>4.404958767333908E-7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9C-459A-A35C-0D69AA5E7012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'SPKA-3'!$F$23:$F$26</c:f>
              <c:numCache>
                <c:formatCode>General</c:formatCode>
                <c:ptCount val="4"/>
                <c:pt idx="0">
                  <c:v>7.214647068600212E-2</c:v>
                </c:pt>
                <c:pt idx="1">
                  <c:v>5.6960783370570305E-2</c:v>
                </c:pt>
                <c:pt idx="2">
                  <c:v>4.177509605513853E-2</c:v>
                </c:pt>
                <c:pt idx="3">
                  <c:v>2.6589408739706718E-2</c:v>
                </c:pt>
              </c:numCache>
            </c:numRef>
          </c:xVal>
          <c:yVal>
            <c:numRef>
              <c:f>'SPKA-3'!$G$23:$G$26</c:f>
              <c:numCache>
                <c:formatCode>General</c:formatCode>
                <c:ptCount val="4"/>
                <c:pt idx="0">
                  <c:v>2.3357947903156677E-5</c:v>
                </c:pt>
                <c:pt idx="1">
                  <c:v>1.8057882275571872E-5</c:v>
                </c:pt>
                <c:pt idx="2">
                  <c:v>1.2757816647986958E-5</c:v>
                </c:pt>
                <c:pt idx="3">
                  <c:v>7.4577510204021727E-6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9C-459A-A35C-0D69AA5E7012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'SPKA-3'!$J$23:$J$26</c:f>
              <c:numCache>
                <c:formatCode>General</c:formatCode>
                <c:ptCount val="4"/>
                <c:pt idx="0">
                  <c:v>7.19122803986878E-2</c:v>
                </c:pt>
                <c:pt idx="1">
                  <c:v>5.7723512679063643E-2</c:v>
                </c:pt>
                <c:pt idx="2">
                  <c:v>4.3534744959439431E-2</c:v>
                </c:pt>
                <c:pt idx="3">
                  <c:v>2.9224921647483547E-2</c:v>
                </c:pt>
              </c:numCache>
            </c:numRef>
          </c:xVal>
          <c:yVal>
            <c:numRef>
              <c:f>'SPKA-3'!$K$23:$K$26</c:f>
              <c:numCache>
                <c:formatCode>General</c:formatCode>
                <c:ptCount val="4"/>
                <c:pt idx="0">
                  <c:v>2.4042714825128354E-5</c:v>
                </c:pt>
                <c:pt idx="1">
                  <c:v>1.5827679619158611E-5</c:v>
                </c:pt>
                <c:pt idx="2">
                  <c:v>7.6126444131889822E-6</c:v>
                </c:pt>
                <c:pt idx="3">
                  <c:v>-2.4842707251253162E-7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F9C-459A-A35C-0D69AA5E7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7D-49DF-A612-B064321D5661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'SPKA-Average'!$C$17:$C$20</c:f>
              <c:numCache>
                <c:formatCode>General</c:formatCode>
                <c:ptCount val="4"/>
                <c:pt idx="0">
                  <c:v>6.7063108745549924E-2</c:v>
                </c:pt>
                <c:pt idx="1">
                  <c:v>5.3967455758894833E-2</c:v>
                </c:pt>
                <c:pt idx="2">
                  <c:v>4.0874565018787008E-2</c:v>
                </c:pt>
                <c:pt idx="3">
                  <c:v>2.6738861731336622E-2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7D-49DF-A612-B064321D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AA-4EC3-8921-3F60E8A20DFD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'SPKA-3'!$C$17:$C$20</c:f>
              <c:numCache>
                <c:formatCode>General</c:formatCode>
                <c:ptCount val="4"/>
                <c:pt idx="0">
                  <c:v>7.2234516246881833E-2</c:v>
                </c:pt>
                <c:pt idx="1">
                  <c:v>5.7873297768157875E-2</c:v>
                </c:pt>
                <c:pt idx="2">
                  <c:v>4.319987888772258E-2</c:v>
                </c:pt>
                <c:pt idx="3">
                  <c:v>2.8838660408998622E-2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AA-4EC3-8921-3F60E8A20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A3-4B5A-A9E5-618366F0F31F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'SPKA-3'!$G$17:$G$20</c:f>
              <c:numCache>
                <c:formatCode>General</c:formatCode>
                <c:ptCount val="4"/>
                <c:pt idx="0">
                  <c:v>6.4158052503122537E-2</c:v>
                </c:pt>
                <c:pt idx="1">
                  <c:v>5.0784987632324724E-2</c:v>
                </c:pt>
                <c:pt idx="2">
                  <c:v>3.7411922761526988E-2</c:v>
                </c:pt>
                <c:pt idx="3">
                  <c:v>2.4038857890729175E-2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A3-4B5A-A9E5-618366F0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F-4086-9F50-3367AB3E0CE4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'SPKA-3'!$A$17:$A$20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'SPKA-3'!$K$17:$K$20</c:f>
              <c:numCache>
                <c:formatCode>General</c:formatCode>
                <c:ptCount val="4"/>
                <c:pt idx="0">
                  <c:v>6.368967192849391E-2</c:v>
                </c:pt>
                <c:pt idx="1">
                  <c:v>5.2310446249311394E-2</c:v>
                </c:pt>
                <c:pt idx="2">
                  <c:v>4.0931220570128803E-2</c:v>
                </c:pt>
                <c:pt idx="3">
                  <c:v>2.9309883706282833E-2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0F-4086-9F50-3367AB3E0C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'SPKA-RPKA-3'!$B$13:$B$16</c:f>
              <c:numCache>
                <c:formatCode>General</c:formatCode>
                <c:ptCount val="4"/>
                <c:pt idx="0">
                  <c:v>5.8041089038329162E-3</c:v>
                </c:pt>
                <c:pt idx="1">
                  <c:v>3.660847575445087E-3</c:v>
                </c:pt>
                <c:pt idx="2">
                  <c:v>1.9953261825804906E-3</c:v>
                </c:pt>
                <c:pt idx="3">
                  <c:v>8.4038009420892837E-4</c:v>
                </c:pt>
              </c:numCache>
            </c:numRef>
          </c:xVal>
          <c:yVal>
            <c:numRef>
              <c:f>'SPKA-RPKA-3'!$A$13:$A$16</c:f>
              <c:numCache>
                <c:formatCode>General</c:formatCode>
                <c:ptCount val="4"/>
                <c:pt idx="0">
                  <c:v>5.0893123195678376E-7</c:v>
                </c:pt>
                <c:pt idx="1">
                  <c:v>2.7718366806306591E-7</c:v>
                </c:pt>
                <c:pt idx="2">
                  <c:v>1.2230003232313305E-7</c:v>
                </c:pt>
                <c:pt idx="3">
                  <c:v>9.5140228200110085E-9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9D-43BF-BAAF-48E40CCBA479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'SPKA-RPKA-3'!$D$13:$D$16</c:f>
              <c:numCache>
                <c:formatCode>General</c:formatCode>
                <c:ptCount val="4"/>
                <c:pt idx="0">
                  <c:v>5.2051132324461629E-3</c:v>
                </c:pt>
                <c:pt idx="1">
                  <c:v>3.2445308421890384E-3</c:v>
                </c:pt>
                <c:pt idx="2">
                  <c:v>1.7451586504160508E-3</c:v>
                </c:pt>
                <c:pt idx="3">
                  <c:v>7.0699665712719195E-4</c:v>
                </c:pt>
              </c:numCache>
            </c:numRef>
          </c:xVal>
          <c:yVal>
            <c:numRef>
              <c:f>'SPKA-RPKA-3'!$C$13:$C$16</c:f>
              <c:numCache>
                <c:formatCode>General</c:formatCode>
                <c:ptCount val="4"/>
                <c:pt idx="0">
                  <c:v>4.5264457710491772E-7</c:v>
                </c:pt>
                <c:pt idx="1">
                  <c:v>2.4548827124870744E-7</c:v>
                </c:pt>
                <c:pt idx="2">
                  <c:v>1.0893126374066723E-7</c:v>
                </c:pt>
                <c:pt idx="3">
                  <c:v>3.2334853710479663E-8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9D-43BF-BAAF-48E40CCBA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'SPKA-RPKA-3'!$F$13:$F$16</c:f>
              <c:numCache>
                <c:formatCode>General</c:formatCode>
                <c:ptCount val="4"/>
                <c:pt idx="0">
                  <c:v>7.6184702557881762E-2</c:v>
                </c:pt>
                <c:pt idx="1">
                  <c:v>6.050493843848688E-2</c:v>
                </c:pt>
                <c:pt idx="2">
                  <c:v>4.4669074118236327E-2</c:v>
                </c:pt>
                <c:pt idx="3">
                  <c:v>2.8989309998841441E-2</c:v>
                </c:pt>
              </c:numCache>
            </c:numRef>
          </c:xVal>
          <c:yVal>
            <c:numRef>
              <c:f>'SPKA-RPKA-3'!$E$13:$E$16</c:f>
              <c:numCache>
                <c:formatCode>General</c:formatCode>
                <c:ptCount val="4"/>
                <c:pt idx="0">
                  <c:v>1.5621562432205375E-7</c:v>
                </c:pt>
                <c:pt idx="1">
                  <c:v>1.040718988777743E-7</c:v>
                </c:pt>
                <c:pt idx="2">
                  <c:v>5.8101373483720679E-8</c:v>
                </c:pt>
                <c:pt idx="3">
                  <c:v>5.9576480394414959E-9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A0-4F24-9C64-F0A9EF17CDB9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'SPKA-RPKA-3'!$H$13:$H$16</c:f>
              <c:numCache>
                <c:formatCode>General</c:formatCode>
                <c:ptCount val="4"/>
                <c:pt idx="0">
                  <c:v>7.19122803986878E-2</c:v>
                </c:pt>
                <c:pt idx="1">
                  <c:v>5.7723512679063643E-2</c:v>
                </c:pt>
                <c:pt idx="2">
                  <c:v>4.3534744959439431E-2</c:v>
                </c:pt>
                <c:pt idx="3">
                  <c:v>2.9224921647483547E-2</c:v>
                </c:pt>
              </c:numCache>
            </c:numRef>
          </c:xVal>
          <c:yVal>
            <c:numRef>
              <c:f>'SPKA-RPKA-3'!$G$13:$G$16</c:f>
              <c:numCache>
                <c:formatCode>General</c:formatCode>
                <c:ptCount val="4"/>
                <c:pt idx="0">
                  <c:v>1.5169927500157557E-7</c:v>
                </c:pt>
                <c:pt idx="1">
                  <c:v>9.9865907017875912E-8</c:v>
                </c:pt>
                <c:pt idx="2">
                  <c:v>4.8032539034176978E-8</c:v>
                </c:pt>
                <c:pt idx="3">
                  <c:v>-1.5674688596949532E-9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BA0-4F24-9C64-F0A9EF17C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'SPKA-4'!$B$23:$B$26</c:f>
              <c:numCache>
                <c:formatCode>General</c:formatCode>
                <c:ptCount val="4"/>
                <c:pt idx="0">
                  <c:v>7.362854466807911E-2</c:v>
                </c:pt>
                <c:pt idx="1">
                  <c:v>5.8630354265057139E-2</c:v>
                </c:pt>
                <c:pt idx="2">
                  <c:v>4.390295700882637E-2</c:v>
                </c:pt>
                <c:pt idx="3">
                  <c:v>2.8769370032408804E-2</c:v>
                </c:pt>
              </c:numCache>
            </c:numRef>
          </c:xVal>
          <c:yVal>
            <c:numRef>
              <c:f>'SPKA-4'!$C$23:$C$26</c:f>
              <c:numCache>
                <c:formatCode>General</c:formatCode>
                <c:ptCount val="4"/>
                <c:pt idx="0">
                  <c:v>1.9024398247960803E-5</c:v>
                </c:pt>
                <c:pt idx="1">
                  <c:v>1.3176096034382311E-5</c:v>
                </c:pt>
                <c:pt idx="2">
                  <c:v>6.5360009939289371E-6</c:v>
                </c:pt>
                <c:pt idx="3">
                  <c:v>1.0835951937878869E-6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2D-4A4B-A2D2-93A9CBDD6EA9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'SPKA-4'!$F$23:$F$26</c:f>
              <c:numCache>
                <c:formatCode>General</c:formatCode>
                <c:ptCount val="4"/>
                <c:pt idx="0">
                  <c:v>7.2841459513397391E-2</c:v>
                </c:pt>
                <c:pt idx="1">
                  <c:v>5.7800290042513053E-2</c:v>
                </c:pt>
                <c:pt idx="2">
                  <c:v>4.2616902863132008E-2</c:v>
                </c:pt>
                <c:pt idx="3">
                  <c:v>2.757573339224768E-2</c:v>
                </c:pt>
              </c:numCache>
            </c:numRef>
          </c:xVal>
          <c:yVal>
            <c:numRef>
              <c:f>'SPKA-4'!$G$23:$G$26</c:f>
              <c:numCache>
                <c:formatCode>General</c:formatCode>
                <c:ptCount val="4"/>
                <c:pt idx="0">
                  <c:v>2.1325816828901498E-5</c:v>
                </c:pt>
                <c:pt idx="1">
                  <c:v>1.5603184404394237E-5</c:v>
                </c:pt>
                <c:pt idx="2">
                  <c:v>1.0296393232801328E-5</c:v>
                </c:pt>
                <c:pt idx="3">
                  <c:v>4.5737608082940952E-6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62D-4A4B-A2D2-93A9CBDD6EA9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'SPKA-4'!$J$23:$J$26</c:f>
              <c:numCache>
                <c:formatCode>General</c:formatCode>
                <c:ptCount val="4"/>
                <c:pt idx="0">
                  <c:v>7.4883019451232088E-2</c:v>
                </c:pt>
                <c:pt idx="1">
                  <c:v>5.9190414554935025E-2</c:v>
                </c:pt>
                <c:pt idx="2">
                  <c:v>4.3650861786643638E-2</c:v>
                </c:pt>
                <c:pt idx="3">
                  <c:v>2.8111309018352182E-2</c:v>
                </c:pt>
              </c:numCache>
            </c:numRef>
          </c:xVal>
          <c:yVal>
            <c:numRef>
              <c:f>'SPKA-4'!$K$23:$K$26</c:f>
              <c:numCache>
                <c:formatCode>General</c:formatCode>
                <c:ptCount val="4"/>
                <c:pt idx="0">
                  <c:v>1.5356343326460865E-5</c:v>
                </c:pt>
                <c:pt idx="1">
                  <c:v>1.1538492847604843E-5</c:v>
                </c:pt>
                <c:pt idx="2">
                  <c:v>7.2731215266269825E-6</c:v>
                </c:pt>
                <c:pt idx="3">
                  <c:v>3.0077502056493595E-6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62D-4A4B-A2D2-93A9CBDD6E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41-4944-88C6-0BC5F850AE53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'SPKA-4'!$C$17:$C$20</c:f>
              <c:numCache>
                <c:formatCode>General</c:formatCode>
                <c:ptCount val="4"/>
                <c:pt idx="0">
                  <c:v>6.7122200467276516E-2</c:v>
                </c:pt>
                <c:pt idx="1">
                  <c:v>5.4124129421298385E-2</c:v>
                </c:pt>
                <c:pt idx="2">
                  <c:v>4.1667644668902673E-2</c:v>
                </c:pt>
                <c:pt idx="3">
                  <c:v>2.8398780476133346E-2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41-4944-88C6-0BC5F850A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3-4D18-AF4C-013F568B0B38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'SPKA-4'!$G$17:$G$20</c:f>
              <c:numCache>
                <c:formatCode>General</c:formatCode>
                <c:ptCount val="4"/>
                <c:pt idx="0">
                  <c:v>6.5548030157913079E-2</c:v>
                </c:pt>
                <c:pt idx="1">
                  <c:v>5.2464000976210227E-2</c:v>
                </c:pt>
                <c:pt idx="2">
                  <c:v>3.9095536377513958E-2</c:v>
                </c:pt>
                <c:pt idx="3">
                  <c:v>2.60115071958111E-2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3-4D18-AF4C-013F568B0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A6-45A1-BE75-002ED90CD489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'SPKA-4'!$A$17:$A$20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'SPKA-4'!$K$17:$K$20</c:f>
              <c:numCache>
                <c:formatCode>General</c:formatCode>
                <c:ptCount val="4"/>
                <c:pt idx="0">
                  <c:v>6.9631150033582473E-2</c:v>
                </c:pt>
                <c:pt idx="1">
                  <c:v>5.5244250001054172E-2</c:v>
                </c:pt>
                <c:pt idx="2">
                  <c:v>4.116345422453721E-2</c:v>
                </c:pt>
                <c:pt idx="3">
                  <c:v>2.7082658448020099E-2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A6-45A1-BE75-002ED90CD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'SPKA-RPKA-4'!$B$13:$B$16</c:f>
              <c:numCache>
                <c:formatCode>General</c:formatCode>
                <c:ptCount val="4"/>
                <c:pt idx="0">
                  <c:v>9.557440317947849E-2</c:v>
                </c:pt>
                <c:pt idx="1">
                  <c:v>7.7859259066343306E-2</c:v>
                </c:pt>
                <c:pt idx="2">
                  <c:v>6.0012869805450321E-2</c:v>
                </c:pt>
                <c:pt idx="3">
                  <c:v>4.1023935148327133E-2</c:v>
                </c:pt>
              </c:numCache>
            </c:numRef>
          </c:xVal>
          <c:yVal>
            <c:numRef>
              <c:f>'SPKA-RPKA-4'!$A$13:$A$16</c:f>
              <c:numCache>
                <c:formatCode>General</c:formatCode>
                <c:ptCount val="4"/>
                <c:pt idx="0">
                  <c:v>8.2060188012879452E-6</c:v>
                </c:pt>
                <c:pt idx="1">
                  <c:v>5.3933639617841441E-6</c:v>
                </c:pt>
                <c:pt idx="2">
                  <c:v>2.5218056830959855E-6</c:v>
                </c:pt>
                <c:pt idx="3">
                  <c:v>3.8924198931828838E-7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B5-48EB-B849-E66CAC7C81EA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'SPKA-RPKA-4'!$D$13:$D$16</c:f>
              <c:numCache>
                <c:formatCode>General</c:formatCode>
                <c:ptCount val="4"/>
                <c:pt idx="0">
                  <c:v>9.4654393088801247E-2</c:v>
                </c:pt>
                <c:pt idx="1">
                  <c:v>7.686648395969313E-2</c:v>
                </c:pt>
                <c:pt idx="2">
                  <c:v>5.8428359962732733E-2</c:v>
                </c:pt>
                <c:pt idx="3">
                  <c:v>3.948883891444932E-2</c:v>
                </c:pt>
              </c:numCache>
            </c:numRef>
          </c:xVal>
          <c:yVal>
            <c:numRef>
              <c:f>'SPKA-RPKA-4'!$C$13:$C$16</c:f>
              <c:numCache>
                <c:formatCode>General</c:formatCode>
                <c:ptCount val="4"/>
                <c:pt idx="0">
                  <c:v>7.4792341593613775E-6</c:v>
                </c:pt>
                <c:pt idx="1">
                  <c:v>4.9886754208311354E-6</c:v>
                </c:pt>
                <c:pt idx="2">
                  <c:v>2.9141900722391047E-6</c:v>
                </c:pt>
                <c:pt idx="3">
                  <c:v>1.0876377616028819E-6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AB5-48EB-B849-E66CAC7C8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BB-4727-B456-0C9D7B8EA717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'SPKA-Average'!$G$17:$G$20</c:f>
              <c:numCache>
                <c:formatCode>General</c:formatCode>
                <c:ptCount val="4"/>
                <c:pt idx="0">
                  <c:v>6.7820533533889532E-2</c:v>
                </c:pt>
                <c:pt idx="1">
                  <c:v>5.3567211187603408E-2</c:v>
                </c:pt>
                <c:pt idx="2">
                  <c:v>3.9174621560730045E-2</c:v>
                </c:pt>
                <c:pt idx="3">
                  <c:v>2.4921299214443936E-2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CBB-4727-B456-0C9D7B8EA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'SPKA-RPKA-4'!$F$13:$F$16</c:f>
              <c:numCache>
                <c:formatCode>General</c:formatCode>
                <c:ptCount val="4"/>
                <c:pt idx="0">
                  <c:v>7.362854466807911E-2</c:v>
                </c:pt>
                <c:pt idx="1">
                  <c:v>5.8630354265057139E-2</c:v>
                </c:pt>
                <c:pt idx="2">
                  <c:v>4.390295700882637E-2</c:v>
                </c:pt>
                <c:pt idx="3">
                  <c:v>2.8769370032408804E-2</c:v>
                </c:pt>
              </c:numCache>
            </c:numRef>
          </c:xVal>
          <c:yVal>
            <c:numRef>
              <c:f>'SPKA-RPKA-4'!$E$13:$E$16</c:f>
              <c:numCache>
                <c:formatCode>General</c:formatCode>
                <c:ptCount val="4"/>
                <c:pt idx="0">
                  <c:v>1.9024398247960803E-5</c:v>
                </c:pt>
                <c:pt idx="1">
                  <c:v>1.3176096034382311E-5</c:v>
                </c:pt>
                <c:pt idx="2">
                  <c:v>6.5360009939289371E-6</c:v>
                </c:pt>
                <c:pt idx="3">
                  <c:v>1.0835951937878869E-6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6A-4B83-937D-D8A313B44DE2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'SPKA-RPKA-4'!$H$13:$H$16</c:f>
              <c:numCache>
                <c:formatCode>General</c:formatCode>
                <c:ptCount val="4"/>
                <c:pt idx="0">
                  <c:v>7.4883019451232088E-2</c:v>
                </c:pt>
                <c:pt idx="1">
                  <c:v>5.9190414554935025E-2</c:v>
                </c:pt>
                <c:pt idx="2">
                  <c:v>4.3650861786643638E-2</c:v>
                </c:pt>
                <c:pt idx="3">
                  <c:v>2.8111309018352182E-2</c:v>
                </c:pt>
              </c:numCache>
            </c:numRef>
          </c:xVal>
          <c:yVal>
            <c:numRef>
              <c:f>'SPKA-RPKA-4'!$G$13:$G$16</c:f>
              <c:numCache>
                <c:formatCode>General</c:formatCode>
                <c:ptCount val="4"/>
                <c:pt idx="0">
                  <c:v>1.5356343326460865E-5</c:v>
                </c:pt>
                <c:pt idx="1">
                  <c:v>1.1538492847604843E-5</c:v>
                </c:pt>
                <c:pt idx="2">
                  <c:v>7.2731215266269825E-6</c:v>
                </c:pt>
                <c:pt idx="3">
                  <c:v>3.0077502056493595E-6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96A-4B83-937D-D8A313B44D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Catalyst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'SPKA-Average'!$J$17:$J$20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5E-4878-B11E-A306FE8B8B74}"/>
            </c:ext>
          </c:extLst>
        </c:ser>
        <c:ser>
          <c:idx val="1"/>
          <c:order val="1"/>
          <c:tx>
            <c:v>Catalyst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'SPKA-Average'!$A$17:$A$20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'SPKA-Average'!$K$17:$K$20</c:f>
              <c:numCache>
                <c:formatCode>General</c:formatCode>
                <c:ptCount val="4"/>
                <c:pt idx="0">
                  <c:v>7.0482235489454759E-2</c:v>
                </c:pt>
                <c:pt idx="1">
                  <c:v>5.6649883016529928E-2</c:v>
                </c:pt>
                <c:pt idx="2">
                  <c:v>4.2829835682184771E-2</c:v>
                </c:pt>
                <c:pt idx="3">
                  <c:v>2.8851295493207522E-2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65E-4878-B11E-A306FE8B8B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4759769380401376"/>
                  <c:y val="-3.84848936730174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 Average'!$B$13:$B$16</c:f>
              <c:numCache>
                <c:formatCode>General</c:formatCode>
                <c:ptCount val="4"/>
                <c:pt idx="0">
                  <c:v>7.3598998807215821E-2</c:v>
                </c:pt>
                <c:pt idx="1">
                  <c:v>5.8552017433855359E-2</c:v>
                </c:pt>
                <c:pt idx="2">
                  <c:v>4.3506417183768534E-2</c:v>
                </c:pt>
                <c:pt idx="3">
                  <c:v>2.793941066001044E-2</c:v>
                </c:pt>
              </c:numCache>
            </c:numRef>
          </c:xVal>
          <c:yVal>
            <c:numRef>
              <c:f>'SPKA-RPKA-1 Average'!$A$13:$A$16</c:f>
              <c:numCache>
                <c:formatCode>General</c:formatCode>
                <c:ptCount val="4"/>
                <c:pt idx="0">
                  <c:v>1.548722204294413E-5</c:v>
                </c:pt>
                <c:pt idx="1">
                  <c:v>1.0721565647535077E-5</c:v>
                </c:pt>
                <c:pt idx="2">
                  <c:v>6.062456309593852E-6</c:v>
                </c:pt>
                <c:pt idx="3">
                  <c:v>2.714709193863336E-6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D8-41DA-97D1-B46BD8C26461}"/>
            </c:ext>
          </c:extLst>
        </c:ser>
        <c:ser>
          <c:idx val="1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45861367231933342"/>
                  <c:y val="4.89551482491376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'SPKA-RPKA-1 Average'!$D$13:$D$16</c:f>
              <c:numCache>
                <c:formatCode>General</c:formatCode>
                <c:ptCount val="4"/>
                <c:pt idx="0">
                  <c:v>7.3977711201385618E-2</c:v>
                </c:pt>
                <c:pt idx="1">
                  <c:v>5.8351895148209647E-2</c:v>
                </c:pt>
                <c:pt idx="2">
                  <c:v>4.2656445454740052E-2</c:v>
                </c:pt>
                <c:pt idx="3">
                  <c:v>2.7030629401564098E-2</c:v>
                </c:pt>
              </c:numCache>
            </c:numRef>
          </c:xVal>
          <c:yVal>
            <c:numRef>
              <c:f>'SPKA-RPKA-1 Average'!$C$13:$C$16</c:f>
              <c:numCache>
                <c:formatCode>General</c:formatCode>
                <c:ptCount val="4"/>
                <c:pt idx="0">
                  <c:v>1.3876044006293871E-5</c:v>
                </c:pt>
                <c:pt idx="1">
                  <c:v>1.0530103682859789E-5</c:v>
                </c:pt>
                <c:pt idx="2">
                  <c:v>7.4264140921398575E-6</c:v>
                </c:pt>
                <c:pt idx="3">
                  <c:v>4.2983727841165998E-6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D8-41DA-97D1-B46BD8C26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 Average'!$F$13:$F$16</c:f>
              <c:numCache>
                <c:formatCode>General</c:formatCode>
                <c:ptCount val="4"/>
                <c:pt idx="0">
                  <c:v>7.3598998807215821E-2</c:v>
                </c:pt>
                <c:pt idx="1">
                  <c:v>5.8552017433855359E-2</c:v>
                </c:pt>
                <c:pt idx="2">
                  <c:v>4.3506417183768534E-2</c:v>
                </c:pt>
                <c:pt idx="3">
                  <c:v>2.793941066001044E-2</c:v>
                </c:pt>
              </c:numCache>
            </c:numRef>
          </c:xVal>
          <c:yVal>
            <c:numRef>
              <c:f>'SPKA-RPKA-1 Average'!$E$13:$E$16</c:f>
              <c:numCache>
                <c:formatCode>General</c:formatCode>
                <c:ptCount val="4"/>
                <c:pt idx="0">
                  <c:v>2.9550010220128197E-4</c:v>
                </c:pt>
                <c:pt idx="1">
                  <c:v>2.0727681015393569E-4</c:v>
                </c:pt>
                <c:pt idx="2">
                  <c:v>1.1899107487932271E-4</c:v>
                </c:pt>
                <c:pt idx="3">
                  <c:v>5.4279115433947516E-5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A-4B58-B1DF-DA7D69F3CA88}"/>
            </c:ext>
          </c:extLst>
        </c:ser>
        <c:ser>
          <c:idx val="1"/>
          <c:order val="1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'SPKA-RPKA-1 Average'!$H$13:$H$16</c:f>
              <c:numCache>
                <c:formatCode>General</c:formatCode>
                <c:ptCount val="4"/>
                <c:pt idx="0">
                  <c:v>7.5308562179168231E-2</c:v>
                </c:pt>
                <c:pt idx="1">
                  <c:v>5.9893231062672907E-2</c:v>
                </c:pt>
                <c:pt idx="2">
                  <c:v>4.4484052515467415E-2</c:v>
                </c:pt>
                <c:pt idx="3">
                  <c:v>2.8995627540945892E-2</c:v>
                </c:pt>
              </c:numCache>
            </c:numRef>
          </c:xVal>
          <c:yVal>
            <c:numRef>
              <c:f>'SPKA-RPKA-1 Average'!$G$13:$G$16</c:f>
              <c:numCache>
                <c:formatCode>General</c:formatCode>
                <c:ptCount val="4"/>
                <c:pt idx="0">
                  <c:v>3.5447907970537462E-4</c:v>
                </c:pt>
                <c:pt idx="1">
                  <c:v>2.3821409209852777E-4</c:v>
                </c:pt>
                <c:pt idx="2">
                  <c:v>1.2149721690928145E-4</c:v>
                </c:pt>
                <c:pt idx="3">
                  <c:v>1.0600751822982534E-5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EA-4B58-B1DF-DA7D69F3C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12671"/>
        <c:axId val="162291455"/>
      </c:scatterChart>
      <c:valAx>
        <c:axId val="162312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91455"/>
        <c:crosses val="autoZero"/>
        <c:crossBetween val="midCat"/>
      </c:valAx>
      <c:valAx>
        <c:axId val="16229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1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SPKA - [A]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9289177475827897"/>
                  <c:y val="-2.66838331297602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'SPKA-1'!$B$23:$B$26</c:f>
              <c:numCache>
                <c:formatCode>General</c:formatCode>
                <c:ptCount val="4"/>
                <c:pt idx="0">
                  <c:v>7.3453900198729202E-2</c:v>
                </c:pt>
                <c:pt idx="1">
                  <c:v>5.757761797242307E-2</c:v>
                </c:pt>
                <c:pt idx="2">
                  <c:v>4.1701335746116938E-2</c:v>
                </c:pt>
                <c:pt idx="3">
                  <c:v>2.4060957850049816E-2</c:v>
                </c:pt>
              </c:numCache>
            </c:numRef>
          </c:xVal>
          <c:yVal>
            <c:numRef>
              <c:f>'SPKA-1'!$C$23:$C$26</c:f>
              <c:numCache>
                <c:formatCode>General</c:formatCode>
                <c:ptCount val="4"/>
                <c:pt idx="0">
                  <c:v>1.9535054591089185E-5</c:v>
                </c:pt>
                <c:pt idx="1">
                  <c:v>1.6254272328633952E-5</c:v>
                </c:pt>
                <c:pt idx="2">
                  <c:v>1.2973490066178736E-5</c:v>
                </c:pt>
                <c:pt idx="3">
                  <c:v>1.4850882276708904E-5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80E-4664-B75F-12DB4DF245A9}"/>
            </c:ext>
          </c:extLst>
        </c:ser>
        <c:ser>
          <c:idx val="2"/>
          <c:order val="1"/>
          <c:tx>
            <c:v>Ketone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963217767838417"/>
                  <c:y val="-6.4451840682123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'SPKA-1'!$F$23:$F$26</c:f>
              <c:numCache>
                <c:formatCode>General</c:formatCode>
                <c:ptCount val="4"/>
                <c:pt idx="0">
                  <c:v>7.5392913106811593E-2</c:v>
                </c:pt>
                <c:pt idx="1">
                  <c:v>5.9782557391734062E-2</c:v>
                </c:pt>
                <c:pt idx="2">
                  <c:v>4.3863019031654585E-2</c:v>
                </c:pt>
                <c:pt idx="3">
                  <c:v>2.8252663316577047E-2</c:v>
                </c:pt>
              </c:numCache>
            </c:numRef>
          </c:xVal>
          <c:yVal>
            <c:numRef>
              <c:f>'SPKA-1'!$G$23:$G$26</c:f>
              <c:numCache>
                <c:formatCode>General</c:formatCode>
                <c:ptCount val="4"/>
                <c:pt idx="0">
                  <c:v>1.3865426204883366E-5</c:v>
                </c:pt>
                <c:pt idx="1">
                  <c:v>9.8070810440988978E-6</c:v>
                </c:pt>
                <c:pt idx="2">
                  <c:v>6.6527787049575478E-6</c:v>
                </c:pt>
                <c:pt idx="3">
                  <c:v>2.5944335441731367E-6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42-4447-B5E9-D98D4A0CE642}"/>
            </c:ext>
          </c:extLst>
        </c:ser>
        <c:ser>
          <c:idx val="3"/>
          <c:order val="2"/>
          <c:tx>
            <c:v>Catalyst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34829855906247076"/>
                  <c:y val="-7.89943501752077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'SPKA-1'!$J$23:$J$26</c:f>
              <c:numCache>
                <c:formatCode>General</c:formatCode>
                <c:ptCount val="4"/>
                <c:pt idx="0">
                  <c:v>7.7904969060124729E-2</c:v>
                </c:pt>
                <c:pt idx="1">
                  <c:v>6.1571957489401641E-2</c:v>
                </c:pt>
                <c:pt idx="2">
                  <c:v>4.5238945918678553E-2</c:v>
                </c:pt>
                <c:pt idx="3">
                  <c:v>2.8735633115549161E-2</c:v>
                </c:pt>
              </c:numCache>
            </c:numRef>
          </c:xVal>
          <c:yVal>
            <c:numRef>
              <c:f>'SPKA-1'!$K$23:$K$26</c:f>
              <c:numCache>
                <c:formatCode>General</c:formatCode>
                <c:ptCount val="4"/>
                <c:pt idx="0">
                  <c:v>6.5202333589385031E-6</c:v>
                </c:pt>
                <c:pt idx="1">
                  <c:v>4.5749170158311236E-6</c:v>
                </c:pt>
                <c:pt idx="2">
                  <c:v>2.6296006727237241E-6</c:v>
                </c:pt>
                <c:pt idx="3">
                  <c:v>1.1822411495178378E-6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E42-4447-B5E9-D98D4A0CE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7951"/>
        <c:axId val="1235129183"/>
        <c:extLst/>
      </c:scatterChart>
      <c:valAx>
        <c:axId val="12351179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[2-CBA]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29183"/>
        <c:crosses val="autoZero"/>
        <c:crossBetween val="midCat"/>
      </c:valAx>
      <c:valAx>
        <c:axId val="12351291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(M/sec)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117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- t0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'SPKA-1'!$B$17:$B$20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Standard - Rxn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'SPKA-1'!$C$17:$C$20</c:f>
              <c:numCache>
                <c:formatCode>General</c:formatCode>
                <c:ptCount val="4"/>
                <c:pt idx="0">
                  <c:v>6.6772911528576701E-2</c:v>
                </c:pt>
                <c:pt idx="1">
                  <c:v>5.2018656836030262E-2</c:v>
                </c:pt>
                <c:pt idx="2">
                  <c:v>3.726440214348381E-2</c:v>
                </c:pt>
                <c:pt idx="3">
                  <c:v>1.8981956111415371E-2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Ketone - t0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'SPKA-1'!$F$17:$F$20</c:f>
              <c:numCache>
                <c:formatCode>General</c:formatCode>
                <c:ptCount val="4"/>
                <c:pt idx="0">
                  <c:v>8.0134888868881704E-2</c:v>
                </c:pt>
                <c:pt idx="1">
                  <c:v>6.3136579108815885E-2</c:v>
                </c:pt>
                <c:pt idx="2">
                  <c:v>4.6138269348750066E-2</c:v>
                </c:pt>
                <c:pt idx="3">
                  <c:v>2.9139959588684261E-2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8F2-4E5C-A7F9-5B71E96163E6}"/>
            </c:ext>
          </c:extLst>
        </c:ser>
        <c:ser>
          <c:idx val="1"/>
          <c:order val="1"/>
          <c:tx>
            <c:v>Ketone - Rxn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'SPKA-1'!$A$17:$A$20</c:f>
              <c:numCache>
                <c:formatCode>General</c:formatCode>
                <c:ptCount val="4"/>
                <c:pt idx="0">
                  <c:v>0.17499999999999999</c:v>
                </c:pt>
                <c:pt idx="1">
                  <c:v>0.35</c:v>
                </c:pt>
                <c:pt idx="2">
                  <c:v>0.52500000000000002</c:v>
                </c:pt>
                <c:pt idx="3">
                  <c:v>0.7</c:v>
                </c:pt>
              </c:numCache>
            </c:numRef>
          </c:xVal>
          <c:yVal>
            <c:numRef>
              <c:f>'SPKA-1'!$G$17:$G$20</c:f>
              <c:numCache>
                <c:formatCode>General</c:formatCode>
                <c:ptCount val="4"/>
                <c:pt idx="0">
                  <c:v>7.0650937344741482E-2</c:v>
                </c:pt>
                <c:pt idx="1">
                  <c:v>5.6428535674652239E-2</c:v>
                </c:pt>
                <c:pt idx="2">
                  <c:v>4.1587768714559104E-2</c:v>
                </c:pt>
                <c:pt idx="3">
                  <c:v>2.7365367044469836E-2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8F2-4E5C-A7F9-5B71E9616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152496"/>
        <c:axId val="469153328"/>
      </c:scatterChart>
      <c:valAx>
        <c:axId val="469152496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3328"/>
        <c:crosses val="autoZero"/>
        <c:crossBetween val="midCat"/>
      </c:valAx>
      <c:valAx>
        <c:axId val="469153328"/>
        <c:scaling>
          <c:orientation val="minMax"/>
        </c:scaling>
        <c:delete val="0"/>
        <c:axPos val="l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15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0.xml"/><Relationship Id="rId1" Type="http://schemas.openxmlformats.org/officeDocument/2006/relationships/chart" Target="../charts/chart2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1F4A81-72B9-4FB4-B717-2A7D46C32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F2E7EE-1658-42AF-8E0F-A1136B3C5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CA8FD-1A43-4D5F-A7A2-3DAA33B58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84E931D-5704-4AC1-8A29-53293712EB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16F602-E676-43C0-BC4A-0962A238D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2E85C6-F11F-4110-8444-5AAC9E1D7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EDA53B-D5C4-4086-9E2A-D9C8D53A22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CD06866-B1DC-4D75-9CC3-A5F3B1F8CB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A11267D-8B1E-9B6F-BDAA-A93A4F3F86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312F32D-0FE4-E98A-9726-E9241280D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3F524B3-AB67-5EC7-1646-78376FE39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5C2F773-F17D-57FC-06D3-F4C56B0AF6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939F55D-4844-2269-76E8-850A752DF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57E5338-913A-F51B-D1F0-16C7E24CF0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214236-5256-4807-B1BE-5D7055A495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80E5345-8524-4189-AF4E-4D835D9A3B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6FB0331-F8DB-4FF6-AC71-709EF40BB0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8E705C-5F23-49C2-B2BF-AC5FBEB43A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5BE691-D929-44D5-AFE2-E92571A1D2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ACC66DD-0D1A-4342-8935-33E9A341C4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DAA28C-3273-47C2-90CC-CD761745A8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0CB59C-0CFB-4434-B90F-C4679DEF9B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DCE69D-E8C9-47C1-A965-C118D12A9C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71282A-A168-47A5-8FE6-474BC3BEC3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678754</xdr:colOff>
      <xdr:row>18</xdr:row>
      <xdr:rowOff>29936</xdr:rowOff>
    </xdr:from>
    <xdr:to>
      <xdr:col>3</xdr:col>
      <xdr:colOff>927151</xdr:colOff>
      <xdr:row>29</xdr:row>
      <xdr:rowOff>73639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42A8E5-4087-48C3-8965-3795DB577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449034</xdr:colOff>
      <xdr:row>18</xdr:row>
      <xdr:rowOff>29936</xdr:rowOff>
    </xdr:from>
    <xdr:to>
      <xdr:col>7</xdr:col>
      <xdr:colOff>1078431</xdr:colOff>
      <xdr:row>29</xdr:row>
      <xdr:rowOff>73639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1CEA1D-6759-4303-AB51-2A332A8E1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1036542</xdr:colOff>
      <xdr:row>28</xdr:row>
      <xdr:rowOff>31536</xdr:rowOff>
    </xdr:from>
    <xdr:to>
      <xdr:col>15</xdr:col>
      <xdr:colOff>717176</xdr:colOff>
      <xdr:row>40</xdr:row>
      <xdr:rowOff>168089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E75DF-C778-46D8-9B94-C629F56111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34418</xdr:colOff>
      <xdr:row>28</xdr:row>
      <xdr:rowOff>47544</xdr:rowOff>
    </xdr:from>
    <xdr:to>
      <xdr:col>4</xdr:col>
      <xdr:colOff>92048</xdr:colOff>
      <xdr:row>38</xdr:row>
      <xdr:rowOff>115900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ACC49C-66FB-4C01-85BA-CDEB89A4D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324970</xdr:colOff>
      <xdr:row>28</xdr:row>
      <xdr:rowOff>45145</xdr:rowOff>
    </xdr:from>
    <xdr:to>
      <xdr:col>7</xdr:col>
      <xdr:colOff>306561</xdr:colOff>
      <xdr:row>38</xdr:row>
      <xdr:rowOff>113501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3252C0-D91E-48F2-A397-3AFD43B25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330574</xdr:colOff>
      <xdr:row>28</xdr:row>
      <xdr:rowOff>45144</xdr:rowOff>
    </xdr:from>
    <xdr:to>
      <xdr:col>10</xdr:col>
      <xdr:colOff>896470</xdr:colOff>
      <xdr:row>38</xdr:row>
      <xdr:rowOff>113500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56F2FE-6351-4A01-A0F4-2A7BBED48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ED0E-1B39-429E-A560-B7F2F632964C}">
  <dimension ref="A1:R41"/>
  <sheetViews>
    <sheetView tabSelected="1" zoomScale="85" zoomScaleNormal="85" workbookViewId="0">
      <selection activeCell="I4" activeCellId="1" sqref="G3 I4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 s="13">
        <f>AVERAGE('SPKA-1'!C3,'SPKA-2'!C3,'SPKA-3'!C3,'SPKA-4'!C3)</f>
        <v>1.1060807788200977</v>
      </c>
      <c r="D3" s="52" t="s">
        <v>78</v>
      </c>
      <c r="E3" s="17" t="s">
        <v>35</v>
      </c>
      <c r="F3" s="37" t="s">
        <v>54</v>
      </c>
      <c r="G3" s="38">
        <f>AVERAGE('SPKA-1'!G3,'SPKA-2'!G3,'SPKA-3'!G3,'SPKA-4'!G3)</f>
        <v>1.1472875643546192</v>
      </c>
      <c r="H3" s="37" t="s">
        <v>55</v>
      </c>
      <c r="I3" s="63" t="s">
        <v>35</v>
      </c>
      <c r="J3" s="62" t="s">
        <v>59</v>
      </c>
      <c r="K3" s="43">
        <f>AVERAGE('SPKA-1'!K3,'SPKA-2'!K3,'SPKA-3'!K3,'SPKA-4'!K3)</f>
        <v>1.1536964879349669</v>
      </c>
      <c r="L3" s="62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66">
        <f>$C$3-($C$3*$A4)</f>
        <v>0.9125166425265806</v>
      </c>
      <c r="D4" s="66"/>
      <c r="E4" s="6">
        <f>AVERAGE('SPKA-1'!E4,'SPKA-2'!E4,'SPKA-3'!E4,'SPKA-4'!E4)</f>
        <v>0.76366491167180173</v>
      </c>
      <c r="F4" s="39"/>
      <c r="G4" s="64">
        <f>$G$3-($G$3*$A4)</f>
        <v>0.94651224059256089</v>
      </c>
      <c r="H4" s="39"/>
      <c r="I4" s="64">
        <f>AVERAGE('SPKA-1'!I4,'SPKA-2'!I4,'SPKA-3'!I4,'SPKA-4'!I4)</f>
        <v>0.80106138611333821</v>
      </c>
      <c r="J4" s="61"/>
      <c r="K4" s="45">
        <f>$K$3-($K$3*$A4)</f>
        <v>0.95179960254634777</v>
      </c>
      <c r="L4" s="61"/>
      <c r="M4" s="45">
        <f>AVERAGE('SPKA-1'!M4,'SPKA-2'!M4,'SPKA-3'!M4,'SPKA-4'!M4)</f>
        <v>0.83715051798732609</v>
      </c>
      <c r="N4" s="14"/>
      <c r="O4" s="14"/>
    </row>
    <row r="5" spans="1:18" x14ac:dyDescent="0.25">
      <c r="A5" s="4">
        <v>0.35</v>
      </c>
      <c r="B5" s="7"/>
      <c r="C5" s="66">
        <f t="shared" ref="C5:C7" si="0">$C$3-($C$3*$A5)</f>
        <v>0.7189525062330635</v>
      </c>
      <c r="D5" s="66"/>
      <c r="E5" s="6">
        <f>AVERAGE('SPKA-1'!E5,'SPKA-2'!E5,'SPKA-3'!E5,'SPKA-4'!E5)</f>
        <v>0.61454133436668401</v>
      </c>
      <c r="F5" s="39"/>
      <c r="G5" s="64">
        <f t="shared" ref="G5:G7" si="1">$G$3-($G$3*$A5)</f>
        <v>0.74573691683050258</v>
      </c>
      <c r="H5" s="39"/>
      <c r="I5" s="64">
        <f>AVERAGE('SPKA-1'!I5,'SPKA-2'!I5,'SPKA-3'!I5,'SPKA-4'!I5)</f>
        <v>0.63270844695913975</v>
      </c>
      <c r="J5" s="61"/>
      <c r="K5" s="45">
        <f t="shared" ref="K5:K7" si="2">$K$3-($K$3*$A5)</f>
        <v>0.7499027171577286</v>
      </c>
      <c r="L5" s="61"/>
      <c r="M5" s="45">
        <f>AVERAGE('SPKA-1'!M5,'SPKA-2'!M5,'SPKA-3'!M5,'SPKA-4'!M5)</f>
        <v>0.67285718992702637</v>
      </c>
      <c r="N5" s="14"/>
      <c r="O5" s="14"/>
    </row>
    <row r="6" spans="1:18" x14ac:dyDescent="0.25">
      <c r="A6" s="60">
        <v>0.52500000000000002</v>
      </c>
      <c r="B6" s="7"/>
      <c r="C6" s="66">
        <f t="shared" si="0"/>
        <v>0.52538836993954641</v>
      </c>
      <c r="D6" s="66"/>
      <c r="E6" s="6">
        <f>AVERAGE('SPKA-1'!E6,'SPKA-2'!E6,'SPKA-3'!E6,'SPKA-4'!E6)</f>
        <v>0.46544921147525209</v>
      </c>
      <c r="F6" s="39"/>
      <c r="G6" s="64">
        <f t="shared" si="1"/>
        <v>0.54496159306844405</v>
      </c>
      <c r="H6" s="39"/>
      <c r="I6" s="64">
        <f>AVERAGE('SPKA-1'!I6,'SPKA-2'!I6,'SPKA-3'!I6,'SPKA-4'!I6)</f>
        <v>0.46271055405694844</v>
      </c>
      <c r="J6" s="61"/>
      <c r="K6" s="45">
        <f t="shared" si="2"/>
        <v>0.54800583176910922</v>
      </c>
      <c r="L6" s="61"/>
      <c r="M6" s="45">
        <f>AVERAGE('SPKA-1'!M6,'SPKA-2'!M6,'SPKA-3'!M6,'SPKA-4'!M6)</f>
        <v>0.50871001576017705</v>
      </c>
      <c r="N6" s="14"/>
      <c r="O6" s="14"/>
    </row>
    <row r="7" spans="1:18" x14ac:dyDescent="0.25">
      <c r="A7" s="5">
        <v>0.7</v>
      </c>
      <c r="B7" s="8"/>
      <c r="C7" s="15">
        <f t="shared" si="0"/>
        <v>0.33182423364602931</v>
      </c>
      <c r="D7" s="15"/>
      <c r="E7" s="9">
        <f>AVERAGE('SPKA-1'!E7,'SPKA-2'!E7,'SPKA-3'!E7,'SPKA-4'!E7)</f>
        <v>0.30448231321547065</v>
      </c>
      <c r="F7" s="40"/>
      <c r="G7" s="65">
        <f t="shared" si="1"/>
        <v>0.34418626930638585</v>
      </c>
      <c r="H7" s="40"/>
      <c r="I7" s="65">
        <f>AVERAGE('SPKA-1'!I7,'SPKA-2'!I7,'SPKA-3'!I7,'SPKA-4'!I7)</f>
        <v>0.29435761490275014</v>
      </c>
      <c r="J7" s="46"/>
      <c r="K7" s="47">
        <f t="shared" si="2"/>
        <v>0.34610894638049017</v>
      </c>
      <c r="L7" s="46"/>
      <c r="M7" s="47">
        <f>AVERAGE('SPKA-1'!M7,'SPKA-2'!M7,'SPKA-3'!M7,'SPKA-4'!M7)</f>
        <v>0.34268034773610057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1.1060807788200977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1.1472875643546192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1.1536964879349669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6.7063108745549924E-2</v>
      </c>
      <c r="D17" s="7">
        <f>$D$16-($D$16*(A17*(0.1/0.15)))</f>
        <v>0.12870148818335544</v>
      </c>
      <c r="E17" s="6">
        <f>D17-(B17-C17)</f>
        <v>0.11562970806002366</v>
      </c>
      <c r="F17" s="7">
        <f>$F$16-($F$16*A17)</f>
        <v>8.0134888868881704E-2</v>
      </c>
      <c r="G17" s="6">
        <f>$B$11*(I4/$C$11)</f>
        <v>6.7820533533889532E-2</v>
      </c>
      <c r="H17" s="7">
        <f>F17</f>
        <v>8.0134888868881704E-2</v>
      </c>
      <c r="I17" s="6">
        <f>H17-(F17-G17)</f>
        <v>6.7820533533889532E-2</v>
      </c>
      <c r="J17" s="7">
        <f>$J$16-($J$16*A17)</f>
        <v>8.0134888868881704E-2</v>
      </c>
      <c r="K17" s="6">
        <f>$B$12*(M4/$C$12)</f>
        <v>7.0482235489454759E-2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5.3967455758894833E-2</v>
      </c>
      <c r="D18" s="7">
        <f>$D$16-($D$16*(A18*(0.1/0.15)))</f>
        <v>0.11170317842328963</v>
      </c>
      <c r="E18" s="6">
        <f t="shared" ref="E18:E20" si="3">D18-(B18-C18)</f>
        <v>0.10253405507336857</v>
      </c>
      <c r="F18" s="7">
        <f>$F$16-($F$16*A18)</f>
        <v>6.3136579108815885E-2</v>
      </c>
      <c r="G18" s="6">
        <f>$B$11*(I5/$C$11)</f>
        <v>5.3567211187603408E-2</v>
      </c>
      <c r="H18" s="7">
        <f t="shared" ref="H18:H20" si="4">F18</f>
        <v>6.3136579108815885E-2</v>
      </c>
      <c r="I18" s="6">
        <f>H18-(F18-G18)</f>
        <v>5.3567211187603408E-2</v>
      </c>
      <c r="J18" s="7">
        <f>$J$16-($J$16*A18)</f>
        <v>6.3136579108815885E-2</v>
      </c>
      <c r="K18" s="6">
        <f>$B$12*(M5/$C$12)</f>
        <v>5.6649883016529928E-2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60">
        <v>0.52500000000000002</v>
      </c>
      <c r="B19" s="7">
        <f>$B$16-($B$16*A19)</f>
        <v>4.6138269348750066E-2</v>
      </c>
      <c r="C19" s="6">
        <f>$B$10*(E6/$C$10)</f>
        <v>4.0874565018787008E-2</v>
      </c>
      <c r="D19" s="7">
        <f>$D$16-($D$16*(A19*(0.1/0.15)))</f>
        <v>9.4704868663223807E-2</v>
      </c>
      <c r="E19" s="6">
        <f t="shared" si="3"/>
        <v>8.9441164333260742E-2</v>
      </c>
      <c r="F19" s="7">
        <f>$F$16-($F$16*A19)</f>
        <v>4.6138269348750066E-2</v>
      </c>
      <c r="G19" s="6">
        <f>$B$11*(I6/$C$11)</f>
        <v>3.9174621560730045E-2</v>
      </c>
      <c r="H19" s="7">
        <f t="shared" si="4"/>
        <v>4.6138269348750066E-2</v>
      </c>
      <c r="I19" s="6">
        <f t="shared" ref="I19:I20" si="5">H19-(F19-G19)</f>
        <v>3.9174621560730045E-2</v>
      </c>
      <c r="J19" s="7">
        <f>$J$16-($J$16*A19)</f>
        <v>4.6138269348750066E-2</v>
      </c>
      <c r="K19" s="6">
        <f>$B$12*(M6/$C$12)</f>
        <v>4.2829835682184771E-2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2.6738861731336622E-2</v>
      </c>
      <c r="D20" s="7">
        <f>$D$16-($D$16*(A20*(0.1/0.15)))</f>
        <v>7.7706558903158002E-2</v>
      </c>
      <c r="E20" s="6">
        <f t="shared" si="3"/>
        <v>7.530546104581036E-2</v>
      </c>
      <c r="F20" s="7">
        <f>$F$16-($F$16*A20)</f>
        <v>2.9139959588684261E-2</v>
      </c>
      <c r="G20" s="6">
        <f>$B$11*(I7/$C$11)</f>
        <v>2.4921299214443936E-2</v>
      </c>
      <c r="H20" s="7">
        <f t="shared" si="4"/>
        <v>2.9139959588684261E-2</v>
      </c>
      <c r="I20" s="6">
        <f t="shared" si="5"/>
        <v>2.4921299214443936E-2</v>
      </c>
      <c r="J20" s="7">
        <f>$J$16-($J$16*A20)</f>
        <v>2.9139959588684261E-2</v>
      </c>
      <c r="K20" s="6">
        <f>$B$12*(M7/$C$12)</f>
        <v>2.8851295493207522E-2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7.3598998807215821E-2</v>
      </c>
      <c r="C23" s="6">
        <f>(B17-C17)/($L$16*60)</f>
        <v>1.911078965399383E-5</v>
      </c>
      <c r="D23" s="7">
        <f>(D17+E17)/2</f>
        <v>0.12216559812168956</v>
      </c>
      <c r="E23" s="6">
        <f>(D17-E17)/($L$16*60)</f>
        <v>1.911078965399383E-5</v>
      </c>
      <c r="F23" s="7">
        <f>(F17+G17)/2</f>
        <v>7.3977711201385618E-2</v>
      </c>
      <c r="G23" s="6">
        <f>(F17-G17)/($L$16*60)</f>
        <v>1.8003443472210777E-5</v>
      </c>
      <c r="H23" s="7">
        <f>(H17+I17)/2</f>
        <v>7.3977711201385618E-2</v>
      </c>
      <c r="I23" s="6">
        <f>(H17-I17)/($L$16*60)</f>
        <v>1.8003443472210777E-5</v>
      </c>
      <c r="J23" s="7">
        <f>(J17+K17)/2</f>
        <v>7.5308562179168231E-2</v>
      </c>
      <c r="K23" s="6">
        <f>(J17-K17)/($L$16*60)</f>
        <v>1.411206634419144E-5</v>
      </c>
      <c r="L23" s="14"/>
      <c r="Q23" s="14"/>
      <c r="R23" s="14"/>
    </row>
    <row r="24" spans="1:18" x14ac:dyDescent="0.25">
      <c r="A24" s="14"/>
      <c r="B24" s="7">
        <f t="shared" ref="B24:B25" si="6">(B18+C18)/2</f>
        <v>5.8552017433855359E-2</v>
      </c>
      <c r="C24" s="6">
        <f>(B18-C18)/($L$16*60)</f>
        <v>1.3405151096375806E-5</v>
      </c>
      <c r="D24" s="7">
        <f t="shared" ref="D24:D26" si="7">(D18+E18)/2</f>
        <v>0.10711861674832909</v>
      </c>
      <c r="E24" s="6">
        <f>(D18-E18)/($L$16*60)</f>
        <v>1.3405151096375806E-5</v>
      </c>
      <c r="F24" s="7">
        <f t="shared" ref="F24:F26" si="8">(F18+G18)/2</f>
        <v>5.8351895148209647E-2</v>
      </c>
      <c r="G24" s="6">
        <f>(F18-G18)/($L$16*60)</f>
        <v>1.3990303978380814E-5</v>
      </c>
      <c r="H24" s="7">
        <f t="shared" ref="H24:H26" si="9">(H18+I18)/2</f>
        <v>5.8351895148209647E-2</v>
      </c>
      <c r="I24" s="6">
        <f>(H18-I18)/($L$16*60)</f>
        <v>1.3990303978380814E-5</v>
      </c>
      <c r="J24" s="7">
        <f t="shared" ref="J24:J26" si="10">(J18+K18)/2</f>
        <v>5.9893231062672907E-2</v>
      </c>
      <c r="K24" s="6">
        <f>(J18-K18)/($L$16*60)</f>
        <v>9.4834738191315153E-6</v>
      </c>
      <c r="L24" s="14"/>
      <c r="Q24" s="50"/>
      <c r="R24" s="14"/>
    </row>
    <row r="25" spans="1:18" x14ac:dyDescent="0.25">
      <c r="A25" s="14"/>
      <c r="B25" s="7">
        <f t="shared" si="6"/>
        <v>4.3506417183768534E-2</v>
      </c>
      <c r="C25" s="6">
        <f>(B19-C19)/($L$16*60)</f>
        <v>7.695474166612658E-6</v>
      </c>
      <c r="D25" s="7">
        <f t="shared" si="7"/>
        <v>9.2073016498242274E-2</v>
      </c>
      <c r="E25" s="6">
        <f>(D19-E19)/($L$16*60)</f>
        <v>7.6954741666126682E-6</v>
      </c>
      <c r="F25" s="7">
        <f t="shared" si="8"/>
        <v>4.2656445454740052E-2</v>
      </c>
      <c r="G25" s="6">
        <f>(F19-G19)/($L$16*60)</f>
        <v>1.0180771619912311E-5</v>
      </c>
      <c r="H25" s="7">
        <f t="shared" si="9"/>
        <v>4.2656445454740052E-2</v>
      </c>
      <c r="I25" s="6">
        <f>(H19-I19)/($L$16*60)</f>
        <v>1.0180771619912311E-5</v>
      </c>
      <c r="J25" s="7">
        <f t="shared" si="10"/>
        <v>4.4484052515467415E-2</v>
      </c>
      <c r="K25" s="6">
        <f>(J19-K19)/($L$16*60)</f>
        <v>4.8368913253878589E-6</v>
      </c>
      <c r="L25" s="14"/>
      <c r="Q25" s="14"/>
      <c r="R25" s="14"/>
    </row>
    <row r="26" spans="1:18" x14ac:dyDescent="0.25">
      <c r="A26" s="14"/>
      <c r="B26" s="8">
        <f>(B20+C20)/2</f>
        <v>2.793941066001044E-2</v>
      </c>
      <c r="C26" s="9">
        <f>(B20-C20)/($L$16*60)</f>
        <v>3.5103769844263725E-6</v>
      </c>
      <c r="D26" s="8">
        <f t="shared" si="7"/>
        <v>7.6506009974484174E-2</v>
      </c>
      <c r="E26" s="9">
        <f>(D20-E20)/($L$16*60)</f>
        <v>3.5103769844263776E-6</v>
      </c>
      <c r="F26" s="8">
        <f t="shared" si="8"/>
        <v>2.7030629401564098E-2</v>
      </c>
      <c r="G26" s="9">
        <f>(F20-G20)/($L$16*60)</f>
        <v>6.1676321260823467E-6</v>
      </c>
      <c r="H26" s="8">
        <f t="shared" si="9"/>
        <v>2.7030629401564098E-2</v>
      </c>
      <c r="I26" s="9">
        <f>(H20-I20)/($L$16*60)</f>
        <v>6.1676321260823467E-6</v>
      </c>
      <c r="J26" s="8">
        <f t="shared" si="10"/>
        <v>2.8995627540945892E-2</v>
      </c>
      <c r="K26" s="9">
        <f>(J20-K20)/($L$16*60)</f>
        <v>4.2202353139874067E-7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E5F9F-2DE0-41CE-A2AA-DC2A581BE5CF}">
  <dimension ref="A1:W35"/>
  <sheetViews>
    <sheetView zoomScale="70" zoomScaleNormal="70" workbookViewId="0">
      <selection activeCell="F11" sqref="F11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'SPKA-4'!B23</f>
        <v>7.362854466807911E-2</v>
      </c>
      <c r="B3" s="12">
        <f>'SPKA-4'!C23</f>
        <v>1.9024398247960803E-5</v>
      </c>
      <c r="C3" s="12">
        <f>'SPKA-4'!D23</f>
        <v>0.12219514398255285</v>
      </c>
      <c r="D3" s="12">
        <f>'SPKA-4'!E23</f>
        <v>1.9024398247960803E-5</v>
      </c>
      <c r="E3" s="12">
        <f>'SPKA-4'!F23</f>
        <v>7.2841459513397391E-2</v>
      </c>
      <c r="F3" s="12">
        <f>'SPKA-4'!G23</f>
        <v>2.1325816828901498E-5</v>
      </c>
      <c r="G3" s="12">
        <f>'SPKA-4'!H23</f>
        <v>7.2841459513397391E-2</v>
      </c>
      <c r="H3" s="12">
        <f>'SPKA-4'!I23</f>
        <v>2.1325816828901498E-5</v>
      </c>
      <c r="I3" s="12">
        <f>'SPKA-4'!J23</f>
        <v>7.4883019451232088E-2</v>
      </c>
      <c r="J3" s="12">
        <f>'SPKA-4'!K23</f>
        <v>1.5356343326460865E-5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'SPKA-4'!B24</f>
        <v>5.8630354265057139E-2</v>
      </c>
      <c r="B4" s="66">
        <f>'SPKA-4'!C24</f>
        <v>1.3176096034382311E-5</v>
      </c>
      <c r="C4" s="66">
        <f>'SPKA-4'!D24</f>
        <v>0.10719695357953088</v>
      </c>
      <c r="D4" s="66">
        <f>'SPKA-4'!E24</f>
        <v>1.3176096034382321E-5</v>
      </c>
      <c r="E4" s="66">
        <f>'SPKA-4'!F24</f>
        <v>5.7800290042513053E-2</v>
      </c>
      <c r="F4" s="66">
        <f>'SPKA-4'!G24</f>
        <v>1.5603184404394237E-5</v>
      </c>
      <c r="G4" s="66">
        <f>'SPKA-4'!H24</f>
        <v>5.7800290042513053E-2</v>
      </c>
      <c r="H4" s="66">
        <f>'SPKA-4'!I24</f>
        <v>1.5603184404394237E-5</v>
      </c>
      <c r="I4" s="66">
        <f>'SPKA-4'!J24</f>
        <v>5.9190414554935025E-2</v>
      </c>
      <c r="J4" s="6">
        <f>'SPKA-4'!K24</f>
        <v>1.1538492847604843E-5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'SPKA-4'!B25</f>
        <v>4.390295700882637E-2</v>
      </c>
      <c r="B5" s="66">
        <f>'SPKA-4'!C25</f>
        <v>6.5360009939289371E-6</v>
      </c>
      <c r="C5" s="66">
        <f>'SPKA-4'!D25</f>
        <v>9.2469556323300117E-2</v>
      </c>
      <c r="D5" s="66">
        <f>'SPKA-4'!E25</f>
        <v>6.5360009939289371E-6</v>
      </c>
      <c r="E5" s="66">
        <f>'SPKA-4'!F25</f>
        <v>4.2616902863132008E-2</v>
      </c>
      <c r="F5" s="66">
        <f>'SPKA-4'!G25</f>
        <v>1.0296393232801328E-5</v>
      </c>
      <c r="G5" s="66">
        <f>'SPKA-4'!H25</f>
        <v>4.2616902863132008E-2</v>
      </c>
      <c r="H5" s="66">
        <f>'SPKA-4'!I25</f>
        <v>1.0296393232801328E-5</v>
      </c>
      <c r="I5" s="66">
        <f>'SPKA-4'!J25</f>
        <v>4.3650861786643638E-2</v>
      </c>
      <c r="J5" s="6">
        <f>'SPKA-4'!K25</f>
        <v>7.2731215266269825E-6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'SPKA-4'!B26</f>
        <v>2.8769370032408804E-2</v>
      </c>
      <c r="B6" s="15">
        <f>'SPKA-4'!C26</f>
        <v>1.0835951937878869E-6</v>
      </c>
      <c r="C6" s="15">
        <f>'SPKA-4'!D26</f>
        <v>7.7335969346882541E-2</v>
      </c>
      <c r="D6" s="15">
        <f>'SPKA-4'!E26</f>
        <v>1.0835951937878968E-6</v>
      </c>
      <c r="E6" s="15">
        <f>'SPKA-4'!F26</f>
        <v>2.757573339224768E-2</v>
      </c>
      <c r="F6" s="15">
        <f>'SPKA-4'!G26</f>
        <v>4.5737608082940952E-6</v>
      </c>
      <c r="G6" s="15">
        <f>'SPKA-4'!H26</f>
        <v>2.757573339224768E-2</v>
      </c>
      <c r="H6" s="15">
        <f>'SPKA-4'!I26</f>
        <v>4.5737608082940952E-6</v>
      </c>
      <c r="I6" s="15">
        <f>'SPKA-4'!J26</f>
        <v>2.8111309018352182E-2</v>
      </c>
      <c r="J6" s="9">
        <f>'SPKA-4'!K26</f>
        <v>3.0077502056493595E-6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-0.4</v>
      </c>
      <c r="C10" s="31" t="s">
        <v>66</v>
      </c>
      <c r="D10" s="6">
        <v>0.9</v>
      </c>
      <c r="E10" s="55" t="s">
        <v>69</v>
      </c>
      <c r="F10" s="31"/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8.2060188012879452E-6</v>
      </c>
      <c r="B13" s="17">
        <f>A3^$D$10</f>
        <v>9.557440317947849E-2</v>
      </c>
      <c r="C13" s="12">
        <f>H3/G3^$B$10</f>
        <v>7.4792341593613775E-6</v>
      </c>
      <c r="D13" s="17">
        <f>E3^$D$10</f>
        <v>9.4654393088801247E-2</v>
      </c>
      <c r="E13" s="12">
        <f>B3/0.02^$F$10</f>
        <v>1.9024398247960803E-5</v>
      </c>
      <c r="F13" s="17">
        <f>A3</f>
        <v>7.362854466807911E-2</v>
      </c>
      <c r="G13" s="12">
        <f>J3/0.01^$F$10</f>
        <v>1.5356343326460865E-5</v>
      </c>
      <c r="H13" s="17">
        <f>I3</f>
        <v>7.4883019451232088E-2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5.3933639617841441E-6</v>
      </c>
      <c r="B14" s="6">
        <f t="shared" ref="B14:B16" si="1">A4^$D$10</f>
        <v>7.7859259066343306E-2</v>
      </c>
      <c r="C14" s="7">
        <f t="shared" ref="C14:C16" si="2">H4/G4^$B$10</f>
        <v>4.9886754208311354E-6</v>
      </c>
      <c r="D14" s="6">
        <f t="shared" ref="D14:D16" si="3">E4^$D$10</f>
        <v>7.686648395969313E-2</v>
      </c>
      <c r="E14" s="7">
        <f t="shared" ref="E14:E16" si="4">B4/0.02^$F$10</f>
        <v>1.3176096034382311E-5</v>
      </c>
      <c r="F14" s="6">
        <f t="shared" ref="F14:F16" si="5">A4</f>
        <v>5.8630354265057139E-2</v>
      </c>
      <c r="G14" s="7">
        <f t="shared" ref="G14:G16" si="6">J4/0.01^$F$10</f>
        <v>1.1538492847604843E-5</v>
      </c>
      <c r="H14" s="6">
        <f t="shared" ref="H14:H16" si="7">I4</f>
        <v>5.9190414554935025E-2</v>
      </c>
    </row>
    <row r="15" spans="1:23" x14ac:dyDescent="0.25">
      <c r="A15" s="7">
        <f t="shared" si="0"/>
        <v>2.5218056830959855E-6</v>
      </c>
      <c r="B15" s="6">
        <f t="shared" si="1"/>
        <v>6.0012869805450321E-2</v>
      </c>
      <c r="C15" s="7">
        <f t="shared" si="2"/>
        <v>2.9141900722391047E-6</v>
      </c>
      <c r="D15" s="6">
        <f t="shared" si="3"/>
        <v>5.8428359962732733E-2</v>
      </c>
      <c r="E15" s="7">
        <f t="shared" si="4"/>
        <v>6.5360009939289371E-6</v>
      </c>
      <c r="F15" s="6">
        <f t="shared" si="5"/>
        <v>4.390295700882637E-2</v>
      </c>
      <c r="G15" s="7">
        <f t="shared" si="6"/>
        <v>7.2731215266269825E-6</v>
      </c>
      <c r="H15" s="6">
        <f t="shared" si="7"/>
        <v>4.3650861786643638E-2</v>
      </c>
    </row>
    <row r="16" spans="1:23" x14ac:dyDescent="0.25">
      <c r="A16" s="8">
        <f t="shared" si="0"/>
        <v>3.8924198931828838E-7</v>
      </c>
      <c r="B16" s="9">
        <f t="shared" si="1"/>
        <v>4.1023935148327133E-2</v>
      </c>
      <c r="C16" s="8">
        <f t="shared" si="2"/>
        <v>1.0876377616028819E-6</v>
      </c>
      <c r="D16" s="9">
        <f t="shared" si="3"/>
        <v>3.948883891444932E-2</v>
      </c>
      <c r="E16" s="8">
        <f t="shared" si="4"/>
        <v>1.0835951937878869E-6</v>
      </c>
      <c r="F16" s="9">
        <f t="shared" si="5"/>
        <v>2.8769370032408804E-2</v>
      </c>
      <c r="G16" s="8">
        <f t="shared" si="6"/>
        <v>3.0077502056493595E-6</v>
      </c>
      <c r="H16" s="9">
        <f t="shared" si="7"/>
        <v>2.8111309018352182E-2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3FD87-96E0-43CA-B583-EB1FA405D2E2}">
  <dimension ref="A1:O12"/>
  <sheetViews>
    <sheetView workbookViewId="0">
      <selection activeCell="K15" sqref="K15"/>
    </sheetView>
  </sheetViews>
  <sheetFormatPr defaultRowHeight="15" x14ac:dyDescent="0.25"/>
  <cols>
    <col min="1" max="1" width="11.5703125" bestFit="1" customWidth="1"/>
    <col min="2" max="2" width="15.85546875" bestFit="1" customWidth="1"/>
    <col min="3" max="3" width="9.5703125" bestFit="1" customWidth="1"/>
    <col min="4" max="4" width="7.140625" bestFit="1" customWidth="1"/>
    <col min="5" max="5" width="13.42578125" bestFit="1" customWidth="1"/>
    <col min="6" max="7" width="12.85546875" bestFit="1" customWidth="1"/>
    <col min="8" max="8" width="15.5703125" bestFit="1" customWidth="1"/>
    <col min="9" max="9" width="14.5703125" bestFit="1" customWidth="1"/>
    <col min="10" max="10" width="14.28515625" bestFit="1" customWidth="1"/>
    <col min="11" max="11" width="16.85546875" bestFit="1" customWidth="1"/>
    <col min="12" max="12" width="18" bestFit="1" customWidth="1"/>
    <col min="14" max="14" width="15" bestFit="1" customWidth="1"/>
    <col min="15" max="15" width="16.140625" bestFit="1" customWidth="1"/>
  </cols>
  <sheetData>
    <row r="1" spans="1:15" x14ac:dyDescent="0.25">
      <c r="A1" s="19" t="s">
        <v>19</v>
      </c>
      <c r="B1" s="20"/>
      <c r="C1" s="20"/>
      <c r="D1" s="20"/>
      <c r="E1" s="21"/>
      <c r="F1" s="19" t="s">
        <v>20</v>
      </c>
      <c r="G1" s="20"/>
      <c r="H1" s="20"/>
      <c r="I1" s="21"/>
      <c r="L1" s="19" t="s">
        <v>25</v>
      </c>
      <c r="M1" s="22"/>
      <c r="N1" s="23"/>
    </row>
    <row r="2" spans="1:15" x14ac:dyDescent="0.25">
      <c r="A2" s="10" t="s">
        <v>14</v>
      </c>
      <c r="B2" s="10" t="s">
        <v>15</v>
      </c>
      <c r="C2" s="24" t="s">
        <v>16</v>
      </c>
      <c r="D2" s="24" t="s">
        <v>17</v>
      </c>
      <c r="E2" s="24" t="s">
        <v>18</v>
      </c>
      <c r="F2" s="24" t="s">
        <v>21</v>
      </c>
      <c r="G2" s="24" t="s">
        <v>22</v>
      </c>
      <c r="H2" s="24" t="s">
        <v>23</v>
      </c>
      <c r="I2" s="24" t="s">
        <v>24</v>
      </c>
      <c r="J2" s="24" t="s">
        <v>49</v>
      </c>
      <c r="K2" s="24" t="s">
        <v>36</v>
      </c>
      <c r="L2" s="24" t="s">
        <v>26</v>
      </c>
      <c r="M2" s="24" t="s">
        <v>27</v>
      </c>
      <c r="N2" s="24" t="s">
        <v>28</v>
      </c>
      <c r="O2" s="24"/>
    </row>
    <row r="3" spans="1:15" x14ac:dyDescent="0.25">
      <c r="A3" s="25">
        <v>9.9000000000000005E-2</v>
      </c>
      <c r="B3" s="22">
        <f>(A3/B7)*1000</f>
        <v>0.58865501248662144</v>
      </c>
      <c r="C3" s="22">
        <v>1</v>
      </c>
      <c r="D3" s="22">
        <v>1.65</v>
      </c>
      <c r="E3" s="23">
        <f>(D3*3*B3)/(1*1)</f>
        <v>2.9138423118087755</v>
      </c>
      <c r="F3" s="25">
        <v>0.42180000000000001</v>
      </c>
      <c r="G3" s="22">
        <f>F3/C8</f>
        <v>0.33744000000000002</v>
      </c>
      <c r="H3" s="22">
        <v>1.8287</v>
      </c>
      <c r="I3" s="23">
        <f>H3/C12</f>
        <v>1.6624545454545454</v>
      </c>
      <c r="J3" s="25">
        <f>I3+G3</f>
        <v>1.9998945454545454</v>
      </c>
      <c r="K3" s="23">
        <f>E3/J3</f>
        <v>1.4569979794342125</v>
      </c>
      <c r="L3" s="27">
        <f>10/1000</f>
        <v>0.01</v>
      </c>
      <c r="M3" s="2">
        <f>150/1000</f>
        <v>0.15</v>
      </c>
      <c r="N3" s="23">
        <f>(K3*L3)/M3</f>
        <v>9.7133198628947509E-2</v>
      </c>
      <c r="O3" s="30"/>
    </row>
    <row r="4" spans="1:15" x14ac:dyDescent="0.25">
      <c r="F4" s="10" t="s">
        <v>40</v>
      </c>
      <c r="G4" s="10" t="s">
        <v>41</v>
      </c>
      <c r="H4" s="10" t="s">
        <v>43</v>
      </c>
      <c r="I4" s="10" t="s">
        <v>23</v>
      </c>
      <c r="J4" s="10" t="s">
        <v>24</v>
      </c>
      <c r="K4" s="10" t="s">
        <v>42</v>
      </c>
      <c r="L4" s="24" t="s">
        <v>26</v>
      </c>
      <c r="M4" s="24" t="s">
        <v>27</v>
      </c>
      <c r="N4" s="24" t="s">
        <v>47</v>
      </c>
    </row>
    <row r="5" spans="1:15" x14ac:dyDescent="0.25">
      <c r="F5" s="25" t="s">
        <v>35</v>
      </c>
      <c r="G5" s="22" t="s">
        <v>35</v>
      </c>
      <c r="H5" s="22" t="s">
        <v>35</v>
      </c>
      <c r="I5" s="28" t="s">
        <v>35</v>
      </c>
      <c r="J5" s="28" t="s">
        <v>35</v>
      </c>
      <c r="K5" s="29" t="s">
        <v>35</v>
      </c>
      <c r="L5" s="27">
        <f>10/1000</f>
        <v>0.01</v>
      </c>
      <c r="M5" s="2">
        <f>150/1000</f>
        <v>0.15</v>
      </c>
      <c r="N5" s="23" t="e">
        <f>(K5*L5)/M5</f>
        <v>#VALUE!</v>
      </c>
    </row>
    <row r="6" spans="1:15" x14ac:dyDescent="0.25">
      <c r="A6" s="1" t="s">
        <v>29</v>
      </c>
      <c r="B6" s="16" t="s">
        <v>30</v>
      </c>
      <c r="C6" s="26" t="s">
        <v>31</v>
      </c>
      <c r="I6" s="10" t="s">
        <v>44</v>
      </c>
      <c r="J6" s="10" t="s">
        <v>45</v>
      </c>
      <c r="K6" s="10" t="s">
        <v>46</v>
      </c>
      <c r="L6" s="24" t="s">
        <v>26</v>
      </c>
      <c r="M6" s="24" t="s">
        <v>27</v>
      </c>
      <c r="N6" s="24" t="s">
        <v>48</v>
      </c>
    </row>
    <row r="7" spans="1:15" x14ac:dyDescent="0.25">
      <c r="A7" s="12" t="s">
        <v>32</v>
      </c>
      <c r="B7" s="13">
        <v>168.18</v>
      </c>
      <c r="C7" s="17" t="s">
        <v>35</v>
      </c>
      <c r="I7" s="25" t="s">
        <v>35</v>
      </c>
      <c r="J7" s="22" t="s">
        <v>35</v>
      </c>
      <c r="K7" s="23" t="s">
        <v>35</v>
      </c>
      <c r="L7" s="27" t="s">
        <v>35</v>
      </c>
      <c r="M7" s="2">
        <f>150/1000</f>
        <v>0.15</v>
      </c>
      <c r="N7" s="23" t="e">
        <f>K7/M7</f>
        <v>#VALUE!</v>
      </c>
    </row>
    <row r="8" spans="1:15" x14ac:dyDescent="0.25">
      <c r="A8" s="7" t="s">
        <v>33</v>
      </c>
      <c r="B8" s="14">
        <v>140.57</v>
      </c>
      <c r="C8" s="6">
        <v>1.25</v>
      </c>
      <c r="H8" s="10" t="s">
        <v>50</v>
      </c>
      <c r="I8" s="10" t="s">
        <v>51</v>
      </c>
      <c r="J8" s="10" t="s">
        <v>45</v>
      </c>
      <c r="K8" s="10" t="s">
        <v>42</v>
      </c>
      <c r="L8" s="24" t="s">
        <v>26</v>
      </c>
      <c r="M8" s="24" t="s">
        <v>27</v>
      </c>
      <c r="N8" s="24" t="s">
        <v>52</v>
      </c>
    </row>
    <row r="9" spans="1:15" x14ac:dyDescent="0.25">
      <c r="A9" s="7" t="s">
        <v>37</v>
      </c>
      <c r="B9" s="14">
        <v>58.08</v>
      </c>
      <c r="C9" s="6">
        <v>0.78400000000000003</v>
      </c>
      <c r="H9" s="25" t="s">
        <v>35</v>
      </c>
      <c r="I9" s="22" t="s">
        <v>35</v>
      </c>
      <c r="J9" s="22" t="s">
        <v>35</v>
      </c>
      <c r="K9" s="23" t="s">
        <v>35</v>
      </c>
      <c r="L9" s="27">
        <f>3.4/1000</f>
        <v>3.3999999999999998E-3</v>
      </c>
      <c r="M9" s="2">
        <f>150/1000</f>
        <v>0.15</v>
      </c>
      <c r="N9" s="23" t="e">
        <f>(K9*L9)/M9</f>
        <v>#VALUE!</v>
      </c>
    </row>
    <row r="10" spans="1:15" x14ac:dyDescent="0.25">
      <c r="A10" s="7" t="s">
        <v>38</v>
      </c>
      <c r="B10" s="14">
        <v>115.13</v>
      </c>
      <c r="C10" s="6" t="s">
        <v>35</v>
      </c>
    </row>
    <row r="11" spans="1:15" x14ac:dyDescent="0.25">
      <c r="A11" s="7" t="s">
        <v>39</v>
      </c>
      <c r="B11" s="14">
        <v>32.04</v>
      </c>
      <c r="C11" s="6">
        <v>0.79200000000000004</v>
      </c>
    </row>
    <row r="12" spans="1:15" x14ac:dyDescent="0.25">
      <c r="A12" s="8" t="s">
        <v>34</v>
      </c>
      <c r="B12" s="15">
        <v>78.13</v>
      </c>
      <c r="C12" s="9">
        <v>1.1000000000000001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A7ED0-50FD-4637-9736-1B56740BBB6A}">
  <dimension ref="A1:W35"/>
  <sheetViews>
    <sheetView zoomScale="70" zoomScaleNormal="70" workbookViewId="0">
      <selection activeCell="J25" sqref="J25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48" t="s">
        <v>9</v>
      </c>
      <c r="B2" s="49" t="s">
        <v>13</v>
      </c>
      <c r="C2" s="48" t="s">
        <v>64</v>
      </c>
      <c r="D2" s="49" t="s">
        <v>13</v>
      </c>
      <c r="E2" s="48" t="s">
        <v>9</v>
      </c>
      <c r="F2" s="49" t="s">
        <v>13</v>
      </c>
      <c r="G2" s="48" t="s">
        <v>64</v>
      </c>
      <c r="H2" s="49" t="s">
        <v>13</v>
      </c>
      <c r="I2" s="1" t="s">
        <v>9</v>
      </c>
      <c r="J2" s="1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'SPKA-Average'!B23</f>
        <v>7.3598998807215821E-2</v>
      </c>
      <c r="B3" s="12">
        <f>'SPKA-Average'!C23</f>
        <v>1.911078965399383E-5</v>
      </c>
      <c r="C3" s="12">
        <f>'SPKA-Average'!D23</f>
        <v>0.12216559812168956</v>
      </c>
      <c r="D3" s="12">
        <f>'SPKA-Average'!E23</f>
        <v>1.911078965399383E-5</v>
      </c>
      <c r="E3" s="12">
        <f>'SPKA-Average'!F23</f>
        <v>7.3977711201385618E-2</v>
      </c>
      <c r="F3" s="12">
        <f>'SPKA-Average'!G23</f>
        <v>1.8003443472210777E-5</v>
      </c>
      <c r="G3" s="12">
        <f>'SPKA-Average'!H23</f>
        <v>7.3977711201385618E-2</v>
      </c>
      <c r="H3" s="12">
        <f>'SPKA-Average'!I23</f>
        <v>1.8003443472210777E-5</v>
      </c>
      <c r="I3" s="12">
        <f>'SPKA-Average'!J23</f>
        <v>7.5308562179168231E-2</v>
      </c>
      <c r="J3" s="12">
        <f>'SPKA-Average'!K23</f>
        <v>1.411206634419144E-5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'SPKA-Average'!B24</f>
        <v>5.8552017433855359E-2</v>
      </c>
      <c r="B4" s="6">
        <f>'SPKA-Average'!C24</f>
        <v>1.3405151096375806E-5</v>
      </c>
      <c r="C4" s="7">
        <f>'SPKA-Average'!D24</f>
        <v>0.10711861674832909</v>
      </c>
      <c r="D4" s="6">
        <f>'SPKA-Average'!E24</f>
        <v>1.3405151096375806E-5</v>
      </c>
      <c r="E4" s="7">
        <f>'SPKA-Average'!F24</f>
        <v>5.8351895148209647E-2</v>
      </c>
      <c r="F4" s="6">
        <f>'SPKA-Average'!G24</f>
        <v>1.3990303978380814E-5</v>
      </c>
      <c r="G4" s="7">
        <f>'SPKA-Average'!H24</f>
        <v>5.8351895148209647E-2</v>
      </c>
      <c r="H4" s="6">
        <f>'SPKA-Average'!I24</f>
        <v>1.3990303978380814E-5</v>
      </c>
      <c r="I4" s="7">
        <f>'SPKA-Average'!J24</f>
        <v>5.9893231062672907E-2</v>
      </c>
      <c r="J4" s="6">
        <f>'SPKA-Average'!K24</f>
        <v>9.4834738191315153E-6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'SPKA-Average'!B25</f>
        <v>4.3506417183768534E-2</v>
      </c>
      <c r="B5" s="6">
        <f>'SPKA-Average'!C25</f>
        <v>7.695474166612658E-6</v>
      </c>
      <c r="C5" s="7">
        <f>'SPKA-Average'!D25</f>
        <v>9.2073016498242274E-2</v>
      </c>
      <c r="D5" s="6">
        <f>'SPKA-Average'!E25</f>
        <v>7.6954741666126682E-6</v>
      </c>
      <c r="E5" s="7">
        <f>'SPKA-Average'!F25</f>
        <v>4.2656445454740052E-2</v>
      </c>
      <c r="F5" s="6">
        <f>'SPKA-Average'!G25</f>
        <v>1.0180771619912311E-5</v>
      </c>
      <c r="G5" s="7">
        <f>'SPKA-Average'!H25</f>
        <v>4.2656445454740052E-2</v>
      </c>
      <c r="H5" s="6">
        <f>'SPKA-Average'!I25</f>
        <v>1.0180771619912311E-5</v>
      </c>
      <c r="I5" s="7">
        <f>'SPKA-Average'!J25</f>
        <v>4.4484052515467415E-2</v>
      </c>
      <c r="J5" s="6">
        <f>'SPKA-Average'!K25</f>
        <v>4.8368913253878589E-6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'SPKA-Average'!B26</f>
        <v>2.793941066001044E-2</v>
      </c>
      <c r="B6" s="9">
        <f>'SPKA-Average'!C26</f>
        <v>3.5103769844263725E-6</v>
      </c>
      <c r="C6" s="8">
        <f>'SPKA-Average'!D26</f>
        <v>7.6506009974484174E-2</v>
      </c>
      <c r="D6" s="9">
        <f>'SPKA-Average'!E26</f>
        <v>3.5103769844263776E-6</v>
      </c>
      <c r="E6" s="8">
        <f>'SPKA-Average'!F26</f>
        <v>2.7030629401564098E-2</v>
      </c>
      <c r="F6" s="9">
        <f>'SPKA-Average'!G26</f>
        <v>6.1676321260823467E-6</v>
      </c>
      <c r="G6" s="8">
        <f>'SPKA-Average'!H26</f>
        <v>2.7030629401564098E-2</v>
      </c>
      <c r="H6" s="9">
        <f>'SPKA-Average'!I26</f>
        <v>6.1676321260823467E-6</v>
      </c>
      <c r="I6" s="8">
        <f>'SPKA-Average'!J26</f>
        <v>2.8995627540945892E-2</v>
      </c>
      <c r="J6" s="9">
        <f>'SPKA-Average'!K26</f>
        <v>4.2202353139874067E-7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-0.1</v>
      </c>
      <c r="C10" s="31" t="s">
        <v>66</v>
      </c>
      <c r="D10" s="6">
        <v>1</v>
      </c>
      <c r="E10" s="55" t="s">
        <v>69</v>
      </c>
      <c r="F10" s="31">
        <v>0.7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1.548722204294413E-5</v>
      </c>
      <c r="B13" s="17">
        <f>A3^$D$10</f>
        <v>7.3598998807215821E-2</v>
      </c>
      <c r="C13" s="12">
        <f>H3/G3^$B$10</f>
        <v>1.3876044006293871E-5</v>
      </c>
      <c r="D13" s="17">
        <f>E3^$D$10</f>
        <v>7.3977711201385618E-2</v>
      </c>
      <c r="E13" s="12">
        <f>B3/0.02^$F$10</f>
        <v>2.9550010220128197E-4</v>
      </c>
      <c r="F13" s="17">
        <f>A3</f>
        <v>7.3598998807215821E-2</v>
      </c>
      <c r="G13" s="12">
        <f>J3/0.01^$F$10</f>
        <v>3.5447907970537462E-4</v>
      </c>
      <c r="H13" s="17">
        <f>I3</f>
        <v>7.5308562179168231E-2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1.0721565647535077E-5</v>
      </c>
      <c r="B14" s="6">
        <f t="shared" ref="B14:B16" si="1">A4^$D$10</f>
        <v>5.8552017433855359E-2</v>
      </c>
      <c r="C14" s="7">
        <f t="shared" ref="C14:C16" si="2">H4/G4^$B$10</f>
        <v>1.0530103682859789E-5</v>
      </c>
      <c r="D14" s="6">
        <f t="shared" ref="D14:D16" si="3">E4^$D$10</f>
        <v>5.8351895148209647E-2</v>
      </c>
      <c r="E14" s="7">
        <f t="shared" ref="E14:E16" si="4">B4/0.02^$F$10</f>
        <v>2.0727681015393569E-4</v>
      </c>
      <c r="F14" s="6">
        <f t="shared" ref="F14:F16" si="5">A4</f>
        <v>5.8552017433855359E-2</v>
      </c>
      <c r="G14" s="7">
        <f t="shared" ref="G14:G16" si="6">J4/0.01^$F$10</f>
        <v>2.3821409209852777E-4</v>
      </c>
      <c r="H14" s="6">
        <f t="shared" ref="H14:H16" si="7">I4</f>
        <v>5.9893231062672907E-2</v>
      </c>
    </row>
    <row r="15" spans="1:23" x14ac:dyDescent="0.25">
      <c r="A15" s="7">
        <f t="shared" si="0"/>
        <v>6.062456309593852E-6</v>
      </c>
      <c r="B15" s="6">
        <f t="shared" si="1"/>
        <v>4.3506417183768534E-2</v>
      </c>
      <c r="C15" s="7">
        <f t="shared" si="2"/>
        <v>7.4264140921398575E-6</v>
      </c>
      <c r="D15" s="6">
        <f t="shared" si="3"/>
        <v>4.2656445454740052E-2</v>
      </c>
      <c r="E15" s="7">
        <f t="shared" si="4"/>
        <v>1.1899107487932271E-4</v>
      </c>
      <c r="F15" s="6">
        <f t="shared" si="5"/>
        <v>4.3506417183768534E-2</v>
      </c>
      <c r="G15" s="7">
        <f t="shared" si="6"/>
        <v>1.2149721690928145E-4</v>
      </c>
      <c r="H15" s="6">
        <f t="shared" si="7"/>
        <v>4.4484052515467415E-2</v>
      </c>
    </row>
    <row r="16" spans="1:23" x14ac:dyDescent="0.25">
      <c r="A16" s="8">
        <f t="shared" si="0"/>
        <v>2.714709193863336E-6</v>
      </c>
      <c r="B16" s="9">
        <f t="shared" si="1"/>
        <v>2.793941066001044E-2</v>
      </c>
      <c r="C16" s="8">
        <f t="shared" si="2"/>
        <v>4.2983727841165998E-6</v>
      </c>
      <c r="D16" s="9">
        <f t="shared" si="3"/>
        <v>2.7030629401564098E-2</v>
      </c>
      <c r="E16" s="8">
        <f t="shared" si="4"/>
        <v>5.4279115433947516E-5</v>
      </c>
      <c r="F16" s="9">
        <f t="shared" si="5"/>
        <v>2.793941066001044E-2</v>
      </c>
      <c r="G16" s="8">
        <f t="shared" si="6"/>
        <v>1.0600751822982534E-5</v>
      </c>
      <c r="H16" s="9">
        <f t="shared" si="7"/>
        <v>2.8995627540945892E-2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66751-5E8E-47B1-B9D3-6DC75E155F63}">
  <dimension ref="A1:R41"/>
  <sheetViews>
    <sheetView zoomScale="85" zoomScaleNormal="85" workbookViewId="0">
      <selection activeCell="K18" sqref="K18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 s="13">
        <v>1.1485437758597481</v>
      </c>
      <c r="D3" s="52" t="s">
        <v>78</v>
      </c>
      <c r="E3" s="17" t="s">
        <v>35</v>
      </c>
      <c r="F3" s="37" t="s">
        <v>54</v>
      </c>
      <c r="G3" s="63">
        <v>1.1590530790981921</v>
      </c>
      <c r="H3" s="37" t="s">
        <v>55</v>
      </c>
      <c r="I3" s="63" t="s">
        <v>35</v>
      </c>
      <c r="J3" s="62" t="s">
        <v>59</v>
      </c>
      <c r="K3" s="44">
        <v>1.1671310348512229</v>
      </c>
      <c r="L3" s="62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66">
        <f>$C$3-($C$3*$A4)</f>
        <v>0.94754861508429222</v>
      </c>
      <c r="D4" s="66"/>
      <c r="E4" s="6">
        <v>0.78955097757199622</v>
      </c>
      <c r="F4" s="39"/>
      <c r="G4" s="64">
        <f>$G$3-($G$3*$A4)</f>
        <v>0.95621879025600853</v>
      </c>
      <c r="H4" s="39"/>
      <c r="I4" s="64">
        <v>0.84305044646385041</v>
      </c>
      <c r="J4" s="61"/>
      <c r="K4" s="45">
        <f>$K$3-($K$3*$A4)</f>
        <v>0.96288310375225894</v>
      </c>
      <c r="L4" s="61"/>
      <c r="M4" s="45">
        <v>0.9092946571497369</v>
      </c>
      <c r="N4" s="14"/>
      <c r="O4" s="14"/>
    </row>
    <row r="5" spans="1:18" x14ac:dyDescent="0.25">
      <c r="A5" s="4">
        <v>0.35</v>
      </c>
      <c r="B5" s="7"/>
      <c r="C5" s="66">
        <f t="shared" ref="C5:C7" si="0">$C$3-($C$3*$A5)</f>
        <v>0.74655345430883635</v>
      </c>
      <c r="D5" s="66"/>
      <c r="E5" s="6">
        <v>0.615090467326599</v>
      </c>
      <c r="F5" s="39"/>
      <c r="G5" s="64">
        <f t="shared" ref="G5:G7" si="1">$G$3-($G$3*$A5)</f>
        <v>0.75338450141382496</v>
      </c>
      <c r="H5" s="39"/>
      <c r="I5" s="64">
        <v>0.67334000059600974</v>
      </c>
      <c r="J5" s="61"/>
      <c r="K5" s="45">
        <f t="shared" ref="K5:K7" si="2">$K$3-($K$3*$A5)</f>
        <v>0.75863517265329494</v>
      </c>
      <c r="L5" s="61"/>
      <c r="M5" s="45">
        <v>0.72103487789118414</v>
      </c>
      <c r="N5" s="14"/>
      <c r="O5" s="14"/>
    </row>
    <row r="6" spans="1:18" x14ac:dyDescent="0.25">
      <c r="A6" s="60">
        <v>0.52500000000000002</v>
      </c>
      <c r="B6" s="7"/>
      <c r="C6" s="66">
        <f t="shared" si="0"/>
        <v>0.54555829353338037</v>
      </c>
      <c r="D6" s="66"/>
      <c r="E6" s="6">
        <v>0.44062995708120178</v>
      </c>
      <c r="F6" s="39"/>
      <c r="G6" s="64">
        <f t="shared" si="1"/>
        <v>0.55055021257164127</v>
      </c>
      <c r="H6" s="39"/>
      <c r="I6" s="64">
        <v>0.49625083969043682</v>
      </c>
      <c r="J6" s="61"/>
      <c r="K6" s="45">
        <f t="shared" si="2"/>
        <v>0.55438724155433083</v>
      </c>
      <c r="L6" s="61"/>
      <c r="M6" s="45">
        <v>0.53277509863263139</v>
      </c>
      <c r="N6" s="14"/>
      <c r="O6" s="14"/>
    </row>
    <row r="7" spans="1:18" x14ac:dyDescent="0.25">
      <c r="A7" s="5">
        <v>0.7</v>
      </c>
      <c r="B7" s="8"/>
      <c r="C7" s="15">
        <f t="shared" si="0"/>
        <v>0.3445631327579245</v>
      </c>
      <c r="D7" s="15"/>
      <c r="E7" s="9">
        <v>0.2244506291684267</v>
      </c>
      <c r="F7" s="40"/>
      <c r="G7" s="65">
        <f t="shared" si="1"/>
        <v>0.3477159237294577</v>
      </c>
      <c r="H7" s="40"/>
      <c r="I7" s="65">
        <v>0.32654039382259592</v>
      </c>
      <c r="J7" s="46"/>
      <c r="K7" s="47">
        <f t="shared" si="2"/>
        <v>0.35013931045536695</v>
      </c>
      <c r="L7" s="46"/>
      <c r="M7" s="47">
        <v>0.34042271547715369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1.1485437758597481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1.1590530790981921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1.1671310348512229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6.6772911528576701E-2</v>
      </c>
      <c r="D17" s="7">
        <f>$D$16-($D$16*(A17*(0.1/0.15)))</f>
        <v>0.12870148818335544</v>
      </c>
      <c r="E17" s="6">
        <f>D17-(B17-C17)</f>
        <v>0.11533951084305044</v>
      </c>
      <c r="F17" s="7">
        <f>$F$16-($F$16*A17)</f>
        <v>8.0134888868881704E-2</v>
      </c>
      <c r="G17" s="6">
        <f>$B$11*(I4/$C$11)</f>
        <v>7.0650937344741482E-2</v>
      </c>
      <c r="H17" s="7">
        <f>F17</f>
        <v>8.0134888868881704E-2</v>
      </c>
      <c r="I17" s="6">
        <f>H17-(F17-G17)</f>
        <v>7.0650937344741482E-2</v>
      </c>
      <c r="J17" s="7">
        <f>$J$16-($J$16*A17)</f>
        <v>8.0134888868881704E-2</v>
      </c>
      <c r="K17" s="6">
        <f>$B$12*(M4/$C$12)</f>
        <v>7.5675049251367768E-2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5.2018656836030262E-2</v>
      </c>
      <c r="D18" s="7">
        <f>$D$16-($D$16*(A18*(0.1/0.15)))</f>
        <v>0.11170317842328963</v>
      </c>
      <c r="E18" s="6">
        <f t="shared" ref="E18:E20" si="3">D18-(B18-C18)</f>
        <v>0.10058525615050401</v>
      </c>
      <c r="F18" s="7">
        <f>$F$16-($F$16*A18)</f>
        <v>6.3136579108815885E-2</v>
      </c>
      <c r="G18" s="6">
        <f>$B$11*(I5/$C$11)</f>
        <v>5.6428535674652239E-2</v>
      </c>
      <c r="H18" s="7">
        <f t="shared" ref="H18:H20" si="4">F18</f>
        <v>6.3136579108815885E-2</v>
      </c>
      <c r="I18" s="6">
        <f>H18-(F18-G18)</f>
        <v>5.6428535674652239E-2</v>
      </c>
      <c r="J18" s="7">
        <f>$J$16-($J$16*A18)</f>
        <v>6.3136579108815885E-2</v>
      </c>
      <c r="K18" s="6">
        <f>$B$12*(M5/$C$12)</f>
        <v>6.0007335869987397E-2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60">
        <v>0.52500000000000002</v>
      </c>
      <c r="B19" s="7">
        <f>$B$16-($B$16*A19)</f>
        <v>4.6138269348750066E-2</v>
      </c>
      <c r="C19" s="6">
        <f>$B$10*(E6/$C$10)</f>
        <v>3.726440214348381E-2</v>
      </c>
      <c r="D19" s="7">
        <f>$D$16-($D$16*(A19*(0.1/0.15)))</f>
        <v>9.4704868663223807E-2</v>
      </c>
      <c r="E19" s="6">
        <f t="shared" si="3"/>
        <v>8.5831001457957551E-2</v>
      </c>
      <c r="F19" s="7">
        <f>$F$16-($F$16*A19)</f>
        <v>4.6138269348750066E-2</v>
      </c>
      <c r="G19" s="6">
        <f>$B$11*(I6/$C$11)</f>
        <v>4.1587768714559104E-2</v>
      </c>
      <c r="H19" s="7">
        <f t="shared" si="4"/>
        <v>4.6138269348750066E-2</v>
      </c>
      <c r="I19" s="6">
        <f t="shared" ref="I18:I20" si="5">H19-(F19-G19)</f>
        <v>4.1587768714559104E-2</v>
      </c>
      <c r="J19" s="7">
        <f>$J$16-($J$16*A19)</f>
        <v>4.6138269348750066E-2</v>
      </c>
      <c r="K19" s="6">
        <f>$B$12*(M6/$C$12)</f>
        <v>4.4339622488607039E-2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1.8981956111415371E-2</v>
      </c>
      <c r="D20" s="7">
        <f>$D$16-($D$16*(A20*(0.1/0.15)))</f>
        <v>7.7706558903158002E-2</v>
      </c>
      <c r="E20" s="6">
        <f t="shared" si="3"/>
        <v>6.7548555425889112E-2</v>
      </c>
      <c r="F20" s="7">
        <f>$F$16-($F$16*A20)</f>
        <v>2.9139959588684261E-2</v>
      </c>
      <c r="G20" s="6">
        <f>$B$11*(I7/$C$11)</f>
        <v>2.7365367044469836E-2</v>
      </c>
      <c r="H20" s="7">
        <f t="shared" si="4"/>
        <v>2.9139959588684261E-2</v>
      </c>
      <c r="I20" s="6">
        <f t="shared" si="5"/>
        <v>2.7365367044469836E-2</v>
      </c>
      <c r="J20" s="7">
        <f>$J$16-($J$16*A20)</f>
        <v>2.9139959588684261E-2</v>
      </c>
      <c r="K20" s="6">
        <f>$B$12*(M7/$C$12)</f>
        <v>2.833130664241406E-2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7.3453900198729202E-2</v>
      </c>
      <c r="C23" s="6">
        <f>(B17-C17)/($L$16*60)</f>
        <v>1.9535054591089185E-5</v>
      </c>
      <c r="D23" s="7">
        <f>(D17+E17)/2</f>
        <v>0.12202049951320294</v>
      </c>
      <c r="E23" s="6">
        <f>(D17-E17)/($L$16*60)</f>
        <v>1.9535054591089185E-5</v>
      </c>
      <c r="F23" s="7">
        <f>(F17+G17)/2</f>
        <v>7.5392913106811593E-2</v>
      </c>
      <c r="G23" s="6">
        <f>(F17-G17)/($L$16*60)</f>
        <v>1.3865426204883366E-5</v>
      </c>
      <c r="H23" s="7">
        <f>(H17+I17)/2</f>
        <v>7.5392913106811593E-2</v>
      </c>
      <c r="I23" s="6">
        <f>(H17-I17)/($L$16*60)</f>
        <v>1.3865426204883366E-5</v>
      </c>
      <c r="J23" s="7">
        <f>(J17+K17)/2</f>
        <v>7.7904969060124729E-2</v>
      </c>
      <c r="K23" s="6">
        <f>(J17-K17)/($L$16*60)</f>
        <v>6.5202333589385031E-6</v>
      </c>
      <c r="L23" s="14"/>
      <c r="Q23" s="14"/>
      <c r="R23" s="14"/>
    </row>
    <row r="24" spans="1:18" x14ac:dyDescent="0.25">
      <c r="A24" s="14"/>
      <c r="B24" s="7">
        <f t="shared" ref="B24:B26" si="6">(B18+C18)/2</f>
        <v>5.757761797242307E-2</v>
      </c>
      <c r="C24" s="6">
        <f>(B18-C18)/($L$16*60)</f>
        <v>1.6254272328633952E-5</v>
      </c>
      <c r="D24" s="7">
        <f t="shared" ref="D24:D26" si="7">(D18+E18)/2</f>
        <v>0.10614421728689682</v>
      </c>
      <c r="E24" s="6">
        <f>(D18-E18)/($L$16*60)</f>
        <v>1.6254272328633941E-5</v>
      </c>
      <c r="F24" s="7">
        <f t="shared" ref="F24:F26" si="8">(F18+G18)/2</f>
        <v>5.9782557391734062E-2</v>
      </c>
      <c r="G24" s="6">
        <f>(F18-G18)/($L$16*60)</f>
        <v>9.8070810440988978E-6</v>
      </c>
      <c r="H24" s="7">
        <f t="shared" ref="H24:H26" si="9">(H18+I18)/2</f>
        <v>5.9782557391734062E-2</v>
      </c>
      <c r="I24" s="6">
        <f>(H18-I18)/($L$16*60)</f>
        <v>9.8070810440988978E-6</v>
      </c>
      <c r="J24" s="7">
        <f t="shared" ref="J24:J26" si="10">(J18+K18)/2</f>
        <v>6.1571957489401641E-2</v>
      </c>
      <c r="K24" s="6">
        <f>(J18-K18)/($L$16*60)</f>
        <v>4.5749170158311236E-6</v>
      </c>
      <c r="L24" s="14"/>
      <c r="Q24" s="50"/>
      <c r="R24" s="14"/>
    </row>
    <row r="25" spans="1:18" x14ac:dyDescent="0.25">
      <c r="A25" s="14"/>
      <c r="B25" s="7">
        <f t="shared" si="6"/>
        <v>4.1701335746116938E-2</v>
      </c>
      <c r="C25" s="6">
        <f>(B19-C19)/($L$16*60)</f>
        <v>1.2973490066178736E-5</v>
      </c>
      <c r="D25" s="7">
        <f t="shared" si="7"/>
        <v>9.0267935060590679E-2</v>
      </c>
      <c r="E25" s="6">
        <f>(D19-E19)/($L$16*60)</f>
        <v>1.2973490066178736E-5</v>
      </c>
      <c r="F25" s="7">
        <f t="shared" si="8"/>
        <v>4.3863019031654585E-2</v>
      </c>
      <c r="G25" s="6">
        <f>(F19-G19)/($L$16*60)</f>
        <v>6.6527787049575478E-6</v>
      </c>
      <c r="H25" s="7">
        <f t="shared" si="9"/>
        <v>4.3863019031654585E-2</v>
      </c>
      <c r="I25" s="6">
        <f>(H19-I19)/($L$16*60)</f>
        <v>6.6527787049575478E-6</v>
      </c>
      <c r="J25" s="7">
        <f t="shared" si="10"/>
        <v>4.5238945918678553E-2</v>
      </c>
      <c r="K25" s="6">
        <f>(J19-K19)/($L$16*60)</f>
        <v>2.6296006727237241E-6</v>
      </c>
      <c r="L25" s="14"/>
      <c r="Q25" s="14"/>
      <c r="R25" s="14"/>
    </row>
    <row r="26" spans="1:18" x14ac:dyDescent="0.25">
      <c r="A26" s="14"/>
      <c r="B26" s="8">
        <f>(B20+C20)/2</f>
        <v>2.4060957850049816E-2</v>
      </c>
      <c r="C26" s="9">
        <f>(B20-C20)/($L$16*60)</f>
        <v>1.4850882276708904E-5</v>
      </c>
      <c r="D26" s="8">
        <f t="shared" si="7"/>
        <v>7.2627557164523557E-2</v>
      </c>
      <c r="E26" s="9">
        <f>(D20-E20)/($L$16*60)</f>
        <v>1.4850882276708904E-5</v>
      </c>
      <c r="F26" s="8">
        <f t="shared" si="8"/>
        <v>2.8252663316577047E-2</v>
      </c>
      <c r="G26" s="9">
        <f>(F20-G20)/($L$16*60)</f>
        <v>2.5944335441731367E-6</v>
      </c>
      <c r="H26" s="8">
        <f t="shared" si="9"/>
        <v>2.8252663316577047E-2</v>
      </c>
      <c r="I26" s="9">
        <f>(H20-I20)/($L$16*60)</f>
        <v>2.5944335441731367E-6</v>
      </c>
      <c r="J26" s="8">
        <f t="shared" si="10"/>
        <v>2.8735633115549161E-2</v>
      </c>
      <c r="K26" s="9">
        <f>(J20-K20)/($L$16*60)</f>
        <v>1.1822411495178378E-6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5F43-6C5F-4D2B-983A-34A18E2850C0}">
  <dimension ref="A1:W35"/>
  <sheetViews>
    <sheetView zoomScale="70" zoomScaleNormal="70" workbookViewId="0">
      <selection activeCell="C32" sqref="C32:C33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48" t="s">
        <v>9</v>
      </c>
      <c r="B2" s="49" t="s">
        <v>13</v>
      </c>
      <c r="C2" s="48" t="s">
        <v>64</v>
      </c>
      <c r="D2" s="49" t="s">
        <v>13</v>
      </c>
      <c r="E2" s="48" t="s">
        <v>9</v>
      </c>
      <c r="F2" s="49" t="s">
        <v>13</v>
      </c>
      <c r="G2" s="48" t="s">
        <v>64</v>
      </c>
      <c r="H2" s="49" t="s">
        <v>13</v>
      </c>
      <c r="I2" s="1" t="s">
        <v>9</v>
      </c>
      <c r="J2" s="1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'SPKA-1'!B23</f>
        <v>7.3453900198729202E-2</v>
      </c>
      <c r="B3" s="17">
        <f>'SPKA-1'!C23</f>
        <v>1.9535054591089185E-5</v>
      </c>
      <c r="C3" s="12">
        <f>'SPKA-1'!D23</f>
        <v>0.12202049951320294</v>
      </c>
      <c r="D3" s="17">
        <f>'SPKA-1'!E23</f>
        <v>1.9535054591089185E-5</v>
      </c>
      <c r="E3" s="12">
        <f>'SPKA-1'!F23</f>
        <v>7.5392913106811593E-2</v>
      </c>
      <c r="F3" s="17">
        <f>'SPKA-1'!G23</f>
        <v>1.3865426204883366E-5</v>
      </c>
      <c r="G3" s="12">
        <f>'SPKA-1'!H23</f>
        <v>7.5392913106811593E-2</v>
      </c>
      <c r="H3" s="17">
        <f>'SPKA-1'!I23</f>
        <v>1.3865426204883366E-5</v>
      </c>
      <c r="I3" s="12">
        <f>'SPKA-1'!J23</f>
        <v>7.7904969060124729E-2</v>
      </c>
      <c r="J3" s="17">
        <f>'SPKA-1'!K23</f>
        <v>6.5202333589385031E-6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'SPKA-1'!B24</f>
        <v>5.757761797242307E-2</v>
      </c>
      <c r="B4" s="6">
        <f>'SPKA-1'!C24</f>
        <v>1.6254272328633952E-5</v>
      </c>
      <c r="C4" s="7">
        <f>'SPKA-1'!D24</f>
        <v>0.10614421728689682</v>
      </c>
      <c r="D4" s="6">
        <f>'SPKA-1'!E24</f>
        <v>1.6254272328633941E-5</v>
      </c>
      <c r="E4" s="7">
        <f>'SPKA-1'!F24</f>
        <v>5.9782557391734062E-2</v>
      </c>
      <c r="F4" s="6">
        <f>'SPKA-1'!G24</f>
        <v>9.8070810440988978E-6</v>
      </c>
      <c r="G4" s="7">
        <f>'SPKA-1'!H24</f>
        <v>5.9782557391734062E-2</v>
      </c>
      <c r="H4" s="6">
        <f>'SPKA-1'!I24</f>
        <v>9.8070810440988978E-6</v>
      </c>
      <c r="I4" s="7">
        <f>'SPKA-1'!J24</f>
        <v>6.1571957489401641E-2</v>
      </c>
      <c r="J4" s="6">
        <f>'SPKA-1'!K24</f>
        <v>4.5749170158311236E-6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'SPKA-1'!B25</f>
        <v>4.1701335746116938E-2</v>
      </c>
      <c r="B5" s="6">
        <f>'SPKA-1'!C25</f>
        <v>1.2973490066178736E-5</v>
      </c>
      <c r="C5" s="7">
        <f>'SPKA-1'!D25</f>
        <v>9.0267935060590679E-2</v>
      </c>
      <c r="D5" s="6">
        <f>'SPKA-1'!E25</f>
        <v>1.2973490066178736E-5</v>
      </c>
      <c r="E5" s="7">
        <f>'SPKA-1'!F25</f>
        <v>4.3863019031654585E-2</v>
      </c>
      <c r="F5" s="6">
        <f>'SPKA-1'!G25</f>
        <v>6.6527787049575478E-6</v>
      </c>
      <c r="G5" s="7">
        <f>'SPKA-1'!H25</f>
        <v>4.3863019031654585E-2</v>
      </c>
      <c r="H5" s="6">
        <f>'SPKA-1'!I25</f>
        <v>6.6527787049575478E-6</v>
      </c>
      <c r="I5" s="7">
        <f>'SPKA-1'!J25</f>
        <v>4.5238945918678553E-2</v>
      </c>
      <c r="J5" s="6">
        <f>'SPKA-1'!K25</f>
        <v>2.6296006727237241E-6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'SPKA-1'!B26</f>
        <v>2.4060957850049816E-2</v>
      </c>
      <c r="B6" s="9">
        <f>'SPKA-1'!C26</f>
        <v>1.4850882276708904E-5</v>
      </c>
      <c r="C6" s="8">
        <f>'SPKA-1'!D26</f>
        <v>7.2627557164523557E-2</v>
      </c>
      <c r="D6" s="9">
        <f>'SPKA-1'!E26</f>
        <v>1.4850882276708904E-5</v>
      </c>
      <c r="E6" s="8">
        <f>'SPKA-1'!F26</f>
        <v>2.8252663316577047E-2</v>
      </c>
      <c r="F6" s="9">
        <f>'SPKA-1'!G26</f>
        <v>2.5944335441731367E-6</v>
      </c>
      <c r="G6" s="8">
        <f>'SPKA-1'!H26</f>
        <v>2.8252663316577047E-2</v>
      </c>
      <c r="H6" s="9">
        <f>'SPKA-1'!I26</f>
        <v>2.5944335441731367E-6</v>
      </c>
      <c r="I6" s="8">
        <f>'SPKA-1'!J26</f>
        <v>2.8735633115549161E-2</v>
      </c>
      <c r="J6" s="9">
        <f>'SPKA-1'!K26</f>
        <v>1.1822411495178378E-6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1</v>
      </c>
      <c r="C10" s="31" t="s">
        <v>66</v>
      </c>
      <c r="D10" s="6">
        <v>1</v>
      </c>
      <c r="E10" s="55" t="s">
        <v>69</v>
      </c>
      <c r="F10" s="31">
        <v>2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1.6009649746578393E-4</v>
      </c>
      <c r="B13" s="17">
        <f>A3^$D$10</f>
        <v>7.3453900198729202E-2</v>
      </c>
      <c r="C13" s="12">
        <f>H3/G3^$B$10</f>
        <v>1.8390887993994563E-4</v>
      </c>
      <c r="D13" s="17">
        <f>E3^$D$10</f>
        <v>7.5392913106811593E-2</v>
      </c>
      <c r="E13" s="12">
        <f>B3/0.02^$F$10</f>
        <v>4.8837636477722962E-2</v>
      </c>
      <c r="F13" s="17">
        <f>A3</f>
        <v>7.3453900198729202E-2</v>
      </c>
      <c r="G13" s="12">
        <f>J3/0.01^$F$10</f>
        <v>6.5202333589385028E-2</v>
      </c>
      <c r="H13" s="17">
        <f>I3</f>
        <v>7.7904969060124729E-2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1.5313384698763502E-4</v>
      </c>
      <c r="B14" s="6">
        <f t="shared" ref="B14:B16" si="1">A4^$D$10</f>
        <v>5.757761797242307E-2</v>
      </c>
      <c r="C14" s="7">
        <f t="shared" ref="C14:C16" si="2">H4/G4^$B$10</f>
        <v>1.6404586006310413E-4</v>
      </c>
      <c r="D14" s="6">
        <f t="shared" ref="D14:D16" si="3">E4^$D$10</f>
        <v>5.9782557391734062E-2</v>
      </c>
      <c r="E14" s="7">
        <f t="shared" ref="E14:E16" si="4">B4/0.02^$F$10</f>
        <v>4.0635680821584877E-2</v>
      </c>
      <c r="F14" s="6">
        <f t="shared" ref="F14:F16" si="5">A4</f>
        <v>5.757761797242307E-2</v>
      </c>
      <c r="G14" s="7">
        <f t="shared" ref="G14:G16" si="6">J4/0.01^$F$10</f>
        <v>4.5749170158311231E-2</v>
      </c>
      <c r="H14" s="6">
        <f t="shared" ref="H14:H16" si="7">I4</f>
        <v>6.1571957489401641E-2</v>
      </c>
    </row>
    <row r="15" spans="1:23" x14ac:dyDescent="0.25">
      <c r="A15" s="7">
        <f t="shared" si="0"/>
        <v>1.4372202108612015E-4</v>
      </c>
      <c r="B15" s="6">
        <f t="shared" si="1"/>
        <v>4.1701335746116938E-2</v>
      </c>
      <c r="C15" s="7">
        <f t="shared" si="2"/>
        <v>1.5167170094143413E-4</v>
      </c>
      <c r="D15" s="6">
        <f t="shared" si="3"/>
        <v>4.3863019031654585E-2</v>
      </c>
      <c r="E15" s="7">
        <f t="shared" si="4"/>
        <v>3.243372516544684E-2</v>
      </c>
      <c r="F15" s="6">
        <f t="shared" si="5"/>
        <v>4.1701335746116938E-2</v>
      </c>
      <c r="G15" s="7">
        <f t="shared" si="6"/>
        <v>2.6296006727237239E-2</v>
      </c>
      <c r="H15" s="6">
        <f t="shared" si="7"/>
        <v>4.5238945918678553E-2</v>
      </c>
    </row>
    <row r="16" spans="1:23" x14ac:dyDescent="0.25">
      <c r="A16" s="8">
        <f t="shared" si="0"/>
        <v>2.044799915694139E-4</v>
      </c>
      <c r="B16" s="9">
        <f t="shared" si="1"/>
        <v>2.4060957850049816E-2</v>
      </c>
      <c r="C16" s="8">
        <f t="shared" si="2"/>
        <v>9.1829698145692046E-5</v>
      </c>
      <c r="D16" s="9">
        <f t="shared" si="3"/>
        <v>2.8252663316577047E-2</v>
      </c>
      <c r="E16" s="8">
        <f t="shared" si="4"/>
        <v>3.7127205691772261E-2</v>
      </c>
      <c r="F16" s="9">
        <f t="shared" si="5"/>
        <v>2.4060957850049816E-2</v>
      </c>
      <c r="G16" s="8">
        <f t="shared" si="6"/>
        <v>1.1822411495178377E-2</v>
      </c>
      <c r="H16" s="9">
        <f t="shared" si="7"/>
        <v>2.8735633115549161E-2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74A8E-281B-430D-BA7A-7D9E435D109A}">
  <dimension ref="A1:R41"/>
  <sheetViews>
    <sheetView zoomScale="85" zoomScaleNormal="85" workbookViewId="0">
      <selection activeCell="F25" sqref="F25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1.125765560468043</v>
      </c>
      <c r="D3" s="52" t="s">
        <v>78</v>
      </c>
      <c r="E3" s="17" t="s">
        <v>35</v>
      </c>
      <c r="F3" s="37" t="s">
        <v>54</v>
      </c>
      <c r="G3" s="63">
        <v>1.1360363404949549</v>
      </c>
      <c r="H3" s="37" t="s">
        <v>55</v>
      </c>
      <c r="I3" s="63" t="s">
        <v>35</v>
      </c>
      <c r="J3" s="62" t="s">
        <v>59</v>
      </c>
      <c r="K3" s="44">
        <v>1.113244691165084</v>
      </c>
      <c r="L3" s="62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66">
        <f>$C$3-($C$3*$A4)</f>
        <v>0.92875658738613542</v>
      </c>
      <c r="D4" s="66"/>
      <c r="E4" s="6">
        <v>0.72391149642652453</v>
      </c>
      <c r="F4" s="39"/>
      <c r="G4" s="64">
        <f>$G$3-($G$3*$A4)</f>
        <v>0.93722998090833787</v>
      </c>
      <c r="H4" s="39"/>
      <c r="I4" s="64">
        <v>0.82995673249463398</v>
      </c>
      <c r="J4" s="61"/>
      <c r="K4" s="45">
        <f>$K$3-($K$3*$A4)</f>
        <v>0.91842687021119429</v>
      </c>
      <c r="L4" s="61"/>
      <c r="M4" s="45">
        <v>0.83883886957862952</v>
      </c>
      <c r="N4" s="14"/>
      <c r="O4" s="14"/>
    </row>
    <row r="5" spans="1:18" x14ac:dyDescent="0.25">
      <c r="A5" s="4">
        <v>0.35</v>
      </c>
      <c r="B5" s="7"/>
      <c r="C5" s="66">
        <f t="shared" ref="C5:C7" si="0">$C$3-($C$3*$A5)</f>
        <v>0.73174761430422797</v>
      </c>
      <c r="D5" s="66"/>
      <c r="E5" s="6">
        <v>0.60437594568408981</v>
      </c>
      <c r="F5" s="39"/>
      <c r="G5" s="64">
        <f t="shared" ref="G5:G7" si="1">$G$3-($G$3*$A5)</f>
        <v>0.73842362132172079</v>
      </c>
      <c r="H5" s="39"/>
      <c r="I5" s="64">
        <v>0.6387745191763825</v>
      </c>
      <c r="J5" s="61"/>
      <c r="K5" s="45">
        <f t="shared" ref="K5:K7" si="2">$K$3-($K$3*$A5)</f>
        <v>0.72360904925730463</v>
      </c>
      <c r="L5" s="61"/>
      <c r="M5" s="45">
        <v>0.67874186953191629</v>
      </c>
      <c r="N5" s="14"/>
      <c r="O5" s="14"/>
    </row>
    <row r="6" spans="1:18" x14ac:dyDescent="0.25">
      <c r="A6" s="60">
        <v>0.52500000000000002</v>
      </c>
      <c r="B6" s="7"/>
      <c r="C6" s="66">
        <f t="shared" si="0"/>
        <v>0.5347386412223204</v>
      </c>
      <c r="D6" s="66"/>
      <c r="E6" s="6">
        <v>0.48224179601247208</v>
      </c>
      <c r="F6" s="39"/>
      <c r="G6" s="64">
        <f t="shared" si="1"/>
        <v>0.5396172617351036</v>
      </c>
      <c r="H6" s="39"/>
      <c r="I6" s="64">
        <v>0.45166001252447702</v>
      </c>
      <c r="J6" s="61"/>
      <c r="K6" s="45">
        <f t="shared" si="2"/>
        <v>0.52879122830341485</v>
      </c>
      <c r="L6" s="61"/>
      <c r="M6" s="45">
        <v>0.51563291434684189</v>
      </c>
      <c r="N6" s="14"/>
      <c r="O6" s="14"/>
    </row>
    <row r="7" spans="1:18" x14ac:dyDescent="0.25">
      <c r="A7" s="5">
        <v>0.7</v>
      </c>
      <c r="B7" s="8"/>
      <c r="C7" s="15">
        <f t="shared" si="0"/>
        <v>0.33772966814041294</v>
      </c>
      <c r="D7" s="15"/>
      <c r="E7" s="9">
        <v>0.36010764634085429</v>
      </c>
      <c r="F7" s="40"/>
      <c r="G7" s="65">
        <f t="shared" si="1"/>
        <v>0.34081090214848653</v>
      </c>
      <c r="H7" s="40"/>
      <c r="I7" s="65">
        <v>0.26047779920622638</v>
      </c>
      <c r="J7" s="46"/>
      <c r="K7" s="47">
        <f t="shared" si="2"/>
        <v>0.33397340734952519</v>
      </c>
      <c r="L7" s="46"/>
      <c r="M7" s="47">
        <v>0.35206058144817393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1.125765560468043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1.1360363404949549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1.113244691165084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6.2460463920162961E-2</v>
      </c>
      <c r="D17" s="7">
        <f>$D$16-($D$16*(A17*(0.1/0.15)))</f>
        <v>0.12870148818335544</v>
      </c>
      <c r="E17" s="6">
        <f>D17-(B17-C17)</f>
        <v>0.11102706323463671</v>
      </c>
      <c r="F17" s="7">
        <f>$F$16-($F$16*A17)</f>
        <v>8.0134888868881704E-2</v>
      </c>
      <c r="G17" s="6">
        <f>$B$11*(I4/$C$11)</f>
        <v>7.0962828632497907E-2</v>
      </c>
      <c r="H17" s="7">
        <f>F17</f>
        <v>8.0134888868881704E-2</v>
      </c>
      <c r="I17" s="6">
        <f>H17-(F17-G17)</f>
        <v>7.0962828632497907E-2</v>
      </c>
      <c r="J17" s="7">
        <f>$J$16-($J$16*A17)</f>
        <v>8.0134888868881704E-2</v>
      </c>
      <c r="K17" s="6">
        <f>$B$12*(M4/$C$12)</f>
        <v>7.3190649982969661E-2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5.2146708728843846E-2</v>
      </c>
      <c r="D18" s="7">
        <f>$D$16-($D$16*(A18*(0.1/0.15)))</f>
        <v>0.11170317842328963</v>
      </c>
      <c r="E18" s="6">
        <f>D18-(B18-C18)</f>
        <v>0.10071330804331759</v>
      </c>
      <c r="F18" s="7">
        <f>$F$16-($F$16*A18)</f>
        <v>6.3136579108815885E-2</v>
      </c>
      <c r="G18" s="6">
        <f>$B$11*(I5/$C$11)</f>
        <v>5.4616397414925431E-2</v>
      </c>
      <c r="H18" s="7">
        <f t="shared" ref="H18:H20" si="3">F18</f>
        <v>6.3136579108815885E-2</v>
      </c>
      <c r="I18" s="6">
        <f>H18-(F18-G18)</f>
        <v>5.4616397414925431E-2</v>
      </c>
      <c r="J18" s="7">
        <f>$J$16-($J$16*A18)</f>
        <v>6.3136579108815885E-2</v>
      </c>
      <c r="K18" s="6">
        <f>$B$12*(M5/$C$12)</f>
        <v>5.922181291700427E-2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60">
        <v>0.52500000000000002</v>
      </c>
      <c r="B19" s="7">
        <f>$B$16-($B$16*A19)</f>
        <v>4.6138269348750066E-2</v>
      </c>
      <c r="C19" s="6">
        <f>$B$10*(E6/$C$10)</f>
        <v>4.1608741468148268E-2</v>
      </c>
      <c r="D19" s="7">
        <f>$D$16-($D$16*(A19*(0.1/0.15)))</f>
        <v>9.4704868663223807E-2</v>
      </c>
      <c r="E19" s="6">
        <f>D19-(B19-C19)</f>
        <v>9.0175340782622015E-2</v>
      </c>
      <c r="F19" s="7">
        <f>$F$16-($F$16*A19)</f>
        <v>4.6138269348750066E-2</v>
      </c>
      <c r="G19" s="6">
        <f>$B$11*(I6/$C$11)</f>
        <v>3.8617762606237484E-2</v>
      </c>
      <c r="H19" s="7">
        <f t="shared" si="3"/>
        <v>4.6138269348750066E-2</v>
      </c>
      <c r="I19" s="6">
        <f t="shared" ref="I19:I20" si="4">H19-(F19-G19)</f>
        <v>3.8617762606237484E-2</v>
      </c>
      <c r="J19" s="7">
        <f>$J$16-($J$16*A19)</f>
        <v>4.6138269348750066E-2</v>
      </c>
      <c r="K19" s="6">
        <f>$B$12*(M6/$C$12)</f>
        <v>4.4990175732576403E-2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3.1070774207452682E-2</v>
      </c>
      <c r="D20" s="7">
        <f>$D$16-($D$16*(A20*(0.1/0.15)))</f>
        <v>7.7706558903158002E-2</v>
      </c>
      <c r="E20" s="6">
        <f t="shared" ref="E18:E20" si="5">D20-(B20-C20)</f>
        <v>7.963737352192643E-2</v>
      </c>
      <c r="F20" s="7">
        <f>$F$16-($F$16*A20)</f>
        <v>2.9139959588684261E-2</v>
      </c>
      <c r="G20" s="6">
        <f>$B$11*(I7/$C$11)</f>
        <v>2.2271331388665071E-2</v>
      </c>
      <c r="H20" s="7">
        <f t="shared" si="3"/>
        <v>2.9139959588684261E-2</v>
      </c>
      <c r="I20" s="6">
        <f t="shared" si="4"/>
        <v>2.2271331388665071E-2</v>
      </c>
      <c r="J20" s="7">
        <f>$J$16-($J$16*A20)</f>
        <v>2.9139959588684261E-2</v>
      </c>
      <c r="K20" s="6">
        <f>$B$12*(M7/$C$12)</f>
        <v>3.0718107760692802E-2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7.1297676394522336E-2</v>
      </c>
      <c r="C23" s="6">
        <f>(B17-C17)/($L$16*60)</f>
        <v>2.5839802556606351E-5</v>
      </c>
      <c r="D23" s="7">
        <f>(D17+E17)/2</f>
        <v>0.11986427570899608</v>
      </c>
      <c r="E23" s="6">
        <f>(D17-E17)/($L$16*60)</f>
        <v>2.5839802556606341E-5</v>
      </c>
      <c r="F23" s="7">
        <f>(F17+G17)/2</f>
        <v>7.5548858750689812E-2</v>
      </c>
      <c r="G23" s="6">
        <f>(F17-G17)/($L$16*60)</f>
        <v>1.3409444790034792E-5</v>
      </c>
      <c r="H23" s="7">
        <f>(H17+I17)/2</f>
        <v>7.5548858750689812E-2</v>
      </c>
      <c r="I23" s="6">
        <f>(H17-I17)/($L$16*60)</f>
        <v>1.3409444790034792E-5</v>
      </c>
      <c r="J23" s="7">
        <f>(J17+K17)/2</f>
        <v>7.6662769425925675E-2</v>
      </c>
      <c r="K23" s="6">
        <f>(J17-K17)/($L$16*60)</f>
        <v>1.0152396032035151E-5</v>
      </c>
      <c r="L23" s="14"/>
      <c r="Q23" s="14"/>
      <c r="R23" s="14"/>
    </row>
    <row r="24" spans="1:18" x14ac:dyDescent="0.25">
      <c r="A24" s="14"/>
      <c r="B24" s="7">
        <f t="shared" ref="B24:B25" si="6">(B18+C18)/2</f>
        <v>5.7641643918829866E-2</v>
      </c>
      <c r="C24" s="6">
        <f>(B18-C18)/($L$16*60)</f>
        <v>1.606706195902345E-5</v>
      </c>
      <c r="D24" s="7">
        <f t="shared" ref="D24:D26" si="7">(D18+E18)/2</f>
        <v>0.10620824323330361</v>
      </c>
      <c r="E24" s="6">
        <f>(D18-E18)/($L$16*60)</f>
        <v>1.606706195902345E-5</v>
      </c>
      <c r="F24" s="7">
        <f t="shared" ref="F24:F26" si="8">(F18+G18)/2</f>
        <v>5.8876488261870655E-2</v>
      </c>
      <c r="G24" s="6">
        <f>(F18-G18)/($L$16*60)</f>
        <v>1.2456405985219961E-5</v>
      </c>
      <c r="H24" s="7">
        <f t="shared" ref="H24:H26" si="9">(H18+I18)/2</f>
        <v>5.8876488261870655E-2</v>
      </c>
      <c r="I24" s="6">
        <f>(H18-I18)/($L$16*60)</f>
        <v>1.2456405985219961E-5</v>
      </c>
      <c r="J24" s="7">
        <f t="shared" ref="J24:J26" si="10">(J18+K18)/2</f>
        <v>6.1179196012910081E-2</v>
      </c>
      <c r="K24" s="6">
        <f>(J18-K18)/($L$16*60)</f>
        <v>5.7233423856894956E-6</v>
      </c>
      <c r="L24" s="14"/>
      <c r="Q24" s="50"/>
      <c r="R24" s="14"/>
    </row>
    <row r="25" spans="1:18" x14ac:dyDescent="0.25">
      <c r="A25" s="14"/>
      <c r="B25" s="7">
        <f t="shared" si="6"/>
        <v>4.387350540844917E-2</v>
      </c>
      <c r="C25" s="6">
        <f>(B19-C19)/($L$16*60)</f>
        <v>6.6221167845055529E-6</v>
      </c>
      <c r="D25" s="7">
        <f t="shared" si="7"/>
        <v>9.2440104722922911E-2</v>
      </c>
      <c r="E25" s="6">
        <f>(D19-E19)/($L$16*60)</f>
        <v>6.6221167845055427E-6</v>
      </c>
      <c r="F25" s="7">
        <f t="shared" si="8"/>
        <v>4.2378015977493771E-2</v>
      </c>
      <c r="G25" s="6">
        <f>(F19-G19)/($L$16*60)</f>
        <v>1.0994892898410209E-5</v>
      </c>
      <c r="H25" s="7">
        <f t="shared" si="9"/>
        <v>4.2378015977493771E-2</v>
      </c>
      <c r="I25" s="6">
        <f>(H19-I19)/($L$16*60)</f>
        <v>1.0994892898410209E-5</v>
      </c>
      <c r="J25" s="7">
        <f t="shared" si="10"/>
        <v>4.5564222540663238E-2</v>
      </c>
      <c r="K25" s="6">
        <f>(J19-K19)/($L$16*60)</f>
        <v>1.6784994388503853E-6</v>
      </c>
      <c r="L25" s="14"/>
      <c r="Q25" s="14"/>
      <c r="R25" s="14"/>
    </row>
    <row r="26" spans="1:18" x14ac:dyDescent="0.25">
      <c r="A26" s="14"/>
      <c r="B26" s="8">
        <f>(B20+C20)/2</f>
        <v>3.0105366898068472E-2</v>
      </c>
      <c r="C26" s="9">
        <f>(B20-C20)/($L$16*60)</f>
        <v>-2.8228283900123118E-6</v>
      </c>
      <c r="D26" s="8">
        <f t="shared" si="7"/>
        <v>7.8671966212542216E-2</v>
      </c>
      <c r="E26" s="9">
        <f>(D20-E20)/($L$16*60)</f>
        <v>-2.822828390012322E-6</v>
      </c>
      <c r="F26" s="8">
        <f t="shared" si="8"/>
        <v>2.5705645488674666E-2</v>
      </c>
      <c r="G26" s="9">
        <f>(F20-G20)/($L$16*60)</f>
        <v>1.0041854093595308E-5</v>
      </c>
      <c r="H26" s="8">
        <f t="shared" si="9"/>
        <v>2.5705645488674666E-2</v>
      </c>
      <c r="I26" s="9">
        <f>(H20-I20)/($L$16*60)</f>
        <v>1.0041854093595308E-5</v>
      </c>
      <c r="J26" s="8">
        <f t="shared" si="10"/>
        <v>2.9929033674688531E-2</v>
      </c>
      <c r="K26" s="9">
        <f>(J20-K20)/($L$16*60)</f>
        <v>-2.3072341696031297E-6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5357A-5479-4B47-8C6E-520A7AEBD6F4}">
  <dimension ref="A1:W35"/>
  <sheetViews>
    <sheetView zoomScale="70" zoomScaleNormal="70" workbookViewId="0">
      <selection activeCell="F13" sqref="F13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'SPKA-2'!B23</f>
        <v>7.1297676394522336E-2</v>
      </c>
      <c r="B3" s="13">
        <f>'SPKA-2'!C23</f>
        <v>2.5839802556606351E-5</v>
      </c>
      <c r="C3" s="13">
        <f>'SPKA-2'!D23</f>
        <v>0.11986427570899608</v>
      </c>
      <c r="D3" s="13">
        <f>'SPKA-2'!E23</f>
        <v>2.5839802556606341E-5</v>
      </c>
      <c r="E3" s="13">
        <f>'SPKA-2'!F23</f>
        <v>7.5548858750689812E-2</v>
      </c>
      <c r="F3" s="13">
        <f>'SPKA-2'!G23</f>
        <v>1.3409444790034792E-5</v>
      </c>
      <c r="G3" s="13">
        <f>'SPKA-2'!H23</f>
        <v>7.5548858750689812E-2</v>
      </c>
      <c r="H3" s="13">
        <f>'SPKA-2'!I23</f>
        <v>1.3409444790034792E-5</v>
      </c>
      <c r="I3" s="13">
        <f>'SPKA-2'!J23</f>
        <v>7.6662769425925675E-2</v>
      </c>
      <c r="J3" s="17">
        <f>'SPKA-2'!K23</f>
        <v>1.0152396032035151E-5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'SPKA-2'!B24</f>
        <v>5.7641643918829866E-2</v>
      </c>
      <c r="B4" s="66">
        <f>'SPKA-2'!C24</f>
        <v>1.606706195902345E-5</v>
      </c>
      <c r="C4" s="66">
        <f>'SPKA-2'!D24</f>
        <v>0.10620824323330361</v>
      </c>
      <c r="D4" s="66">
        <f>'SPKA-2'!E24</f>
        <v>1.606706195902345E-5</v>
      </c>
      <c r="E4" s="66">
        <f>'SPKA-2'!F24</f>
        <v>5.8876488261870655E-2</v>
      </c>
      <c r="F4" s="66">
        <f>'SPKA-2'!G24</f>
        <v>1.2456405985219961E-5</v>
      </c>
      <c r="G4" s="66">
        <f>'SPKA-2'!H24</f>
        <v>5.8876488261870655E-2</v>
      </c>
      <c r="H4" s="66">
        <f>'SPKA-2'!I24</f>
        <v>1.2456405985219961E-5</v>
      </c>
      <c r="I4" s="66">
        <f>'SPKA-2'!J24</f>
        <v>6.1179196012910081E-2</v>
      </c>
      <c r="J4" s="6">
        <f>'SPKA-2'!K24</f>
        <v>5.7233423856894956E-6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'SPKA-2'!B25</f>
        <v>4.387350540844917E-2</v>
      </c>
      <c r="B5" s="66">
        <f>'SPKA-2'!C25</f>
        <v>6.6221167845055529E-6</v>
      </c>
      <c r="C5" s="66">
        <f>'SPKA-2'!D25</f>
        <v>9.2440104722922911E-2</v>
      </c>
      <c r="D5" s="66">
        <f>'SPKA-2'!E25</f>
        <v>6.6221167845055427E-6</v>
      </c>
      <c r="E5" s="66">
        <f>'SPKA-2'!F25</f>
        <v>4.2378015977493771E-2</v>
      </c>
      <c r="F5" s="66">
        <f>'SPKA-2'!G25</f>
        <v>1.0994892898410209E-5</v>
      </c>
      <c r="G5" s="66">
        <f>'SPKA-2'!H25</f>
        <v>4.2378015977493771E-2</v>
      </c>
      <c r="H5" s="66">
        <f>'SPKA-2'!I25</f>
        <v>1.0994892898410209E-5</v>
      </c>
      <c r="I5" s="66">
        <f>'SPKA-2'!J25</f>
        <v>4.5564222540663238E-2</v>
      </c>
      <c r="J5" s="6">
        <f>'SPKA-2'!K25</f>
        <v>1.6784994388503853E-6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'SPKA-2'!B26</f>
        <v>3.0105366898068472E-2</v>
      </c>
      <c r="B6" s="15">
        <f>'SPKA-2'!C26</f>
        <v>-2.8228283900123118E-6</v>
      </c>
      <c r="C6" s="15">
        <f>'SPKA-2'!D26</f>
        <v>7.8671966212542216E-2</v>
      </c>
      <c r="D6" s="15">
        <f>'SPKA-2'!E26</f>
        <v>-2.822828390012322E-6</v>
      </c>
      <c r="E6" s="15">
        <f>'SPKA-2'!F26</f>
        <v>2.5705645488674666E-2</v>
      </c>
      <c r="F6" s="15">
        <f>'SPKA-2'!G26</f>
        <v>1.0041854093595308E-5</v>
      </c>
      <c r="G6" s="15">
        <f>'SPKA-2'!H26</f>
        <v>2.5705645488674666E-2</v>
      </c>
      <c r="H6" s="15">
        <f>'SPKA-2'!I26</f>
        <v>1.0041854093595308E-5</v>
      </c>
      <c r="I6" s="15">
        <f>'SPKA-2'!J26</f>
        <v>2.9929033674688531E-2</v>
      </c>
      <c r="J6" s="9">
        <f>'SPKA-2'!K26</f>
        <v>-2.3072341696031297E-6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0.3</v>
      </c>
      <c r="C10" s="31" t="s">
        <v>66</v>
      </c>
      <c r="D10" s="6">
        <v>1</v>
      </c>
      <c r="E10" s="55" t="s">
        <v>69</v>
      </c>
      <c r="F10" s="31">
        <v>1.7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4.8829498197766037E-5</v>
      </c>
      <c r="B13" s="17">
        <f>A3^$D$10</f>
        <v>7.1297676394522336E-2</v>
      </c>
      <c r="C13" s="12">
        <f>H3/G3^$B$10</f>
        <v>2.910331259655927E-5</v>
      </c>
      <c r="D13" s="17">
        <f>E3^$D$10</f>
        <v>7.5548858750689812E-2</v>
      </c>
      <c r="E13" s="12">
        <f>B3/0.02^$F$10</f>
        <v>1.9977364710155751E-2</v>
      </c>
      <c r="F13" s="17">
        <f>A3</f>
        <v>7.1297676394522336E-2</v>
      </c>
      <c r="G13" s="12">
        <f>J3/0.01^$F$10</f>
        <v>2.5501665840180762E-2</v>
      </c>
      <c r="H13" s="17">
        <f>I3</f>
        <v>7.6662769425925675E-2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3.1483934546421752E-5</v>
      </c>
      <c r="B14" s="6">
        <f t="shared" ref="B14:B16" si="1">A4^$D$10</f>
        <v>5.7641643918829866E-2</v>
      </c>
      <c r="C14" s="7">
        <f t="shared" ref="C14:C16" si="2">H4/G4^$B$10</f>
        <v>2.9134675482831144E-5</v>
      </c>
      <c r="D14" s="6">
        <f t="shared" ref="D14:D16" si="3">E4^$D$10</f>
        <v>5.8876488261870655E-2</v>
      </c>
      <c r="E14" s="7">
        <f t="shared" ref="E14:E16" si="4">B4/0.02^$F$10</f>
        <v>1.2421826980795489E-2</v>
      </c>
      <c r="F14" s="6">
        <f t="shared" ref="F14:F16" si="5">A4</f>
        <v>5.7641643918829866E-2</v>
      </c>
      <c r="G14" s="7">
        <f t="shared" ref="G14:G16" si="6">J4/0.01^$F$10</f>
        <v>1.4376386081497095E-2</v>
      </c>
      <c r="H14" s="6">
        <f t="shared" ref="H14:H16" si="7">I4</f>
        <v>6.1179196012910081E-2</v>
      </c>
    </row>
    <row r="15" spans="1:23" x14ac:dyDescent="0.25">
      <c r="A15" s="7">
        <f t="shared" si="0"/>
        <v>1.3528159244704513E-5</v>
      </c>
      <c r="B15" s="6">
        <f t="shared" si="1"/>
        <v>4.387350540844917E-2</v>
      </c>
      <c r="C15" s="7">
        <f t="shared" si="2"/>
        <v>2.8382380443457442E-5</v>
      </c>
      <c r="D15" s="6">
        <f t="shared" si="3"/>
        <v>4.2378015977493771E-2</v>
      </c>
      <c r="E15" s="7">
        <f t="shared" si="4"/>
        <v>5.1197156738137951E-3</v>
      </c>
      <c r="F15" s="6">
        <f t="shared" si="5"/>
        <v>4.387350540844917E-2</v>
      </c>
      <c r="G15" s="7">
        <f t="shared" si="6"/>
        <v>4.2161999657447215E-3</v>
      </c>
      <c r="H15" s="6">
        <f t="shared" si="7"/>
        <v>4.5564222540663238E-2</v>
      </c>
    </row>
    <row r="16" spans="1:23" x14ac:dyDescent="0.25">
      <c r="A16" s="8">
        <f t="shared" si="0"/>
        <v>-6.0525512466957806E-6</v>
      </c>
      <c r="B16" s="9">
        <f t="shared" si="1"/>
        <v>3.0105366898068472E-2</v>
      </c>
      <c r="C16" s="8">
        <f t="shared" si="2"/>
        <v>3.0116559217703073E-5</v>
      </c>
      <c r="D16" s="9">
        <f t="shared" si="3"/>
        <v>2.5705645488674666E-2</v>
      </c>
      <c r="E16" s="8">
        <f t="shared" si="4"/>
        <v>-2.1823956331678729E-3</v>
      </c>
      <c r="F16" s="9">
        <f t="shared" si="5"/>
        <v>3.0105366898068472E-2</v>
      </c>
      <c r="G16" s="8">
        <f t="shared" si="6"/>
        <v>-5.7955102049413671E-3</v>
      </c>
      <c r="H16" s="9">
        <f t="shared" si="7"/>
        <v>2.9929033674688531E-2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24EE1-07D8-4C6F-8918-C1397C8D8D7F}">
  <dimension ref="A1:R41"/>
  <sheetViews>
    <sheetView zoomScale="85" zoomScaleNormal="85" workbookViewId="0">
      <selection activeCell="C17" sqref="C17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1.053877627116226</v>
      </c>
      <c r="D3" s="52" t="s">
        <v>78</v>
      </c>
      <c r="E3" s="17" t="s">
        <v>35</v>
      </c>
      <c r="F3" s="37" t="s">
        <v>54</v>
      </c>
      <c r="G3" s="63">
        <v>1.17778057247317</v>
      </c>
      <c r="H3" s="37" t="s">
        <v>55</v>
      </c>
      <c r="I3" s="63" t="s">
        <v>35</v>
      </c>
      <c r="J3" s="62" t="s">
        <v>59</v>
      </c>
      <c r="K3" s="44">
        <v>1.193144103129318</v>
      </c>
      <c r="L3" s="62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66">
        <f>$C$3-($C$3*$A4)</f>
        <v>0.86944904237088649</v>
      </c>
      <c r="D4" s="66"/>
      <c r="E4" s="6">
        <v>0.78373142913740335</v>
      </c>
      <c r="F4" s="39"/>
      <c r="G4" s="64">
        <f>$G$3-($G$3*$A4)</f>
        <v>0.97166897229036531</v>
      </c>
      <c r="H4" s="39"/>
      <c r="I4" s="64">
        <v>0.77794316333130453</v>
      </c>
      <c r="J4" s="61"/>
      <c r="K4" s="45">
        <f>$K$3-($K$3*$A4)</f>
        <v>0.98434388508168735</v>
      </c>
      <c r="L4" s="61"/>
      <c r="M4" s="45">
        <v>0.78233763084454466</v>
      </c>
      <c r="N4" s="14"/>
      <c r="O4" s="14"/>
    </row>
    <row r="5" spans="1:18" x14ac:dyDescent="0.25">
      <c r="A5" s="4">
        <v>0.35</v>
      </c>
      <c r="B5" s="7"/>
      <c r="C5" s="66">
        <f t="shared" ref="C5:C7" si="0">$C$3-($C$3*$A5)</f>
        <v>0.68502045762554697</v>
      </c>
      <c r="D5" s="66"/>
      <c r="E5" s="6">
        <v>0.62791480756529339</v>
      </c>
      <c r="F5" s="39"/>
      <c r="G5" s="64">
        <f t="shared" ref="G5:G7" si="1">$G$3-($G$3*$A5)</f>
        <v>0.76555737210756059</v>
      </c>
      <c r="H5" s="39"/>
      <c r="I5" s="64">
        <v>0.6157891704476075</v>
      </c>
      <c r="J5" s="61"/>
      <c r="K5" s="45">
        <f t="shared" ref="K5:K7" si="2">$K$3-($K$3*$A5)</f>
        <v>0.77554366703405675</v>
      </c>
      <c r="L5" s="61"/>
      <c r="M5" s="45">
        <v>0.64255992138025331</v>
      </c>
      <c r="N5" s="14"/>
      <c r="O5" s="14"/>
    </row>
    <row r="6" spans="1:18" x14ac:dyDescent="0.25">
      <c r="A6" s="60">
        <v>0.52500000000000002</v>
      </c>
      <c r="B6" s="7"/>
      <c r="C6" s="66">
        <f t="shared" si="0"/>
        <v>0.50059187288020734</v>
      </c>
      <c r="D6" s="66"/>
      <c r="E6" s="6">
        <v>0.46871086813292079</v>
      </c>
      <c r="F6" s="39"/>
      <c r="G6" s="64">
        <f t="shared" si="1"/>
        <v>0.55944577192475575</v>
      </c>
      <c r="H6" s="39"/>
      <c r="I6" s="64">
        <v>0.45363517756391142</v>
      </c>
      <c r="J6" s="61"/>
      <c r="K6" s="45">
        <f t="shared" si="2"/>
        <v>0.56674344898642603</v>
      </c>
      <c r="L6" s="61"/>
      <c r="M6" s="45">
        <v>0.50278221191596106</v>
      </c>
      <c r="N6" s="14"/>
      <c r="O6" s="14"/>
    </row>
    <row r="7" spans="1:18" x14ac:dyDescent="0.25">
      <c r="A7" s="5">
        <v>0.7</v>
      </c>
      <c r="B7" s="8"/>
      <c r="C7" s="15">
        <f t="shared" si="0"/>
        <v>0.31616328813486783</v>
      </c>
      <c r="D7" s="15"/>
      <c r="E7" s="9">
        <v>0.31289424656081088</v>
      </c>
      <c r="F7" s="40"/>
      <c r="G7" s="65">
        <f t="shared" si="1"/>
        <v>0.35333417174195103</v>
      </c>
      <c r="H7" s="40"/>
      <c r="I7" s="65">
        <v>0.29148118468021428</v>
      </c>
      <c r="J7" s="46"/>
      <c r="K7" s="47">
        <f t="shared" si="2"/>
        <v>0.35794323093879543</v>
      </c>
      <c r="L7" s="46"/>
      <c r="M7" s="47">
        <v>0.36003050863328051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1.053877627116226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1.17778057247317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1.193144103129318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7.2234516246881833E-2</v>
      </c>
      <c r="D17" s="7">
        <f>$D$16-($D$16*(A17*(0.1/0.15)))</f>
        <v>0.12870148818335544</v>
      </c>
      <c r="E17" s="6">
        <f>D17-(B17-C17)</f>
        <v>0.12080111556135557</v>
      </c>
      <c r="F17" s="7">
        <f>$F$16-($F$16*A17)</f>
        <v>8.0134888868881704E-2</v>
      </c>
      <c r="G17" s="6">
        <f>$B$11*(I4/$C$11)</f>
        <v>6.4158052503122537E-2</v>
      </c>
      <c r="H17" s="7">
        <f>F17</f>
        <v>8.0134888868881704E-2</v>
      </c>
      <c r="I17" s="6">
        <f>H17-(F17-G17)</f>
        <v>6.4158052503122537E-2</v>
      </c>
      <c r="J17" s="7">
        <f>$J$16-($J$16*A17)</f>
        <v>8.0134888868881704E-2</v>
      </c>
      <c r="K17" s="6">
        <f>$B$12*(M4/$C$12)</f>
        <v>6.368967192849391E-2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5.7873297768157875E-2</v>
      </c>
      <c r="D18" s="7">
        <f>$D$16-($D$16*(A18*(0.1/0.15)))</f>
        <v>0.11170317842328963</v>
      </c>
      <c r="E18" s="6">
        <f>D18-(B18-C18)</f>
        <v>0.10643989708263162</v>
      </c>
      <c r="F18" s="7">
        <f>$F$16-($F$16*A18)</f>
        <v>6.3136579108815885E-2</v>
      </c>
      <c r="G18" s="6">
        <f>$B$11*(I5/$C$11)</f>
        <v>5.0784987632324724E-2</v>
      </c>
      <c r="H18" s="7">
        <f t="shared" ref="H18:H20" si="3">F18</f>
        <v>6.3136579108815885E-2</v>
      </c>
      <c r="I18" s="6">
        <f>H18-(F18-G18)</f>
        <v>5.0784987632324724E-2</v>
      </c>
      <c r="J18" s="7">
        <f>$J$16-($J$16*A18)</f>
        <v>6.3136579108815885E-2</v>
      </c>
      <c r="K18" s="6">
        <f>$B$12*(M5/$C$12)</f>
        <v>5.2310446249311394E-2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60">
        <v>0.52500000000000002</v>
      </c>
      <c r="B19" s="7">
        <f>$B$16-($B$16*A19)</f>
        <v>4.6138269348750066E-2</v>
      </c>
      <c r="C19" s="6">
        <f>$B$10*(E6/$C$10)</f>
        <v>4.319987888772258E-2</v>
      </c>
      <c r="D19" s="7">
        <f>$D$16-($D$16*(A19*(0.1/0.15)))</f>
        <v>9.4704868663223807E-2</v>
      </c>
      <c r="E19" s="6">
        <f>D19-(B19-C19)</f>
        <v>9.1766478202196328E-2</v>
      </c>
      <c r="F19" s="7">
        <f>$F$16-($F$16*A19)</f>
        <v>4.6138269348750066E-2</v>
      </c>
      <c r="G19" s="6">
        <f>$B$11*(I6/$C$11)</f>
        <v>3.7411922761526988E-2</v>
      </c>
      <c r="H19" s="7">
        <f t="shared" si="3"/>
        <v>4.6138269348750066E-2</v>
      </c>
      <c r="I19" s="6">
        <f t="shared" ref="I19:I20" si="4">H19-(F19-G19)</f>
        <v>3.7411922761526988E-2</v>
      </c>
      <c r="J19" s="7">
        <f>$J$16-($J$16*A19)</f>
        <v>4.6138269348750066E-2</v>
      </c>
      <c r="K19" s="6">
        <f>$B$12*(M6/$C$12)</f>
        <v>4.0931220570128803E-2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2.8838660408998622E-2</v>
      </c>
      <c r="D20" s="7">
        <f>$D$16-($D$16*(A20*(0.1/0.15)))</f>
        <v>7.7706558903158002E-2</v>
      </c>
      <c r="E20" s="6">
        <f t="shared" ref="E20" si="5">D20-(B20-C20)</f>
        <v>7.7405259723472369E-2</v>
      </c>
      <c r="F20" s="7">
        <f>$F$16-($F$16*A20)</f>
        <v>2.9139959588684261E-2</v>
      </c>
      <c r="G20" s="6">
        <f>$B$11*(I7/$C$11)</f>
        <v>2.4038857890729175E-2</v>
      </c>
      <c r="H20" s="7">
        <f t="shared" si="3"/>
        <v>2.9139959588684261E-2</v>
      </c>
      <c r="I20" s="6">
        <f t="shared" si="4"/>
        <v>2.4038857890729175E-2</v>
      </c>
      <c r="J20" s="7">
        <f>$J$16-($J$16*A20)</f>
        <v>2.9139959588684261E-2</v>
      </c>
      <c r="K20" s="6">
        <f>$B$12*(M7/$C$12)</f>
        <v>2.9309883706282833E-2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7.6184702557881762E-2</v>
      </c>
      <c r="C23" s="6">
        <f>(B17-C17)/($L$16*60)</f>
        <v>1.155025237134484E-5</v>
      </c>
      <c r="D23" s="7">
        <f>(D17+E17)/2</f>
        <v>0.1247513018723555</v>
      </c>
      <c r="E23" s="6">
        <f>(D17-E17)/($L$16*60)</f>
        <v>1.155025237134484E-5</v>
      </c>
      <c r="F23" s="7">
        <f>(F17+G17)/2</f>
        <v>7.214647068600212E-2</v>
      </c>
      <c r="G23" s="6">
        <f>(F17-G17)/($L$16*60)</f>
        <v>2.3357947903156677E-5</v>
      </c>
      <c r="H23" s="7">
        <f>(H17+I17)/2</f>
        <v>7.214647068600212E-2</v>
      </c>
      <c r="I23" s="6">
        <f>(H17-I17)/($L$16*60)</f>
        <v>2.3357947903156677E-5</v>
      </c>
      <c r="J23" s="7">
        <f>(J17+K17)/2</f>
        <v>7.19122803986878E-2</v>
      </c>
      <c r="K23" s="6">
        <f>(J17-K17)/($L$16*60)</f>
        <v>2.4042714825128354E-5</v>
      </c>
      <c r="L23" s="14"/>
      <c r="Q23" s="14"/>
      <c r="R23" s="14"/>
    </row>
    <row r="24" spans="1:18" x14ac:dyDescent="0.25">
      <c r="A24" s="14"/>
      <c r="B24" s="7">
        <f t="shared" ref="B24:B25" si="6">(B18+C18)/2</f>
        <v>6.050493843848688E-2</v>
      </c>
      <c r="C24" s="6">
        <f>(B18-C18)/($L$16*60)</f>
        <v>7.694855761195921E-6</v>
      </c>
      <c r="D24" s="7">
        <f t="shared" ref="D24:D26" si="7">(D18+E18)/2</f>
        <v>0.10907153775296062</v>
      </c>
      <c r="E24" s="6">
        <f>(D18-E18)/($L$16*60)</f>
        <v>7.694855761195921E-6</v>
      </c>
      <c r="F24" s="7">
        <f t="shared" ref="F24:F26" si="8">(F18+G18)/2</f>
        <v>5.6960783370570305E-2</v>
      </c>
      <c r="G24" s="6">
        <f>(F18-G18)/($L$16*60)</f>
        <v>1.8057882275571872E-5</v>
      </c>
      <c r="H24" s="7">
        <f t="shared" ref="H24:H26" si="9">(H18+I18)/2</f>
        <v>5.6960783370570305E-2</v>
      </c>
      <c r="I24" s="6">
        <f>(H18-I18)/($L$16*60)</f>
        <v>1.8057882275571872E-5</v>
      </c>
      <c r="J24" s="7">
        <f t="shared" ref="J24:J26" si="10">(J18+K18)/2</f>
        <v>5.7723512679063643E-2</v>
      </c>
      <c r="K24" s="6">
        <f>(J18-K18)/($L$16*60)</f>
        <v>1.5827679619158611E-5</v>
      </c>
      <c r="L24" s="14"/>
      <c r="Q24" s="50"/>
      <c r="R24" s="14"/>
    </row>
    <row r="25" spans="1:18" x14ac:dyDescent="0.25">
      <c r="A25" s="14"/>
      <c r="B25" s="7">
        <f t="shared" si="6"/>
        <v>4.4669074118236327E-2</v>
      </c>
      <c r="C25" s="6">
        <f>(B19-C19)/($L$16*60)</f>
        <v>4.2958924868822897E-6</v>
      </c>
      <c r="D25" s="7">
        <f t="shared" si="7"/>
        <v>9.3235673432710067E-2</v>
      </c>
      <c r="E25" s="6">
        <f>(D19-E19)/($L$16*60)</f>
        <v>4.2958924868822796E-6</v>
      </c>
      <c r="F25" s="7">
        <f t="shared" si="8"/>
        <v>4.177509605513853E-2</v>
      </c>
      <c r="G25" s="6">
        <f>(F19-G19)/($L$16*60)</f>
        <v>1.2757816647986958E-5</v>
      </c>
      <c r="H25" s="7">
        <f t="shared" si="9"/>
        <v>4.177509605513853E-2</v>
      </c>
      <c r="I25" s="6">
        <f>(H19-I19)/($L$16*60)</f>
        <v>1.2757816647986958E-5</v>
      </c>
      <c r="J25" s="7">
        <f t="shared" si="10"/>
        <v>4.3534744959439431E-2</v>
      </c>
      <c r="K25" s="6">
        <f>(J19-K19)/($L$16*60)</f>
        <v>7.6126444131889822E-6</v>
      </c>
      <c r="L25" s="14"/>
      <c r="Q25" s="14"/>
      <c r="R25" s="14"/>
    </row>
    <row r="26" spans="1:18" x14ac:dyDescent="0.25">
      <c r="A26" s="14"/>
      <c r="B26" s="8">
        <f>(B20+C20)/2</f>
        <v>2.8989309998841441E-2</v>
      </c>
      <c r="C26" s="9">
        <f>(B20-C20)/($L$16*60)</f>
        <v>4.404958767333908E-7</v>
      </c>
      <c r="D26" s="8">
        <f t="shared" si="7"/>
        <v>7.7555909313315186E-2</v>
      </c>
      <c r="E26" s="9">
        <f>(D20-E20)/($L$16*60)</f>
        <v>4.4049587673338064E-7</v>
      </c>
      <c r="F26" s="8">
        <f t="shared" si="8"/>
        <v>2.6589408739706718E-2</v>
      </c>
      <c r="G26" s="9">
        <f>(F20-G20)/($L$16*60)</f>
        <v>7.4577510204021727E-6</v>
      </c>
      <c r="H26" s="8">
        <f t="shared" si="9"/>
        <v>2.6589408739706718E-2</v>
      </c>
      <c r="I26" s="9">
        <f>(H20-I20)/($L$16*60)</f>
        <v>7.4577510204021727E-6</v>
      </c>
      <c r="J26" s="8">
        <f t="shared" si="10"/>
        <v>2.9224921647483547E-2</v>
      </c>
      <c r="K26" s="9">
        <f>(J20-K20)/($L$16*60)</f>
        <v>-2.4842707251253162E-7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4C43A-832C-43E1-BEEA-AE4882B546CB}">
  <dimension ref="A1:W35"/>
  <sheetViews>
    <sheetView zoomScale="70" zoomScaleNormal="70" workbookViewId="0">
      <selection activeCell="A13" sqref="A13"/>
    </sheetView>
  </sheetViews>
  <sheetFormatPr defaultRowHeight="15" x14ac:dyDescent="0.25"/>
  <cols>
    <col min="1" max="1" width="20.5703125" bestFit="1" customWidth="1"/>
    <col min="2" max="2" width="22.85546875" bestFit="1" customWidth="1"/>
    <col min="3" max="3" width="20.5703125" bestFit="1" customWidth="1"/>
    <col min="4" max="4" width="22.85546875" bestFit="1" customWidth="1"/>
    <col min="5" max="5" width="20.5703125" bestFit="1" customWidth="1"/>
    <col min="6" max="6" width="22.85546875" bestFit="1" customWidth="1"/>
    <col min="7" max="7" width="20.5703125" bestFit="1" customWidth="1"/>
    <col min="8" max="8" width="22.85546875" bestFit="1" customWidth="1"/>
    <col min="9" max="9" width="20.5703125" bestFit="1" customWidth="1"/>
    <col min="10" max="10" width="22.85546875" bestFit="1" customWidth="1"/>
    <col min="11" max="11" width="14.85546875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16.285156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23" x14ac:dyDescent="0.25">
      <c r="A1" s="1" t="s">
        <v>2</v>
      </c>
      <c r="B1" s="16" t="s">
        <v>56</v>
      </c>
      <c r="C1" s="22"/>
      <c r="D1" s="23"/>
      <c r="E1" s="1" t="s">
        <v>2</v>
      </c>
      <c r="F1" s="16" t="s">
        <v>57</v>
      </c>
      <c r="G1" s="22"/>
      <c r="H1" s="23"/>
      <c r="I1" s="48" t="s">
        <v>2</v>
      </c>
      <c r="J1" s="49" t="s">
        <v>58</v>
      </c>
      <c r="K1" s="31" t="s">
        <v>53</v>
      </c>
    </row>
    <row r="2" spans="1:23" x14ac:dyDescent="0.25">
      <c r="A2" s="55" t="s">
        <v>9</v>
      </c>
      <c r="B2" s="56" t="s">
        <v>13</v>
      </c>
      <c r="C2" s="55" t="s">
        <v>64</v>
      </c>
      <c r="D2" s="56" t="s">
        <v>13</v>
      </c>
      <c r="E2" s="55" t="s">
        <v>9</v>
      </c>
      <c r="F2" s="56" t="s">
        <v>13</v>
      </c>
      <c r="G2" s="55" t="s">
        <v>64</v>
      </c>
      <c r="H2" s="56" t="s">
        <v>13</v>
      </c>
      <c r="I2" s="32" t="s">
        <v>9</v>
      </c>
      <c r="J2" s="51" t="s">
        <v>13</v>
      </c>
      <c r="K2" s="14">
        <v>11.4</v>
      </c>
      <c r="P2" s="31"/>
      <c r="Q2" s="31"/>
      <c r="R2" s="31"/>
      <c r="S2" s="31"/>
      <c r="T2" s="31"/>
      <c r="U2" s="31"/>
      <c r="V2" s="31"/>
      <c r="W2" s="31"/>
    </row>
    <row r="3" spans="1:23" x14ac:dyDescent="0.25">
      <c r="A3" s="12">
        <f>'SPKA-3'!B23</f>
        <v>7.6184702557881762E-2</v>
      </c>
      <c r="B3" s="12">
        <f>'SPKA-3'!C23</f>
        <v>1.155025237134484E-5</v>
      </c>
      <c r="C3" s="12">
        <f>'SPKA-3'!D23</f>
        <v>0.1247513018723555</v>
      </c>
      <c r="D3" s="12">
        <f>'SPKA-3'!E23</f>
        <v>1.155025237134484E-5</v>
      </c>
      <c r="E3" s="12">
        <f>'SPKA-3'!F23</f>
        <v>7.214647068600212E-2</v>
      </c>
      <c r="F3" s="12">
        <f>'SPKA-3'!G23</f>
        <v>2.3357947903156677E-5</v>
      </c>
      <c r="G3" s="12">
        <f>'SPKA-3'!H23</f>
        <v>7.214647068600212E-2</v>
      </c>
      <c r="H3" s="12">
        <f>'SPKA-3'!I23</f>
        <v>2.3357947903156677E-5</v>
      </c>
      <c r="I3" s="12">
        <f>'SPKA-3'!J23</f>
        <v>7.19122803986878E-2</v>
      </c>
      <c r="J3" s="12">
        <f>'SPKA-3'!K23</f>
        <v>2.4042714825128354E-5</v>
      </c>
      <c r="K3" s="14"/>
      <c r="P3" s="31"/>
      <c r="Q3" s="14"/>
      <c r="R3" s="31"/>
      <c r="S3" s="14"/>
      <c r="T3" s="31"/>
      <c r="U3" s="14"/>
      <c r="V3" s="31"/>
      <c r="W3" s="14"/>
    </row>
    <row r="4" spans="1:23" x14ac:dyDescent="0.25">
      <c r="A4" s="7">
        <f>'SPKA-3'!B24</f>
        <v>6.050493843848688E-2</v>
      </c>
      <c r="B4" s="66">
        <f>'SPKA-3'!C24</f>
        <v>7.694855761195921E-6</v>
      </c>
      <c r="C4" s="66">
        <f>'SPKA-3'!D24</f>
        <v>0.10907153775296062</v>
      </c>
      <c r="D4" s="66">
        <f>'SPKA-3'!E24</f>
        <v>7.694855761195921E-6</v>
      </c>
      <c r="E4" s="66">
        <f>'SPKA-3'!F24</f>
        <v>5.6960783370570305E-2</v>
      </c>
      <c r="F4" s="66">
        <f>'SPKA-3'!G24</f>
        <v>1.8057882275571872E-5</v>
      </c>
      <c r="G4" s="66">
        <f>'SPKA-3'!H24</f>
        <v>5.6960783370570305E-2</v>
      </c>
      <c r="H4" s="66">
        <f>'SPKA-3'!I24</f>
        <v>1.8057882275571872E-5</v>
      </c>
      <c r="I4" s="66">
        <f>'SPKA-3'!J24</f>
        <v>5.7723512679063643E-2</v>
      </c>
      <c r="J4" s="6">
        <f>'SPKA-3'!K24</f>
        <v>1.5827679619158611E-5</v>
      </c>
      <c r="K4" s="14"/>
      <c r="P4" s="14"/>
      <c r="Q4" s="14"/>
      <c r="R4" s="14"/>
      <c r="S4" s="14"/>
      <c r="T4" s="14"/>
      <c r="U4" s="14"/>
      <c r="V4" s="14"/>
      <c r="W4" s="14"/>
    </row>
    <row r="5" spans="1:23" x14ac:dyDescent="0.25">
      <c r="A5" s="7">
        <f>'SPKA-3'!B25</f>
        <v>4.4669074118236327E-2</v>
      </c>
      <c r="B5" s="66">
        <f>'SPKA-3'!C25</f>
        <v>4.2958924868822897E-6</v>
      </c>
      <c r="C5" s="66">
        <f>'SPKA-3'!D25</f>
        <v>9.3235673432710067E-2</v>
      </c>
      <c r="D5" s="66">
        <f>'SPKA-3'!E25</f>
        <v>4.2958924868822796E-6</v>
      </c>
      <c r="E5" s="66">
        <f>'SPKA-3'!F25</f>
        <v>4.177509605513853E-2</v>
      </c>
      <c r="F5" s="66">
        <f>'SPKA-3'!G25</f>
        <v>1.2757816647986958E-5</v>
      </c>
      <c r="G5" s="66">
        <f>'SPKA-3'!H25</f>
        <v>4.177509605513853E-2</v>
      </c>
      <c r="H5" s="66">
        <f>'SPKA-3'!I25</f>
        <v>1.2757816647986958E-5</v>
      </c>
      <c r="I5" s="66">
        <f>'SPKA-3'!J25</f>
        <v>4.3534744959439431E-2</v>
      </c>
      <c r="J5" s="6">
        <f>'SPKA-3'!K25</f>
        <v>7.6126444131889822E-6</v>
      </c>
      <c r="K5" s="14"/>
      <c r="P5" s="14"/>
      <c r="Q5" s="14"/>
      <c r="R5" s="14"/>
      <c r="S5" s="14"/>
      <c r="T5" s="14"/>
      <c r="U5" s="14"/>
      <c r="V5" s="14"/>
      <c r="W5" s="14"/>
    </row>
    <row r="6" spans="1:23" x14ac:dyDescent="0.25">
      <c r="A6" s="8">
        <f>'SPKA-3'!B26</f>
        <v>2.8989309998841441E-2</v>
      </c>
      <c r="B6" s="15">
        <f>'SPKA-3'!C26</f>
        <v>4.404958767333908E-7</v>
      </c>
      <c r="C6" s="15">
        <f>'SPKA-3'!D26</f>
        <v>7.7555909313315186E-2</v>
      </c>
      <c r="D6" s="15">
        <f>'SPKA-3'!E26</f>
        <v>4.4049587673338064E-7</v>
      </c>
      <c r="E6" s="15">
        <f>'SPKA-3'!F26</f>
        <v>2.6589408739706718E-2</v>
      </c>
      <c r="F6" s="15">
        <f>'SPKA-3'!G26</f>
        <v>7.4577510204021727E-6</v>
      </c>
      <c r="G6" s="15">
        <f>'SPKA-3'!H26</f>
        <v>2.6589408739706718E-2</v>
      </c>
      <c r="H6" s="15">
        <f>'SPKA-3'!I26</f>
        <v>7.4577510204021727E-6</v>
      </c>
      <c r="I6" s="15">
        <f>'SPKA-3'!J26</f>
        <v>2.9224921647483547E-2</v>
      </c>
      <c r="J6" s="9">
        <f>'SPKA-3'!K26</f>
        <v>-2.4842707251253162E-7</v>
      </c>
      <c r="O6" s="14"/>
      <c r="P6" s="14"/>
      <c r="Q6" s="14"/>
      <c r="R6" s="14"/>
      <c r="S6" s="14"/>
      <c r="T6" s="14"/>
      <c r="U6" s="14"/>
      <c r="V6" s="14"/>
      <c r="W6" s="14"/>
    </row>
    <row r="7" spans="1:23" x14ac:dyDescent="0.25"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</row>
    <row r="8" spans="1:23" x14ac:dyDescent="0.25"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</row>
    <row r="9" spans="1:23" x14ac:dyDescent="0.25">
      <c r="A9" s="1" t="s">
        <v>65</v>
      </c>
      <c r="B9" s="16"/>
      <c r="C9" s="16"/>
      <c r="D9" s="2"/>
      <c r="E9" s="2"/>
      <c r="F9" s="2"/>
      <c r="G9" s="2"/>
      <c r="H9" s="3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</row>
    <row r="10" spans="1:23" x14ac:dyDescent="0.25">
      <c r="A10" s="55" t="s">
        <v>67</v>
      </c>
      <c r="B10" s="31">
        <v>-1.5</v>
      </c>
      <c r="C10" s="31" t="s">
        <v>66</v>
      </c>
      <c r="D10" s="6">
        <v>2</v>
      </c>
      <c r="E10" s="55" t="s">
        <v>69</v>
      </c>
      <c r="F10" s="31">
        <v>-1.1000000000000001</v>
      </c>
      <c r="G10" s="14"/>
      <c r="H10" s="6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</row>
    <row r="11" spans="1:23" x14ac:dyDescent="0.25">
      <c r="A11" s="1" t="s">
        <v>56</v>
      </c>
      <c r="B11" s="11"/>
      <c r="C11" s="1" t="s">
        <v>57</v>
      </c>
      <c r="D11" s="11"/>
      <c r="E11" s="1"/>
      <c r="F11" s="11"/>
      <c r="G11" s="1" t="s">
        <v>70</v>
      </c>
      <c r="H11" s="11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</row>
    <row r="12" spans="1:23" x14ac:dyDescent="0.25">
      <c r="A12" s="1" t="s">
        <v>68</v>
      </c>
      <c r="B12" s="11" t="s">
        <v>11</v>
      </c>
      <c r="C12" s="1" t="s">
        <v>68</v>
      </c>
      <c r="D12" s="11" t="s">
        <v>11</v>
      </c>
      <c r="E12" s="1" t="s">
        <v>71</v>
      </c>
      <c r="F12" s="11" t="s">
        <v>11</v>
      </c>
      <c r="G12" s="1" t="s">
        <v>71</v>
      </c>
      <c r="H12" s="11" t="s">
        <v>11</v>
      </c>
    </row>
    <row r="13" spans="1:23" x14ac:dyDescent="0.25">
      <c r="A13" s="12">
        <f>D3/C3^$B$10</f>
        <v>5.0893123195678376E-7</v>
      </c>
      <c r="B13" s="17">
        <f>A3^$D$10</f>
        <v>5.8041089038329162E-3</v>
      </c>
      <c r="C13" s="12">
        <f>H3/G3^$B$10</f>
        <v>4.5264457710491772E-7</v>
      </c>
      <c r="D13" s="17">
        <f>E3^$D$10</f>
        <v>5.2051132324461629E-3</v>
      </c>
      <c r="E13" s="12">
        <f>B3/0.02^$F$10</f>
        <v>1.5621562432205375E-7</v>
      </c>
      <c r="F13" s="17">
        <f>A3</f>
        <v>7.6184702557881762E-2</v>
      </c>
      <c r="G13" s="12">
        <f>J3/0.01^$F$10</f>
        <v>1.5169927500157557E-7</v>
      </c>
      <c r="H13" s="17">
        <f>I3</f>
        <v>7.19122803986878E-2</v>
      </c>
      <c r="I13" s="14"/>
      <c r="J13" s="14"/>
      <c r="K13" s="14"/>
      <c r="L13" s="14"/>
    </row>
    <row r="14" spans="1:23" x14ac:dyDescent="0.25">
      <c r="A14" s="7">
        <f t="shared" ref="A14:A16" si="0">D4/C4^$B$10</f>
        <v>2.7718366806306591E-7</v>
      </c>
      <c r="B14" s="6">
        <f t="shared" ref="B14:B16" si="1">A4^$D$10</f>
        <v>3.660847575445087E-3</v>
      </c>
      <c r="C14" s="7">
        <f t="shared" ref="C14:C16" si="2">H4/G4^$B$10</f>
        <v>2.4548827124870744E-7</v>
      </c>
      <c r="D14" s="6">
        <f t="shared" ref="D14:D16" si="3">E4^$D$10</f>
        <v>3.2445308421890384E-3</v>
      </c>
      <c r="E14" s="7">
        <f t="shared" ref="E14:E16" si="4">B4/0.02^$F$10</f>
        <v>1.040718988777743E-7</v>
      </c>
      <c r="F14" s="6">
        <f t="shared" ref="F14:F16" si="5">A4</f>
        <v>6.050493843848688E-2</v>
      </c>
      <c r="G14" s="7">
        <f t="shared" ref="G14:G16" si="6">J4/0.01^$F$10</f>
        <v>9.9865907017875912E-8</v>
      </c>
      <c r="H14" s="6">
        <f t="shared" ref="H14:H16" si="7">I4</f>
        <v>5.7723512679063643E-2</v>
      </c>
    </row>
    <row r="15" spans="1:23" x14ac:dyDescent="0.25">
      <c r="A15" s="7">
        <f t="shared" si="0"/>
        <v>1.2230003232313305E-7</v>
      </c>
      <c r="B15" s="6">
        <f t="shared" si="1"/>
        <v>1.9953261825804906E-3</v>
      </c>
      <c r="C15" s="7">
        <f t="shared" si="2"/>
        <v>1.0893126374066723E-7</v>
      </c>
      <c r="D15" s="6">
        <f t="shared" si="3"/>
        <v>1.7451586504160508E-3</v>
      </c>
      <c r="E15" s="7">
        <f t="shared" si="4"/>
        <v>5.8101373483720679E-8</v>
      </c>
      <c r="F15" s="6">
        <f t="shared" si="5"/>
        <v>4.4669074118236327E-2</v>
      </c>
      <c r="G15" s="7">
        <f t="shared" si="6"/>
        <v>4.8032539034176978E-8</v>
      </c>
      <c r="H15" s="6">
        <f t="shared" si="7"/>
        <v>4.3534744959439431E-2</v>
      </c>
    </row>
    <row r="16" spans="1:23" x14ac:dyDescent="0.25">
      <c r="A16" s="8">
        <f t="shared" si="0"/>
        <v>9.5140228200110085E-9</v>
      </c>
      <c r="B16" s="9">
        <f t="shared" si="1"/>
        <v>8.4038009420892837E-4</v>
      </c>
      <c r="C16" s="8">
        <f t="shared" si="2"/>
        <v>3.2334853710479663E-8</v>
      </c>
      <c r="D16" s="9">
        <f t="shared" si="3"/>
        <v>7.0699665712719195E-4</v>
      </c>
      <c r="E16" s="8">
        <f t="shared" si="4"/>
        <v>5.9576480394414959E-9</v>
      </c>
      <c r="F16" s="9">
        <f t="shared" si="5"/>
        <v>2.8989309998841441E-2</v>
      </c>
      <c r="G16" s="8">
        <f t="shared" si="6"/>
        <v>-1.5674688596949532E-9</v>
      </c>
      <c r="H16" s="9">
        <f t="shared" si="7"/>
        <v>2.9224921647483547E-2</v>
      </c>
    </row>
    <row r="21" spans="1:13" x14ac:dyDescent="0.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</row>
    <row r="22" spans="1:13" x14ac:dyDescent="0.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</row>
    <row r="23" spans="1:13" x14ac:dyDescent="0.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</row>
    <row r="24" spans="1:13" x14ac:dyDescent="0.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</row>
    <row r="25" spans="1:13" x14ac:dyDescent="0.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31"/>
    </row>
    <row r="26" spans="1:13" x14ac:dyDescent="0.2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</row>
    <row r="27" spans="1:13" x14ac:dyDescent="0.25">
      <c r="A27" s="14"/>
      <c r="B27" s="14"/>
      <c r="C27" s="14"/>
      <c r="D27" s="14"/>
      <c r="F27" s="14"/>
      <c r="G27" s="14"/>
      <c r="H27" s="14"/>
      <c r="J27" s="14"/>
      <c r="K27" s="14"/>
      <c r="L27" s="14"/>
      <c r="M27" s="14"/>
    </row>
    <row r="28" spans="1:13" x14ac:dyDescent="0.25">
      <c r="A28" s="14"/>
      <c r="B28" s="14"/>
      <c r="C28" s="14"/>
      <c r="D28" s="14"/>
      <c r="F28" s="14"/>
      <c r="G28" s="14"/>
      <c r="H28" s="14"/>
      <c r="J28" s="14"/>
      <c r="K28" s="14"/>
      <c r="L28" s="14"/>
      <c r="M28" s="14"/>
    </row>
    <row r="29" spans="1:13" x14ac:dyDescent="0.25">
      <c r="A29" s="14"/>
      <c r="B29" s="14"/>
      <c r="C29" s="14"/>
      <c r="D29" s="14"/>
      <c r="F29" s="14"/>
      <c r="G29" s="14"/>
      <c r="H29" s="14"/>
      <c r="J29" s="14"/>
      <c r="K29" s="14"/>
      <c r="L29" s="14"/>
      <c r="M29" s="14"/>
    </row>
    <row r="30" spans="1:13" x14ac:dyDescent="0.25">
      <c r="A30" s="14"/>
      <c r="B30" s="14"/>
      <c r="C30" s="14"/>
      <c r="D30" s="14"/>
      <c r="F30" s="14"/>
      <c r="G30" s="14"/>
      <c r="H30" s="14"/>
      <c r="J30" s="14"/>
      <c r="K30" s="14"/>
      <c r="L30" s="14"/>
      <c r="M30" s="14"/>
    </row>
    <row r="31" spans="1:13" x14ac:dyDescent="0.25">
      <c r="A31" s="14"/>
      <c r="B31" s="14"/>
      <c r="C31" s="14"/>
      <c r="D31" s="14"/>
      <c r="F31" s="14"/>
      <c r="G31" s="14"/>
      <c r="H31" s="14"/>
      <c r="J31" s="14"/>
      <c r="K31" s="14"/>
      <c r="L31" s="14"/>
      <c r="M31" s="14"/>
    </row>
    <row r="32" spans="1:13" x14ac:dyDescent="0.25">
      <c r="A32" s="14"/>
      <c r="B32" s="14"/>
      <c r="C32" s="14"/>
      <c r="D32" s="14"/>
      <c r="F32" s="14"/>
      <c r="G32" s="14"/>
      <c r="H32" s="14"/>
      <c r="J32" s="14"/>
      <c r="K32" s="14"/>
      <c r="L32" s="14"/>
      <c r="M32" s="14"/>
    </row>
    <row r="33" spans="1:13" x14ac:dyDescent="0.25">
      <c r="A33" s="14"/>
      <c r="B33" s="14"/>
      <c r="C33" s="14"/>
      <c r="D33" s="14"/>
      <c r="F33" s="14"/>
      <c r="G33" s="14"/>
      <c r="H33" s="14"/>
      <c r="J33" s="14"/>
      <c r="K33" s="14"/>
      <c r="L33" s="14"/>
      <c r="M33" s="14"/>
    </row>
    <row r="34" spans="1:13" x14ac:dyDescent="0.25">
      <c r="A34" s="14"/>
      <c r="B34" s="14"/>
      <c r="C34" s="14"/>
      <c r="D34" s="14"/>
      <c r="F34" s="14"/>
      <c r="G34" s="14"/>
      <c r="H34" s="14"/>
      <c r="J34" s="14"/>
      <c r="K34" s="14"/>
      <c r="L34" s="14"/>
      <c r="M34" s="14"/>
    </row>
    <row r="35" spans="1:13" x14ac:dyDescent="0.25">
      <c r="A35" s="14"/>
      <c r="B35" s="14"/>
      <c r="C35" s="14"/>
      <c r="D35" s="14"/>
      <c r="F35" s="14"/>
      <c r="G35" s="14"/>
      <c r="H35" s="14"/>
      <c r="J35" s="14"/>
      <c r="K35" s="14"/>
      <c r="L35" s="14"/>
      <c r="M35" s="14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58DB7-0923-4A77-AC7F-1D1C9BE30635}">
  <dimension ref="A1:R41"/>
  <sheetViews>
    <sheetView zoomScale="85" zoomScaleNormal="85" workbookViewId="0">
      <selection activeCell="M4" sqref="M4:M7"/>
    </sheetView>
  </sheetViews>
  <sheetFormatPr defaultRowHeight="15" x14ac:dyDescent="0.25"/>
  <cols>
    <col min="1" max="1" width="14.5703125" bestFit="1" customWidth="1"/>
    <col min="2" max="2" width="15.7109375" bestFit="1" customWidth="1"/>
    <col min="3" max="3" width="17" bestFit="1" customWidth="1"/>
    <col min="4" max="4" width="15.7109375" bestFit="1" customWidth="1"/>
    <col min="5" max="5" width="17" bestFit="1" customWidth="1"/>
    <col min="6" max="6" width="15.7109375" bestFit="1" customWidth="1"/>
    <col min="7" max="7" width="17" bestFit="1" customWidth="1"/>
    <col min="8" max="8" width="15.7109375" bestFit="1" customWidth="1"/>
    <col min="9" max="9" width="17" bestFit="1" customWidth="1"/>
    <col min="10" max="10" width="12.7109375" bestFit="1" customWidth="1"/>
    <col min="11" max="11" width="17" bestFit="1" customWidth="1"/>
    <col min="12" max="12" width="13.140625" bestFit="1" customWidth="1"/>
    <col min="13" max="13" width="16.28515625" bestFit="1" customWidth="1"/>
    <col min="14" max="14" width="13.140625" bestFit="1" customWidth="1"/>
    <col min="15" max="15" width="16.28515625" bestFit="1" customWidth="1"/>
    <col min="16" max="16" width="10.85546875" bestFit="1" customWidth="1"/>
    <col min="17" max="17" width="24.42578125" bestFit="1" customWidth="1"/>
    <col min="18" max="18" width="10.85546875" bestFit="1" customWidth="1"/>
    <col min="19" max="19" width="16.28515625" bestFit="1" customWidth="1"/>
    <col min="20" max="20" width="11.42578125" bestFit="1" customWidth="1"/>
    <col min="21" max="21" width="16.28515625" bestFit="1" customWidth="1"/>
    <col min="22" max="22" width="11.42578125" bestFit="1" customWidth="1"/>
    <col min="23" max="23" width="16.28515625" bestFit="1" customWidth="1"/>
  </cols>
  <sheetData>
    <row r="1" spans="1:18" x14ac:dyDescent="0.25">
      <c r="A1" s="1" t="s">
        <v>3</v>
      </c>
      <c r="B1" s="2"/>
      <c r="C1" s="2"/>
      <c r="D1" s="2"/>
      <c r="E1" s="3"/>
      <c r="F1" s="33" t="s">
        <v>75</v>
      </c>
      <c r="G1" s="34"/>
      <c r="H1" s="57"/>
      <c r="I1" s="57"/>
      <c r="J1" s="58"/>
      <c r="K1" s="58"/>
      <c r="L1" s="57"/>
      <c r="M1" s="34"/>
      <c r="N1" s="13"/>
      <c r="O1" s="13"/>
      <c r="P1" s="14"/>
      <c r="Q1" s="14"/>
    </row>
    <row r="2" spans="1:18" x14ac:dyDescent="0.25">
      <c r="A2" s="10" t="s">
        <v>5</v>
      </c>
      <c r="B2" s="1" t="s">
        <v>77</v>
      </c>
      <c r="C2" s="11" t="s">
        <v>4</v>
      </c>
      <c r="D2" s="1" t="s">
        <v>77</v>
      </c>
      <c r="E2" s="11" t="s">
        <v>4</v>
      </c>
      <c r="F2" s="35" t="s">
        <v>57</v>
      </c>
      <c r="G2" s="36" t="s">
        <v>4</v>
      </c>
      <c r="H2" s="35" t="s">
        <v>57</v>
      </c>
      <c r="I2" s="36" t="s">
        <v>4</v>
      </c>
      <c r="J2" s="41" t="s">
        <v>58</v>
      </c>
      <c r="K2" s="42" t="s">
        <v>4</v>
      </c>
      <c r="L2" s="41" t="s">
        <v>58</v>
      </c>
      <c r="M2" s="42" t="s">
        <v>4</v>
      </c>
      <c r="N2" s="31"/>
      <c r="O2" s="31"/>
    </row>
    <row r="3" spans="1:18" x14ac:dyDescent="0.25">
      <c r="A3" s="18">
        <v>0</v>
      </c>
      <c r="B3" s="32" t="s">
        <v>76</v>
      </c>
      <c r="C3">
        <v>1.0961361518363739</v>
      </c>
      <c r="D3" s="52" t="s">
        <v>78</v>
      </c>
      <c r="E3" s="17" t="s">
        <v>35</v>
      </c>
      <c r="F3" s="37" t="s">
        <v>54</v>
      </c>
      <c r="G3" s="63">
        <v>1.11628026535216</v>
      </c>
      <c r="H3" s="37" t="s">
        <v>55</v>
      </c>
      <c r="I3" s="63" t="s">
        <v>35</v>
      </c>
      <c r="J3" s="62" t="s">
        <v>59</v>
      </c>
      <c r="K3" s="44">
        <v>1.1412661225942431</v>
      </c>
      <c r="L3" s="62" t="s">
        <v>60</v>
      </c>
      <c r="M3" s="44" t="s">
        <v>35</v>
      </c>
      <c r="N3" s="31"/>
      <c r="O3" s="14"/>
    </row>
    <row r="4" spans="1:18" x14ac:dyDescent="0.25">
      <c r="A4" s="4">
        <v>0.17499999999999999</v>
      </c>
      <c r="B4" s="7"/>
      <c r="C4" s="66">
        <f>$C$3-($C$3*$A4)</f>
        <v>0.90431232526500849</v>
      </c>
      <c r="D4" s="66"/>
      <c r="E4" s="6">
        <v>0.7574657435512826</v>
      </c>
      <c r="F4" s="39"/>
      <c r="G4" s="64">
        <f>$G$3-($G$3*$A4)</f>
        <v>0.92093121891553198</v>
      </c>
      <c r="H4" s="39"/>
      <c r="I4" s="64">
        <v>0.75329520216356372</v>
      </c>
      <c r="J4" s="61"/>
      <c r="K4" s="45">
        <f>$K$3-($K$3*$A4)</f>
        <v>0.9415445511402506</v>
      </c>
      <c r="L4" s="61"/>
      <c r="M4" s="45">
        <v>0.81813091437639329</v>
      </c>
      <c r="N4" s="14"/>
      <c r="O4" s="14"/>
    </row>
    <row r="5" spans="1:18" x14ac:dyDescent="0.25">
      <c r="A5" s="4">
        <v>0.35</v>
      </c>
      <c r="B5" s="7"/>
      <c r="C5" s="66">
        <f t="shared" ref="C5:C7" si="0">$C$3-($C$3*$A5)</f>
        <v>0.71248849869364306</v>
      </c>
      <c r="D5" s="66"/>
      <c r="E5" s="6">
        <v>0.61078411689075374</v>
      </c>
      <c r="F5" s="39"/>
      <c r="G5" s="64">
        <f t="shared" ref="G5:G7" si="1">$G$3-($G$3*$A5)</f>
        <v>0.725582172478904</v>
      </c>
      <c r="H5" s="39"/>
      <c r="I5" s="64">
        <v>0.60293009761655902</v>
      </c>
      <c r="J5" s="61"/>
      <c r="K5" s="45">
        <f t="shared" ref="K5:K7" si="2">$K$3-($K$3*$A5)</f>
        <v>0.7418229796862581</v>
      </c>
      <c r="L5" s="61"/>
      <c r="M5" s="45">
        <v>0.64909209090475173</v>
      </c>
      <c r="N5" s="14"/>
      <c r="O5" s="14"/>
    </row>
    <row r="6" spans="1:18" x14ac:dyDescent="0.25">
      <c r="A6" s="60">
        <v>0.52500000000000002</v>
      </c>
      <c r="B6" s="7"/>
      <c r="C6" s="66">
        <f t="shared" si="0"/>
        <v>0.52066467212227763</v>
      </c>
      <c r="D6" s="66"/>
      <c r="E6" s="6">
        <v>0.47021422467441371</v>
      </c>
      <c r="F6" s="39"/>
      <c r="G6" s="64">
        <f t="shared" si="1"/>
        <v>0.5302331260422759</v>
      </c>
      <c r="H6" s="39"/>
      <c r="I6" s="64">
        <v>0.44929618644896863</v>
      </c>
      <c r="J6" s="61"/>
      <c r="K6" s="45">
        <f t="shared" si="2"/>
        <v>0.54210140823226549</v>
      </c>
      <c r="L6" s="61"/>
      <c r="M6" s="45">
        <v>0.48364983814527379</v>
      </c>
      <c r="N6" s="14"/>
      <c r="O6" s="14"/>
    </row>
    <row r="7" spans="1:18" x14ac:dyDescent="0.25">
      <c r="A7" s="5">
        <v>0.7</v>
      </c>
      <c r="B7" s="8"/>
      <c r="C7" s="15">
        <f t="shared" si="0"/>
        <v>0.3288408455509122</v>
      </c>
      <c r="D7" s="15"/>
      <c r="E7" s="9">
        <v>0.32047673079179079</v>
      </c>
      <c r="F7" s="40"/>
      <c r="G7" s="65">
        <f t="shared" si="1"/>
        <v>0.33488407960564803</v>
      </c>
      <c r="H7" s="40"/>
      <c r="I7" s="65">
        <v>0.29893108190196388</v>
      </c>
      <c r="J7" s="46"/>
      <c r="K7" s="47">
        <f t="shared" si="2"/>
        <v>0.34237983677827299</v>
      </c>
      <c r="L7" s="46"/>
      <c r="M7" s="47">
        <v>0.31820758538579419</v>
      </c>
      <c r="N7" s="14"/>
      <c r="O7" s="14"/>
    </row>
    <row r="8" spans="1:18" x14ac:dyDescent="0.25">
      <c r="A8" s="1" t="s">
        <v>10</v>
      </c>
      <c r="B8" s="16"/>
      <c r="C8" s="11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</row>
    <row r="9" spans="1:18" x14ac:dyDescent="0.25">
      <c r="A9" s="1" t="s">
        <v>72</v>
      </c>
      <c r="B9" s="16" t="s">
        <v>11</v>
      </c>
      <c r="C9" s="11" t="s">
        <v>12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</row>
    <row r="10" spans="1:18" x14ac:dyDescent="0.25">
      <c r="A10" s="7" t="s">
        <v>79</v>
      </c>
      <c r="B10" s="14">
        <f>'Slug Concentration'!N3</f>
        <v>9.7133198628947509E-2</v>
      </c>
      <c r="C10" s="6">
        <f>C3</f>
        <v>1.0961361518363739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</row>
    <row r="11" spans="1:18" x14ac:dyDescent="0.25">
      <c r="A11" s="7" t="s">
        <v>73</v>
      </c>
      <c r="B11" s="14">
        <f>'Slug Concentration'!N3</f>
        <v>9.7133198628947509E-2</v>
      </c>
      <c r="C11" s="6">
        <f>G3</f>
        <v>1.11628026535216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</row>
    <row r="12" spans="1:18" x14ac:dyDescent="0.25">
      <c r="A12" s="8" t="s">
        <v>74</v>
      </c>
      <c r="B12" s="15">
        <f>'Slug Concentration'!N3</f>
        <v>9.7133198628947509E-2</v>
      </c>
      <c r="C12" s="9">
        <f>K3</f>
        <v>1.1412661225942431</v>
      </c>
      <c r="D12" s="14"/>
      <c r="E12" s="14"/>
      <c r="F12" s="14"/>
      <c r="G12" s="14"/>
      <c r="H12" s="14"/>
      <c r="I12" s="14"/>
      <c r="J12" s="14"/>
      <c r="K12" s="14"/>
      <c r="L12" s="14"/>
      <c r="M12" s="54"/>
      <c r="N12" s="54"/>
      <c r="O12" s="54"/>
    </row>
    <row r="13" spans="1:18" x14ac:dyDescent="0.25"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</row>
    <row r="14" spans="1:18" x14ac:dyDescent="0.25">
      <c r="A14" s="10" t="s">
        <v>0</v>
      </c>
      <c r="B14" s="1" t="s">
        <v>8</v>
      </c>
      <c r="C14" s="16" t="s">
        <v>56</v>
      </c>
      <c r="D14" s="2"/>
      <c r="E14" s="3"/>
      <c r="F14" s="1" t="s">
        <v>8</v>
      </c>
      <c r="G14" s="16" t="s">
        <v>57</v>
      </c>
      <c r="H14" s="2"/>
      <c r="I14" s="2"/>
      <c r="J14" s="16" t="s">
        <v>8</v>
      </c>
      <c r="K14" s="11" t="s">
        <v>58</v>
      </c>
      <c r="L14" s="14"/>
      <c r="M14" s="14"/>
      <c r="N14" s="14"/>
      <c r="O14" s="14"/>
      <c r="P14" s="14"/>
      <c r="Q14" s="14"/>
      <c r="R14" s="14"/>
    </row>
    <row r="15" spans="1:18" x14ac:dyDescent="0.25">
      <c r="A15" s="59" t="s">
        <v>1</v>
      </c>
      <c r="B15" s="55" t="s">
        <v>6</v>
      </c>
      <c r="C15" s="56" t="s">
        <v>7</v>
      </c>
      <c r="D15" s="55" t="s">
        <v>62</v>
      </c>
      <c r="E15" s="56" t="s">
        <v>63</v>
      </c>
      <c r="F15" s="55" t="s">
        <v>61</v>
      </c>
      <c r="G15" s="56" t="s">
        <v>7</v>
      </c>
      <c r="H15" s="55" t="s">
        <v>62</v>
      </c>
      <c r="I15" s="56" t="s">
        <v>63</v>
      </c>
      <c r="J15" s="55" t="s">
        <v>6</v>
      </c>
      <c r="K15" s="56" t="s">
        <v>7</v>
      </c>
      <c r="L15" s="10" t="s">
        <v>53</v>
      </c>
      <c r="M15" s="14"/>
      <c r="N15" s="14"/>
      <c r="O15" s="14"/>
      <c r="P15" s="14"/>
      <c r="Q15" s="14"/>
      <c r="R15" s="14"/>
    </row>
    <row r="16" spans="1:18" x14ac:dyDescent="0.25">
      <c r="A16" s="18">
        <v>0</v>
      </c>
      <c r="B16" s="12">
        <f>B10</f>
        <v>9.7133198628947509E-2</v>
      </c>
      <c r="C16" s="17" t="s">
        <v>35</v>
      </c>
      <c r="D16" s="12">
        <f>B16*1.5</f>
        <v>0.14569979794342125</v>
      </c>
      <c r="E16" s="17" t="s">
        <v>35</v>
      </c>
      <c r="F16" s="13">
        <f>B11</f>
        <v>9.7133198628947509E-2</v>
      </c>
      <c r="G16" s="17" t="s">
        <v>35</v>
      </c>
      <c r="H16" s="12">
        <f>F16</f>
        <v>9.7133198628947509E-2</v>
      </c>
      <c r="I16" s="17" t="s">
        <v>35</v>
      </c>
      <c r="J16" s="13">
        <f>B12</f>
        <v>9.7133198628947509E-2</v>
      </c>
      <c r="K16" s="17" t="s">
        <v>35</v>
      </c>
      <c r="L16" s="30">
        <v>11.4</v>
      </c>
      <c r="M16" s="14"/>
      <c r="N16" s="14"/>
      <c r="O16" s="14"/>
      <c r="P16" s="14"/>
      <c r="Q16" s="14"/>
      <c r="R16" s="14"/>
    </row>
    <row r="17" spans="1:18" x14ac:dyDescent="0.25">
      <c r="A17" s="4">
        <v>0.17499999999999999</v>
      </c>
      <c r="B17" s="7">
        <f>$B$16-($B$16*A17)</f>
        <v>8.0134888868881704E-2</v>
      </c>
      <c r="C17" s="6">
        <f>$B$10*(E4/$C$10)</f>
        <v>6.7122200467276516E-2</v>
      </c>
      <c r="D17" s="7">
        <f>$D$16-($D$16*(A17*(0.1/0.15)))</f>
        <v>0.12870148818335544</v>
      </c>
      <c r="E17" s="6">
        <f>D17-(B17-C17)</f>
        <v>0.11568879978175026</v>
      </c>
      <c r="F17" s="7">
        <f>$F$16-($F$16*A17)</f>
        <v>8.0134888868881704E-2</v>
      </c>
      <c r="G17" s="6">
        <f>$B$11*(I4/$C$11)</f>
        <v>6.5548030157913079E-2</v>
      </c>
      <c r="H17" s="7">
        <f>F17</f>
        <v>8.0134888868881704E-2</v>
      </c>
      <c r="I17" s="6">
        <f>H17-(F17-G17)</f>
        <v>6.5548030157913079E-2</v>
      </c>
      <c r="J17" s="7">
        <f>$J$16-($J$16*A17)</f>
        <v>8.0134888868881704E-2</v>
      </c>
      <c r="K17" s="6">
        <f>$B$12*(M4/$C$12)</f>
        <v>6.9631150033582473E-2</v>
      </c>
      <c r="L17" s="14"/>
      <c r="M17" s="14"/>
      <c r="N17" s="14"/>
      <c r="O17" s="14"/>
      <c r="P17" s="14"/>
      <c r="Q17" s="14"/>
      <c r="R17" s="14"/>
    </row>
    <row r="18" spans="1:18" x14ac:dyDescent="0.25">
      <c r="A18" s="4">
        <v>0.35</v>
      </c>
      <c r="B18" s="7">
        <f>$B$16-($B$16*A18)</f>
        <v>6.3136579108815885E-2</v>
      </c>
      <c r="C18" s="6">
        <f>$B$10*(E5/$C$10)</f>
        <v>5.4124129421298385E-2</v>
      </c>
      <c r="D18" s="7">
        <f>$D$16-($D$16*(A18*(0.1/0.15)))</f>
        <v>0.11170317842328963</v>
      </c>
      <c r="E18" s="6">
        <f>D18-(B18-C18)</f>
        <v>0.10269072873577212</v>
      </c>
      <c r="F18" s="7">
        <f>$F$16-($F$16*A18)</f>
        <v>6.3136579108815885E-2</v>
      </c>
      <c r="G18" s="6">
        <f>$B$11*(I5/$C$11)</f>
        <v>5.2464000976210227E-2</v>
      </c>
      <c r="H18" s="7">
        <f t="shared" ref="H18:H20" si="3">F18</f>
        <v>6.3136579108815885E-2</v>
      </c>
      <c r="I18" s="6">
        <f>H18-(F18-G18)</f>
        <v>5.2464000976210227E-2</v>
      </c>
      <c r="J18" s="7">
        <f>$J$16-($J$16*A18)</f>
        <v>6.3136579108815885E-2</v>
      </c>
      <c r="K18" s="6">
        <f>$B$12*(M5/$C$12)</f>
        <v>5.5244250001054172E-2</v>
      </c>
      <c r="L18" s="14"/>
      <c r="M18" s="14"/>
      <c r="N18" s="14"/>
      <c r="O18" s="14"/>
      <c r="P18" s="14"/>
      <c r="Q18" s="14"/>
      <c r="R18" s="14"/>
    </row>
    <row r="19" spans="1:18" x14ac:dyDescent="0.25">
      <c r="A19" s="60">
        <v>0.52500000000000002</v>
      </c>
      <c r="B19" s="7">
        <f>$B$16-($B$16*A19)</f>
        <v>4.6138269348750066E-2</v>
      </c>
      <c r="C19" s="6">
        <f>$B$10*(E6/$C$10)</f>
        <v>4.1667644668902673E-2</v>
      </c>
      <c r="D19" s="7">
        <f>$D$16-($D$16*(A19*(0.1/0.15)))</f>
        <v>9.4704868663223807E-2</v>
      </c>
      <c r="E19" s="6">
        <f>D19-(B19-C19)</f>
        <v>9.0234243983376414E-2</v>
      </c>
      <c r="F19" s="7">
        <f>$F$16-($F$16*A19)</f>
        <v>4.6138269348750066E-2</v>
      </c>
      <c r="G19" s="6">
        <f>$B$11*(I6/$C$11)</f>
        <v>3.9095536377513958E-2</v>
      </c>
      <c r="H19" s="7">
        <f t="shared" si="3"/>
        <v>4.6138269348750066E-2</v>
      </c>
      <c r="I19" s="6">
        <f t="shared" ref="I19:I20" si="4">H19-(F19-G19)</f>
        <v>3.9095536377513958E-2</v>
      </c>
      <c r="J19" s="7">
        <f>$J$16-($J$16*A19)</f>
        <v>4.6138269348750066E-2</v>
      </c>
      <c r="K19" s="6">
        <f>$B$12*(M6/$C$12)</f>
        <v>4.116345422453721E-2</v>
      </c>
      <c r="L19" s="14"/>
      <c r="M19" s="14"/>
      <c r="N19" s="14"/>
      <c r="O19" s="14"/>
      <c r="P19" s="14"/>
      <c r="Q19" s="14"/>
      <c r="R19" s="14"/>
    </row>
    <row r="20" spans="1:18" x14ac:dyDescent="0.25">
      <c r="A20" s="5">
        <v>0.7</v>
      </c>
      <c r="B20" s="7">
        <f>$B$16-($B$16*A20)</f>
        <v>2.9139959588684261E-2</v>
      </c>
      <c r="C20" s="6">
        <f>$B$10*(E7/$C$10)</f>
        <v>2.8398780476133346E-2</v>
      </c>
      <c r="D20" s="7">
        <f>$D$16-($D$16*(A20*(0.1/0.15)))</f>
        <v>7.7706558903158002E-2</v>
      </c>
      <c r="E20" s="6">
        <f t="shared" ref="E20" si="5">D20-(B20-C20)</f>
        <v>7.696537979060708E-2</v>
      </c>
      <c r="F20" s="7">
        <f>$F$16-($F$16*A20)</f>
        <v>2.9139959588684261E-2</v>
      </c>
      <c r="G20" s="6">
        <f>$B$11*(I7/$C$11)</f>
        <v>2.60115071958111E-2</v>
      </c>
      <c r="H20" s="7">
        <f t="shared" si="3"/>
        <v>2.9139959588684261E-2</v>
      </c>
      <c r="I20" s="6">
        <f t="shared" si="4"/>
        <v>2.60115071958111E-2</v>
      </c>
      <c r="J20" s="7">
        <f>$J$16-($J$16*A20)</f>
        <v>2.9139959588684261E-2</v>
      </c>
      <c r="K20" s="6">
        <f>$B$12*(M7/$C$12)</f>
        <v>2.7082658448020099E-2</v>
      </c>
      <c r="L20" s="14"/>
      <c r="Q20" s="14"/>
      <c r="R20" s="14"/>
    </row>
    <row r="21" spans="1:18" x14ac:dyDescent="0.25">
      <c r="A21" s="14"/>
      <c r="B21" s="1" t="s">
        <v>2</v>
      </c>
      <c r="C21" s="16" t="s">
        <v>56</v>
      </c>
      <c r="D21" s="2"/>
      <c r="E21" s="3"/>
      <c r="F21" s="1" t="s">
        <v>2</v>
      </c>
      <c r="G21" s="16" t="s">
        <v>57</v>
      </c>
      <c r="H21" s="2"/>
      <c r="I21" s="3"/>
      <c r="J21" s="1" t="s">
        <v>2</v>
      </c>
      <c r="K21" s="11" t="s">
        <v>58</v>
      </c>
      <c r="L21" s="14"/>
      <c r="Q21" s="53"/>
      <c r="R21" s="14"/>
    </row>
    <row r="22" spans="1:18" x14ac:dyDescent="0.25">
      <c r="A22" s="14"/>
      <c r="B22" s="32" t="s">
        <v>9</v>
      </c>
      <c r="C22" s="51" t="s">
        <v>13</v>
      </c>
      <c r="D22" s="32" t="s">
        <v>64</v>
      </c>
      <c r="E22" s="51" t="s">
        <v>13</v>
      </c>
      <c r="F22" s="32" t="s">
        <v>9</v>
      </c>
      <c r="G22" s="51" t="s">
        <v>13</v>
      </c>
      <c r="H22" s="32" t="s">
        <v>64</v>
      </c>
      <c r="I22" s="51" t="s">
        <v>13</v>
      </c>
      <c r="J22" s="32" t="s">
        <v>9</v>
      </c>
      <c r="K22" s="51" t="s">
        <v>13</v>
      </c>
      <c r="L22" s="14"/>
      <c r="Q22" s="14"/>
      <c r="R22" s="14"/>
    </row>
    <row r="23" spans="1:18" x14ac:dyDescent="0.25">
      <c r="A23" s="14"/>
      <c r="B23" s="7">
        <f>(B17+C17)/2</f>
        <v>7.362854466807911E-2</v>
      </c>
      <c r="C23" s="6">
        <f>(B17-C17)/($L$16*60)</f>
        <v>1.9024398247960803E-5</v>
      </c>
      <c r="D23" s="7">
        <f>(D17+E17)/2</f>
        <v>0.12219514398255285</v>
      </c>
      <c r="E23" s="6">
        <f>(D17-E17)/($L$16*60)</f>
        <v>1.9024398247960803E-5</v>
      </c>
      <c r="F23" s="7">
        <f>(F17+G17)/2</f>
        <v>7.2841459513397391E-2</v>
      </c>
      <c r="G23" s="6">
        <f>(F17-G17)/($L$16*60)</f>
        <v>2.1325816828901498E-5</v>
      </c>
      <c r="H23" s="7">
        <f>(H17+I17)/2</f>
        <v>7.2841459513397391E-2</v>
      </c>
      <c r="I23" s="6">
        <f>(H17-I17)/($L$16*60)</f>
        <v>2.1325816828901498E-5</v>
      </c>
      <c r="J23" s="7">
        <f>(J17+K17)/2</f>
        <v>7.4883019451232088E-2</v>
      </c>
      <c r="K23" s="6">
        <f>(J17-K17)/($L$16*60)</f>
        <v>1.5356343326460865E-5</v>
      </c>
      <c r="L23" s="14"/>
      <c r="Q23" s="14"/>
      <c r="R23" s="14"/>
    </row>
    <row r="24" spans="1:18" x14ac:dyDescent="0.25">
      <c r="A24" s="14"/>
      <c r="B24" s="7">
        <f t="shared" ref="B24:B25" si="6">(B18+C18)/2</f>
        <v>5.8630354265057139E-2</v>
      </c>
      <c r="C24" s="6">
        <f>(B18-C18)/($L$16*60)</f>
        <v>1.3176096034382311E-5</v>
      </c>
      <c r="D24" s="7">
        <f t="shared" ref="D24:D26" si="7">(D18+E18)/2</f>
        <v>0.10719695357953088</v>
      </c>
      <c r="E24" s="6">
        <f>(D18-E18)/($L$16*60)</f>
        <v>1.3176096034382321E-5</v>
      </c>
      <c r="F24" s="7">
        <f t="shared" ref="F24:F26" si="8">(F18+G18)/2</f>
        <v>5.7800290042513053E-2</v>
      </c>
      <c r="G24" s="6">
        <f>(F18-G18)/($L$16*60)</f>
        <v>1.5603184404394237E-5</v>
      </c>
      <c r="H24" s="7">
        <f t="shared" ref="H24:H26" si="9">(H18+I18)/2</f>
        <v>5.7800290042513053E-2</v>
      </c>
      <c r="I24" s="6">
        <f>(H18-I18)/($L$16*60)</f>
        <v>1.5603184404394237E-5</v>
      </c>
      <c r="J24" s="7">
        <f t="shared" ref="J24:J26" si="10">(J18+K18)/2</f>
        <v>5.9190414554935025E-2</v>
      </c>
      <c r="K24" s="6">
        <f>(J18-K18)/($L$16*60)</f>
        <v>1.1538492847604843E-5</v>
      </c>
      <c r="L24" s="14"/>
      <c r="Q24" s="50"/>
      <c r="R24" s="14"/>
    </row>
    <row r="25" spans="1:18" x14ac:dyDescent="0.25">
      <c r="A25" s="14"/>
      <c r="B25" s="7">
        <f t="shared" si="6"/>
        <v>4.390295700882637E-2</v>
      </c>
      <c r="C25" s="6">
        <f>(B19-C19)/($L$16*60)</f>
        <v>6.5360009939289371E-6</v>
      </c>
      <c r="D25" s="7">
        <f t="shared" si="7"/>
        <v>9.2469556323300117E-2</v>
      </c>
      <c r="E25" s="6">
        <f>(D19-E19)/($L$16*60)</f>
        <v>6.5360009939289371E-6</v>
      </c>
      <c r="F25" s="7">
        <f t="shared" si="8"/>
        <v>4.2616902863132008E-2</v>
      </c>
      <c r="G25" s="6">
        <f>(F19-G19)/($L$16*60)</f>
        <v>1.0296393232801328E-5</v>
      </c>
      <c r="H25" s="7">
        <f t="shared" si="9"/>
        <v>4.2616902863132008E-2</v>
      </c>
      <c r="I25" s="6">
        <f>(H19-I19)/($L$16*60)</f>
        <v>1.0296393232801328E-5</v>
      </c>
      <c r="J25" s="7">
        <f t="shared" si="10"/>
        <v>4.3650861786643638E-2</v>
      </c>
      <c r="K25" s="6">
        <f>(J19-K19)/($L$16*60)</f>
        <v>7.2731215266269825E-6</v>
      </c>
      <c r="L25" s="14"/>
      <c r="Q25" s="14"/>
      <c r="R25" s="14"/>
    </row>
    <row r="26" spans="1:18" x14ac:dyDescent="0.25">
      <c r="A26" s="14"/>
      <c r="B26" s="8">
        <f>(B20+C20)/2</f>
        <v>2.8769370032408804E-2</v>
      </c>
      <c r="C26" s="9">
        <f>(B20-C20)/($L$16*60)</f>
        <v>1.0835951937878869E-6</v>
      </c>
      <c r="D26" s="8">
        <f t="shared" si="7"/>
        <v>7.7335969346882541E-2</v>
      </c>
      <c r="E26" s="9">
        <f>(D20-E20)/($L$16*60)</f>
        <v>1.0835951937878968E-6</v>
      </c>
      <c r="F26" s="8">
        <f t="shared" si="8"/>
        <v>2.757573339224768E-2</v>
      </c>
      <c r="G26" s="9">
        <f>(F20-G20)/($L$16*60)</f>
        <v>4.5737608082940952E-6</v>
      </c>
      <c r="H26" s="8">
        <f t="shared" si="9"/>
        <v>2.757573339224768E-2</v>
      </c>
      <c r="I26" s="9">
        <f>(H20-I20)/($L$16*60)</f>
        <v>4.5737608082940952E-6</v>
      </c>
      <c r="J26" s="8">
        <f t="shared" si="10"/>
        <v>2.8111309018352182E-2</v>
      </c>
      <c r="K26" s="9">
        <f>(J20-K20)/($L$16*60)</f>
        <v>3.0077502056493595E-6</v>
      </c>
      <c r="L26" s="14"/>
      <c r="Q26" s="14"/>
      <c r="R26" s="14"/>
    </row>
    <row r="27" spans="1:18" x14ac:dyDescent="0.25">
      <c r="A27" s="14"/>
      <c r="B27" s="14"/>
      <c r="C27" s="14"/>
      <c r="D27" s="14"/>
      <c r="E27" s="14"/>
      <c r="F27" s="54"/>
      <c r="G27" s="54"/>
      <c r="H27" s="54"/>
      <c r="I27" s="54"/>
      <c r="J27" s="14"/>
      <c r="K27" s="14"/>
      <c r="L27" s="14"/>
      <c r="Q27" s="14"/>
      <c r="R27" s="14"/>
    </row>
    <row r="28" spans="1:18" x14ac:dyDescent="0.25">
      <c r="A28" s="14"/>
      <c r="L28" s="14"/>
      <c r="Q28" s="14"/>
      <c r="R28" s="14"/>
    </row>
    <row r="29" spans="1:18" x14ac:dyDescent="0.25">
      <c r="A29" s="14"/>
      <c r="L29" s="14"/>
      <c r="Q29" s="14"/>
      <c r="R29" s="14"/>
    </row>
    <row r="30" spans="1:18" x14ac:dyDescent="0.25">
      <c r="A30" s="14"/>
      <c r="L30" s="14"/>
      <c r="Q30" s="14"/>
      <c r="R30" s="14"/>
    </row>
    <row r="31" spans="1:18" x14ac:dyDescent="0.25">
      <c r="A31" s="14"/>
      <c r="L31" s="14"/>
      <c r="Q31" s="14"/>
      <c r="R31" s="14"/>
    </row>
    <row r="32" spans="1:18" x14ac:dyDescent="0.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Q32" s="14"/>
      <c r="R32" s="14"/>
    </row>
    <row r="33" spans="1:18" x14ac:dyDescent="0.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Q33" s="14"/>
      <c r="R33" s="14"/>
    </row>
    <row r="34" spans="1:18" x14ac:dyDescent="0.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Q34" s="14"/>
      <c r="R34" s="14"/>
    </row>
    <row r="35" spans="1:18" x14ac:dyDescent="0.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Q35" s="14"/>
      <c r="R35" s="14"/>
    </row>
    <row r="36" spans="1:18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Q36" s="14"/>
      <c r="R36" s="14"/>
    </row>
    <row r="37" spans="1:18" x14ac:dyDescent="0.25">
      <c r="Q37" s="14"/>
      <c r="R37" s="14"/>
    </row>
    <row r="38" spans="1:18" x14ac:dyDescent="0.25">
      <c r="Q38" s="14"/>
      <c r="R38" s="14"/>
    </row>
    <row r="39" spans="1:18" x14ac:dyDescent="0.25">
      <c r="Q39" s="14"/>
      <c r="R39" s="14"/>
    </row>
    <row r="40" spans="1:18" x14ac:dyDescent="0.25">
      <c r="Q40" s="14"/>
      <c r="R40" s="14"/>
    </row>
    <row r="41" spans="1:18" x14ac:dyDescent="0.25">
      <c r="Q41" s="14"/>
      <c r="R41" s="1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SPKA-Average</vt:lpstr>
      <vt:lpstr>SPKA-RPKA-1 Average</vt:lpstr>
      <vt:lpstr>SPKA-1</vt:lpstr>
      <vt:lpstr>SPKA-RPKA-1</vt:lpstr>
      <vt:lpstr>SPKA-2</vt:lpstr>
      <vt:lpstr>SPKA-RPKA-2</vt:lpstr>
      <vt:lpstr>SPKA-3</vt:lpstr>
      <vt:lpstr>SPKA-RPKA-3</vt:lpstr>
      <vt:lpstr>SPKA-4</vt:lpstr>
      <vt:lpstr>SPKA-RPKA-4</vt:lpstr>
      <vt:lpstr>Slug Concentration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dingw</dc:creator>
  <cp:keywords/>
  <dc:description/>
  <cp:lastModifiedBy>Gavin Lennon</cp:lastModifiedBy>
  <cp:revision/>
  <dcterms:created xsi:type="dcterms:W3CDTF">2022-05-28T12:03:24Z</dcterms:created>
  <dcterms:modified xsi:type="dcterms:W3CDTF">2023-03-07T09:57:15Z</dcterms:modified>
  <cp:category/>
  <cp:contentStatus/>
</cp:coreProperties>
</file>