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160179_ads_qub_ac_uk/Documents/HTKE/PD_HTKE_Python_Variable_Conversion/htke/ir_data/GL-06-53-4/"/>
    </mc:Choice>
  </mc:AlternateContent>
  <xr:revisionPtr revIDLastSave="6219" documentId="8_{772715ED-D722-4FDA-835A-38D60B8D01E9}" xr6:coauthVersionLast="47" xr6:coauthVersionMax="47" xr10:uidLastSave="{CF9914D9-19E2-489D-BD0E-D8D701F4AA18}"/>
  <bookViews>
    <workbookView xWindow="-25320" yWindow="315" windowWidth="25440" windowHeight="15390" xr2:uid="{1365FB88-706B-46A5-B038-3BE2467EA8B2}"/>
  </bookViews>
  <sheets>
    <sheet name="SPKA-Average" sheetId="50" r:id="rId1"/>
    <sheet name="SPKA-RPKA-1 Average" sheetId="51" r:id="rId2"/>
    <sheet name="SPKA-1" sheetId="20" r:id="rId3"/>
    <sheet name="SPKA-RPKA-1" sheetId="31" r:id="rId4"/>
    <sheet name="SPKA-2" sheetId="44" r:id="rId5"/>
    <sheet name="SPKA-RPKA-2" sheetId="45" r:id="rId6"/>
    <sheet name="SPKA-3" sheetId="46" r:id="rId7"/>
    <sheet name="SPKA-RPKA-3" sheetId="47" r:id="rId8"/>
    <sheet name="SPKA-4" sheetId="48" r:id="rId9"/>
    <sheet name="SPKA-RPKA-4" sheetId="49" r:id="rId10"/>
    <sheet name="Slug Concentration" sheetId="2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48" l="1"/>
  <c r="B17" i="48"/>
  <c r="C3" i="50"/>
  <c r="C7" i="50" s="1"/>
  <c r="A16" i="31"/>
  <c r="C16" i="31"/>
  <c r="E16" i="31"/>
  <c r="G16" i="31"/>
  <c r="M5" i="50"/>
  <c r="M6" i="50"/>
  <c r="M7" i="50"/>
  <c r="I5" i="50"/>
  <c r="I6" i="50"/>
  <c r="I7" i="50"/>
  <c r="M4" i="50"/>
  <c r="I4" i="50"/>
  <c r="E5" i="50"/>
  <c r="E6" i="50"/>
  <c r="E7" i="50"/>
  <c r="E4" i="50"/>
  <c r="G3" i="50"/>
  <c r="G4" i="50" s="1"/>
  <c r="K3" i="50"/>
  <c r="K5" i="50" s="1"/>
  <c r="B12" i="50"/>
  <c r="B11" i="50"/>
  <c r="B10" i="50"/>
  <c r="C12" i="48"/>
  <c r="K18" i="48" s="1"/>
  <c r="B12" i="48"/>
  <c r="C11" i="48"/>
  <c r="G19" i="48" s="1"/>
  <c r="B11" i="48"/>
  <c r="C10" i="48"/>
  <c r="B10" i="48"/>
  <c r="K7" i="48"/>
  <c r="G7" i="48"/>
  <c r="C7" i="48"/>
  <c r="K6" i="48"/>
  <c r="G6" i="48"/>
  <c r="C6" i="48"/>
  <c r="K5" i="48"/>
  <c r="G5" i="48"/>
  <c r="C5" i="48"/>
  <c r="K4" i="48"/>
  <c r="G4" i="48"/>
  <c r="C4" i="48"/>
  <c r="F17" i="46"/>
  <c r="H17" i="46" s="1"/>
  <c r="C12" i="46"/>
  <c r="K17" i="46" s="1"/>
  <c r="B12" i="46"/>
  <c r="C11" i="46"/>
  <c r="B11" i="46"/>
  <c r="C10" i="46"/>
  <c r="C17" i="46" s="1"/>
  <c r="B10" i="46"/>
  <c r="C20" i="46" s="1"/>
  <c r="K7" i="46"/>
  <c r="G7" i="46"/>
  <c r="C7" i="46"/>
  <c r="K6" i="46"/>
  <c r="G6" i="46"/>
  <c r="C6" i="46"/>
  <c r="K5" i="46"/>
  <c r="G5" i="46"/>
  <c r="C5" i="46"/>
  <c r="K4" i="46"/>
  <c r="G4" i="46"/>
  <c r="C4" i="46"/>
  <c r="J16" i="44"/>
  <c r="H16" i="44"/>
  <c r="F16" i="44"/>
  <c r="D16" i="44"/>
  <c r="B16" i="44"/>
  <c r="C12" i="44"/>
  <c r="K18" i="44" s="1"/>
  <c r="B12" i="44"/>
  <c r="C11" i="44"/>
  <c r="G18" i="44" s="1"/>
  <c r="B11" i="44"/>
  <c r="C10" i="44"/>
  <c r="C18" i="44" s="1"/>
  <c r="B10" i="44"/>
  <c r="K7" i="44"/>
  <c r="G7" i="44"/>
  <c r="C7" i="44"/>
  <c r="K6" i="44"/>
  <c r="G6" i="44"/>
  <c r="C6" i="44"/>
  <c r="K5" i="44"/>
  <c r="G5" i="44"/>
  <c r="C5" i="44"/>
  <c r="K4" i="44"/>
  <c r="G4" i="44"/>
  <c r="C4" i="44"/>
  <c r="J17" i="20"/>
  <c r="B20" i="20"/>
  <c r="B19" i="20"/>
  <c r="J18" i="20"/>
  <c r="K5" i="20"/>
  <c r="K6" i="20"/>
  <c r="K7" i="20"/>
  <c r="F17" i="20"/>
  <c r="F16" i="20"/>
  <c r="D17" i="20"/>
  <c r="D16" i="20"/>
  <c r="B18" i="20"/>
  <c r="B17" i="20"/>
  <c r="G5" i="20"/>
  <c r="G6" i="20"/>
  <c r="G7" i="20"/>
  <c r="C5" i="20"/>
  <c r="C6" i="20"/>
  <c r="C7" i="20"/>
  <c r="C12" i="20"/>
  <c r="K17" i="20" s="1"/>
  <c r="C11" i="20"/>
  <c r="G17" i="20" s="1"/>
  <c r="C10" i="20"/>
  <c r="C19" i="20" s="1"/>
  <c r="K4" i="20"/>
  <c r="C4" i="20"/>
  <c r="C20" i="48" l="1"/>
  <c r="K18" i="46"/>
  <c r="K17" i="44"/>
  <c r="K6" i="50"/>
  <c r="G19" i="44"/>
  <c r="G17" i="44"/>
  <c r="C19" i="44"/>
  <c r="C17" i="44"/>
  <c r="K4" i="50"/>
  <c r="K19" i="20"/>
  <c r="K7" i="50"/>
  <c r="C12" i="50"/>
  <c r="K18" i="50" s="1"/>
  <c r="C17" i="20"/>
  <c r="B23" i="20" s="1"/>
  <c r="C20" i="20"/>
  <c r="C26" i="20" s="1"/>
  <c r="B6" i="31" s="1"/>
  <c r="G5" i="50"/>
  <c r="C11" i="50"/>
  <c r="G17" i="50" s="1"/>
  <c r="G7" i="50"/>
  <c r="G6" i="50"/>
  <c r="C4" i="50"/>
  <c r="C6" i="50"/>
  <c r="C10" i="50"/>
  <c r="C19" i="50" s="1"/>
  <c r="C5" i="50"/>
  <c r="F16" i="50"/>
  <c r="J16" i="50"/>
  <c r="B16" i="50"/>
  <c r="K19" i="48"/>
  <c r="G20" i="48"/>
  <c r="F16" i="48"/>
  <c r="K17" i="48"/>
  <c r="G18" i="48"/>
  <c r="C19" i="48"/>
  <c r="K20" i="48"/>
  <c r="B16" i="48"/>
  <c r="J16" i="48"/>
  <c r="G17" i="48"/>
  <c r="C18" i="48"/>
  <c r="K20" i="46"/>
  <c r="G19" i="46"/>
  <c r="C19" i="46"/>
  <c r="B16" i="46"/>
  <c r="F16" i="46"/>
  <c r="G18" i="46"/>
  <c r="J16" i="46"/>
  <c r="G17" i="46"/>
  <c r="I17" i="46" s="1"/>
  <c r="C18" i="46"/>
  <c r="K19" i="46"/>
  <c r="G20" i="46"/>
  <c r="K19" i="44"/>
  <c r="K20" i="44"/>
  <c r="C20" i="44"/>
  <c r="G20" i="44"/>
  <c r="K20" i="50" l="1"/>
  <c r="G19" i="50"/>
  <c r="G20" i="50"/>
  <c r="G18" i="50"/>
  <c r="K17" i="50"/>
  <c r="K19" i="50"/>
  <c r="C17" i="50"/>
  <c r="C23" i="20"/>
  <c r="B26" i="20"/>
  <c r="A6" i="31" s="1"/>
  <c r="B16" i="31" s="1"/>
  <c r="C18" i="50"/>
  <c r="C20" i="50"/>
  <c r="B20" i="50"/>
  <c r="B17" i="50"/>
  <c r="B19" i="50"/>
  <c r="D16" i="50"/>
  <c r="B18" i="50"/>
  <c r="F18" i="50"/>
  <c r="F19" i="50"/>
  <c r="F20" i="50"/>
  <c r="F17" i="50"/>
  <c r="H16" i="50"/>
  <c r="J18" i="50"/>
  <c r="J17" i="50"/>
  <c r="J20" i="50"/>
  <c r="J19" i="50"/>
  <c r="J18" i="48"/>
  <c r="J19" i="48"/>
  <c r="J20" i="48"/>
  <c r="J17" i="48"/>
  <c r="F19" i="48"/>
  <c r="F20" i="48"/>
  <c r="F17" i="48"/>
  <c r="H16" i="48"/>
  <c r="F18" i="48"/>
  <c r="B20" i="48"/>
  <c r="B19" i="48"/>
  <c r="D16" i="48"/>
  <c r="B18" i="48"/>
  <c r="F19" i="46"/>
  <c r="F20" i="46"/>
  <c r="H16" i="46"/>
  <c r="F18" i="46"/>
  <c r="B20" i="46"/>
  <c r="B17" i="46"/>
  <c r="B19" i="46"/>
  <c r="D16" i="46"/>
  <c r="B18" i="46"/>
  <c r="J18" i="46"/>
  <c r="J20" i="46"/>
  <c r="J17" i="46"/>
  <c r="J19" i="46"/>
  <c r="B19" i="44"/>
  <c r="B20" i="44"/>
  <c r="B17" i="44"/>
  <c r="B18" i="44"/>
  <c r="J17" i="44"/>
  <c r="J18" i="44"/>
  <c r="J19" i="44"/>
  <c r="J20" i="44"/>
  <c r="F19" i="44"/>
  <c r="F17" i="44"/>
  <c r="F18" i="44"/>
  <c r="F20" i="44"/>
  <c r="G4" i="20"/>
  <c r="F16" i="31" l="1"/>
  <c r="K26" i="50"/>
  <c r="J6" i="51" s="1"/>
  <c r="G16" i="51" s="1"/>
  <c r="J26" i="50"/>
  <c r="I6" i="51" s="1"/>
  <c r="H16" i="51" s="1"/>
  <c r="G25" i="50"/>
  <c r="F5" i="51" s="1"/>
  <c r="H19" i="50"/>
  <c r="F25" i="50"/>
  <c r="E5" i="51" s="1"/>
  <c r="D15" i="51" s="1"/>
  <c r="G24" i="50"/>
  <c r="F4" i="51" s="1"/>
  <c r="F24" i="50"/>
  <c r="E4" i="51" s="1"/>
  <c r="D14" i="51" s="1"/>
  <c r="H18" i="50"/>
  <c r="B24" i="50"/>
  <c r="A4" i="51" s="1"/>
  <c r="C24" i="50"/>
  <c r="B4" i="51" s="1"/>
  <c r="E14" i="51" s="1"/>
  <c r="D18" i="50"/>
  <c r="D17" i="50"/>
  <c r="D19" i="50"/>
  <c r="D20" i="50"/>
  <c r="H17" i="50"/>
  <c r="F23" i="50"/>
  <c r="E3" i="51" s="1"/>
  <c r="D13" i="51" s="1"/>
  <c r="G23" i="50"/>
  <c r="F3" i="51" s="1"/>
  <c r="C25" i="50"/>
  <c r="B5" i="51" s="1"/>
  <c r="E15" i="51" s="1"/>
  <c r="B25" i="50"/>
  <c r="A5" i="51" s="1"/>
  <c r="K23" i="50"/>
  <c r="J3" i="51" s="1"/>
  <c r="G13" i="51" s="1"/>
  <c r="J23" i="50"/>
  <c r="I3" i="51" s="1"/>
  <c r="H13" i="51" s="1"/>
  <c r="K24" i="50"/>
  <c r="J4" i="51" s="1"/>
  <c r="G14" i="51" s="1"/>
  <c r="J24" i="50"/>
  <c r="I4" i="51" s="1"/>
  <c r="H14" i="51" s="1"/>
  <c r="K25" i="50"/>
  <c r="J5" i="51" s="1"/>
  <c r="G15" i="51" s="1"/>
  <c r="J25" i="50"/>
  <c r="I5" i="51" s="1"/>
  <c r="H15" i="51" s="1"/>
  <c r="F26" i="50"/>
  <c r="E6" i="51" s="1"/>
  <c r="D16" i="51" s="1"/>
  <c r="H20" i="50"/>
  <c r="G26" i="50"/>
  <c r="F6" i="51" s="1"/>
  <c r="C23" i="50"/>
  <c r="B3" i="51" s="1"/>
  <c r="E13" i="51" s="1"/>
  <c r="B23" i="50"/>
  <c r="A3" i="51" s="1"/>
  <c r="C26" i="50"/>
  <c r="B6" i="51" s="1"/>
  <c r="E16" i="51" s="1"/>
  <c r="B26" i="50"/>
  <c r="A6" i="51" s="1"/>
  <c r="B25" i="48"/>
  <c r="A5" i="49" s="1"/>
  <c r="C25" i="48"/>
  <c r="B5" i="49" s="1"/>
  <c r="E15" i="49" s="1"/>
  <c r="H20" i="48"/>
  <c r="G26" i="48"/>
  <c r="F6" i="49" s="1"/>
  <c r="F26" i="48"/>
  <c r="E6" i="49" s="1"/>
  <c r="D16" i="49" s="1"/>
  <c r="C23" i="48"/>
  <c r="B3" i="49" s="1"/>
  <c r="E13" i="49" s="1"/>
  <c r="B23" i="48"/>
  <c r="A3" i="49" s="1"/>
  <c r="G25" i="48"/>
  <c r="F5" i="49" s="1"/>
  <c r="F25" i="48"/>
  <c r="E5" i="49" s="1"/>
  <c r="D15" i="49" s="1"/>
  <c r="H19" i="48"/>
  <c r="C26" i="48"/>
  <c r="B6" i="49" s="1"/>
  <c r="E16" i="49" s="1"/>
  <c r="B26" i="48"/>
  <c r="A6" i="49" s="1"/>
  <c r="J23" i="48"/>
  <c r="I3" i="49" s="1"/>
  <c r="H13" i="49" s="1"/>
  <c r="K23" i="48"/>
  <c r="J3" i="49" s="1"/>
  <c r="G13" i="49" s="1"/>
  <c r="F24" i="48"/>
  <c r="E4" i="49" s="1"/>
  <c r="D14" i="49" s="1"/>
  <c r="H18" i="48"/>
  <c r="G24" i="48"/>
  <c r="F4" i="49" s="1"/>
  <c r="J26" i="48"/>
  <c r="I6" i="49" s="1"/>
  <c r="H16" i="49" s="1"/>
  <c r="K26" i="48"/>
  <c r="J6" i="49" s="1"/>
  <c r="G16" i="49" s="1"/>
  <c r="B24" i="48"/>
  <c r="A4" i="49" s="1"/>
  <c r="C24" i="48"/>
  <c r="B4" i="49" s="1"/>
  <c r="E14" i="49" s="1"/>
  <c r="J25" i="48"/>
  <c r="I5" i="49" s="1"/>
  <c r="H15" i="49" s="1"/>
  <c r="K25" i="48"/>
  <c r="J5" i="49" s="1"/>
  <c r="G15" i="49" s="1"/>
  <c r="D18" i="48"/>
  <c r="D20" i="48"/>
  <c r="D17" i="48"/>
  <c r="D19" i="48"/>
  <c r="H17" i="48"/>
  <c r="F23" i="48"/>
  <c r="E3" i="49" s="1"/>
  <c r="D13" i="49" s="1"/>
  <c r="G23" i="48"/>
  <c r="F3" i="49" s="1"/>
  <c r="K24" i="48"/>
  <c r="J4" i="49" s="1"/>
  <c r="G14" i="49" s="1"/>
  <c r="J24" i="48"/>
  <c r="I4" i="49" s="1"/>
  <c r="H14" i="49" s="1"/>
  <c r="K26" i="46"/>
  <c r="J6" i="47" s="1"/>
  <c r="G16" i="47" s="1"/>
  <c r="J26" i="46"/>
  <c r="I6" i="47" s="1"/>
  <c r="H16" i="47" s="1"/>
  <c r="F23" i="46"/>
  <c r="E3" i="47" s="1"/>
  <c r="D13" i="47" s="1"/>
  <c r="G23" i="46"/>
  <c r="F3" i="47" s="1"/>
  <c r="C26" i="46"/>
  <c r="B6" i="47" s="1"/>
  <c r="E16" i="47" s="1"/>
  <c r="B26" i="46"/>
  <c r="A6" i="47" s="1"/>
  <c r="G24" i="46"/>
  <c r="F4" i="47" s="1"/>
  <c r="F24" i="46"/>
  <c r="E4" i="47" s="1"/>
  <c r="D14" i="47" s="1"/>
  <c r="H18" i="46"/>
  <c r="K25" i="46"/>
  <c r="J5" i="47" s="1"/>
  <c r="G15" i="47" s="1"/>
  <c r="J25" i="46"/>
  <c r="I5" i="47" s="1"/>
  <c r="H15" i="47" s="1"/>
  <c r="C25" i="46"/>
  <c r="B5" i="47" s="1"/>
  <c r="E15" i="47" s="1"/>
  <c r="B25" i="46"/>
  <c r="A5" i="47" s="1"/>
  <c r="H20" i="46"/>
  <c r="F26" i="46"/>
  <c r="E6" i="47" s="1"/>
  <c r="D16" i="47" s="1"/>
  <c r="G26" i="46"/>
  <c r="F6" i="47" s="1"/>
  <c r="K24" i="46"/>
  <c r="J4" i="47" s="1"/>
  <c r="G14" i="47" s="1"/>
  <c r="J24" i="46"/>
  <c r="I4" i="47" s="1"/>
  <c r="H14" i="47" s="1"/>
  <c r="B24" i="46"/>
  <c r="A4" i="47" s="1"/>
  <c r="C24" i="46"/>
  <c r="B4" i="47" s="1"/>
  <c r="E14" i="47" s="1"/>
  <c r="D18" i="46"/>
  <c r="D17" i="46"/>
  <c r="E17" i="46" s="1"/>
  <c r="D19" i="46"/>
  <c r="D20" i="46"/>
  <c r="K23" i="46"/>
  <c r="J3" i="47" s="1"/>
  <c r="G13" i="47" s="1"/>
  <c r="J23" i="46"/>
  <c r="I3" i="47" s="1"/>
  <c r="H13" i="47" s="1"/>
  <c r="C23" i="46"/>
  <c r="B3" i="47" s="1"/>
  <c r="E13" i="47" s="1"/>
  <c r="B23" i="46"/>
  <c r="A3" i="47" s="1"/>
  <c r="G25" i="46"/>
  <c r="F5" i="47" s="1"/>
  <c r="H19" i="46"/>
  <c r="F25" i="46"/>
  <c r="E5" i="47" s="1"/>
  <c r="D15" i="47" s="1"/>
  <c r="H20" i="44"/>
  <c r="G26" i="44"/>
  <c r="F6" i="45" s="1"/>
  <c r="F26" i="44"/>
  <c r="E6" i="45" s="1"/>
  <c r="D16" i="45" s="1"/>
  <c r="B26" i="44"/>
  <c r="A6" i="45" s="1"/>
  <c r="C26" i="44"/>
  <c r="B6" i="45" s="1"/>
  <c r="E16" i="45" s="1"/>
  <c r="G24" i="44"/>
  <c r="F4" i="45" s="1"/>
  <c r="H18" i="44"/>
  <c r="I18" i="44" s="1"/>
  <c r="F24" i="44"/>
  <c r="E4" i="45" s="1"/>
  <c r="D14" i="45" s="1"/>
  <c r="J24" i="44"/>
  <c r="I4" i="45" s="1"/>
  <c r="H14" i="45" s="1"/>
  <c r="K24" i="44"/>
  <c r="J4" i="45" s="1"/>
  <c r="G14" i="45" s="1"/>
  <c r="F23" i="44"/>
  <c r="E3" i="45" s="1"/>
  <c r="D13" i="45" s="1"/>
  <c r="H17" i="44"/>
  <c r="I17" i="44" s="1"/>
  <c r="G23" i="44"/>
  <c r="F3" i="45" s="1"/>
  <c r="K23" i="44"/>
  <c r="J3" i="45" s="1"/>
  <c r="G13" i="45" s="1"/>
  <c r="J23" i="44"/>
  <c r="I3" i="45" s="1"/>
  <c r="H13" i="45" s="1"/>
  <c r="F25" i="44"/>
  <c r="E5" i="45" s="1"/>
  <c r="D15" i="45" s="1"/>
  <c r="H19" i="44"/>
  <c r="G25" i="44"/>
  <c r="F5" i="45" s="1"/>
  <c r="B24" i="44"/>
  <c r="A4" i="45" s="1"/>
  <c r="C24" i="44"/>
  <c r="B4" i="45" s="1"/>
  <c r="E14" i="45" s="1"/>
  <c r="D18" i="44"/>
  <c r="E18" i="44" s="1"/>
  <c r="D19" i="44"/>
  <c r="E19" i="44" s="1"/>
  <c r="D20" i="44"/>
  <c r="D17" i="44"/>
  <c r="E17" i="44" s="1"/>
  <c r="K26" i="44"/>
  <c r="J6" i="45" s="1"/>
  <c r="G16" i="45" s="1"/>
  <c r="J26" i="44"/>
  <c r="I6" i="45" s="1"/>
  <c r="H16" i="45" s="1"/>
  <c r="B23" i="44"/>
  <c r="A3" i="45" s="1"/>
  <c r="C23" i="44"/>
  <c r="B3" i="45" s="1"/>
  <c r="E13" i="45" s="1"/>
  <c r="K25" i="44"/>
  <c r="J5" i="45" s="1"/>
  <c r="G15" i="45" s="1"/>
  <c r="J25" i="44"/>
  <c r="I5" i="45" s="1"/>
  <c r="H15" i="45" s="1"/>
  <c r="C25" i="44"/>
  <c r="B5" i="45" s="1"/>
  <c r="E15" i="45" s="1"/>
  <c r="B25" i="44"/>
  <c r="A5" i="45" s="1"/>
  <c r="L9" i="24"/>
  <c r="M9" i="24"/>
  <c r="N9" i="24"/>
  <c r="N7" i="24"/>
  <c r="L5" i="24"/>
  <c r="M7" i="24"/>
  <c r="M5" i="24"/>
  <c r="N5" i="24"/>
  <c r="M3" i="24"/>
  <c r="L3" i="24"/>
  <c r="I3" i="24"/>
  <c r="G3" i="24"/>
  <c r="B3" i="24"/>
  <c r="E3" i="24" s="1"/>
  <c r="F14" i="49" l="1"/>
  <c r="B14" i="49"/>
  <c r="B13" i="49"/>
  <c r="F13" i="49"/>
  <c r="F15" i="49"/>
  <c r="B15" i="49"/>
  <c r="B16" i="49"/>
  <c r="F16" i="49"/>
  <c r="F15" i="47"/>
  <c r="B15" i="47"/>
  <c r="B14" i="47"/>
  <c r="F14" i="47"/>
  <c r="B16" i="47"/>
  <c r="F16" i="47"/>
  <c r="B13" i="47"/>
  <c r="F13" i="47"/>
  <c r="B14" i="51"/>
  <c r="F14" i="51"/>
  <c r="B16" i="51"/>
  <c r="F16" i="51"/>
  <c r="B13" i="51"/>
  <c r="F13" i="51"/>
  <c r="B15" i="51"/>
  <c r="F15" i="51"/>
  <c r="B16" i="45"/>
  <c r="F16" i="45"/>
  <c r="B13" i="45"/>
  <c r="F13" i="45"/>
  <c r="B15" i="45"/>
  <c r="F15" i="45"/>
  <c r="F14" i="45"/>
  <c r="B14" i="45"/>
  <c r="E19" i="50"/>
  <c r="E25" i="50" s="1"/>
  <c r="D5" i="51" s="1"/>
  <c r="I19" i="50"/>
  <c r="H25" i="50" s="1"/>
  <c r="G5" i="51" s="1"/>
  <c r="E18" i="50"/>
  <c r="E24" i="50" s="1"/>
  <c r="D4" i="51" s="1"/>
  <c r="I20" i="50"/>
  <c r="I26" i="50" s="1"/>
  <c r="H6" i="51" s="1"/>
  <c r="I17" i="50"/>
  <c r="I23" i="50" s="1"/>
  <c r="H3" i="51" s="1"/>
  <c r="E17" i="50"/>
  <c r="E23" i="50" s="1"/>
  <c r="D3" i="51" s="1"/>
  <c r="E20" i="50"/>
  <c r="D26" i="50" s="1"/>
  <c r="C6" i="51" s="1"/>
  <c r="I18" i="50"/>
  <c r="I24" i="50" s="1"/>
  <c r="H4" i="51" s="1"/>
  <c r="E18" i="48"/>
  <c r="E24" i="48" s="1"/>
  <c r="D4" i="49" s="1"/>
  <c r="I17" i="48"/>
  <c r="I23" i="48" s="1"/>
  <c r="H3" i="49" s="1"/>
  <c r="I18" i="48"/>
  <c r="H24" i="48" s="1"/>
  <c r="G4" i="49" s="1"/>
  <c r="I19" i="48"/>
  <c r="H25" i="48" s="1"/>
  <c r="G5" i="49" s="1"/>
  <c r="E19" i="48"/>
  <c r="E25" i="48" s="1"/>
  <c r="D5" i="49" s="1"/>
  <c r="I20" i="48"/>
  <c r="H26" i="48" s="1"/>
  <c r="G6" i="49" s="1"/>
  <c r="E17" i="48"/>
  <c r="D23" i="48" s="1"/>
  <c r="C3" i="49" s="1"/>
  <c r="E20" i="48"/>
  <c r="D26" i="48" s="1"/>
  <c r="C6" i="49" s="1"/>
  <c r="E18" i="46"/>
  <c r="E24" i="46" s="1"/>
  <c r="D4" i="47" s="1"/>
  <c r="I20" i="46"/>
  <c r="H26" i="46" s="1"/>
  <c r="G6" i="47" s="1"/>
  <c r="H23" i="46"/>
  <c r="G3" i="47" s="1"/>
  <c r="E19" i="46"/>
  <c r="E25" i="46" s="1"/>
  <c r="D5" i="47" s="1"/>
  <c r="I18" i="46"/>
  <c r="I24" i="46" s="1"/>
  <c r="H4" i="47" s="1"/>
  <c r="E23" i="46"/>
  <c r="D3" i="47" s="1"/>
  <c r="I19" i="46"/>
  <c r="I25" i="46" s="1"/>
  <c r="H5" i="47" s="1"/>
  <c r="E20" i="46"/>
  <c r="E26" i="46" s="1"/>
  <c r="D6" i="47" s="1"/>
  <c r="H24" i="44"/>
  <c r="G4" i="45" s="1"/>
  <c r="I20" i="44"/>
  <c r="I26" i="44" s="1"/>
  <c r="H6" i="45" s="1"/>
  <c r="D23" i="44"/>
  <c r="C3" i="45" s="1"/>
  <c r="H23" i="44"/>
  <c r="G3" i="45" s="1"/>
  <c r="E20" i="44"/>
  <c r="D26" i="44" s="1"/>
  <c r="C6" i="45" s="1"/>
  <c r="I19" i="44"/>
  <c r="I25" i="44" s="1"/>
  <c r="H5" i="45" s="1"/>
  <c r="D25" i="44"/>
  <c r="C5" i="45" s="1"/>
  <c r="D24" i="44"/>
  <c r="C4" i="45" s="1"/>
  <c r="J3" i="24"/>
  <c r="K3" i="24" s="1"/>
  <c r="N3" i="24" s="1"/>
  <c r="H23" i="48" l="1"/>
  <c r="G3" i="49" s="1"/>
  <c r="C13" i="49" s="1"/>
  <c r="D25" i="48"/>
  <c r="C5" i="49" s="1"/>
  <c r="A15" i="49" s="1"/>
  <c r="H24" i="50"/>
  <c r="G4" i="51" s="1"/>
  <c r="C14" i="51" s="1"/>
  <c r="D25" i="50"/>
  <c r="C5" i="51" s="1"/>
  <c r="A15" i="51" s="1"/>
  <c r="D23" i="50"/>
  <c r="C3" i="51" s="1"/>
  <c r="A13" i="51" s="1"/>
  <c r="H26" i="50"/>
  <c r="G6" i="51" s="1"/>
  <c r="C16" i="51" s="1"/>
  <c r="E26" i="50"/>
  <c r="D6" i="51" s="1"/>
  <c r="A16" i="51" s="1"/>
  <c r="I25" i="50"/>
  <c r="H5" i="51" s="1"/>
  <c r="C15" i="51" s="1"/>
  <c r="H23" i="50"/>
  <c r="G3" i="51" s="1"/>
  <c r="C13" i="51" s="1"/>
  <c r="D24" i="50"/>
  <c r="C4" i="51" s="1"/>
  <c r="A14" i="51" s="1"/>
  <c r="I24" i="48"/>
  <c r="H4" i="49" s="1"/>
  <c r="C14" i="49" s="1"/>
  <c r="E26" i="48"/>
  <c r="D6" i="49" s="1"/>
  <c r="A16" i="49" s="1"/>
  <c r="I25" i="48"/>
  <c r="H5" i="49" s="1"/>
  <c r="C15" i="49" s="1"/>
  <c r="I26" i="48"/>
  <c r="H6" i="49" s="1"/>
  <c r="C16" i="49" s="1"/>
  <c r="E23" i="48"/>
  <c r="D3" i="49" s="1"/>
  <c r="A13" i="49" s="1"/>
  <c r="D24" i="48"/>
  <c r="C4" i="49" s="1"/>
  <c r="A14" i="49" s="1"/>
  <c r="I23" i="46"/>
  <c r="H3" i="47" s="1"/>
  <c r="C13" i="47" s="1"/>
  <c r="I26" i="46"/>
  <c r="H6" i="47" s="1"/>
  <c r="C16" i="47" s="1"/>
  <c r="H24" i="46"/>
  <c r="G4" i="47" s="1"/>
  <c r="C14" i="47" s="1"/>
  <c r="D24" i="46"/>
  <c r="C4" i="47" s="1"/>
  <c r="A14" i="47" s="1"/>
  <c r="D25" i="46"/>
  <c r="C5" i="47" s="1"/>
  <c r="A15" i="47" s="1"/>
  <c r="D26" i="46"/>
  <c r="C6" i="47" s="1"/>
  <c r="A16" i="47" s="1"/>
  <c r="D23" i="46"/>
  <c r="C3" i="47" s="1"/>
  <c r="A13" i="47" s="1"/>
  <c r="H25" i="46"/>
  <c r="G5" i="47" s="1"/>
  <c r="C15" i="47" s="1"/>
  <c r="H26" i="44"/>
  <c r="G6" i="45" s="1"/>
  <c r="C16" i="45" s="1"/>
  <c r="I23" i="44"/>
  <c r="H3" i="45" s="1"/>
  <c r="C13" i="45" s="1"/>
  <c r="I24" i="44"/>
  <c r="H4" i="45" s="1"/>
  <c r="C14" i="45" s="1"/>
  <c r="H25" i="44"/>
  <c r="G5" i="45" s="1"/>
  <c r="C15" i="45" s="1"/>
  <c r="E23" i="44"/>
  <c r="D3" i="45" s="1"/>
  <c r="A13" i="45" s="1"/>
  <c r="E26" i="44"/>
  <c r="D6" i="45" s="1"/>
  <c r="A16" i="45" s="1"/>
  <c r="E24" i="44"/>
  <c r="D4" i="45" s="1"/>
  <c r="A14" i="45" s="1"/>
  <c r="E25" i="44"/>
  <c r="D5" i="45" s="1"/>
  <c r="A15" i="45" s="1"/>
  <c r="B12" i="20"/>
  <c r="B11" i="20"/>
  <c r="B10" i="20"/>
  <c r="C18" i="20" l="1"/>
  <c r="G20" i="20"/>
  <c r="G18" i="20"/>
  <c r="G19" i="20"/>
  <c r="K20" i="20"/>
  <c r="K18" i="20"/>
  <c r="B16" i="20"/>
  <c r="J16" i="20"/>
  <c r="J20" i="20" l="1"/>
  <c r="J19" i="20"/>
  <c r="F20" i="20"/>
  <c r="F18" i="20"/>
  <c r="F19" i="20"/>
  <c r="H16" i="20"/>
  <c r="H17" i="20"/>
  <c r="I17" i="20" s="1"/>
  <c r="K23" i="20"/>
  <c r="J3" i="31" s="1"/>
  <c r="G13" i="31" s="1"/>
  <c r="J26" i="20" l="1"/>
  <c r="I6" i="31" s="1"/>
  <c r="H16" i="31" s="1"/>
  <c r="K26" i="20"/>
  <c r="J6" i="31" s="1"/>
  <c r="D19" i="20"/>
  <c r="D18" i="20"/>
  <c r="D20" i="20"/>
  <c r="B25" i="20"/>
  <c r="A5" i="31" s="1"/>
  <c r="C25" i="20"/>
  <c r="B5" i="31" s="1"/>
  <c r="E15" i="31" s="1"/>
  <c r="B24" i="20"/>
  <c r="A4" i="31" s="1"/>
  <c r="C24" i="20"/>
  <c r="B4" i="31" s="1"/>
  <c r="E14" i="31" s="1"/>
  <c r="G23" i="20"/>
  <c r="F3" i="31" s="1"/>
  <c r="G26" i="20"/>
  <c r="F6" i="31" s="1"/>
  <c r="H20" i="20"/>
  <c r="F26" i="20"/>
  <c r="E6" i="31" s="1"/>
  <c r="D16" i="31" s="1"/>
  <c r="F25" i="20"/>
  <c r="E5" i="31" s="1"/>
  <c r="D15" i="31" s="1"/>
  <c r="H19" i="20"/>
  <c r="G25" i="20"/>
  <c r="F5" i="31" s="1"/>
  <c r="J25" i="20"/>
  <c r="I5" i="31" s="1"/>
  <c r="H15" i="31" s="1"/>
  <c r="K25" i="20"/>
  <c r="J5" i="31" s="1"/>
  <c r="G15" i="31" s="1"/>
  <c r="F24" i="20"/>
  <c r="E4" i="31" s="1"/>
  <c r="D14" i="31" s="1"/>
  <c r="G24" i="20"/>
  <c r="F4" i="31" s="1"/>
  <c r="H18" i="20"/>
  <c r="I18" i="20" s="1"/>
  <c r="J24" i="20"/>
  <c r="I4" i="31" s="1"/>
  <c r="H14" i="31" s="1"/>
  <c r="K24" i="20"/>
  <c r="J4" i="31" s="1"/>
  <c r="G14" i="31" s="1"/>
  <c r="J23" i="20"/>
  <c r="I3" i="31" s="1"/>
  <c r="H13" i="31" s="1"/>
  <c r="F23" i="20"/>
  <c r="E3" i="31" s="1"/>
  <c r="D13" i="31" s="1"/>
  <c r="A3" i="31"/>
  <c r="B13" i="31" s="1"/>
  <c r="B3" i="31"/>
  <c r="E13" i="31" s="1"/>
  <c r="E17" i="20"/>
  <c r="H23" i="20"/>
  <c r="F14" i="31" l="1"/>
  <c r="B14" i="31"/>
  <c r="F15" i="31"/>
  <c r="B15" i="31"/>
  <c r="H24" i="20"/>
  <c r="G4" i="31" s="1"/>
  <c r="I24" i="20"/>
  <c r="H4" i="31" s="1"/>
  <c r="E18" i="20"/>
  <c r="D24" i="20" s="1"/>
  <c r="C4" i="31" s="1"/>
  <c r="E19" i="20"/>
  <c r="D25" i="20" s="1"/>
  <c r="C5" i="31" s="1"/>
  <c r="I19" i="20"/>
  <c r="H25" i="20" s="1"/>
  <c r="G5" i="31" s="1"/>
  <c r="E20" i="20"/>
  <c r="D26" i="20" s="1"/>
  <c r="C6" i="31" s="1"/>
  <c r="I20" i="20"/>
  <c r="H26" i="20" s="1"/>
  <c r="G6" i="31" s="1"/>
  <c r="D23" i="20"/>
  <c r="C3" i="31" s="1"/>
  <c r="F13" i="31"/>
  <c r="I23" i="20"/>
  <c r="H3" i="31" s="1"/>
  <c r="E23" i="20"/>
  <c r="D3" i="31" s="1"/>
  <c r="G3" i="31"/>
  <c r="C14" i="31" l="1"/>
  <c r="I25" i="20"/>
  <c r="H5" i="31" s="1"/>
  <c r="C15" i="31" s="1"/>
  <c r="E24" i="20"/>
  <c r="D4" i="31" s="1"/>
  <c r="A14" i="31" s="1"/>
  <c r="E26" i="20"/>
  <c r="D6" i="31" s="1"/>
  <c r="I26" i="20"/>
  <c r="H6" i="31" s="1"/>
  <c r="E25" i="20"/>
  <c r="D5" i="31" s="1"/>
  <c r="A15" i="31" s="1"/>
  <c r="A13" i="31"/>
  <c r="C13" i="31"/>
</calcChain>
</file>

<file path=xl/sharedStrings.xml><?xml version="1.0" encoding="utf-8"?>
<sst xmlns="http://schemas.openxmlformats.org/spreadsheetml/2006/main" count="579" uniqueCount="80">
  <si>
    <t>Kinetic Profiles</t>
  </si>
  <si>
    <t>Conversion</t>
  </si>
  <si>
    <t>HTKE</t>
  </si>
  <si>
    <t>Python IR</t>
  </si>
  <si>
    <t>Peak at 1592cm-1</t>
  </si>
  <si>
    <t>Slug#</t>
  </si>
  <si>
    <t>t0 (Theory)</t>
  </si>
  <si>
    <t>Rxn (Exp)</t>
  </si>
  <si>
    <t>IR Data</t>
  </si>
  <si>
    <t>[A] (Theory-Exp)</t>
  </si>
  <si>
    <t>IR Calibration</t>
  </si>
  <si>
    <t>[A]</t>
  </si>
  <si>
    <t>IR Peak Area</t>
  </si>
  <si>
    <t>Rate (Theory-Exp)</t>
  </si>
  <si>
    <t>135-TMB (g)</t>
  </si>
  <si>
    <t>135-TMB (mmol)</t>
  </si>
  <si>
    <t>∫135-TMB</t>
  </si>
  <si>
    <t>∫2-CBA</t>
  </si>
  <si>
    <t>2-CBA (mmol)</t>
  </si>
  <si>
    <t>NMR</t>
  </si>
  <si>
    <t>Experimental</t>
  </si>
  <si>
    <t>2-CBA (g)</t>
  </si>
  <si>
    <t>2-CBA (mL)</t>
  </si>
  <si>
    <t>DMSO (g)</t>
  </si>
  <si>
    <t>DMSO (mL)</t>
  </si>
  <si>
    <t>Slug Concentration</t>
  </si>
  <si>
    <t>Aliquot (mL)</t>
  </si>
  <si>
    <t>Slug (mL)</t>
  </si>
  <si>
    <t>[2-CBA] (M)</t>
  </si>
  <si>
    <t>Chemical</t>
  </si>
  <si>
    <t>RMM</t>
  </si>
  <si>
    <t>ρ</t>
  </si>
  <si>
    <t>135-TMB</t>
  </si>
  <si>
    <t>2-CBA</t>
  </si>
  <si>
    <t>DMSO</t>
  </si>
  <si>
    <t>-</t>
  </si>
  <si>
    <t>[2-CBA] Stock (M)</t>
  </si>
  <si>
    <t>Acetone</t>
  </si>
  <si>
    <t>Proline</t>
  </si>
  <si>
    <t>Methanol</t>
  </si>
  <si>
    <t>Acetone (g)</t>
  </si>
  <si>
    <t>Acetone (mL)</t>
  </si>
  <si>
    <t>[Acetone] (Stock)</t>
  </si>
  <si>
    <t>Acetone (mmol)</t>
  </si>
  <si>
    <t>Methanol (g)</t>
  </si>
  <si>
    <t>Methanol (mL)</t>
  </si>
  <si>
    <t>Methanol (mmol)</t>
  </si>
  <si>
    <t>[Acetone] (M)</t>
  </si>
  <si>
    <t>[Methanol] (M)</t>
  </si>
  <si>
    <t>Volume (mL)</t>
  </si>
  <si>
    <t>Proline (g)</t>
  </si>
  <si>
    <t>Proline (mmol)</t>
  </si>
  <si>
    <t>[Proline] (M)</t>
  </si>
  <si>
    <t>τ (min)</t>
  </si>
  <si>
    <t>t0 - 4</t>
  </si>
  <si>
    <t>Rxn - 4</t>
  </si>
  <si>
    <t>Standard</t>
  </si>
  <si>
    <t>dxs Ketone</t>
  </si>
  <si>
    <t>dxs Catalyst</t>
  </si>
  <si>
    <t>t0 - 5</t>
  </si>
  <si>
    <t>Rxn - 5</t>
  </si>
  <si>
    <t>t0 (Ald)</t>
  </si>
  <si>
    <t>t0 (Ket)</t>
  </si>
  <si>
    <t>Rxn (Ket)</t>
  </si>
  <si>
    <t>[B] (Theory-Exp)</t>
  </si>
  <si>
    <t>RPKA</t>
  </si>
  <si>
    <t>Order in [A]:</t>
  </si>
  <si>
    <t>Order in [B]:</t>
  </si>
  <si>
    <t>Rate/[B]</t>
  </si>
  <si>
    <t>Order in [cat]:</t>
  </si>
  <si>
    <t>Lo Catalyst</t>
  </si>
  <si>
    <t>Rate/[cat]</t>
  </si>
  <si>
    <t>Experiment</t>
  </si>
  <si>
    <t>dxs[B]</t>
  </si>
  <si>
    <t>dxs[Cat]</t>
  </si>
  <si>
    <t>Different XS</t>
  </si>
  <si>
    <t>t0 - 1</t>
  </si>
  <si>
    <t>Standard-1</t>
  </si>
  <si>
    <t>Rxn - 1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</si>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</sst>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5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0" fillId="0" borderId="12" xfId="0" applyBorder="1"/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'SPKA-Average'!$B$23:$B$26</c:f>
              <c:numCache>
                <c:formatCode>General</c:formatCode>
                <c:ptCount val="4"/>
                <c:pt idx="0">
                  <c:v>8.1560202440439683E-2</c:v>
                </c:pt>
                <c:pt idx="1">
                  <c:v>6.4564111290209156E-2</c:v>
                </c:pt>
                <c:pt idx="2">
                  <c:v>4.7521226159660007E-2</c:v>
                </c:pt>
                <c:pt idx="3">
                  <c:v>3.0430492222917958E-2</c:v>
                </c:pt>
              </c:numCache>
            </c:numRef>
          </c:xVal>
          <c:yVal>
            <c:numRef>
              <c:f>'SPKA-Average'!$C$23:$C$26</c:f>
              <c:numCache>
                <c:formatCode>General</c:formatCode>
                <c:ptCount val="4"/>
                <c:pt idx="0">
                  <c:v>-4.1675835425671897E-6</c:v>
                </c:pt>
                <c:pt idx="1">
                  <c:v>-4.1740707058282766E-6</c:v>
                </c:pt>
                <c:pt idx="2">
                  <c:v>-4.0437333652337461E-6</c:v>
                </c:pt>
                <c:pt idx="3">
                  <c:v>-3.773487234601454E-6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8-4597-8C93-6BB856EB252B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'SPKA-Average'!$F$23:$F$26</c:f>
              <c:numCache>
                <c:formatCode>General</c:formatCode>
                <c:ptCount val="4"/>
                <c:pt idx="0">
                  <c:v>8.4802524074364727E-2</c:v>
                </c:pt>
                <c:pt idx="1">
                  <c:v>6.7106801690198392E-2</c:v>
                </c:pt>
                <c:pt idx="2">
                  <c:v>4.9406497894182146E-2</c:v>
                </c:pt>
                <c:pt idx="3">
                  <c:v>3.1762744682658918E-2</c:v>
                </c:pt>
              </c:numCache>
            </c:numRef>
          </c:xVal>
          <c:yVal>
            <c:numRef>
              <c:f>'SPKA-Average'!$G$23:$G$26</c:f>
              <c:numCache>
                <c:formatCode>General</c:formatCode>
                <c:ptCount val="4"/>
                <c:pt idx="0">
                  <c:v>-1.3648056156383128E-5</c:v>
                </c:pt>
                <c:pt idx="1">
                  <c:v>-1.1608837957258772E-5</c:v>
                </c:pt>
                <c:pt idx="2">
                  <c:v>-9.5562238170528646E-6</c:v>
                </c:pt>
                <c:pt idx="3">
                  <c:v>-7.6689622630837917E-6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8-4597-8C93-6BB856EB252B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'SPKA-Average'!$J$23:$J$26</c:f>
              <c:numCache>
                <c:formatCode>General</c:formatCode>
                <c:ptCount val="4"/>
                <c:pt idx="0">
                  <c:v>8.7157836391541066E-2</c:v>
                </c:pt>
                <c:pt idx="1">
                  <c:v>6.9088997206732269E-2</c:v>
                </c:pt>
                <c:pt idx="2">
                  <c:v>5.1073741209954518E-2</c:v>
                </c:pt>
                <c:pt idx="3">
                  <c:v>3.300344425719056E-2</c:v>
                </c:pt>
              </c:numCache>
            </c:numRef>
          </c:xVal>
          <c:yVal>
            <c:numRef>
              <c:f>'SPKA-Average'!$K$23:$K$26</c:f>
              <c:numCache>
                <c:formatCode>General</c:formatCode>
                <c:ptCount val="4"/>
                <c:pt idx="0">
                  <c:v>-2.053493427678176E-5</c:v>
                </c:pt>
                <c:pt idx="1">
                  <c:v>-1.7404731280457265E-5</c:v>
                </c:pt>
                <c:pt idx="2">
                  <c:v>-1.4431204272527637E-5</c:v>
                </c:pt>
                <c:pt idx="3">
                  <c:v>-1.1296738796802044E-5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88-4597-8C93-6BB856EB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'SPKA-1'!$J$17:$J$20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F2-4E5C-A7F9-5B71E96163E6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'SPKA-1'!$K$17:$K$20</c:f>
              <c:numCache>
                <c:formatCode>General</c:formatCode>
                <c:ptCount val="4"/>
                <c:pt idx="0">
                  <c:v>9.2037560224331627E-2</c:v>
                </c:pt>
                <c:pt idx="1">
                  <c:v>7.1890281524650324E-2</c:v>
                </c:pt>
                <c:pt idx="2">
                  <c:v>5.2171668329217519E-2</c:v>
                </c:pt>
                <c:pt idx="3">
                  <c:v>3.2024389629536208E-2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F2-4E5C-A7F9-5B71E961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'SPKA-RPKA-1'!$B$13:$B$16</c:f>
              <c:numCache>
                <c:formatCode>General</c:formatCode>
                <c:ptCount val="4"/>
                <c:pt idx="0">
                  <c:v>0.7820741326457693</c:v>
                </c:pt>
                <c:pt idx="1">
                  <c:v>0.76377961389935267</c:v>
                </c:pt>
                <c:pt idx="2">
                  <c:v>0.73280993198096522</c:v>
                </c:pt>
                <c:pt idx="3">
                  <c:v>0.68252535642510237</c:v>
                </c:pt>
              </c:numCache>
            </c:numRef>
          </c:xVal>
          <c:yVal>
            <c:numRef>
              <c:f>'SPKA-RPKA-1'!$A$13:$A$16</c:f>
              <c:numCache>
                <c:formatCode>General</c:formatCode>
                <c:ptCount val="4"/>
                <c:pt idx="0">
                  <c:v>3.3719660734901668E-5</c:v>
                </c:pt>
                <c:pt idx="1">
                  <c:v>2.9672402264237901E-5</c:v>
                </c:pt>
                <c:pt idx="2">
                  <c:v>1.1424383760102349E-5</c:v>
                </c:pt>
                <c:pt idx="3">
                  <c:v>-7.3418105226774548E-6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F-4A59-AA77-ED74052B8E70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'SPKA-RPKA-1'!$D$13:$D$16</c:f>
              <c:numCache>
                <c:formatCode>General</c:formatCode>
                <c:ptCount val="4"/>
                <c:pt idx="0">
                  <c:v>0.78543683914858842</c:v>
                </c:pt>
                <c:pt idx="1">
                  <c:v>0.76727090380989793</c:v>
                </c:pt>
                <c:pt idx="2">
                  <c:v>0.73718992914766401</c:v>
                </c:pt>
                <c:pt idx="3">
                  <c:v>0.68895034461655713</c:v>
                </c:pt>
              </c:numCache>
            </c:numRef>
          </c:xVal>
          <c:yVal>
            <c:numRef>
              <c:f>'SPKA-RPKA-1'!$C$13:$C$16</c:f>
              <c:numCache>
                <c:formatCode>General</c:formatCode>
                <c:ptCount val="4"/>
                <c:pt idx="0">
                  <c:v>2.2746994110037936E-5</c:v>
                </c:pt>
                <c:pt idx="1">
                  <c:v>2.045470095323904E-5</c:v>
                </c:pt>
                <c:pt idx="2">
                  <c:v>3.4061322967950697E-6</c:v>
                </c:pt>
                <c:pt idx="3">
                  <c:v>-1.3642436359648977E-5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F-4A59-AA77-ED74052B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'SPKA-RPKA-1'!$F$13:$F$16</c:f>
              <c:numCache>
                <c:formatCode>General</c:formatCode>
                <c:ptCount val="4"/>
                <c:pt idx="0">
                  <c:v>8.5601074657611131E-2</c:v>
                </c:pt>
                <c:pt idx="1">
                  <c:v>6.7558597328788633E-2</c:v>
                </c:pt>
                <c:pt idx="2">
                  <c:v>4.4659460068518751E-2</c:v>
                </c:pt>
                <c:pt idx="3">
                  <c:v>2.1937538924545183E-2</c:v>
                </c:pt>
              </c:numCache>
            </c:numRef>
          </c:xVal>
          <c:yVal>
            <c:numRef>
              <c:f>'SPKA-RPKA-1'!$E$13:$E$16</c:f>
              <c:numCache>
                <c:formatCode>General</c:formatCode>
                <c:ptCount val="4"/>
                <c:pt idx="0">
                  <c:v>3.3719660734901668E-5</c:v>
                </c:pt>
                <c:pt idx="1">
                  <c:v>2.9672402264237901E-5</c:v>
                </c:pt>
                <c:pt idx="2">
                  <c:v>1.1424383760102349E-5</c:v>
                </c:pt>
                <c:pt idx="3">
                  <c:v>-7.3418105226774599E-6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9-4DC5-B312-2B83A375BD73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'SPKA-RPKA-1'!$H$13:$H$16</c:f>
              <c:numCache>
                <c:formatCode>General</c:formatCode>
                <c:ptCount val="4"/>
                <c:pt idx="0">
                  <c:v>9.4585379426639568E-2</c:v>
                </c:pt>
                <c:pt idx="1">
                  <c:v>7.4798420213904163E-2</c:v>
                </c:pt>
                <c:pt idx="2">
                  <c:v>5.0369133821845637E-2</c:v>
                </c:pt>
                <c:pt idx="3">
                  <c:v>2.5725514677662851E-2</c:v>
                </c:pt>
              </c:numCache>
            </c:numRef>
          </c:xVal>
          <c:yVal>
            <c:numRef>
              <c:f>'SPKA-RPKA-1'!$G$13:$G$16</c:f>
              <c:numCache>
                <c:formatCode>General</c:formatCode>
                <c:ptCount val="4"/>
                <c:pt idx="0">
                  <c:v>7.4497637494384242E-6</c:v>
                </c:pt>
                <c:pt idx="1">
                  <c:v>8.5033295007422188E-6</c:v>
                </c:pt>
                <c:pt idx="2">
                  <c:v>-5.2705687350055029E-6</c:v>
                </c:pt>
                <c:pt idx="3">
                  <c:v>-1.841776301717356E-5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9-4DC5-B312-2B83A37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'SPKA-2'!$B$23:$B$26</c:f>
              <c:numCache>
                <c:formatCode>General</c:formatCode>
                <c:ptCount val="4"/>
                <c:pt idx="0">
                  <c:v>9.0025569751506718E-2</c:v>
                </c:pt>
                <c:pt idx="1">
                  <c:v>7.1702157509983322E-2</c:v>
                </c:pt>
                <c:pt idx="2">
                  <c:v>4.8334909415738002E-2</c:v>
                </c:pt>
                <c:pt idx="3">
                  <c:v>2.4780485400218155E-2</c:v>
                </c:pt>
              </c:numCache>
            </c:numRef>
          </c:xVal>
          <c:yVal>
            <c:numRef>
              <c:f>'SPKA-2'!$C$23:$C$26</c:f>
              <c:numCache>
                <c:formatCode>General</c:formatCode>
                <c:ptCount val="4"/>
                <c:pt idx="0">
                  <c:v>2.0782540577312255E-5</c:v>
                </c:pt>
                <c:pt idx="1">
                  <c:v>1.7556729219809024E-5</c:v>
                </c:pt>
                <c:pt idx="2">
                  <c:v>6.7745584425658681E-7</c:v>
                </c:pt>
                <c:pt idx="3">
                  <c:v>-1.5654519515873279E-5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0-435F-AF97-5276F123B6BD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'SPKA-2'!$F$23:$F$26</c:f>
              <c:numCache>
                <c:formatCode>General</c:formatCode>
                <c:ptCount val="4"/>
                <c:pt idx="0">
                  <c:v>9.1973092170033369E-2</c:v>
                </c:pt>
                <c:pt idx="1">
                  <c:v>7.3130480167534428E-2</c:v>
                </c:pt>
                <c:pt idx="2">
                  <c:v>4.9625448491877569E-2</c:v>
                </c:pt>
                <c:pt idx="3">
                  <c:v>2.5926176557931266E-2</c:v>
                </c:pt>
              </c:numCache>
            </c:numRef>
          </c:xVal>
          <c:yVal>
            <c:numRef>
              <c:f>'SPKA-2'!$G$23:$G$26</c:f>
              <c:numCache>
                <c:formatCode>General</c:formatCode>
                <c:ptCount val="4"/>
                <c:pt idx="0">
                  <c:v>1.5088030581620293E-5</c:v>
                </c:pt>
                <c:pt idx="1">
                  <c:v>1.3380347180185887E-5</c:v>
                </c:pt>
                <c:pt idx="2">
                  <c:v>-3.0960502263269428E-6</c:v>
                </c:pt>
                <c:pt idx="3">
                  <c:v>-1.9004493661233253E-5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D0-435F-AF97-5276F123B6BD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'SPKA-2'!$J$23:$J$26</c:f>
              <c:numCache>
                <c:formatCode>General</c:formatCode>
                <c:ptCount val="4"/>
                <c:pt idx="0">
                  <c:v>9.4268733275451058E-2</c:v>
                </c:pt>
                <c:pt idx="1">
                  <c:v>7.5143818973732401E-2</c:v>
                </c:pt>
                <c:pt idx="2">
                  <c:v>5.1162244740566354E-2</c:v>
                </c:pt>
                <c:pt idx="3">
                  <c:v>2.6976070628295462E-2</c:v>
                </c:pt>
              </c:numCache>
            </c:numRef>
          </c:xVal>
          <c:yVal>
            <c:numRef>
              <c:f>'SPKA-2'!$K$23:$K$26</c:f>
              <c:numCache>
                <c:formatCode>General</c:formatCode>
                <c:ptCount val="4"/>
                <c:pt idx="0">
                  <c:v>8.3756296885861146E-6</c:v>
                </c:pt>
                <c:pt idx="1">
                  <c:v>7.4933916065075832E-6</c:v>
                </c:pt>
                <c:pt idx="2">
                  <c:v>-7.5896065090426879E-6</c:v>
                </c:pt>
                <c:pt idx="3">
                  <c:v>-2.2074359364052539E-5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D0-435F-AF97-5276F123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'SPKA-2'!$B$17:$B$20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B-4B6D-8928-0AC75A070590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'SPKA-2'!$C$17:$C$20</c:f>
              <c:numCache>
                <c:formatCode>General</c:formatCode>
                <c:ptCount val="4"/>
                <c:pt idx="0">
                  <c:v>8.2917940874065926E-2</c:v>
                </c:pt>
                <c:pt idx="1">
                  <c:v>6.5697756116808628E-2</c:v>
                </c:pt>
                <c:pt idx="2">
                  <c:v>4.8103219517002249E-2</c:v>
                </c:pt>
                <c:pt idx="3">
                  <c:v>3.0134331074646817E-2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B-4B6D-8928-0AC75A070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'SPKA-2'!$F$17:$F$20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9-4C14-966F-277BB8A1595A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'SPKA-2'!$G$17:$G$20</c:f>
              <c:numCache>
                <c:formatCode>General</c:formatCode>
                <c:ptCount val="4"/>
                <c:pt idx="0">
                  <c:v>8.6812985711119228E-2</c:v>
                </c:pt>
                <c:pt idx="1">
                  <c:v>6.8554401431910855E-2</c:v>
                </c:pt>
                <c:pt idx="2">
                  <c:v>5.0684297669281383E-2</c:v>
                </c:pt>
                <c:pt idx="3">
                  <c:v>3.2425713390073038E-2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9-4C14-966F-277BB8A1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'SPKA-2'!$J$17:$J$20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1-4029-AFCA-BD55204277D0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'SPKA-2'!$K$17:$K$20</c:f>
              <c:numCache>
                <c:formatCode>General</c:formatCode>
                <c:ptCount val="4"/>
                <c:pt idx="0">
                  <c:v>9.1404267921954607E-2</c:v>
                </c:pt>
                <c:pt idx="1">
                  <c:v>7.2581079044306815E-2</c:v>
                </c:pt>
                <c:pt idx="2">
                  <c:v>5.3757890166658953E-2</c:v>
                </c:pt>
                <c:pt idx="3">
                  <c:v>3.4525501530801431E-2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1-4029-AFCA-BD552042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'SPKA-RPKA-2'!$B$13:$B$16</c:f>
              <c:numCache>
                <c:formatCode>General</c:formatCode>
                <c:ptCount val="4"/>
                <c:pt idx="0">
                  <c:v>9.0025569751506718E-2</c:v>
                </c:pt>
                <c:pt idx="1">
                  <c:v>7.1702157509983322E-2</c:v>
                </c:pt>
                <c:pt idx="2">
                  <c:v>4.8334909415738002E-2</c:v>
                </c:pt>
                <c:pt idx="3">
                  <c:v>2.4780485400218155E-2</c:v>
                </c:pt>
              </c:numCache>
            </c:numRef>
          </c:xVal>
          <c:yVal>
            <c:numRef>
              <c:f>'SPKA-RPKA-2'!$A$13:$A$16</c:f>
              <c:numCache>
                <c:formatCode>General</c:formatCode>
                <c:ptCount val="4"/>
                <c:pt idx="0">
                  <c:v>3.7599063648360254E-5</c:v>
                </c:pt>
                <c:pt idx="1">
                  <c:v>3.314345389245243E-5</c:v>
                </c:pt>
                <c:pt idx="2">
                  <c:v>1.3645260526787426E-6</c:v>
                </c:pt>
                <c:pt idx="3">
                  <c:v>-3.4278742788100863E-5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9-4363-B381-CB0092720AE2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'SPKA-RPKA-2'!$D$13:$D$16</c:f>
              <c:numCache>
                <c:formatCode>General</c:formatCode>
                <c:ptCount val="4"/>
                <c:pt idx="0">
                  <c:v>9.1973092170033369E-2</c:v>
                </c:pt>
                <c:pt idx="1">
                  <c:v>7.3130480167534428E-2</c:v>
                </c:pt>
                <c:pt idx="2">
                  <c:v>4.9625448491877569E-2</c:v>
                </c:pt>
                <c:pt idx="3">
                  <c:v>2.5926176557931266E-2</c:v>
                </c:pt>
              </c:numCache>
            </c:numRef>
          </c:xVal>
          <c:yVal>
            <c:numRef>
              <c:f>'SPKA-RPKA-2'!$C$13:$C$16</c:f>
              <c:numCache>
                <c:formatCode>General</c:formatCode>
                <c:ptCount val="4"/>
                <c:pt idx="0">
                  <c:v>3.0869835790442015E-5</c:v>
                </c:pt>
                <c:pt idx="1">
                  <c:v>2.9324988787698528E-5</c:v>
                </c:pt>
                <c:pt idx="2">
                  <c:v>-7.6224865036760459E-6</c:v>
                </c:pt>
                <c:pt idx="3">
                  <c:v>-5.685056181259536E-5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9-4363-B381-CB009272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'SPKA-RPKA-2'!$F$13:$F$16</c:f>
              <c:numCache>
                <c:formatCode>General</c:formatCode>
                <c:ptCount val="4"/>
                <c:pt idx="0">
                  <c:v>9.0025569751506718E-2</c:v>
                </c:pt>
                <c:pt idx="1">
                  <c:v>7.1702157509983322E-2</c:v>
                </c:pt>
                <c:pt idx="2">
                  <c:v>4.8334909415738002E-2</c:v>
                </c:pt>
                <c:pt idx="3">
                  <c:v>2.4780485400218155E-2</c:v>
                </c:pt>
              </c:numCache>
            </c:numRef>
          </c:xVal>
          <c:yVal>
            <c:numRef>
              <c:f>'SPKA-RPKA-2'!$E$13:$E$16</c:f>
              <c:numCache>
                <c:formatCode>General</c:formatCode>
                <c:ptCount val="4"/>
                <c:pt idx="0">
                  <c:v>1.6067475430861233E-2</c:v>
                </c:pt>
                <c:pt idx="1">
                  <c:v>1.3573524100009103E-2</c:v>
                </c:pt>
                <c:pt idx="2">
                  <c:v>5.2375719381339407E-4</c:v>
                </c:pt>
                <c:pt idx="3">
                  <c:v>-1.2102880625567919E-2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6-4755-B020-94381674A73A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'SPKA-RPKA-2'!$H$13:$H$16</c:f>
              <c:numCache>
                <c:formatCode>General</c:formatCode>
                <c:ptCount val="4"/>
                <c:pt idx="0">
                  <c:v>9.4268733275451058E-2</c:v>
                </c:pt>
                <c:pt idx="1">
                  <c:v>7.5143818973732401E-2</c:v>
                </c:pt>
                <c:pt idx="2">
                  <c:v>5.1162244740566354E-2</c:v>
                </c:pt>
                <c:pt idx="3">
                  <c:v>2.6976070628295462E-2</c:v>
                </c:pt>
              </c:numCache>
            </c:numRef>
          </c:xVal>
          <c:yVal>
            <c:numRef>
              <c:f>'SPKA-RPKA-2'!$G$13:$G$16</c:f>
              <c:numCache>
                <c:formatCode>General</c:formatCode>
                <c:ptCount val="4"/>
                <c:pt idx="0">
                  <c:v>2.1038630570108244E-2</c:v>
                </c:pt>
                <c:pt idx="1">
                  <c:v>1.8822548702374146E-2</c:v>
                </c:pt>
                <c:pt idx="2">
                  <c:v>-1.9064229610561093E-2</c:v>
                </c:pt>
                <c:pt idx="3">
                  <c:v>-5.5448283770829943E-2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06-4755-B020-94381674A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'SPKA-3'!$B$23:$B$26</c:f>
              <c:numCache>
                <c:formatCode>General</c:formatCode>
                <c:ptCount val="4"/>
                <c:pt idx="0">
                  <c:v>9.1860381551967546E-2</c:v>
                </c:pt>
                <c:pt idx="1">
                  <c:v>7.3444595763334647E-2</c:v>
                </c:pt>
                <c:pt idx="2">
                  <c:v>5.0172150043254427E-2</c:v>
                </c:pt>
                <c:pt idx="3">
                  <c:v>2.6899704323174147E-2</c:v>
                </c:pt>
              </c:numCache>
            </c:numRef>
          </c:xVal>
          <c:yVal>
            <c:numRef>
              <c:f>'SPKA-3'!$C$23:$C$26</c:f>
              <c:numCache>
                <c:formatCode>General</c:formatCode>
                <c:ptCount val="4"/>
                <c:pt idx="0">
                  <c:v>1.5417593792339055E-5</c:v>
                </c:pt>
                <c:pt idx="1">
                  <c:v>1.2461880525799263E-5</c:v>
                </c:pt>
                <c:pt idx="2">
                  <c:v>-4.6945927742124911E-6</c:v>
                </c:pt>
                <c:pt idx="3">
                  <c:v>-2.1851066074224134E-5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C-459A-A35C-0D69AA5E7012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'SPKA-3'!$F$23:$F$26</c:f>
              <c:numCache>
                <c:formatCode>General</c:formatCode>
                <c:ptCount val="4"/>
                <c:pt idx="0">
                  <c:v>9.3623640472310352E-2</c:v>
                </c:pt>
                <c:pt idx="1">
                  <c:v>7.5063099347900702E-2</c:v>
                </c:pt>
                <c:pt idx="2">
                  <c:v>5.1453567395054155E-2</c:v>
                </c:pt>
                <c:pt idx="3">
                  <c:v>2.7844035442207652E-2</c:v>
                </c:pt>
              </c:numCache>
            </c:numRef>
          </c:xVal>
          <c:yVal>
            <c:numRef>
              <c:f>'SPKA-3'!$G$23:$G$26</c:f>
              <c:numCache>
                <c:formatCode>General</c:formatCode>
                <c:ptCount val="4"/>
                <c:pt idx="0">
                  <c:v>1.0261865955079408E-5</c:v>
                </c:pt>
                <c:pt idx="1">
                  <c:v>7.7294139042611289E-6</c:v>
                </c:pt>
                <c:pt idx="2">
                  <c:v>-8.4414271362000001E-6</c:v>
                </c:pt>
                <c:pt idx="3">
                  <c:v>-2.4612268176661282E-5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9C-459A-A35C-0D69AA5E7012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'SPKA-3'!$J$23:$J$26</c:f>
              <c:numCache>
                <c:formatCode>General</c:formatCode>
                <c:ptCount val="4"/>
                <c:pt idx="0">
                  <c:v>9.5756259545883265E-2</c:v>
                </c:pt>
                <c:pt idx="1">
                  <c:v>7.6591570194914138E-2</c:v>
                </c:pt>
                <c:pt idx="2">
                  <c:v>5.257022091249762E-2</c:v>
                </c:pt>
                <c:pt idx="3">
                  <c:v>2.8548871630081119E-2</c:v>
                </c:pt>
              </c:numCache>
            </c:numRef>
          </c:xVal>
          <c:yVal>
            <c:numRef>
              <c:f>'SPKA-3'!$K$23:$K$26</c:f>
              <c:numCache>
                <c:formatCode>General</c:formatCode>
                <c:ptCount val="4"/>
                <c:pt idx="0">
                  <c:v>4.0261376697784898E-6</c:v>
                </c:pt>
                <c:pt idx="1">
                  <c:v>3.2602009012978468E-6</c:v>
                </c:pt>
                <c:pt idx="2">
                  <c:v>-1.1706495900654576E-5</c:v>
                </c:pt>
                <c:pt idx="3">
                  <c:v>-2.6673192702607093E-5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9C-459A-A35C-0D69AA5E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'SPKA-Average'!$B$17:$B$20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D-49DF-A612-B064321D5661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'SPKA-Average'!$C$17:$C$20</c:f>
              <c:numCache>
                <c:formatCode>General</c:formatCode>
                <c:ptCount val="4"/>
                <c:pt idx="0">
                  <c:v>8.2985516011997662E-2</c:v>
                </c:pt>
                <c:pt idx="1">
                  <c:v>6.5991643471602426E-2</c:v>
                </c:pt>
                <c:pt idx="2">
                  <c:v>4.8904182970569948E-2</c:v>
                </c:pt>
                <c:pt idx="3">
                  <c:v>3.1721024857151656E-2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D-49DF-A612-B064321D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'SPKA-3'!$B$17:$B$20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A-4EC3-8921-3F60E8A20DFD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'SPKA-3'!$C$17:$C$20</c:f>
              <c:numCache>
                <c:formatCode>General</c:formatCode>
                <c:ptCount val="4"/>
                <c:pt idx="0">
                  <c:v>8.6587564474987597E-2</c:v>
                </c:pt>
                <c:pt idx="1">
                  <c:v>6.9182632623511306E-2</c:v>
                </c:pt>
                <c:pt idx="2">
                  <c:v>5.1777700772035098E-2</c:v>
                </c:pt>
                <c:pt idx="3">
                  <c:v>3.4372768920558801E-2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A-4EC3-8921-3F60E8A2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'SPKA-3'!$F$17:$F$20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3-4B5A-A9E5-618366F0F31F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'SPKA-3'!$G$17:$G$20</c:f>
              <c:numCache>
                <c:formatCode>General</c:formatCode>
                <c:ptCount val="4"/>
                <c:pt idx="0">
                  <c:v>9.0114082315673194E-2</c:v>
                </c:pt>
                <c:pt idx="1">
                  <c:v>7.2419639792643389E-2</c:v>
                </c:pt>
                <c:pt idx="2">
                  <c:v>5.4340535475634555E-2</c:v>
                </c:pt>
                <c:pt idx="3">
                  <c:v>3.6261431158625811E-2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3-4B5A-A9E5-618366F0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'SPKA-3'!$J$17:$J$20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F-4086-9F50-3367AB3E0CE4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'SPKA-3'!$K$17:$K$20</c:f>
              <c:numCache>
                <c:formatCode>General</c:formatCode>
                <c:ptCount val="4"/>
                <c:pt idx="0">
                  <c:v>9.4379320462819022E-2</c:v>
                </c:pt>
                <c:pt idx="1">
                  <c:v>7.5476581486670274E-2</c:v>
                </c:pt>
                <c:pt idx="2">
                  <c:v>5.6573842510521485E-2</c:v>
                </c:pt>
                <c:pt idx="3">
                  <c:v>3.7671103534372745E-2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F-4086-9F50-3367AB3E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'SPKA-RPKA-3'!$B$13:$B$16</c:f>
              <c:numCache>
                <c:formatCode>General</c:formatCode>
                <c:ptCount val="4"/>
                <c:pt idx="0">
                  <c:v>8.4383296988730597E-3</c:v>
                </c:pt>
                <c:pt idx="1">
                  <c:v>5.3941086468396338E-3</c:v>
                </c:pt>
                <c:pt idx="2">
                  <c:v>2.517244639962835E-3</c:v>
                </c:pt>
                <c:pt idx="3">
                  <c:v>7.2359409267419388E-4</c:v>
                </c:pt>
              </c:numCache>
            </c:numRef>
          </c:xVal>
          <c:yVal>
            <c:numRef>
              <c:f>'SPKA-RPKA-3'!$A$13:$A$16</c:f>
              <c:numCache>
                <c:formatCode>General</c:formatCode>
                <c:ptCount val="4"/>
                <c:pt idx="0">
                  <c:v>8.1132047689057734E-7</c:v>
                </c:pt>
                <c:pt idx="1">
                  <c:v>5.3110831988480319E-7</c:v>
                </c:pt>
                <c:pt idx="2">
                  <c:v>-1.4565632863711827E-7</c:v>
                </c:pt>
                <c:pt idx="3">
                  <c:v>-4.5300422050779239E-7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D-43BF-BAAF-48E40CCBA479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'SPKA-RPKA-3'!$D$13:$D$16</c:f>
              <c:numCache>
                <c:formatCode>General</c:formatCode>
                <c:ptCount val="4"/>
                <c:pt idx="0">
                  <c:v>8.7653860552884284E-3</c:v>
                </c:pt>
                <c:pt idx="1">
                  <c:v>5.6344688837128105E-3</c:v>
                </c:pt>
                <c:pt idx="2">
                  <c:v>2.6474695976773802E-3</c:v>
                </c:pt>
                <c:pt idx="3">
                  <c:v>7.7529030970691591E-4</c:v>
                </c:pt>
              </c:numCache>
            </c:numRef>
          </c:xVal>
          <c:yVal>
            <c:numRef>
              <c:f>'SPKA-RPKA-3'!$C$13:$C$16</c:f>
              <c:numCache>
                <c:formatCode>General</c:formatCode>
                <c:ptCount val="4"/>
                <c:pt idx="0">
                  <c:v>2.939710907717249E-7</c:v>
                </c:pt>
                <c:pt idx="1">
                  <c:v>1.5895943215715708E-7</c:v>
                </c:pt>
                <c:pt idx="2">
                  <c:v>-9.8523336834139653E-8</c:v>
                </c:pt>
                <c:pt idx="3">
                  <c:v>-1.143536168699301E-7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D-43BF-BAAF-48E40CCB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'SPKA-RPKA-3'!$F$13:$F$16</c:f>
              <c:numCache>
                <c:formatCode>General</c:formatCode>
                <c:ptCount val="4"/>
                <c:pt idx="0">
                  <c:v>9.1860381551967546E-2</c:v>
                </c:pt>
                <c:pt idx="1">
                  <c:v>7.3444595763334647E-2</c:v>
                </c:pt>
                <c:pt idx="2">
                  <c:v>5.0172150043254427E-2</c:v>
                </c:pt>
                <c:pt idx="3">
                  <c:v>2.6899704323174147E-2</c:v>
                </c:pt>
              </c:numCache>
            </c:numRef>
          </c:xVal>
          <c:yVal>
            <c:numRef>
              <c:f>'SPKA-RPKA-3'!$E$13:$E$16</c:f>
              <c:numCache>
                <c:formatCode>General</c:formatCode>
                <c:ptCount val="4"/>
                <c:pt idx="0">
                  <c:v>2.0852090174144293E-7</c:v>
                </c:pt>
                <c:pt idx="1">
                  <c:v>1.685452736421818E-7</c:v>
                </c:pt>
                <c:pt idx="2">
                  <c:v>-6.3493741745490333E-8</c:v>
                </c:pt>
                <c:pt idx="3">
                  <c:v>-2.9553275713316099E-7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0-4F24-9C64-F0A9EF17CDB9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'SPKA-RPKA-3'!$H$13:$H$16</c:f>
              <c:numCache>
                <c:formatCode>General</c:formatCode>
                <c:ptCount val="4"/>
                <c:pt idx="0">
                  <c:v>9.5756259545883265E-2</c:v>
                </c:pt>
                <c:pt idx="1">
                  <c:v>7.6591570194914138E-2</c:v>
                </c:pt>
                <c:pt idx="2">
                  <c:v>5.257022091249762E-2</c:v>
                </c:pt>
                <c:pt idx="3">
                  <c:v>2.8548871630081119E-2</c:v>
                </c:pt>
              </c:numCache>
            </c:numRef>
          </c:xVal>
          <c:yVal>
            <c:numRef>
              <c:f>'SPKA-RPKA-3'!$G$13:$G$16</c:f>
              <c:numCache>
                <c:formatCode>General</c:formatCode>
                <c:ptCount val="4"/>
                <c:pt idx="0">
                  <c:v>2.5403211326351085E-8</c:v>
                </c:pt>
                <c:pt idx="1">
                  <c:v>2.0570477031548213E-8</c:v>
                </c:pt>
                <c:pt idx="2">
                  <c:v>-7.3862995666452775E-8</c:v>
                </c:pt>
                <c:pt idx="3">
                  <c:v>-1.6829646836445437E-7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0-4F24-9C64-F0A9EF17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'SPKA-4'!$B$23:$B$26</c:f>
              <c:numCache>
                <c:formatCode>General</c:formatCode>
                <c:ptCount val="4"/>
                <c:pt idx="0">
                  <c:v>9.2750403320804919E-2</c:v>
                </c:pt>
                <c:pt idx="1">
                  <c:v>7.4691054147414282E-2</c:v>
                </c:pt>
                <c:pt idx="2">
                  <c:v>5.1775045042576226E-2</c:v>
                </c:pt>
                <c:pt idx="3">
                  <c:v>2.8677600517944813E-2</c:v>
                </c:pt>
              </c:numCache>
            </c:numRef>
          </c:xVal>
          <c:yVal>
            <c:numRef>
              <c:f>'SPKA-4'!$C$23:$C$26</c:f>
              <c:numCache>
                <c:formatCode>General</c:formatCode>
                <c:ptCount val="4"/>
                <c:pt idx="0">
                  <c:v>1.2815190959481236E-5</c:v>
                </c:pt>
                <c:pt idx="1">
                  <c:v>8.8172653676717154E-6</c:v>
                </c:pt>
                <c:pt idx="2">
                  <c:v>-9.3814202576095763E-6</c:v>
                </c:pt>
                <c:pt idx="3">
                  <c:v>-2.704959295951848E-5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D-4A4B-A2D2-93A9CBDD6EA9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'SPKA-4'!$F$23:$F$26</c:f>
              <c:numCache>
                <c:formatCode>General</c:formatCode>
                <c:ptCount val="4"/>
                <c:pt idx="0">
                  <c:v>9.8256256531932276E-2</c:v>
                </c:pt>
                <c:pt idx="1">
                  <c:v>7.8662535656892379E-2</c:v>
                </c:pt>
                <c:pt idx="2">
                  <c:v>5.4001933552274402E-2</c:v>
                </c:pt>
                <c:pt idx="3">
                  <c:v>2.976177404391778E-2</c:v>
                </c:pt>
              </c:numCache>
            </c:numRef>
          </c:xVal>
          <c:yVal>
            <c:numRef>
              <c:f>'SPKA-4'!$G$23:$G$26</c:f>
              <c:numCache>
                <c:formatCode>General</c:formatCode>
                <c:ptCount val="4"/>
                <c:pt idx="0">
                  <c:v>-3.2837950379671552E-6</c:v>
                </c:pt>
                <c:pt idx="1">
                  <c:v>-2.7952536658900136E-6</c:v>
                </c:pt>
                <c:pt idx="2">
                  <c:v>-1.5892790169007739E-5</c:v>
                </c:pt>
                <c:pt idx="3">
                  <c:v>-3.0219690988679201E-5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D-4A4B-A2D2-93A9CBDD6EA9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'SPKA-4'!$J$23:$J$26</c:f>
              <c:numCache>
                <c:formatCode>General</c:formatCode>
                <c:ptCount val="4"/>
                <c:pt idx="0">
                  <c:v>9.801759283832201E-2</c:v>
                </c:pt>
                <c:pt idx="1">
                  <c:v>7.8962139033062581E-2</c:v>
                </c:pt>
                <c:pt idx="2">
                  <c:v>5.505002529635581E-2</c:v>
                </c:pt>
                <c:pt idx="3">
                  <c:v>3.1336680366933267E-2</c:v>
                </c:pt>
              </c:numCache>
            </c:numRef>
          </c:xVal>
          <c:yVal>
            <c:numRef>
              <c:f>'SPKA-4'!$K$23:$K$26</c:f>
              <c:numCache>
                <c:formatCode>General</c:formatCode>
                <c:ptCount val="4"/>
                <c:pt idx="0">
                  <c:v>-2.5859479806271945E-6</c:v>
                </c:pt>
                <c:pt idx="1">
                  <c:v>-3.6712869295455538E-6</c:v>
                </c:pt>
                <c:pt idx="2">
                  <c:v>-1.8957385911935835E-5</c:v>
                </c:pt>
                <c:pt idx="3">
                  <c:v>-3.4824680237262484E-5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2D-4A4B-A2D2-93A9CBDD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'SPKA-4'!$B$17:$B$20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944-88C6-0BC5F850AE53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'SPKA-4'!$C$17:$C$20</c:f>
              <c:numCache>
                <c:formatCode>General</c:formatCode>
                <c:ptCount val="4"/>
                <c:pt idx="0">
                  <c:v>8.8367608012662344E-2</c:v>
                </c:pt>
                <c:pt idx="1">
                  <c:v>7.1675549391670548E-2</c:v>
                </c:pt>
                <c:pt idx="2">
                  <c:v>5.4983490770678704E-2</c:v>
                </c:pt>
                <c:pt idx="3">
                  <c:v>3.7928561310100133E-2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944-88C6-0BC5F850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'SPKA-4'!$F$17:$F$20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3-4D18-AF4C-013F568B0B38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'SPKA-4'!$G$17:$G$20</c:f>
              <c:numCache>
                <c:formatCode>General</c:formatCode>
                <c:ptCount val="4"/>
                <c:pt idx="0">
                  <c:v>9.9379314434917043E-2</c:v>
                </c:pt>
                <c:pt idx="1">
                  <c:v>7.9618512410626771E-2</c:v>
                </c:pt>
                <c:pt idx="2">
                  <c:v>5.9437267790075049E-2</c:v>
                </c:pt>
                <c:pt idx="3">
                  <c:v>4.0096908362046067E-2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3-4D18-AF4C-013F568B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'SPKA-4'!$J$17:$J$20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6-45A1-BE75-002ED90CD489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'SPKA-4'!$K$17:$K$20</c:f>
              <c:numCache>
                <c:formatCode>General</c:formatCode>
                <c:ptCount val="4"/>
                <c:pt idx="0">
                  <c:v>9.890198704769651E-2</c:v>
                </c:pt>
                <c:pt idx="1">
                  <c:v>8.021771916296716E-2</c:v>
                </c:pt>
                <c:pt idx="2">
                  <c:v>6.1533451278237866E-2</c:v>
                </c:pt>
                <c:pt idx="3">
                  <c:v>4.3246721008077034E-2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6-45A1-BE75-002ED90C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'SPKA-RPKA-4'!$B$13:$B$16</c:f>
              <c:numCache>
                <c:formatCode>General</c:formatCode>
                <c:ptCount val="4"/>
                <c:pt idx="0">
                  <c:v>0.11764791263459108</c:v>
                </c:pt>
                <c:pt idx="1">
                  <c:v>9.6814794951564379E-2</c:v>
                </c:pt>
                <c:pt idx="2">
                  <c:v>6.961589915739412E-2</c:v>
                </c:pt>
                <c:pt idx="3">
                  <c:v>4.0906142753863194E-2</c:v>
                </c:pt>
              </c:numCache>
            </c:numRef>
          </c:xVal>
          <c:yVal>
            <c:numRef>
              <c:f>'SPKA-RPKA-4'!$A$13:$A$16</c:f>
              <c:numCache>
                <c:formatCode>General</c:formatCode>
                <c:ptCount val="4"/>
                <c:pt idx="0">
                  <c:v>5.8587214334068507E-6</c:v>
                </c:pt>
                <c:pt idx="1">
                  <c:v>3.8164490588314648E-6</c:v>
                </c:pt>
                <c:pt idx="2">
                  <c:v>-3.7399093608431654E-6</c:v>
                </c:pt>
                <c:pt idx="3">
                  <c:v>-9.71196448828656E-6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5-48EB-B849-E66CAC7C81EA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'SPKA-RPKA-4'!$D$13:$D$16</c:f>
              <c:numCache>
                <c:formatCode>General</c:formatCode>
                <c:ptCount val="4"/>
                <c:pt idx="0">
                  <c:v>0.12391508882332486</c:v>
                </c:pt>
                <c:pt idx="1">
                  <c:v>0.10143577401014624</c:v>
                </c:pt>
                <c:pt idx="2">
                  <c:v>7.2305008100590679E-2</c:v>
                </c:pt>
                <c:pt idx="3">
                  <c:v>4.2295380235167969E-2</c:v>
                </c:pt>
              </c:numCache>
            </c:numRef>
          </c:xVal>
          <c:yVal>
            <c:numRef>
              <c:f>'SPKA-RPKA-4'!$C$13:$C$16</c:f>
              <c:numCache>
                <c:formatCode>General</c:formatCode>
                <c:ptCount val="4"/>
                <c:pt idx="0">
                  <c:v>-1.2981358023451104E-6</c:v>
                </c:pt>
                <c:pt idx="1">
                  <c:v>-1.0109470338252091E-6</c:v>
                </c:pt>
                <c:pt idx="2">
                  <c:v>-4.9449724178977333E-6</c:v>
                </c:pt>
                <c:pt idx="3">
                  <c:v>-7.4088967957594623E-6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5-48EB-B849-E66CAC7C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'SPKA-Average'!$F$17:$F$20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B-4727-B456-0C9D7B8EA717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'SPKA-Average'!$G$17:$G$20</c:f>
              <c:numCache>
                <c:formatCode>General</c:formatCode>
                <c:ptCount val="4"/>
                <c:pt idx="0">
                  <c:v>8.9470159279847764E-2</c:v>
                </c:pt>
                <c:pt idx="1">
                  <c:v>7.1077024271580885E-2</c:v>
                </c:pt>
                <c:pt idx="2">
                  <c:v>5.2674726439614225E-2</c:v>
                </c:pt>
                <c:pt idx="3">
                  <c:v>3.4385529776633575E-2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B-4727-B456-0C9D7B8E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'SPKA-RPKA-4'!$F$13:$F$16</c:f>
              <c:numCache>
                <c:formatCode>General</c:formatCode>
                <c:ptCount val="4"/>
                <c:pt idx="0">
                  <c:v>9.2750403320804919E-2</c:v>
                </c:pt>
                <c:pt idx="1">
                  <c:v>7.4691054147414282E-2</c:v>
                </c:pt>
                <c:pt idx="2">
                  <c:v>5.1775045042576226E-2</c:v>
                </c:pt>
                <c:pt idx="3">
                  <c:v>2.8677600517944813E-2</c:v>
                </c:pt>
              </c:numCache>
            </c:numRef>
          </c:xVal>
          <c:yVal>
            <c:numRef>
              <c:f>'SPKA-RPKA-4'!$E$13:$E$16</c:f>
              <c:numCache>
                <c:formatCode>General</c:formatCode>
                <c:ptCount val="4"/>
                <c:pt idx="0">
                  <c:v>1.2815190959481236E-5</c:v>
                </c:pt>
                <c:pt idx="1">
                  <c:v>8.8172653676717154E-6</c:v>
                </c:pt>
                <c:pt idx="2">
                  <c:v>-9.3814202576095763E-6</c:v>
                </c:pt>
                <c:pt idx="3">
                  <c:v>-2.704959295951848E-5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A-4B83-937D-D8A313B44DE2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'SPKA-RPKA-4'!$H$13:$H$16</c:f>
              <c:numCache>
                <c:formatCode>General</c:formatCode>
                <c:ptCount val="4"/>
                <c:pt idx="0">
                  <c:v>9.801759283832201E-2</c:v>
                </c:pt>
                <c:pt idx="1">
                  <c:v>7.8962139033062581E-2</c:v>
                </c:pt>
                <c:pt idx="2">
                  <c:v>5.505002529635581E-2</c:v>
                </c:pt>
                <c:pt idx="3">
                  <c:v>3.1336680366933267E-2</c:v>
                </c:pt>
              </c:numCache>
            </c:numRef>
          </c:xVal>
          <c:yVal>
            <c:numRef>
              <c:f>'SPKA-RPKA-4'!$G$13:$G$16</c:f>
              <c:numCache>
                <c:formatCode>General</c:formatCode>
                <c:ptCount val="4"/>
                <c:pt idx="0">
                  <c:v>-2.5859479806271945E-6</c:v>
                </c:pt>
                <c:pt idx="1">
                  <c:v>-3.6712869295455538E-6</c:v>
                </c:pt>
                <c:pt idx="2">
                  <c:v>-1.8957385911935835E-5</c:v>
                </c:pt>
                <c:pt idx="3">
                  <c:v>-3.4824680237262484E-5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6A-4B83-937D-D8A313B4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'SPKA-Average'!$J$17:$J$20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E-4878-B11E-A306FE8B8B74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'SPKA-Average'!$K$17:$K$20</c:f>
              <c:numCache>
                <c:formatCode>General</c:formatCode>
                <c:ptCount val="4"/>
                <c:pt idx="0">
                  <c:v>9.4180783914200428E-2</c:v>
                </c:pt>
                <c:pt idx="1">
                  <c:v>7.5041415304648654E-2</c:v>
                </c:pt>
                <c:pt idx="2">
                  <c:v>5.600921307115897E-2</c:v>
                </c:pt>
                <c:pt idx="3">
                  <c:v>3.686692892569686E-2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E-4878-B11E-A306FE8B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'SPKA-RPKA-1 Average'!$B$13:$B$16</c:f>
              <c:numCache>
                <c:formatCode>General</c:formatCode>
                <c:ptCount val="4"/>
                <c:pt idx="0">
                  <c:v>8.1560202440439683E-2</c:v>
                </c:pt>
                <c:pt idx="1">
                  <c:v>6.4564111290209156E-2</c:v>
                </c:pt>
                <c:pt idx="2">
                  <c:v>4.7521226159660007E-2</c:v>
                </c:pt>
                <c:pt idx="3">
                  <c:v>3.0430492222917958E-2</c:v>
                </c:pt>
              </c:numCache>
            </c:numRef>
          </c:xVal>
          <c:yVal>
            <c:numRef>
              <c:f>'SPKA-RPKA-1 Average'!$A$13:$A$16</c:f>
              <c:numCache>
                <c:formatCode>General</c:formatCode>
                <c:ptCount val="4"/>
                <c:pt idx="0">
                  <c:v>-3.3987638468887797E-6</c:v>
                </c:pt>
                <c:pt idx="1">
                  <c:v>-3.3567411527958584E-6</c:v>
                </c:pt>
                <c:pt idx="2">
                  <c:v>-3.1992586140581603E-6</c:v>
                </c:pt>
                <c:pt idx="3">
                  <c:v>-2.9275478036053476E-6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8-41DA-97D1-B46BD8C26461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'SPKA-RPKA-1 Average'!$D$13:$D$16</c:f>
              <c:numCache>
                <c:formatCode>General</c:formatCode>
                <c:ptCount val="4"/>
                <c:pt idx="0">
                  <c:v>8.4802524074364727E-2</c:v>
                </c:pt>
                <c:pt idx="1">
                  <c:v>6.7106801690198392E-2</c:v>
                </c:pt>
                <c:pt idx="2">
                  <c:v>4.9406497894182146E-2</c:v>
                </c:pt>
                <c:pt idx="3">
                  <c:v>3.1762744682658918E-2</c:v>
                </c:pt>
              </c:numCache>
            </c:numRef>
          </c:xVal>
          <c:yVal>
            <c:numRef>
              <c:f>'SPKA-RPKA-1 Average'!$C$13:$C$16</c:f>
              <c:numCache>
                <c:formatCode>General</c:formatCode>
                <c:ptCount val="4"/>
                <c:pt idx="0">
                  <c:v>-1.0663792324121412E-5</c:v>
                </c:pt>
                <c:pt idx="1">
                  <c:v>-8.8606463508498224E-6</c:v>
                </c:pt>
                <c:pt idx="2">
                  <c:v>-7.073994534060652E-6</c:v>
                </c:pt>
                <c:pt idx="3">
                  <c:v>-5.4316077972491455E-6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8-41DA-97D1-B46BD8C2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'SPKA-RPKA-1 Average'!$F$13:$F$16</c:f>
              <c:numCache>
                <c:formatCode>General</c:formatCode>
                <c:ptCount val="4"/>
                <c:pt idx="0">
                  <c:v>8.1560202440439683E-2</c:v>
                </c:pt>
                <c:pt idx="1">
                  <c:v>6.4564111290209156E-2</c:v>
                </c:pt>
                <c:pt idx="2">
                  <c:v>4.7521226159660007E-2</c:v>
                </c:pt>
                <c:pt idx="3">
                  <c:v>3.0430492222917958E-2</c:v>
                </c:pt>
              </c:numCache>
            </c:numRef>
          </c:xVal>
          <c:yVal>
            <c:numRef>
              <c:f>'SPKA-RPKA-1 Average'!$E$13:$E$16</c:f>
              <c:numCache>
                <c:formatCode>General</c:formatCode>
                <c:ptCount val="4"/>
                <c:pt idx="0">
                  <c:v>-6.44411552352374E-5</c:v>
                </c:pt>
                <c:pt idx="1">
                  <c:v>-6.4541462833267349E-5</c:v>
                </c:pt>
                <c:pt idx="2">
                  <c:v>-6.2526124997225695E-5</c:v>
                </c:pt>
                <c:pt idx="3">
                  <c:v>-5.8347451029943844E-5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A-4B58-B1DF-DA7D69F3CA88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'SPKA-RPKA-1 Average'!$H$13:$H$16</c:f>
              <c:numCache>
                <c:formatCode>General</c:formatCode>
                <c:ptCount val="4"/>
                <c:pt idx="0">
                  <c:v>8.7157836391541066E-2</c:v>
                </c:pt>
                <c:pt idx="1">
                  <c:v>6.9088997206732269E-2</c:v>
                </c:pt>
                <c:pt idx="2">
                  <c:v>5.1073741209954518E-2</c:v>
                </c:pt>
                <c:pt idx="3">
                  <c:v>3.300344425719056E-2</c:v>
                </c:pt>
              </c:numCache>
            </c:numRef>
          </c:xVal>
          <c:yVal>
            <c:numRef>
              <c:f>'SPKA-RPKA-1 Average'!$G$13:$G$16</c:f>
              <c:numCache>
                <c:formatCode>General</c:formatCode>
                <c:ptCount val="4"/>
                <c:pt idx="0">
                  <c:v>-5.158142278178906E-4</c:v>
                </c:pt>
                <c:pt idx="1">
                  <c:v>-4.3718708347450938E-4</c:v>
                </c:pt>
                <c:pt idx="2">
                  <c:v>-3.6249546202505234E-4</c:v>
                </c:pt>
                <c:pt idx="3">
                  <c:v>-2.8376124903994898E-4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A-4B58-B1DF-DA7D69F3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'SPKA-1'!$B$23:$B$26</c:f>
              <c:numCache>
                <c:formatCode>General</c:formatCode>
                <c:ptCount val="4"/>
                <c:pt idx="0">
                  <c:v>8.5601074657611131E-2</c:v>
                </c:pt>
                <c:pt idx="1">
                  <c:v>6.7558597328788633E-2</c:v>
                </c:pt>
                <c:pt idx="2">
                  <c:v>4.4659460068518751E-2</c:v>
                </c:pt>
                <c:pt idx="3">
                  <c:v>2.1937538924545183E-2</c:v>
                </c:pt>
              </c:numCache>
            </c:numRef>
          </c:xVal>
          <c:yVal>
            <c:numRef>
              <c:f>'SPKA-1'!$C$23:$C$26</c:f>
              <c:numCache>
                <c:formatCode>General</c:formatCode>
                <c:ptCount val="4"/>
                <c:pt idx="0">
                  <c:v>3.3719660734901668E-5</c:v>
                </c:pt>
                <c:pt idx="1">
                  <c:v>2.9672402264237901E-5</c:v>
                </c:pt>
                <c:pt idx="2">
                  <c:v>1.1424383760102349E-5</c:v>
                </c:pt>
                <c:pt idx="3">
                  <c:v>-7.3418105226774599E-6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0E-4664-B75F-12DB4DF245A9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'SPKA-1'!$F$23:$F$26</c:f>
              <c:numCache>
                <c:formatCode>General</c:formatCode>
                <c:ptCount val="4"/>
                <c:pt idx="0">
                  <c:v>8.9353726643314535E-2</c:v>
                </c:pt>
                <c:pt idx="1">
                  <c:v>7.071105117715025E-2</c:v>
                </c:pt>
                <c:pt idx="2">
                  <c:v>4.7401702068969841E-2</c:v>
                </c:pt>
                <c:pt idx="3">
                  <c:v>2.4092352960789445E-2</c:v>
                </c:pt>
              </c:numCache>
            </c:numRef>
          </c:xVal>
          <c:yVal>
            <c:numRef>
              <c:f>'SPKA-1'!$G$23:$G$26</c:f>
              <c:numCache>
                <c:formatCode>General</c:formatCode>
                <c:ptCount val="4"/>
                <c:pt idx="0">
                  <c:v>2.2746994110037936E-5</c:v>
                </c:pt>
                <c:pt idx="1">
                  <c:v>2.045470095323904E-5</c:v>
                </c:pt>
                <c:pt idx="2">
                  <c:v>3.4061322967950697E-6</c:v>
                </c:pt>
                <c:pt idx="3">
                  <c:v>-1.3642436359648977E-5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2-4447-B5E9-D98D4A0CE642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'SPKA-1'!$J$23:$J$26</c:f>
              <c:numCache>
                <c:formatCode>General</c:formatCode>
                <c:ptCount val="4"/>
                <c:pt idx="0">
                  <c:v>9.4585379426639568E-2</c:v>
                </c:pt>
                <c:pt idx="1">
                  <c:v>7.4798420213904163E-2</c:v>
                </c:pt>
                <c:pt idx="2">
                  <c:v>5.0369133821845637E-2</c:v>
                </c:pt>
                <c:pt idx="3">
                  <c:v>2.5725514677662851E-2</c:v>
                </c:pt>
              </c:numCache>
            </c:numRef>
          </c:xVal>
          <c:yVal>
            <c:numRef>
              <c:f>'SPKA-1'!$K$23:$K$26</c:f>
              <c:numCache>
                <c:formatCode>General</c:formatCode>
                <c:ptCount val="4"/>
                <c:pt idx="0">
                  <c:v>7.4497637494384242E-6</c:v>
                </c:pt>
                <c:pt idx="1">
                  <c:v>8.5033295007422188E-6</c:v>
                </c:pt>
                <c:pt idx="2">
                  <c:v>-5.2705687350055029E-6</c:v>
                </c:pt>
                <c:pt idx="3">
                  <c:v>-1.841776301717356E-5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2-4447-B5E9-D98D4A0C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'SPKA-1'!$B$17:$B$20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F2-4E5C-A7F9-5B71E96163E6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'SPKA-1'!$C$17:$C$20</c:f>
              <c:numCache>
                <c:formatCode>General</c:formatCode>
                <c:ptCount val="4"/>
                <c:pt idx="0">
                  <c:v>7.4068950686274768E-2</c:v>
                </c:pt>
                <c:pt idx="1">
                  <c:v>5.7410635754419279E-2</c:v>
                </c:pt>
                <c:pt idx="2">
                  <c:v>4.0752320822563748E-2</c:v>
                </c:pt>
                <c:pt idx="3">
                  <c:v>2.4448438123300876E-2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F2-4E5C-A7F9-5B71E961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'SPKA-1'!$F$17:$F$20</c:f>
              <c:numCache>
                <c:formatCode>General</c:formatCode>
                <c:ptCount val="4"/>
                <c:pt idx="0">
                  <c:v>9.7133198628947509E-2</c:v>
                </c:pt>
                <c:pt idx="1">
                  <c:v>7.7706558903158002E-2</c:v>
                </c:pt>
                <c:pt idx="2">
                  <c:v>4.8566599314473755E-2</c:v>
                </c:pt>
                <c:pt idx="3">
                  <c:v>1.9426639725789493E-2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F2-4E5C-A7F9-5B71E96163E6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'SPKA-1'!$G$17:$G$20</c:f>
              <c:numCache>
                <c:formatCode>General</c:formatCode>
                <c:ptCount val="4"/>
                <c:pt idx="0">
                  <c:v>8.1574254657681561E-2</c:v>
                </c:pt>
                <c:pt idx="1">
                  <c:v>6.3715543451142498E-2</c:v>
                </c:pt>
                <c:pt idx="2">
                  <c:v>4.6236804823465927E-2</c:v>
                </c:pt>
                <c:pt idx="3">
                  <c:v>2.8758066195789394E-2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F2-4E5C-A7F9-5B71E961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F4A81-72B9-4FB4-B717-2A7D46C32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2E7EE-1658-42AF-8E0F-A1136B3C5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CA8FD-1A43-4D5F-A7A2-3DAA33B58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4E931D-5704-4AC1-8A29-53293712E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6F602-E676-43C0-BC4A-0962A238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E85C6-F11F-4110-8444-5AAC9E1D7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DA53B-D5C4-4086-9E2A-D9C8D53A2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06866-B1DC-4D75-9CC3-A5F3B1F8C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11267D-8B1E-9B6F-BDAA-A93A4F3F8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12F32D-0FE4-E98A-9726-E9241280D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F524B3-AB67-5EC7-1646-78376FE39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5C2F773-F17D-57FC-06D3-F4C56B0A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39F55D-4844-2269-76E8-850A752D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7E5338-913A-F51B-D1F0-16C7E24CF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14236-5256-4807-B1BE-5D7055A49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E5345-8524-4189-AF4E-4D835D9A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B0331-F8DB-4FF6-AC71-709EF40BB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E705C-5F23-49C2-B2BF-AC5FBEB43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BE691-D929-44D5-AFE2-E92571A1D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C66DD-0D1A-4342-8935-33E9A341C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AA28C-3273-47C2-90CC-CD761745A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CB59C-0CFB-4434-B90F-C4679DEF9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CE69D-E8C9-47C1-A965-C118D12A9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1282A-A168-47A5-8FE6-474BC3BEC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2A8E5-4087-48C3-8965-3795DB577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CEA1D-6759-4303-AB51-2A332A8E1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E75DF-C778-46D8-9B94-C629F5611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CC49C-66FB-4C01-85BA-CDEB89A4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252C0-D91E-48F2-A397-3AFD43B25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56F2FE-6351-4A01-A0F4-2A7BBED48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ED0E-1B39-429E-A560-B7F2F632964C}">
  <dimension ref="A1:R41"/>
  <sheetViews>
    <sheetView tabSelected="1" zoomScale="85" zoomScaleNormal="85" workbookViewId="0">
      <selection activeCell="D43" sqref="D43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 s="13">
        <f>AVERAGE('SPKA-1'!C3,'SPKA-2'!C3,'SPKA-3'!C3,'SPKA-4'!C3)</f>
        <v>1.784345491666667</v>
      </c>
      <c r="D3" s="52" t="s">
        <v>78</v>
      </c>
      <c r="E3" s="17" t="s">
        <v>35</v>
      </c>
      <c r="F3" s="37" t="s">
        <v>54</v>
      </c>
      <c r="G3" s="38">
        <f>AVERAGE('SPKA-1'!G3,'SPKA-2'!G3,'SPKA-3'!G3,'SPKA-4'!G3)</f>
        <v>1.784345491666667</v>
      </c>
      <c r="H3" s="37" t="s">
        <v>55</v>
      </c>
      <c r="I3" s="62" t="s">
        <v>35</v>
      </c>
      <c r="J3" s="61" t="s">
        <v>59</v>
      </c>
      <c r="K3" s="43">
        <f>AVERAGE('SPKA-1'!K3,'SPKA-2'!K3,'SPKA-3'!K3,'SPKA-4'!K3)</f>
        <v>1.784345491666667</v>
      </c>
      <c r="L3" s="61" t="s">
        <v>60</v>
      </c>
      <c r="M3" s="44" t="s">
        <v>35</v>
      </c>
      <c r="N3" s="31"/>
      <c r="O3" s="14"/>
    </row>
    <row r="4" spans="1:18" x14ac:dyDescent="0.25">
      <c r="A4" s="4">
        <v>0.17499999999999999</v>
      </c>
      <c r="B4" s="7"/>
      <c r="C4" s="14">
        <f>$C$3-($C$3*$A4)</f>
        <v>1.4720850306250002</v>
      </c>
      <c r="D4" s="14"/>
      <c r="E4" s="6">
        <f>AVERAGE('SPKA-1'!E4,'SPKA-2'!E4,'SPKA-3'!E4,'SPKA-4'!E4)</f>
        <v>1.5244513045976329</v>
      </c>
      <c r="F4" s="39"/>
      <c r="G4" s="63">
        <f>$G$3-($G$3*$A4)</f>
        <v>1.4720850306250002</v>
      </c>
      <c r="H4" s="39"/>
      <c r="I4" s="63">
        <f>AVERAGE('SPKA-1'!I4,'SPKA-2'!I4,'SPKA-3'!I4,'SPKA-4'!I4)</f>
        <v>1.6435747777600476</v>
      </c>
      <c r="J4" s="60"/>
      <c r="K4" s="45">
        <f>$K$3-($K$3*$A4)</f>
        <v>1.4720850306250002</v>
      </c>
      <c r="L4" s="60"/>
      <c r="M4" s="45">
        <f>AVERAGE('SPKA-1'!M4,'SPKA-2'!M4,'SPKA-3'!M4,'SPKA-4'!M4)</f>
        <v>1.730109370956654</v>
      </c>
      <c r="N4" s="14"/>
      <c r="O4" s="14"/>
    </row>
    <row r="5" spans="1:18" x14ac:dyDescent="0.25">
      <c r="A5" s="4">
        <v>0.35</v>
      </c>
      <c r="B5" s="7"/>
      <c r="C5" s="14">
        <f t="shared" ref="C5:C7" si="0">$C$3-($C$3*$A5)</f>
        <v>1.1598245695833336</v>
      </c>
      <c r="D5" s="14"/>
      <c r="E5" s="6">
        <f>AVERAGE('SPKA-1'!E5,'SPKA-2'!E5,'SPKA-3'!E5,'SPKA-4'!E5)</f>
        <v>1.2122723556756791</v>
      </c>
      <c r="F5" s="39"/>
      <c r="G5" s="63">
        <f t="shared" ref="G5:G7" si="1">$G$3-($G$3*$A5)</f>
        <v>1.1598245695833336</v>
      </c>
      <c r="H5" s="39"/>
      <c r="I5" s="63">
        <f>AVERAGE('SPKA-1'!I5,'SPKA-2'!I5,'SPKA-3'!I5,'SPKA-4'!I5)</f>
        <v>1.3056912529418248</v>
      </c>
      <c r="J5" s="60"/>
      <c r="K5" s="45">
        <f t="shared" ref="K5:K7" si="2">$K$3-($K$3*$A5)</f>
        <v>1.1598245695833336</v>
      </c>
      <c r="L5" s="60"/>
      <c r="M5" s="45">
        <f>AVERAGE('SPKA-1'!M5,'SPKA-2'!M5,'SPKA-3'!M5,'SPKA-4'!M5)</f>
        <v>1.3785174685602417</v>
      </c>
      <c r="N5" s="14"/>
      <c r="O5" s="14"/>
    </row>
    <row r="6" spans="1:18" x14ac:dyDescent="0.25">
      <c r="A6" s="7">
        <v>0.52500000000000002</v>
      </c>
      <c r="B6" s="7"/>
      <c r="C6" s="14">
        <f t="shared" si="0"/>
        <v>0.84756410854166675</v>
      </c>
      <c r="D6" s="14"/>
      <c r="E6" s="6">
        <f>AVERAGE('SPKA-1'!E6,'SPKA-2'!E6,'SPKA-3'!E6,'SPKA-4'!E6)</f>
        <v>0.89837418759905419</v>
      </c>
      <c r="F6" s="39"/>
      <c r="G6" s="63">
        <f t="shared" si="1"/>
        <v>0.84756410854166675</v>
      </c>
      <c r="H6" s="39"/>
      <c r="I6" s="63">
        <f>AVERAGE('SPKA-1'!I6,'SPKA-2'!I6,'SPKA-3'!I6,'SPKA-4'!I6)</f>
        <v>0.96763940623787803</v>
      </c>
      <c r="J6" s="60"/>
      <c r="K6" s="45">
        <f t="shared" si="2"/>
        <v>0.84756410854166675</v>
      </c>
      <c r="L6" s="60"/>
      <c r="M6" s="45">
        <f>AVERAGE('SPKA-1'!M6,'SPKA-2'!M6,'SPKA-3'!M6,'SPKA-4'!M6)</f>
        <v>1.0288942220166559</v>
      </c>
      <c r="N6" s="14"/>
      <c r="O6" s="14"/>
    </row>
    <row r="7" spans="1:18" x14ac:dyDescent="0.25">
      <c r="A7" s="5">
        <v>0.7</v>
      </c>
      <c r="B7" s="8"/>
      <c r="C7" s="15">
        <f t="shared" si="0"/>
        <v>0.53530364750000015</v>
      </c>
      <c r="D7" s="15"/>
      <c r="E7" s="9">
        <f>AVERAGE('SPKA-1'!E7,'SPKA-2'!E7,'SPKA-3'!E7,'SPKA-4'!E7)</f>
        <v>0.58271804587763887</v>
      </c>
      <c r="F7" s="40"/>
      <c r="G7" s="64">
        <f t="shared" si="1"/>
        <v>0.53530364750000015</v>
      </c>
      <c r="H7" s="40"/>
      <c r="I7" s="64">
        <f>AVERAGE('SPKA-1'!I7,'SPKA-2'!I7,'SPKA-3'!I7,'SPKA-4'!I7)</f>
        <v>0.63166523806023334</v>
      </c>
      <c r="J7" s="46"/>
      <c r="K7" s="47">
        <f t="shared" si="2"/>
        <v>0.53530364750000015</v>
      </c>
      <c r="L7" s="46"/>
      <c r="M7" s="47">
        <f>AVERAGE('SPKA-1'!M7,'SPKA-2'!M7,'SPKA-3'!M7,'SPKA-4'!M7)</f>
        <v>0.67724876096644837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1.784345491666667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1.784345491666667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1.784345491666667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0.17499999999999999</v>
      </c>
      <c r="B17" s="7">
        <f>$B$16-($B$16*A17)</f>
        <v>8.0134888868881704E-2</v>
      </c>
      <c r="C17" s="6">
        <f>$B$10*(E4/$C$10)</f>
        <v>8.2985516011997662E-2</v>
      </c>
      <c r="D17" s="7">
        <f>$D$16-($D$16*(A17*(0.1/0.15)))</f>
        <v>0.12870148818335544</v>
      </c>
      <c r="E17" s="6">
        <f>D17-(B17-C17)</f>
        <v>0.1315521153264714</v>
      </c>
      <c r="F17" s="7">
        <f>$F$16-($F$16*A17)</f>
        <v>8.0134888868881704E-2</v>
      </c>
      <c r="G17" s="6">
        <f>$B$11*(I4/$C$11)</f>
        <v>8.9470159279847764E-2</v>
      </c>
      <c r="H17" s="7">
        <f>F17</f>
        <v>8.0134888868881704E-2</v>
      </c>
      <c r="I17" s="6">
        <f>H17-(F17-G17)</f>
        <v>8.9470159279847764E-2</v>
      </c>
      <c r="J17" s="7">
        <f>$J$16-($J$16*A17)</f>
        <v>8.0134888868881704E-2</v>
      </c>
      <c r="K17" s="6">
        <f>$B$12*(M4/$C$12)</f>
        <v>9.4180783914200428E-2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0.35</v>
      </c>
      <c r="B18" s="7">
        <f>$B$16-($B$16*A18)</f>
        <v>6.3136579108815885E-2</v>
      </c>
      <c r="C18" s="6">
        <f>$B$10*(E5/$C$10)</f>
        <v>6.5991643471602426E-2</v>
      </c>
      <c r="D18" s="7">
        <f>$D$16-($D$16*(A18*(0.1/0.15)))</f>
        <v>0.11170317842328963</v>
      </c>
      <c r="E18" s="6">
        <f t="shared" ref="E18:E20" si="3">D18-(B18-C18)</f>
        <v>0.11455824278607617</v>
      </c>
      <c r="F18" s="7">
        <f>$F$16-($F$16*A18)</f>
        <v>6.3136579108815885E-2</v>
      </c>
      <c r="G18" s="6">
        <f>$B$11*(I5/$C$11)</f>
        <v>7.1077024271580885E-2</v>
      </c>
      <c r="H18" s="7">
        <f t="shared" ref="H18:H20" si="4">F18</f>
        <v>6.3136579108815885E-2</v>
      </c>
      <c r="I18" s="6">
        <f>H18-(F18-G18)</f>
        <v>7.1077024271580885E-2</v>
      </c>
      <c r="J18" s="7">
        <f>$J$16-($J$16*A18)</f>
        <v>6.3136579108815885E-2</v>
      </c>
      <c r="K18" s="6">
        <f>$B$12*(M5/$C$12)</f>
        <v>7.5041415304648654E-2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7">
        <v>0.52500000000000002</v>
      </c>
      <c r="B19" s="7">
        <f>$B$16-($B$16*A19)</f>
        <v>4.6138269348750066E-2</v>
      </c>
      <c r="C19" s="6">
        <f>$B$10*(E6/$C$10)</f>
        <v>4.8904182970569948E-2</v>
      </c>
      <c r="D19" s="7">
        <f>$D$16-($D$16*(A19*(0.1/0.15)))</f>
        <v>9.4704868663223807E-2</v>
      </c>
      <c r="E19" s="6">
        <f t="shared" si="3"/>
        <v>9.7470782285043689E-2</v>
      </c>
      <c r="F19" s="7">
        <f>$F$16-($F$16*A19)</f>
        <v>4.6138269348750066E-2</v>
      </c>
      <c r="G19" s="6">
        <f>$B$11*(I6/$C$11)</f>
        <v>5.2674726439614225E-2</v>
      </c>
      <c r="H19" s="7">
        <f t="shared" si="4"/>
        <v>4.6138269348750066E-2</v>
      </c>
      <c r="I19" s="6">
        <f t="shared" ref="I19:I20" si="5">H19-(F19-G19)</f>
        <v>5.2674726439614225E-2</v>
      </c>
      <c r="J19" s="7">
        <f>$J$16-($J$16*A19)</f>
        <v>4.6138269348750066E-2</v>
      </c>
      <c r="K19" s="6">
        <f>$B$12*(M6/$C$12)</f>
        <v>5.600921307115897E-2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0.7</v>
      </c>
      <c r="B20" s="7">
        <f>$B$16-($B$16*A20)</f>
        <v>2.9139959588684261E-2</v>
      </c>
      <c r="C20" s="6">
        <f>$B$10*(E7/$C$10)</f>
        <v>3.1721024857151656E-2</v>
      </c>
      <c r="D20" s="7">
        <f>$D$16-($D$16*(A20*(0.1/0.15)))</f>
        <v>7.7706558903158002E-2</v>
      </c>
      <c r="E20" s="6">
        <f t="shared" si="3"/>
        <v>8.0287624171625396E-2</v>
      </c>
      <c r="F20" s="7">
        <f>$F$16-($F$16*A20)</f>
        <v>2.9139959588684261E-2</v>
      </c>
      <c r="G20" s="6">
        <f>$B$11*(I7/$C$11)</f>
        <v>3.4385529776633575E-2</v>
      </c>
      <c r="H20" s="7">
        <f t="shared" si="4"/>
        <v>2.9139959588684261E-2</v>
      </c>
      <c r="I20" s="6">
        <f t="shared" si="5"/>
        <v>3.4385529776633575E-2</v>
      </c>
      <c r="J20" s="7">
        <f>$J$16-($J$16*A20)</f>
        <v>2.9139959588684261E-2</v>
      </c>
      <c r="K20" s="6">
        <f>$B$12*(M7/$C$12)</f>
        <v>3.686692892569686E-2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8.1560202440439683E-2</v>
      </c>
      <c r="C23" s="6">
        <f>(B17-C17)/($L$16*60)</f>
        <v>-4.1675835425671897E-6</v>
      </c>
      <c r="D23" s="7">
        <f>(D17+E17)/2</f>
        <v>0.13012680175491342</v>
      </c>
      <c r="E23" s="6">
        <f>(D17-E17)/($L$16*60)</f>
        <v>-4.1675835425671897E-6</v>
      </c>
      <c r="F23" s="7">
        <f>(F17+G17)/2</f>
        <v>8.4802524074364727E-2</v>
      </c>
      <c r="G23" s="6">
        <f>(F17-G17)/($L$16*60)</f>
        <v>-1.3648056156383128E-5</v>
      </c>
      <c r="H23" s="7">
        <f>(H17+I17)/2</f>
        <v>8.4802524074364727E-2</v>
      </c>
      <c r="I23" s="6">
        <f>(H17-I17)/($L$16*60)</f>
        <v>-1.3648056156383128E-5</v>
      </c>
      <c r="J23" s="7">
        <f>(J17+K17)/2</f>
        <v>8.7157836391541066E-2</v>
      </c>
      <c r="K23" s="6">
        <f>(J17-K17)/($L$16*60)</f>
        <v>-2.053493427678176E-5</v>
      </c>
      <c r="L23" s="14"/>
      <c r="Q23" s="14"/>
      <c r="R23" s="14"/>
    </row>
    <row r="24" spans="1:18" x14ac:dyDescent="0.25">
      <c r="A24" s="14"/>
      <c r="B24" s="7">
        <f t="shared" ref="B24:B25" si="6">(B18+C18)/2</f>
        <v>6.4564111290209156E-2</v>
      </c>
      <c r="C24" s="6">
        <f>(B18-C18)/($L$16*60)</f>
        <v>-4.1740707058282766E-6</v>
      </c>
      <c r="D24" s="7">
        <f t="shared" ref="D24:D26" si="7">(D18+E18)/2</f>
        <v>0.1131307106046829</v>
      </c>
      <c r="E24" s="6">
        <f>(D18-E18)/($L$16*60)</f>
        <v>-4.1740707058282766E-6</v>
      </c>
      <c r="F24" s="7">
        <f t="shared" ref="F24:F26" si="8">(F18+G18)/2</f>
        <v>6.7106801690198392E-2</v>
      </c>
      <c r="G24" s="6">
        <f>(F18-G18)/($L$16*60)</f>
        <v>-1.1608837957258772E-5</v>
      </c>
      <c r="H24" s="7">
        <f t="shared" ref="H24:H26" si="9">(H18+I18)/2</f>
        <v>6.7106801690198392E-2</v>
      </c>
      <c r="I24" s="6">
        <f>(H18-I18)/($L$16*60)</f>
        <v>-1.1608837957258772E-5</v>
      </c>
      <c r="J24" s="7">
        <f t="shared" ref="J24:J26" si="10">(J18+K18)/2</f>
        <v>6.9088997206732269E-2</v>
      </c>
      <c r="K24" s="6">
        <f>(J18-K18)/($L$16*60)</f>
        <v>-1.7404731280457265E-5</v>
      </c>
      <c r="L24" s="14"/>
      <c r="Q24" s="50"/>
      <c r="R24" s="14"/>
    </row>
    <row r="25" spans="1:18" x14ac:dyDescent="0.25">
      <c r="A25" s="14"/>
      <c r="B25" s="7">
        <f t="shared" si="6"/>
        <v>4.7521226159660007E-2</v>
      </c>
      <c r="C25" s="6">
        <f>(B19-C19)/($L$16*60)</f>
        <v>-4.0437333652337461E-6</v>
      </c>
      <c r="D25" s="7">
        <f t="shared" si="7"/>
        <v>9.6087825474133748E-2</v>
      </c>
      <c r="E25" s="6">
        <f>(D19-E19)/($L$16*60)</f>
        <v>-4.0437333652337461E-6</v>
      </c>
      <c r="F25" s="7">
        <f t="shared" si="8"/>
        <v>4.9406497894182146E-2</v>
      </c>
      <c r="G25" s="6">
        <f>(F19-G19)/($L$16*60)</f>
        <v>-9.5562238170528646E-6</v>
      </c>
      <c r="H25" s="7">
        <f t="shared" si="9"/>
        <v>4.9406497894182146E-2</v>
      </c>
      <c r="I25" s="6">
        <f>(H19-I19)/($L$16*60)</f>
        <v>-9.5562238170528646E-6</v>
      </c>
      <c r="J25" s="7">
        <f t="shared" si="10"/>
        <v>5.1073741209954518E-2</v>
      </c>
      <c r="K25" s="6">
        <f>(J19-K19)/($L$16*60)</f>
        <v>-1.4431204272527637E-5</v>
      </c>
      <c r="L25" s="14"/>
      <c r="Q25" s="14"/>
      <c r="R25" s="14"/>
    </row>
    <row r="26" spans="1:18" x14ac:dyDescent="0.25">
      <c r="A26" s="14"/>
      <c r="B26" s="8">
        <f>(B20+C20)/2</f>
        <v>3.0430492222917958E-2</v>
      </c>
      <c r="C26" s="9">
        <f>(B20-C20)/($L$16*60)</f>
        <v>-3.773487234601454E-6</v>
      </c>
      <c r="D26" s="8">
        <f t="shared" si="7"/>
        <v>7.8997091537391706E-2</v>
      </c>
      <c r="E26" s="9">
        <f>(D20-E20)/($L$16*60)</f>
        <v>-3.773487234601454E-6</v>
      </c>
      <c r="F26" s="8">
        <f t="shared" si="8"/>
        <v>3.1762744682658918E-2</v>
      </c>
      <c r="G26" s="9">
        <f>(F20-G20)/($L$16*60)</f>
        <v>-7.6689622630837917E-6</v>
      </c>
      <c r="H26" s="8">
        <f t="shared" si="9"/>
        <v>3.1762744682658918E-2</v>
      </c>
      <c r="I26" s="9">
        <f>(H20-I20)/($L$16*60)</f>
        <v>-7.6689622630837917E-6</v>
      </c>
      <c r="J26" s="8">
        <f t="shared" si="10"/>
        <v>3.300344425719056E-2</v>
      </c>
      <c r="K26" s="9">
        <f>(J20-K20)/($L$16*60)</f>
        <v>-1.1296738796802044E-5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5F9F-2DE0-41CE-A2AA-DC2A581BE5CF}">
  <dimension ref="A1:W35"/>
  <sheetViews>
    <sheetView zoomScale="70" zoomScaleNormal="70" workbookViewId="0">
      <selection activeCell="F11" sqref="F11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55" t="s">
        <v>9</v>
      </c>
      <c r="B2" s="56" t="s">
        <v>13</v>
      </c>
      <c r="C2" s="55" t="s">
        <v>64</v>
      </c>
      <c r="D2" s="56" t="s">
        <v>13</v>
      </c>
      <c r="E2" s="55" t="s">
        <v>9</v>
      </c>
      <c r="F2" s="56" t="s">
        <v>13</v>
      </c>
      <c r="G2" s="55" t="s">
        <v>64</v>
      </c>
      <c r="H2" s="56" t="s">
        <v>13</v>
      </c>
      <c r="I2" s="32" t="s">
        <v>9</v>
      </c>
      <c r="J2" s="5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'SPKA-4'!B23</f>
        <v>9.2750403320804919E-2</v>
      </c>
      <c r="B3" s="12">
        <f>'SPKA-4'!C23</f>
        <v>1.2815190959481236E-5</v>
      </c>
      <c r="C3" s="12">
        <f>'SPKA-4'!D23</f>
        <v>0.14131700263527866</v>
      </c>
      <c r="D3" s="12">
        <f>'SPKA-4'!E23</f>
        <v>1.2815190959481257E-5</v>
      </c>
      <c r="E3" s="12">
        <f>'SPKA-4'!F23</f>
        <v>9.8256256531932276E-2</v>
      </c>
      <c r="F3" s="12">
        <f>'SPKA-4'!G23</f>
        <v>-3.2837950379671552E-6</v>
      </c>
      <c r="G3" s="12">
        <f>'SPKA-4'!H23</f>
        <v>9.8256256531932276E-2</v>
      </c>
      <c r="H3" s="12">
        <f>'SPKA-4'!I23</f>
        <v>-3.2837950379671552E-6</v>
      </c>
      <c r="I3" s="12">
        <f>'SPKA-4'!J23</f>
        <v>9.801759283832201E-2</v>
      </c>
      <c r="J3" s="12">
        <f>'SPKA-4'!K23</f>
        <v>-2.5859479806271945E-6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'SPKA-4'!B24</f>
        <v>7.4691054147414282E-2</v>
      </c>
      <c r="B4" s="14">
        <f>'SPKA-4'!C24</f>
        <v>8.8172653676717154E-6</v>
      </c>
      <c r="C4" s="14">
        <f>'SPKA-4'!D24</f>
        <v>0.12325765346188802</v>
      </c>
      <c r="D4" s="14">
        <f>'SPKA-4'!E24</f>
        <v>8.8172653676717154E-6</v>
      </c>
      <c r="E4" s="14">
        <f>'SPKA-4'!F24</f>
        <v>7.8662535656892379E-2</v>
      </c>
      <c r="F4" s="14">
        <f>'SPKA-4'!G24</f>
        <v>-2.7952536658900136E-6</v>
      </c>
      <c r="G4" s="14">
        <f>'SPKA-4'!H24</f>
        <v>7.8662535656892379E-2</v>
      </c>
      <c r="H4" s="14">
        <f>'SPKA-4'!I24</f>
        <v>-2.7952536658900136E-6</v>
      </c>
      <c r="I4" s="14">
        <f>'SPKA-4'!J24</f>
        <v>7.8962139033062581E-2</v>
      </c>
      <c r="J4" s="6">
        <f>'SPKA-4'!K24</f>
        <v>-3.6712869295455538E-6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'SPKA-4'!B25</f>
        <v>5.1775045042576226E-2</v>
      </c>
      <c r="B5" s="14">
        <f>'SPKA-4'!C25</f>
        <v>-9.3814202576095763E-6</v>
      </c>
      <c r="C5" s="14">
        <f>'SPKA-4'!D25</f>
        <v>0.10034164435704998</v>
      </c>
      <c r="D5" s="14">
        <f>'SPKA-4'!E25</f>
        <v>-9.3814202576095865E-6</v>
      </c>
      <c r="E5" s="14">
        <f>'SPKA-4'!F25</f>
        <v>5.4001933552274402E-2</v>
      </c>
      <c r="F5" s="14">
        <f>'SPKA-4'!G25</f>
        <v>-1.5892790169007739E-5</v>
      </c>
      <c r="G5" s="14">
        <f>'SPKA-4'!H25</f>
        <v>5.4001933552274402E-2</v>
      </c>
      <c r="H5" s="14">
        <f>'SPKA-4'!I25</f>
        <v>-1.5892790169007739E-5</v>
      </c>
      <c r="I5" s="14">
        <f>'SPKA-4'!J25</f>
        <v>5.505002529635581E-2</v>
      </c>
      <c r="J5" s="6">
        <f>'SPKA-4'!K25</f>
        <v>-1.8957385911935835E-5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'SPKA-4'!B26</f>
        <v>2.8677600517944813E-2</v>
      </c>
      <c r="B6" s="15">
        <f>'SPKA-4'!C26</f>
        <v>-2.704959295951848E-5</v>
      </c>
      <c r="C6" s="15">
        <f>'SPKA-4'!D26</f>
        <v>7.7244199832418564E-2</v>
      </c>
      <c r="D6" s="15">
        <f>'SPKA-4'!E26</f>
        <v>-2.704959295951849E-5</v>
      </c>
      <c r="E6" s="15">
        <f>'SPKA-4'!F26</f>
        <v>2.976177404391778E-2</v>
      </c>
      <c r="F6" s="15">
        <f>'SPKA-4'!G26</f>
        <v>-3.0219690988679201E-5</v>
      </c>
      <c r="G6" s="15">
        <f>'SPKA-4'!H26</f>
        <v>2.976177404391778E-2</v>
      </c>
      <c r="H6" s="15">
        <f>'SPKA-4'!I26</f>
        <v>-3.0219690988679201E-5</v>
      </c>
      <c r="I6" s="15">
        <f>'SPKA-4'!J26</f>
        <v>3.1336680366933267E-2</v>
      </c>
      <c r="J6" s="9">
        <f>'SPKA-4'!K26</f>
        <v>-3.4824680237262484E-5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>
        <v>-0.4</v>
      </c>
      <c r="C10" s="31" t="s">
        <v>66</v>
      </c>
      <c r="D10" s="6">
        <v>0.9</v>
      </c>
      <c r="E10" s="55" t="s">
        <v>69</v>
      </c>
      <c r="F10" s="31"/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5.8587214334068507E-6</v>
      </c>
      <c r="B13" s="17">
        <f>A3^$D$10</f>
        <v>0.11764791263459108</v>
      </c>
      <c r="C13" s="12">
        <f>H3/G3^$B$10</f>
        <v>-1.2981358023451104E-6</v>
      </c>
      <c r="D13" s="17">
        <f>E3^$D$10</f>
        <v>0.12391508882332486</v>
      </c>
      <c r="E13" s="12">
        <f>B3/0.02^$F$10</f>
        <v>1.2815190959481236E-5</v>
      </c>
      <c r="F13" s="17">
        <f>A3</f>
        <v>9.2750403320804919E-2</v>
      </c>
      <c r="G13" s="12">
        <f>J3/0.01^$F$10</f>
        <v>-2.5859479806271945E-6</v>
      </c>
      <c r="H13" s="17">
        <f>I3</f>
        <v>9.801759283832201E-2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3.8164490588314648E-6</v>
      </c>
      <c r="B14" s="6">
        <f t="shared" ref="B14:B16" si="1">A4^$D$10</f>
        <v>9.6814794951564379E-2</v>
      </c>
      <c r="C14" s="7">
        <f t="shared" ref="C14:C16" si="2">H4/G4^$B$10</f>
        <v>-1.0109470338252091E-6</v>
      </c>
      <c r="D14" s="6">
        <f t="shared" ref="D14:D16" si="3">E4^$D$10</f>
        <v>0.10143577401014624</v>
      </c>
      <c r="E14" s="7">
        <f t="shared" ref="E14:E16" si="4">B4/0.02^$F$10</f>
        <v>8.8172653676717154E-6</v>
      </c>
      <c r="F14" s="6">
        <f t="shared" ref="F14:F16" si="5">A4</f>
        <v>7.4691054147414282E-2</v>
      </c>
      <c r="G14" s="7">
        <f t="shared" ref="G14:G16" si="6">J4/0.01^$F$10</f>
        <v>-3.6712869295455538E-6</v>
      </c>
      <c r="H14" s="6">
        <f t="shared" ref="H14:H16" si="7">I4</f>
        <v>7.8962139033062581E-2</v>
      </c>
    </row>
    <row r="15" spans="1:23" x14ac:dyDescent="0.25">
      <c r="A15" s="7">
        <f t="shared" si="0"/>
        <v>-3.7399093608431654E-6</v>
      </c>
      <c r="B15" s="6">
        <f t="shared" si="1"/>
        <v>6.961589915739412E-2</v>
      </c>
      <c r="C15" s="7">
        <f t="shared" si="2"/>
        <v>-4.9449724178977333E-6</v>
      </c>
      <c r="D15" s="6">
        <f t="shared" si="3"/>
        <v>7.2305008100590679E-2</v>
      </c>
      <c r="E15" s="7">
        <f t="shared" si="4"/>
        <v>-9.3814202576095763E-6</v>
      </c>
      <c r="F15" s="6">
        <f t="shared" si="5"/>
        <v>5.1775045042576226E-2</v>
      </c>
      <c r="G15" s="7">
        <f t="shared" si="6"/>
        <v>-1.8957385911935835E-5</v>
      </c>
      <c r="H15" s="6">
        <f t="shared" si="7"/>
        <v>5.505002529635581E-2</v>
      </c>
    </row>
    <row r="16" spans="1:23" x14ac:dyDescent="0.25">
      <c r="A16" s="8">
        <f t="shared" si="0"/>
        <v>-9.71196448828656E-6</v>
      </c>
      <c r="B16" s="9">
        <f t="shared" si="1"/>
        <v>4.0906142753863194E-2</v>
      </c>
      <c r="C16" s="8">
        <f t="shared" si="2"/>
        <v>-7.4088967957594623E-6</v>
      </c>
      <c r="D16" s="9">
        <f t="shared" si="3"/>
        <v>4.2295380235167969E-2</v>
      </c>
      <c r="E16" s="8">
        <f t="shared" si="4"/>
        <v>-2.704959295951848E-5</v>
      </c>
      <c r="F16" s="9">
        <f t="shared" si="5"/>
        <v>2.8677600517944813E-2</v>
      </c>
      <c r="G16" s="8">
        <f t="shared" si="6"/>
        <v>-3.4824680237262484E-5</v>
      </c>
      <c r="H16" s="9">
        <f t="shared" si="7"/>
        <v>3.1336680366933267E-2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FD87-96E0-43CA-B583-EB1FA405D2E2}">
  <dimension ref="A1:O12"/>
  <sheetViews>
    <sheetView workbookViewId="0">
      <selection activeCell="K15" sqref="K15"/>
    </sheetView>
  </sheetViews>
  <sheetFormatPr defaultRowHeight="15" x14ac:dyDescent="0.25"/>
  <cols>
    <col min="1" max="1" width="11.5703125" bestFit="1" customWidth="1"/>
    <col min="2" max="2" width="15.85546875" bestFit="1" customWidth="1"/>
    <col min="3" max="3" width="9.5703125" bestFit="1" customWidth="1"/>
    <col min="4" max="4" width="7.140625" bestFit="1" customWidth="1"/>
    <col min="5" max="5" width="13.42578125" bestFit="1" customWidth="1"/>
    <col min="6" max="7" width="12.85546875" bestFit="1" customWidth="1"/>
    <col min="8" max="8" width="15.5703125" bestFit="1" customWidth="1"/>
    <col min="9" max="9" width="14.5703125" bestFit="1" customWidth="1"/>
    <col min="10" max="10" width="14.28515625" bestFit="1" customWidth="1"/>
    <col min="11" max="11" width="16.85546875" bestFit="1" customWidth="1"/>
    <col min="12" max="12" width="18" bestFit="1" customWidth="1"/>
    <col min="14" max="14" width="15" bestFit="1" customWidth="1"/>
    <col min="15" max="15" width="16.140625" bestFit="1" customWidth="1"/>
  </cols>
  <sheetData>
    <row r="1" spans="1:15" x14ac:dyDescent="0.25">
      <c r="A1" s="19" t="s">
        <v>19</v>
      </c>
      <c r="B1" s="20"/>
      <c r="C1" s="20"/>
      <c r="D1" s="20"/>
      <c r="E1" s="21"/>
      <c r="F1" s="19" t="s">
        <v>20</v>
      </c>
      <c r="G1" s="20"/>
      <c r="H1" s="20"/>
      <c r="I1" s="21"/>
      <c r="L1" s="19" t="s">
        <v>25</v>
      </c>
      <c r="M1" s="22"/>
      <c r="N1" s="23"/>
    </row>
    <row r="2" spans="1:15" x14ac:dyDescent="0.25">
      <c r="A2" s="10" t="s">
        <v>14</v>
      </c>
      <c r="B2" s="10" t="s">
        <v>15</v>
      </c>
      <c r="C2" s="24" t="s">
        <v>16</v>
      </c>
      <c r="D2" s="24" t="s">
        <v>17</v>
      </c>
      <c r="E2" s="24" t="s">
        <v>18</v>
      </c>
      <c r="F2" s="24" t="s">
        <v>21</v>
      </c>
      <c r="G2" s="24" t="s">
        <v>22</v>
      </c>
      <c r="H2" s="24" t="s">
        <v>23</v>
      </c>
      <c r="I2" s="24" t="s">
        <v>24</v>
      </c>
      <c r="J2" s="24" t="s">
        <v>49</v>
      </c>
      <c r="K2" s="24" t="s">
        <v>36</v>
      </c>
      <c r="L2" s="24" t="s">
        <v>26</v>
      </c>
      <c r="M2" s="24" t="s">
        <v>27</v>
      </c>
      <c r="N2" s="24" t="s">
        <v>28</v>
      </c>
      <c r="O2" s="24"/>
    </row>
    <row r="3" spans="1:15" x14ac:dyDescent="0.25">
      <c r="A3" s="25">
        <v>9.9000000000000005E-2</v>
      </c>
      <c r="B3" s="22">
        <f>(A3/B7)*1000</f>
        <v>0.58865501248662144</v>
      </c>
      <c r="C3" s="22">
        <v>1</v>
      </c>
      <c r="D3" s="22">
        <v>1.65</v>
      </c>
      <c r="E3" s="23">
        <f>(D3*3*B3)/(1*1)</f>
        <v>2.9138423118087755</v>
      </c>
      <c r="F3" s="25">
        <v>0.42180000000000001</v>
      </c>
      <c r="G3" s="22">
        <f>F3/C8</f>
        <v>0.33744000000000002</v>
      </c>
      <c r="H3" s="22">
        <v>1.8287</v>
      </c>
      <c r="I3" s="23">
        <f>H3/C12</f>
        <v>1.6624545454545454</v>
      </c>
      <c r="J3" s="25">
        <f>I3+G3</f>
        <v>1.9998945454545454</v>
      </c>
      <c r="K3" s="23">
        <f>E3/J3</f>
        <v>1.4569979794342125</v>
      </c>
      <c r="L3" s="27">
        <f>10/1000</f>
        <v>0.01</v>
      </c>
      <c r="M3" s="2">
        <f>150/1000</f>
        <v>0.15</v>
      </c>
      <c r="N3" s="23">
        <f>(K3*L3)/M3</f>
        <v>9.7133198628947509E-2</v>
      </c>
      <c r="O3" s="30"/>
    </row>
    <row r="4" spans="1:15" x14ac:dyDescent="0.25">
      <c r="F4" s="10" t="s">
        <v>40</v>
      </c>
      <c r="G4" s="10" t="s">
        <v>41</v>
      </c>
      <c r="H4" s="10" t="s">
        <v>43</v>
      </c>
      <c r="I4" s="10" t="s">
        <v>23</v>
      </c>
      <c r="J4" s="10" t="s">
        <v>24</v>
      </c>
      <c r="K4" s="10" t="s">
        <v>42</v>
      </c>
      <c r="L4" s="24" t="s">
        <v>26</v>
      </c>
      <c r="M4" s="24" t="s">
        <v>27</v>
      </c>
      <c r="N4" s="24" t="s">
        <v>47</v>
      </c>
    </row>
    <row r="5" spans="1:15" x14ac:dyDescent="0.25">
      <c r="F5" s="25" t="s">
        <v>35</v>
      </c>
      <c r="G5" s="22" t="s">
        <v>35</v>
      </c>
      <c r="H5" s="22" t="s">
        <v>35</v>
      </c>
      <c r="I5" s="28" t="s">
        <v>35</v>
      </c>
      <c r="J5" s="28" t="s">
        <v>35</v>
      </c>
      <c r="K5" s="29" t="s">
        <v>35</v>
      </c>
      <c r="L5" s="27">
        <f>10/1000</f>
        <v>0.01</v>
      </c>
      <c r="M5" s="2">
        <f>150/1000</f>
        <v>0.15</v>
      </c>
      <c r="N5" s="23" t="e">
        <f>(K5*L5)/M5</f>
        <v>#VALUE!</v>
      </c>
    </row>
    <row r="6" spans="1:15" x14ac:dyDescent="0.25">
      <c r="A6" s="1" t="s">
        <v>29</v>
      </c>
      <c r="B6" s="16" t="s">
        <v>30</v>
      </c>
      <c r="C6" s="26" t="s">
        <v>31</v>
      </c>
      <c r="I6" s="10" t="s">
        <v>44</v>
      </c>
      <c r="J6" s="10" t="s">
        <v>45</v>
      </c>
      <c r="K6" s="10" t="s">
        <v>46</v>
      </c>
      <c r="L6" s="24" t="s">
        <v>26</v>
      </c>
      <c r="M6" s="24" t="s">
        <v>27</v>
      </c>
      <c r="N6" s="24" t="s">
        <v>48</v>
      </c>
    </row>
    <row r="7" spans="1:15" x14ac:dyDescent="0.25">
      <c r="A7" s="12" t="s">
        <v>32</v>
      </c>
      <c r="B7" s="13">
        <v>168.18</v>
      </c>
      <c r="C7" s="17" t="s">
        <v>35</v>
      </c>
      <c r="I7" s="25" t="s">
        <v>35</v>
      </c>
      <c r="J7" s="22" t="s">
        <v>35</v>
      </c>
      <c r="K7" s="23" t="s">
        <v>35</v>
      </c>
      <c r="L7" s="27" t="s">
        <v>35</v>
      </c>
      <c r="M7" s="2">
        <f>150/1000</f>
        <v>0.15</v>
      </c>
      <c r="N7" s="23" t="e">
        <f>K7/M7</f>
        <v>#VALUE!</v>
      </c>
    </row>
    <row r="8" spans="1:15" x14ac:dyDescent="0.25">
      <c r="A8" s="7" t="s">
        <v>33</v>
      </c>
      <c r="B8" s="14">
        <v>140.57</v>
      </c>
      <c r="C8" s="6">
        <v>1.25</v>
      </c>
      <c r="H8" s="10" t="s">
        <v>50</v>
      </c>
      <c r="I8" s="10" t="s">
        <v>51</v>
      </c>
      <c r="J8" s="10" t="s">
        <v>45</v>
      </c>
      <c r="K8" s="10" t="s">
        <v>42</v>
      </c>
      <c r="L8" s="24" t="s">
        <v>26</v>
      </c>
      <c r="M8" s="24" t="s">
        <v>27</v>
      </c>
      <c r="N8" s="24" t="s">
        <v>52</v>
      </c>
    </row>
    <row r="9" spans="1:15" x14ac:dyDescent="0.25">
      <c r="A9" s="7" t="s">
        <v>37</v>
      </c>
      <c r="B9" s="14">
        <v>58.08</v>
      </c>
      <c r="C9" s="6">
        <v>0.78400000000000003</v>
      </c>
      <c r="H9" s="25" t="s">
        <v>35</v>
      </c>
      <c r="I9" s="22" t="s">
        <v>35</v>
      </c>
      <c r="J9" s="22" t="s">
        <v>35</v>
      </c>
      <c r="K9" s="23" t="s">
        <v>35</v>
      </c>
      <c r="L9" s="27">
        <f>3.4/1000</f>
        <v>3.3999999999999998E-3</v>
      </c>
      <c r="M9" s="2">
        <f>150/1000</f>
        <v>0.15</v>
      </c>
      <c r="N9" s="23" t="e">
        <f>(K9*L9)/M9</f>
        <v>#VALUE!</v>
      </c>
    </row>
    <row r="10" spans="1:15" x14ac:dyDescent="0.25">
      <c r="A10" s="7" t="s">
        <v>38</v>
      </c>
      <c r="B10" s="14">
        <v>115.13</v>
      </c>
      <c r="C10" s="6" t="s">
        <v>35</v>
      </c>
    </row>
    <row r="11" spans="1:15" x14ac:dyDescent="0.25">
      <c r="A11" s="7" t="s">
        <v>39</v>
      </c>
      <c r="B11" s="14">
        <v>32.04</v>
      </c>
      <c r="C11" s="6">
        <v>0.79200000000000004</v>
      </c>
    </row>
    <row r="12" spans="1:15" x14ac:dyDescent="0.25">
      <c r="A12" s="8" t="s">
        <v>34</v>
      </c>
      <c r="B12" s="15">
        <v>78.13</v>
      </c>
      <c r="C12" s="9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7ED0-50FD-4637-9736-1B56740BBB6A}">
  <dimension ref="A1:W35"/>
  <sheetViews>
    <sheetView zoomScale="70" zoomScaleNormal="70" workbookViewId="0">
      <selection activeCell="J25" sqref="J25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48" t="s">
        <v>9</v>
      </c>
      <c r="B2" s="49" t="s">
        <v>13</v>
      </c>
      <c r="C2" s="48" t="s">
        <v>64</v>
      </c>
      <c r="D2" s="49" t="s">
        <v>13</v>
      </c>
      <c r="E2" s="48" t="s">
        <v>9</v>
      </c>
      <c r="F2" s="49" t="s">
        <v>13</v>
      </c>
      <c r="G2" s="48" t="s">
        <v>64</v>
      </c>
      <c r="H2" s="49" t="s">
        <v>13</v>
      </c>
      <c r="I2" s="1" t="s">
        <v>9</v>
      </c>
      <c r="J2" s="1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'SPKA-Average'!B23</f>
        <v>8.1560202440439683E-2</v>
      </c>
      <c r="B3" s="12">
        <f>'SPKA-Average'!C23</f>
        <v>-4.1675835425671897E-6</v>
      </c>
      <c r="C3" s="12">
        <f>'SPKA-Average'!D23</f>
        <v>0.13012680175491342</v>
      </c>
      <c r="D3" s="12">
        <f>'SPKA-Average'!E23</f>
        <v>-4.1675835425671897E-6</v>
      </c>
      <c r="E3" s="12">
        <f>'SPKA-Average'!F23</f>
        <v>8.4802524074364727E-2</v>
      </c>
      <c r="F3" s="12">
        <f>'SPKA-Average'!G23</f>
        <v>-1.3648056156383128E-5</v>
      </c>
      <c r="G3" s="12">
        <f>'SPKA-Average'!H23</f>
        <v>8.4802524074364727E-2</v>
      </c>
      <c r="H3" s="12">
        <f>'SPKA-Average'!I23</f>
        <v>-1.3648056156383128E-5</v>
      </c>
      <c r="I3" s="12">
        <f>'SPKA-Average'!J23</f>
        <v>8.7157836391541066E-2</v>
      </c>
      <c r="J3" s="12">
        <f>'SPKA-Average'!K23</f>
        <v>-2.053493427678176E-5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'SPKA-Average'!B24</f>
        <v>6.4564111290209156E-2</v>
      </c>
      <c r="B4" s="6">
        <f>'SPKA-Average'!C24</f>
        <v>-4.1740707058282766E-6</v>
      </c>
      <c r="C4" s="7">
        <f>'SPKA-Average'!D24</f>
        <v>0.1131307106046829</v>
      </c>
      <c r="D4" s="6">
        <f>'SPKA-Average'!E24</f>
        <v>-4.1740707058282766E-6</v>
      </c>
      <c r="E4" s="7">
        <f>'SPKA-Average'!F24</f>
        <v>6.7106801690198392E-2</v>
      </c>
      <c r="F4" s="6">
        <f>'SPKA-Average'!G24</f>
        <v>-1.1608837957258772E-5</v>
      </c>
      <c r="G4" s="7">
        <f>'SPKA-Average'!H24</f>
        <v>6.7106801690198392E-2</v>
      </c>
      <c r="H4" s="6">
        <f>'SPKA-Average'!I24</f>
        <v>-1.1608837957258772E-5</v>
      </c>
      <c r="I4" s="7">
        <f>'SPKA-Average'!J24</f>
        <v>6.9088997206732269E-2</v>
      </c>
      <c r="J4" s="6">
        <f>'SPKA-Average'!K24</f>
        <v>-1.7404731280457265E-5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'SPKA-Average'!B25</f>
        <v>4.7521226159660007E-2</v>
      </c>
      <c r="B5" s="6">
        <f>'SPKA-Average'!C25</f>
        <v>-4.0437333652337461E-6</v>
      </c>
      <c r="C5" s="7">
        <f>'SPKA-Average'!D25</f>
        <v>9.6087825474133748E-2</v>
      </c>
      <c r="D5" s="6">
        <f>'SPKA-Average'!E25</f>
        <v>-4.0437333652337461E-6</v>
      </c>
      <c r="E5" s="7">
        <f>'SPKA-Average'!F25</f>
        <v>4.9406497894182146E-2</v>
      </c>
      <c r="F5" s="6">
        <f>'SPKA-Average'!G25</f>
        <v>-9.5562238170528646E-6</v>
      </c>
      <c r="G5" s="7">
        <f>'SPKA-Average'!H25</f>
        <v>4.9406497894182146E-2</v>
      </c>
      <c r="H5" s="6">
        <f>'SPKA-Average'!I25</f>
        <v>-9.5562238170528646E-6</v>
      </c>
      <c r="I5" s="7">
        <f>'SPKA-Average'!J25</f>
        <v>5.1073741209954518E-2</v>
      </c>
      <c r="J5" s="6">
        <f>'SPKA-Average'!K25</f>
        <v>-1.4431204272527637E-5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'SPKA-Average'!B26</f>
        <v>3.0430492222917958E-2</v>
      </c>
      <c r="B6" s="9">
        <f>'SPKA-Average'!C26</f>
        <v>-3.773487234601454E-6</v>
      </c>
      <c r="C6" s="8">
        <f>'SPKA-Average'!D26</f>
        <v>7.8997091537391706E-2</v>
      </c>
      <c r="D6" s="9">
        <f>'SPKA-Average'!E26</f>
        <v>-3.773487234601454E-6</v>
      </c>
      <c r="E6" s="8">
        <f>'SPKA-Average'!F26</f>
        <v>3.1762744682658918E-2</v>
      </c>
      <c r="F6" s="9">
        <f>'SPKA-Average'!G26</f>
        <v>-7.6689622630837917E-6</v>
      </c>
      <c r="G6" s="8">
        <f>'SPKA-Average'!H26</f>
        <v>3.1762744682658918E-2</v>
      </c>
      <c r="H6" s="9">
        <f>'SPKA-Average'!I26</f>
        <v>-7.6689622630837917E-6</v>
      </c>
      <c r="I6" s="8">
        <f>'SPKA-Average'!J26</f>
        <v>3.300344425719056E-2</v>
      </c>
      <c r="J6" s="9">
        <f>'SPKA-Average'!K26</f>
        <v>-1.1296738796802044E-5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>
        <v>-0.1</v>
      </c>
      <c r="C10" s="31" t="s">
        <v>66</v>
      </c>
      <c r="D10" s="6">
        <v>1</v>
      </c>
      <c r="E10" s="55" t="s">
        <v>69</v>
      </c>
      <c r="F10" s="31">
        <v>0.7</v>
      </c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-3.3987638468887797E-6</v>
      </c>
      <c r="B13" s="17">
        <f>A3^$D$10</f>
        <v>8.1560202440439683E-2</v>
      </c>
      <c r="C13" s="12">
        <f>H3/G3^$B$10</f>
        <v>-1.0663792324121412E-5</v>
      </c>
      <c r="D13" s="17">
        <f>E3^$D$10</f>
        <v>8.4802524074364727E-2</v>
      </c>
      <c r="E13" s="12">
        <f>B3/0.02^$F$10</f>
        <v>-6.44411552352374E-5</v>
      </c>
      <c r="F13" s="17">
        <f>A3</f>
        <v>8.1560202440439683E-2</v>
      </c>
      <c r="G13" s="12">
        <f>J3/0.01^$F$10</f>
        <v>-5.158142278178906E-4</v>
      </c>
      <c r="H13" s="17">
        <f>I3</f>
        <v>8.7157836391541066E-2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-3.3567411527958584E-6</v>
      </c>
      <c r="B14" s="6">
        <f t="shared" ref="B14:B16" si="1">A4^$D$10</f>
        <v>6.4564111290209156E-2</v>
      </c>
      <c r="C14" s="7">
        <f t="shared" ref="C14:C16" si="2">H4/G4^$B$10</f>
        <v>-8.8606463508498224E-6</v>
      </c>
      <c r="D14" s="6">
        <f t="shared" ref="D14:D16" si="3">E4^$D$10</f>
        <v>6.7106801690198392E-2</v>
      </c>
      <c r="E14" s="7">
        <f t="shared" ref="E14:E16" si="4">B4/0.02^$F$10</f>
        <v>-6.4541462833267349E-5</v>
      </c>
      <c r="F14" s="6">
        <f t="shared" ref="F14:F16" si="5">A4</f>
        <v>6.4564111290209156E-2</v>
      </c>
      <c r="G14" s="7">
        <f t="shared" ref="G14:G16" si="6">J4/0.01^$F$10</f>
        <v>-4.3718708347450938E-4</v>
      </c>
      <c r="H14" s="6">
        <f t="shared" ref="H14:H16" si="7">I4</f>
        <v>6.9088997206732269E-2</v>
      </c>
    </row>
    <row r="15" spans="1:23" x14ac:dyDescent="0.25">
      <c r="A15" s="7">
        <f t="shared" si="0"/>
        <v>-3.1992586140581603E-6</v>
      </c>
      <c r="B15" s="6">
        <f t="shared" si="1"/>
        <v>4.7521226159660007E-2</v>
      </c>
      <c r="C15" s="7">
        <f t="shared" si="2"/>
        <v>-7.073994534060652E-6</v>
      </c>
      <c r="D15" s="6">
        <f t="shared" si="3"/>
        <v>4.9406497894182146E-2</v>
      </c>
      <c r="E15" s="7">
        <f t="shared" si="4"/>
        <v>-6.2526124997225695E-5</v>
      </c>
      <c r="F15" s="6">
        <f t="shared" si="5"/>
        <v>4.7521226159660007E-2</v>
      </c>
      <c r="G15" s="7">
        <f t="shared" si="6"/>
        <v>-3.6249546202505234E-4</v>
      </c>
      <c r="H15" s="6">
        <f t="shared" si="7"/>
        <v>5.1073741209954518E-2</v>
      </c>
    </row>
    <row r="16" spans="1:23" x14ac:dyDescent="0.25">
      <c r="A16" s="8">
        <f t="shared" si="0"/>
        <v>-2.9275478036053476E-6</v>
      </c>
      <c r="B16" s="9">
        <f t="shared" si="1"/>
        <v>3.0430492222917958E-2</v>
      </c>
      <c r="C16" s="8">
        <f t="shared" si="2"/>
        <v>-5.4316077972491455E-6</v>
      </c>
      <c r="D16" s="9">
        <f t="shared" si="3"/>
        <v>3.1762744682658918E-2</v>
      </c>
      <c r="E16" s="8">
        <f t="shared" si="4"/>
        <v>-5.8347451029943844E-5</v>
      </c>
      <c r="F16" s="9">
        <f t="shared" si="5"/>
        <v>3.0430492222917958E-2</v>
      </c>
      <c r="G16" s="8">
        <f t="shared" si="6"/>
        <v>-2.8376124903994898E-4</v>
      </c>
      <c r="H16" s="9">
        <f t="shared" si="7"/>
        <v>3.300344425719056E-2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6751-5E8E-47B1-B9D3-6DC75E155F63}">
  <dimension ref="A1:R41"/>
  <sheetViews>
    <sheetView zoomScale="85" zoomScaleNormal="85" workbookViewId="0">
      <selection activeCell="A3" sqref="A3:A7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 s="13">
        <v>1.784345491666667</v>
      </c>
      <c r="D3" s="52" t="s">
        <v>78</v>
      </c>
      <c r="E3" s="17" t="s">
        <v>35</v>
      </c>
      <c r="F3" s="37" t="s">
        <v>54</v>
      </c>
      <c r="G3" s="62">
        <v>1.784345491666667</v>
      </c>
      <c r="H3" s="37" t="s">
        <v>55</v>
      </c>
      <c r="I3" s="62" t="s">
        <v>35</v>
      </c>
      <c r="J3" s="61" t="s">
        <v>59</v>
      </c>
      <c r="K3" s="44">
        <v>1.784345491666667</v>
      </c>
      <c r="L3" s="61" t="s">
        <v>60</v>
      </c>
      <c r="M3" s="44" t="s">
        <v>35</v>
      </c>
      <c r="N3" s="31"/>
      <c r="O3" s="14"/>
    </row>
    <row r="4" spans="1:18" x14ac:dyDescent="0.25">
      <c r="A4" s="4">
        <v>0</v>
      </c>
      <c r="B4" s="7"/>
      <c r="C4" s="14">
        <f>$C$3-($C$3*$A4)</f>
        <v>1.784345491666667</v>
      </c>
      <c r="D4" s="14"/>
      <c r="E4" s="6">
        <v>1.36065320709152</v>
      </c>
      <c r="F4" s="39"/>
      <c r="G4" s="63">
        <f>$G$3-($G$3*$A4)</f>
        <v>1.784345491666667</v>
      </c>
      <c r="H4" s="39"/>
      <c r="I4" s="63">
        <v>1.498526308090961</v>
      </c>
      <c r="J4" s="60"/>
      <c r="K4" s="45">
        <f>$K$3-($K$3*$A4)</f>
        <v>1.784345491666667</v>
      </c>
      <c r="L4" s="60"/>
      <c r="M4" s="45">
        <v>1.6907381612916721</v>
      </c>
      <c r="N4" s="14"/>
      <c r="O4" s="14"/>
    </row>
    <row r="5" spans="1:18" x14ac:dyDescent="0.25">
      <c r="A5" s="4">
        <v>0.2</v>
      </c>
      <c r="B5" s="7"/>
      <c r="C5" s="14">
        <f t="shared" ref="C5:C7" si="0">$C$3-($C$3*$A5)</f>
        <v>1.4274763933333336</v>
      </c>
      <c r="D5" s="14"/>
      <c r="E5" s="6">
        <v>1.054638481261607</v>
      </c>
      <c r="F5" s="39"/>
      <c r="G5" s="63">
        <f t="shared" ref="G5:G7" si="1">$G$3-($G$3*$A5)</f>
        <v>1.4274763933333336</v>
      </c>
      <c r="H5" s="39"/>
      <c r="I5" s="63">
        <v>1.1704601960081631</v>
      </c>
      <c r="J5" s="60"/>
      <c r="K5" s="45">
        <f t="shared" ref="K5:K7" si="2">$K$3-($K$3*$A5)</f>
        <v>1.4274763933333336</v>
      </c>
      <c r="L5" s="60"/>
      <c r="M5" s="45">
        <v>1.3206308609601201</v>
      </c>
      <c r="N5" s="14"/>
      <c r="O5" s="14"/>
    </row>
    <row r="6" spans="1:18" x14ac:dyDescent="0.25">
      <c r="A6" s="7">
        <v>0.5</v>
      </c>
      <c r="B6" s="7"/>
      <c r="C6" s="14">
        <f t="shared" si="0"/>
        <v>0.8921727458333335</v>
      </c>
      <c r="D6" s="14"/>
      <c r="E6" s="6">
        <v>0.74862375543169302</v>
      </c>
      <c r="F6" s="39"/>
      <c r="G6" s="63">
        <f t="shared" si="1"/>
        <v>0.8921727458333335</v>
      </c>
      <c r="H6" s="39"/>
      <c r="I6" s="63">
        <v>0.84937421396967938</v>
      </c>
      <c r="J6" s="60"/>
      <c r="K6" s="45">
        <f t="shared" si="2"/>
        <v>0.8921727458333335</v>
      </c>
      <c r="L6" s="60"/>
      <c r="M6" s="45">
        <v>0.95839818403987653</v>
      </c>
      <c r="N6" s="14"/>
      <c r="O6" s="14"/>
    </row>
    <row r="7" spans="1:18" x14ac:dyDescent="0.25">
      <c r="A7" s="5">
        <v>0.8</v>
      </c>
      <c r="B7" s="8"/>
      <c r="C7" s="15">
        <f t="shared" si="0"/>
        <v>0.35686909833333336</v>
      </c>
      <c r="D7" s="15"/>
      <c r="E7" s="9">
        <v>0.44911998121518137</v>
      </c>
      <c r="F7" s="40"/>
      <c r="G7" s="64">
        <f t="shared" si="1"/>
        <v>0.35686909833333336</v>
      </c>
      <c r="H7" s="40"/>
      <c r="I7" s="64">
        <v>0.52828823193119634</v>
      </c>
      <c r="J7" s="46"/>
      <c r="K7" s="47">
        <f t="shared" si="2"/>
        <v>0.35686909833333336</v>
      </c>
      <c r="L7" s="46"/>
      <c r="M7" s="47">
        <v>0.58829088370832405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1.784345491666667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1.784345491666667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1.784345491666667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</v>
      </c>
      <c r="B17" s="7">
        <f>$B$16-($B$16*A17)</f>
        <v>9.7133198628947509E-2</v>
      </c>
      <c r="C17" s="6">
        <f>$B$10*(E4/$C$10)</f>
        <v>7.4068950686274768E-2</v>
      </c>
      <c r="D17" s="7">
        <f>$D$16-($D$16*(A17*(0.1/0.15)))</f>
        <v>0.14569979794342125</v>
      </c>
      <c r="E17" s="6">
        <f>D17-(B17-C17)</f>
        <v>0.12263555000074851</v>
      </c>
      <c r="F17" s="7">
        <f>$F$16-($F$16*A17)</f>
        <v>9.7133198628947509E-2</v>
      </c>
      <c r="G17" s="6">
        <f>$B$11*(I4/$C$11)</f>
        <v>8.1574254657681561E-2</v>
      </c>
      <c r="H17" s="7">
        <f>F17</f>
        <v>9.7133198628947509E-2</v>
      </c>
      <c r="I17" s="6">
        <f>H17-(F17-G17)</f>
        <v>8.1574254657681561E-2</v>
      </c>
      <c r="J17" s="7">
        <f>$J$16-($J$16*A17)</f>
        <v>9.7133198628947509E-2</v>
      </c>
      <c r="K17" s="6">
        <f>$B$12*(M4/$C$12)</f>
        <v>9.2037560224331627E-2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0.2</v>
      </c>
      <c r="B18" s="7">
        <f>$B$16-($B$16*A18)</f>
        <v>7.7706558903158002E-2</v>
      </c>
      <c r="C18" s="6">
        <f>$B$10*(E5/$C$10)</f>
        <v>5.7410635754419279E-2</v>
      </c>
      <c r="D18" s="7">
        <f>$D$16-($D$16*(A18*(0.1/0.15)))</f>
        <v>0.12627315821763174</v>
      </c>
      <c r="E18" s="6">
        <f t="shared" ref="E18:E20" si="3">D18-(B18-C18)</f>
        <v>0.10597723506889302</v>
      </c>
      <c r="F18" s="7">
        <f>$F$16-($F$16*A18)</f>
        <v>7.7706558903158002E-2</v>
      </c>
      <c r="G18" s="6">
        <f>$B$11*(I5/$C$11)</f>
        <v>6.3715543451142498E-2</v>
      </c>
      <c r="H18" s="7">
        <f t="shared" ref="H18:H20" si="4">F18</f>
        <v>7.7706558903158002E-2</v>
      </c>
      <c r="I18" s="6">
        <f>H18-(F18-G18)</f>
        <v>6.3715543451142498E-2</v>
      </c>
      <c r="J18" s="7">
        <f>$J$16-($J$16*A18)</f>
        <v>7.7706558903158002E-2</v>
      </c>
      <c r="K18" s="6">
        <f>$B$12*(M5/$C$12)</f>
        <v>7.1890281524650324E-2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7">
        <v>0.5</v>
      </c>
      <c r="B19" s="7">
        <f>$B$16-($B$16*A19)</f>
        <v>4.8566599314473755E-2</v>
      </c>
      <c r="C19" s="6">
        <f>$B$10*(E6/$C$10)</f>
        <v>4.0752320822563748E-2</v>
      </c>
      <c r="D19" s="7">
        <f>$D$16-($D$16*(A19*(0.1/0.15)))</f>
        <v>9.7133198628947495E-2</v>
      </c>
      <c r="E19" s="6">
        <f t="shared" si="3"/>
        <v>8.9318920137037489E-2</v>
      </c>
      <c r="F19" s="7">
        <f>$F$16-($F$16*A19)</f>
        <v>4.8566599314473755E-2</v>
      </c>
      <c r="G19" s="6">
        <f>$B$11*(I6/$C$11)</f>
        <v>4.6236804823465927E-2</v>
      </c>
      <c r="H19" s="7">
        <f t="shared" si="4"/>
        <v>4.8566599314473755E-2</v>
      </c>
      <c r="I19" s="6">
        <f t="shared" ref="I19:I20" si="5">H19-(F19-G19)</f>
        <v>4.6236804823465927E-2</v>
      </c>
      <c r="J19" s="7">
        <f>$J$16-($J$16*A19)</f>
        <v>4.8566599314473755E-2</v>
      </c>
      <c r="K19" s="6">
        <f>$B$12*(M6/$C$12)</f>
        <v>5.2171668329217519E-2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0.8</v>
      </c>
      <c r="B20" s="7">
        <f>$B$16-($B$16*A20)</f>
        <v>1.9426639725789493E-2</v>
      </c>
      <c r="C20" s="6">
        <f>$B$10*(E7/$C$10)</f>
        <v>2.4448438123300876E-2</v>
      </c>
      <c r="D20" s="7">
        <f>$D$16-($D$16*(A20*(0.1/0.15)))</f>
        <v>6.7993239040263234E-2</v>
      </c>
      <c r="E20" s="6">
        <f t="shared" si="3"/>
        <v>7.3015037437774613E-2</v>
      </c>
      <c r="F20" s="7">
        <f>$F$16-($F$16*A20)</f>
        <v>1.9426639725789493E-2</v>
      </c>
      <c r="G20" s="6">
        <f>$B$11*(I7/$C$11)</f>
        <v>2.8758066195789394E-2</v>
      </c>
      <c r="H20" s="7">
        <f t="shared" si="4"/>
        <v>1.9426639725789493E-2</v>
      </c>
      <c r="I20" s="6">
        <f t="shared" si="5"/>
        <v>2.8758066195789394E-2</v>
      </c>
      <c r="J20" s="7">
        <f>$J$16-($J$16*A20)</f>
        <v>1.9426639725789493E-2</v>
      </c>
      <c r="K20" s="6">
        <f>$B$12*(M7/$C$12)</f>
        <v>3.2024389629536208E-2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8.5601074657611131E-2</v>
      </c>
      <c r="C23" s="6">
        <f>(B17-C17)/($L$16*60)</f>
        <v>3.3719660734901668E-5</v>
      </c>
      <c r="D23" s="7">
        <f>(D17+E17)/2</f>
        <v>0.13416767397208487</v>
      </c>
      <c r="E23" s="6">
        <f>(D17-E17)/($L$16*60)</f>
        <v>3.3719660734901668E-5</v>
      </c>
      <c r="F23" s="7">
        <f>(F17+G17)/2</f>
        <v>8.9353726643314535E-2</v>
      </c>
      <c r="G23" s="6">
        <f>(F17-G17)/($L$16*60)</f>
        <v>2.2746994110037936E-5</v>
      </c>
      <c r="H23" s="7">
        <f>(H17+I17)/2</f>
        <v>8.9353726643314535E-2</v>
      </c>
      <c r="I23" s="6">
        <f>(H17-I17)/($L$16*60)</f>
        <v>2.2746994110037936E-5</v>
      </c>
      <c r="J23" s="7">
        <f>(J17+K17)/2</f>
        <v>9.4585379426639568E-2</v>
      </c>
      <c r="K23" s="6">
        <f>(J17-K17)/($L$16*60)</f>
        <v>7.4497637494384242E-6</v>
      </c>
      <c r="L23" s="14"/>
      <c r="Q23" s="14"/>
      <c r="R23" s="14"/>
    </row>
    <row r="24" spans="1:18" x14ac:dyDescent="0.25">
      <c r="A24" s="14"/>
      <c r="B24" s="7">
        <f t="shared" ref="B24:B25" si="6">(B18+C18)/2</f>
        <v>6.7558597328788633E-2</v>
      </c>
      <c r="C24" s="6">
        <f>(B18-C18)/($L$16*60)</f>
        <v>2.9672402264237901E-5</v>
      </c>
      <c r="D24" s="7">
        <f t="shared" ref="D24:D26" si="7">(D18+E18)/2</f>
        <v>0.11612519664326237</v>
      </c>
      <c r="E24" s="6">
        <f>(D18-E18)/($L$16*60)</f>
        <v>2.9672402264237901E-5</v>
      </c>
      <c r="F24" s="7">
        <f t="shared" ref="F24:F26" si="8">(F18+G18)/2</f>
        <v>7.071105117715025E-2</v>
      </c>
      <c r="G24" s="6">
        <f>(F18-G18)/($L$16*60)</f>
        <v>2.045470095323904E-5</v>
      </c>
      <c r="H24" s="7">
        <f t="shared" ref="H24:H26" si="9">(H18+I18)/2</f>
        <v>7.071105117715025E-2</v>
      </c>
      <c r="I24" s="6">
        <f>(H18-I18)/($L$16*60)</f>
        <v>2.045470095323904E-5</v>
      </c>
      <c r="J24" s="7">
        <f t="shared" ref="J24:J26" si="10">(J18+K18)/2</f>
        <v>7.4798420213904163E-2</v>
      </c>
      <c r="K24" s="6">
        <f>(J18-K18)/($L$16*60)</f>
        <v>8.5033295007422188E-6</v>
      </c>
      <c r="L24" s="14"/>
      <c r="Q24" s="50"/>
      <c r="R24" s="14"/>
    </row>
    <row r="25" spans="1:18" x14ac:dyDescent="0.25">
      <c r="A25" s="14"/>
      <c r="B25" s="7">
        <f t="shared" si="6"/>
        <v>4.4659460068518751E-2</v>
      </c>
      <c r="C25" s="6">
        <f>(B19-C19)/($L$16*60)</f>
        <v>1.1424383760102349E-5</v>
      </c>
      <c r="D25" s="7">
        <f t="shared" si="7"/>
        <v>9.3226059382992499E-2</v>
      </c>
      <c r="E25" s="6">
        <f>(D19-E19)/($L$16*60)</f>
        <v>1.1424383760102349E-5</v>
      </c>
      <c r="F25" s="7">
        <f t="shared" si="8"/>
        <v>4.7401702068969841E-2</v>
      </c>
      <c r="G25" s="6">
        <f>(F19-G19)/($L$16*60)</f>
        <v>3.4061322967950697E-6</v>
      </c>
      <c r="H25" s="7">
        <f t="shared" si="9"/>
        <v>4.7401702068969841E-2</v>
      </c>
      <c r="I25" s="6">
        <f>(H19-I19)/($L$16*60)</f>
        <v>3.4061322967950697E-6</v>
      </c>
      <c r="J25" s="7">
        <f t="shared" si="10"/>
        <v>5.0369133821845637E-2</v>
      </c>
      <c r="K25" s="6">
        <f>(J19-K19)/($L$16*60)</f>
        <v>-5.2705687350055029E-6</v>
      </c>
      <c r="L25" s="14"/>
      <c r="Q25" s="14"/>
      <c r="R25" s="14"/>
    </row>
    <row r="26" spans="1:18" x14ac:dyDescent="0.25">
      <c r="A26" s="14"/>
      <c r="B26" s="8">
        <f>(B20+C20)/2</f>
        <v>2.1937538924545183E-2</v>
      </c>
      <c r="C26" s="9">
        <f>(B20-C20)/($L$16*60)</f>
        <v>-7.3418105226774599E-6</v>
      </c>
      <c r="D26" s="8">
        <f t="shared" si="7"/>
        <v>7.0504138239018924E-2</v>
      </c>
      <c r="E26" s="9">
        <f>(D20-E20)/($L$16*60)</f>
        <v>-7.3418105226774548E-6</v>
      </c>
      <c r="F26" s="8">
        <f t="shared" si="8"/>
        <v>2.4092352960789445E-2</v>
      </c>
      <c r="G26" s="9">
        <f>(F20-G20)/($L$16*60)</f>
        <v>-1.3642436359648977E-5</v>
      </c>
      <c r="H26" s="8">
        <f t="shared" si="9"/>
        <v>2.4092352960789445E-2</v>
      </c>
      <c r="I26" s="9">
        <f>(H20-I20)/($L$16*60)</f>
        <v>-1.3642436359648977E-5</v>
      </c>
      <c r="J26" s="8">
        <f t="shared" si="10"/>
        <v>2.5725514677662851E-2</v>
      </c>
      <c r="K26" s="9">
        <f>(J20-K20)/($L$16*60)</f>
        <v>-1.841776301717356E-5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5F43-6C5F-4D2B-983A-34A18E2850C0}">
  <dimension ref="A1:W35"/>
  <sheetViews>
    <sheetView zoomScale="70" zoomScaleNormal="70" workbookViewId="0">
      <selection activeCell="C16" sqref="C16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48" t="s">
        <v>9</v>
      </c>
      <c r="B2" s="49" t="s">
        <v>13</v>
      </c>
      <c r="C2" s="48" t="s">
        <v>64</v>
      </c>
      <c r="D2" s="49" t="s">
        <v>13</v>
      </c>
      <c r="E2" s="48" t="s">
        <v>9</v>
      </c>
      <c r="F2" s="49" t="s">
        <v>13</v>
      </c>
      <c r="G2" s="48" t="s">
        <v>64</v>
      </c>
      <c r="H2" s="49" t="s">
        <v>13</v>
      </c>
      <c r="I2" s="1" t="s">
        <v>9</v>
      </c>
      <c r="J2" s="1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'SPKA-1'!B23</f>
        <v>8.5601074657611131E-2</v>
      </c>
      <c r="B3" s="17">
        <f>'SPKA-1'!C23</f>
        <v>3.3719660734901668E-5</v>
      </c>
      <c r="C3" s="12">
        <f>'SPKA-1'!D23</f>
        <v>0.13416767397208487</v>
      </c>
      <c r="D3" s="17">
        <f>'SPKA-1'!E23</f>
        <v>3.3719660734901668E-5</v>
      </c>
      <c r="E3" s="12">
        <f>'SPKA-1'!F23</f>
        <v>8.9353726643314535E-2</v>
      </c>
      <c r="F3" s="17">
        <f>'SPKA-1'!G23</f>
        <v>2.2746994110037936E-5</v>
      </c>
      <c r="G3" s="12">
        <f>'SPKA-1'!H23</f>
        <v>8.9353726643314535E-2</v>
      </c>
      <c r="H3" s="17">
        <f>'SPKA-1'!I23</f>
        <v>2.2746994110037936E-5</v>
      </c>
      <c r="I3" s="12">
        <f>'SPKA-1'!J23</f>
        <v>9.4585379426639568E-2</v>
      </c>
      <c r="J3" s="17">
        <f>'SPKA-1'!K23</f>
        <v>7.4497637494384242E-6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'SPKA-1'!B24</f>
        <v>6.7558597328788633E-2</v>
      </c>
      <c r="B4" s="6">
        <f>'SPKA-1'!C24</f>
        <v>2.9672402264237901E-5</v>
      </c>
      <c r="C4" s="7">
        <f>'SPKA-1'!D24</f>
        <v>0.11612519664326237</v>
      </c>
      <c r="D4" s="6">
        <f>'SPKA-1'!E24</f>
        <v>2.9672402264237901E-5</v>
      </c>
      <c r="E4" s="7">
        <f>'SPKA-1'!F24</f>
        <v>7.071105117715025E-2</v>
      </c>
      <c r="F4" s="6">
        <f>'SPKA-1'!G24</f>
        <v>2.045470095323904E-5</v>
      </c>
      <c r="G4" s="7">
        <f>'SPKA-1'!H24</f>
        <v>7.071105117715025E-2</v>
      </c>
      <c r="H4" s="6">
        <f>'SPKA-1'!I24</f>
        <v>2.045470095323904E-5</v>
      </c>
      <c r="I4" s="7">
        <f>'SPKA-1'!J24</f>
        <v>7.4798420213904163E-2</v>
      </c>
      <c r="J4" s="6">
        <f>'SPKA-1'!K24</f>
        <v>8.5033295007422188E-6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'SPKA-1'!B25</f>
        <v>4.4659460068518751E-2</v>
      </c>
      <c r="B5" s="6">
        <f>'SPKA-1'!C25</f>
        <v>1.1424383760102349E-5</v>
      </c>
      <c r="C5" s="7">
        <f>'SPKA-1'!D25</f>
        <v>9.3226059382992499E-2</v>
      </c>
      <c r="D5" s="6">
        <f>'SPKA-1'!E25</f>
        <v>1.1424383760102349E-5</v>
      </c>
      <c r="E5" s="7">
        <f>'SPKA-1'!F25</f>
        <v>4.7401702068969841E-2</v>
      </c>
      <c r="F5" s="6">
        <f>'SPKA-1'!G25</f>
        <v>3.4061322967950697E-6</v>
      </c>
      <c r="G5" s="7">
        <f>'SPKA-1'!H25</f>
        <v>4.7401702068969841E-2</v>
      </c>
      <c r="H5" s="6">
        <f>'SPKA-1'!I25</f>
        <v>3.4061322967950697E-6</v>
      </c>
      <c r="I5" s="7">
        <f>'SPKA-1'!J25</f>
        <v>5.0369133821845637E-2</v>
      </c>
      <c r="J5" s="6">
        <f>'SPKA-1'!K25</f>
        <v>-5.2705687350055029E-6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'SPKA-1'!B26</f>
        <v>2.1937538924545183E-2</v>
      </c>
      <c r="B6" s="9">
        <f>'SPKA-1'!C26</f>
        <v>-7.3418105226774599E-6</v>
      </c>
      <c r="C6" s="8">
        <f>'SPKA-1'!D26</f>
        <v>7.0504138239018924E-2</v>
      </c>
      <c r="D6" s="9">
        <f>'SPKA-1'!E26</f>
        <v>-7.3418105226774548E-6</v>
      </c>
      <c r="E6" s="8">
        <f>'SPKA-1'!F26</f>
        <v>2.4092352960789445E-2</v>
      </c>
      <c r="F6" s="9">
        <f>'SPKA-1'!G26</f>
        <v>-1.3642436359648977E-5</v>
      </c>
      <c r="G6" s="8">
        <f>'SPKA-1'!H26</f>
        <v>2.4092352960789445E-2</v>
      </c>
      <c r="H6" s="9">
        <f>'SPKA-1'!I26</f>
        <v>-1.3642436359648977E-5</v>
      </c>
      <c r="I6" s="8">
        <f>'SPKA-1'!J26</f>
        <v>2.5725514677662851E-2</v>
      </c>
      <c r="J6" s="9">
        <f>'SPKA-1'!K26</f>
        <v>-1.841776301717356E-5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/>
      <c r="C10" s="31" t="s">
        <v>66</v>
      </c>
      <c r="D10" s="6">
        <v>0.1</v>
      </c>
      <c r="E10" s="55" t="s">
        <v>69</v>
      </c>
      <c r="F10" s="31"/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3.3719660734901668E-5</v>
      </c>
      <c r="B13" s="17">
        <f>A3^$D$10</f>
        <v>0.7820741326457693</v>
      </c>
      <c r="C13" s="12">
        <f>H3/G3^$B$10</f>
        <v>2.2746994110037936E-5</v>
      </c>
      <c r="D13" s="17">
        <f>E3^$D$10</f>
        <v>0.78543683914858842</v>
      </c>
      <c r="E13" s="12">
        <f>B3/0.02^$F$10</f>
        <v>3.3719660734901668E-5</v>
      </c>
      <c r="F13" s="17">
        <f>A3</f>
        <v>8.5601074657611131E-2</v>
      </c>
      <c r="G13" s="12">
        <f>J3/0.01^$F$10</f>
        <v>7.4497637494384242E-6</v>
      </c>
      <c r="H13" s="17">
        <f>I3</f>
        <v>9.4585379426639568E-2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2.9672402264237901E-5</v>
      </c>
      <c r="B14" s="6">
        <f t="shared" ref="B14:B16" si="1">A4^$D$10</f>
        <v>0.76377961389935267</v>
      </c>
      <c r="C14" s="7">
        <f t="shared" ref="C14:C16" si="2">H4/G4^$B$10</f>
        <v>2.045470095323904E-5</v>
      </c>
      <c r="D14" s="6">
        <f t="shared" ref="D14:D16" si="3">E4^$D$10</f>
        <v>0.76727090380989793</v>
      </c>
      <c r="E14" s="7">
        <f t="shared" ref="E14:E16" si="4">B4/0.02^$F$10</f>
        <v>2.9672402264237901E-5</v>
      </c>
      <c r="F14" s="6">
        <f t="shared" ref="F14:F16" si="5">A4</f>
        <v>6.7558597328788633E-2</v>
      </c>
      <c r="G14" s="7">
        <f t="shared" ref="G14:G16" si="6">J4/0.01^$F$10</f>
        <v>8.5033295007422188E-6</v>
      </c>
      <c r="H14" s="6">
        <f t="shared" ref="H14:H16" si="7">I4</f>
        <v>7.4798420213904163E-2</v>
      </c>
    </row>
    <row r="15" spans="1:23" x14ac:dyDescent="0.25">
      <c r="A15" s="7">
        <f t="shared" si="0"/>
        <v>1.1424383760102349E-5</v>
      </c>
      <c r="B15" s="6">
        <f t="shared" si="1"/>
        <v>0.73280993198096522</v>
      </c>
      <c r="C15" s="7">
        <f t="shared" si="2"/>
        <v>3.4061322967950697E-6</v>
      </c>
      <c r="D15" s="6">
        <f t="shared" si="3"/>
        <v>0.73718992914766401</v>
      </c>
      <c r="E15" s="7">
        <f t="shared" si="4"/>
        <v>1.1424383760102349E-5</v>
      </c>
      <c r="F15" s="6">
        <f t="shared" si="5"/>
        <v>4.4659460068518751E-2</v>
      </c>
      <c r="G15" s="7">
        <f t="shared" si="6"/>
        <v>-5.2705687350055029E-6</v>
      </c>
      <c r="H15" s="6">
        <f t="shared" si="7"/>
        <v>5.0369133821845637E-2</v>
      </c>
    </row>
    <row r="16" spans="1:23" x14ac:dyDescent="0.25">
      <c r="A16" s="8">
        <f t="shared" si="0"/>
        <v>-7.3418105226774548E-6</v>
      </c>
      <c r="B16" s="9">
        <f t="shared" si="1"/>
        <v>0.68252535642510237</v>
      </c>
      <c r="C16" s="8">
        <f t="shared" si="2"/>
        <v>-1.3642436359648977E-5</v>
      </c>
      <c r="D16" s="9">
        <f t="shared" si="3"/>
        <v>0.68895034461655713</v>
      </c>
      <c r="E16" s="8">
        <f t="shared" si="4"/>
        <v>-7.3418105226774599E-6</v>
      </c>
      <c r="F16" s="9">
        <f t="shared" si="5"/>
        <v>2.1937538924545183E-2</v>
      </c>
      <c r="G16" s="8">
        <f t="shared" si="6"/>
        <v>-1.841776301717356E-5</v>
      </c>
      <c r="H16" s="9">
        <f t="shared" si="7"/>
        <v>2.5725514677662851E-2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4A8E-281B-430D-BA7A-7D9E435D109A}">
  <dimension ref="A1:R41"/>
  <sheetViews>
    <sheetView zoomScale="85" zoomScaleNormal="85" workbookViewId="0">
      <selection activeCell="A3" sqref="A3:A7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>
        <v>1.784345491666667</v>
      </c>
      <c r="D3" s="52" t="s">
        <v>78</v>
      </c>
      <c r="E3" s="17" t="s">
        <v>35</v>
      </c>
      <c r="F3" s="37" t="s">
        <v>54</v>
      </c>
      <c r="G3" s="62">
        <v>1.784345491666667</v>
      </c>
      <c r="H3" s="37" t="s">
        <v>55</v>
      </c>
      <c r="I3" s="62" t="s">
        <v>35</v>
      </c>
      <c r="J3" s="61" t="s">
        <v>59</v>
      </c>
      <c r="K3" s="44">
        <v>1.784345491666667</v>
      </c>
      <c r="L3" s="61" t="s">
        <v>60</v>
      </c>
      <c r="M3" s="44" t="s">
        <v>35</v>
      </c>
      <c r="N3" s="31"/>
      <c r="O3" s="14"/>
    </row>
    <row r="4" spans="1:18" x14ac:dyDescent="0.25">
      <c r="A4" s="4">
        <v>0</v>
      </c>
      <c r="B4" s="7"/>
      <c r="C4" s="14">
        <f>$C$3-($C$3*$A4)</f>
        <v>1.784345491666667</v>
      </c>
      <c r="D4" s="14"/>
      <c r="E4" s="6">
        <v>1.5232099433079891</v>
      </c>
      <c r="F4" s="39"/>
      <c r="G4" s="63">
        <f>$G$3-($G$3*$A4)</f>
        <v>1.784345491666667</v>
      </c>
      <c r="H4" s="39"/>
      <c r="I4" s="63">
        <v>1.594762263142377</v>
      </c>
      <c r="J4" s="60"/>
      <c r="K4" s="45">
        <f>$K$3-($K$3*$A4)</f>
        <v>1.784345491666667</v>
      </c>
      <c r="L4" s="60"/>
      <c r="M4" s="45">
        <v>1.679104525412241</v>
      </c>
      <c r="N4" s="14"/>
      <c r="O4" s="14"/>
    </row>
    <row r="5" spans="1:18" x14ac:dyDescent="0.25">
      <c r="A5" s="4">
        <v>0.2</v>
      </c>
      <c r="B5" s="7"/>
      <c r="C5" s="14">
        <f t="shared" ref="C5:C7" si="0">$C$3-($C$3*$A5)</f>
        <v>1.4274763933333336</v>
      </c>
      <c r="D5" s="14"/>
      <c r="E5" s="6">
        <v>1.206873618848455</v>
      </c>
      <c r="F5" s="39"/>
      <c r="G5" s="63">
        <f t="shared" ref="G5:G7" si="1">$G$3-($G$3*$A5)</f>
        <v>1.4274763933333336</v>
      </c>
      <c r="H5" s="39"/>
      <c r="I5" s="63">
        <v>1.2593504471753489</v>
      </c>
      <c r="J5" s="60"/>
      <c r="K5" s="45">
        <f t="shared" ref="K5:K7" si="2">$K$3-($K$3*$A5)</f>
        <v>1.4274763933333336</v>
      </c>
      <c r="L5" s="60"/>
      <c r="M5" s="45">
        <v>1.333320872791834</v>
      </c>
      <c r="N5" s="14"/>
      <c r="O5" s="14"/>
    </row>
    <row r="6" spans="1:18" x14ac:dyDescent="0.25">
      <c r="A6" s="7">
        <v>0.5</v>
      </c>
      <c r="B6" s="7"/>
      <c r="C6" s="14">
        <f t="shared" si="0"/>
        <v>0.8921727458333335</v>
      </c>
      <c r="D6" s="14"/>
      <c r="E6" s="6">
        <v>0.88366041777023518</v>
      </c>
      <c r="F6" s="39"/>
      <c r="G6" s="63">
        <f t="shared" si="1"/>
        <v>0.8921727458333335</v>
      </c>
      <c r="H6" s="39"/>
      <c r="I6" s="63">
        <v>0.93107505282464054</v>
      </c>
      <c r="J6" s="60"/>
      <c r="K6" s="45">
        <f t="shared" si="2"/>
        <v>0.8921727458333335</v>
      </c>
      <c r="L6" s="60"/>
      <c r="M6" s="45">
        <v>0.98753722017142564</v>
      </c>
      <c r="N6" s="14"/>
      <c r="O6" s="14"/>
    </row>
    <row r="7" spans="1:18" x14ac:dyDescent="0.25">
      <c r="A7" s="5">
        <v>0.8</v>
      </c>
      <c r="B7" s="8"/>
      <c r="C7" s="15">
        <f t="shared" si="0"/>
        <v>0.35686909833333336</v>
      </c>
      <c r="D7" s="15"/>
      <c r="E7" s="9">
        <v>0.55357034007333006</v>
      </c>
      <c r="F7" s="40"/>
      <c r="G7" s="64">
        <f t="shared" si="1"/>
        <v>0.35686909833333336</v>
      </c>
      <c r="H7" s="40"/>
      <c r="I7" s="64">
        <v>0.59566323685761269</v>
      </c>
      <c r="J7" s="46"/>
      <c r="K7" s="47">
        <f t="shared" si="2"/>
        <v>0.35686909833333336</v>
      </c>
      <c r="L7" s="46"/>
      <c r="M7" s="47">
        <v>0.63423653162448801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1.784345491666667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1.784345491666667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1.784345491666667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</v>
      </c>
      <c r="B17" s="7">
        <f>$B$16-($B$16*A17)</f>
        <v>9.7133198628947509E-2</v>
      </c>
      <c r="C17" s="6">
        <f>$B$10*(E4/$C$10)</f>
        <v>8.2917940874065926E-2</v>
      </c>
      <c r="D17" s="7">
        <f>$D$16-($D$16*(A17*(0.1/0.15)))</f>
        <v>0.14569979794342125</v>
      </c>
      <c r="E17" s="6">
        <f>D17-(B17-C17)</f>
        <v>0.13148454018853967</v>
      </c>
      <c r="F17" s="7">
        <f>$F$16-($F$16*A17)</f>
        <v>9.7133198628947509E-2</v>
      </c>
      <c r="G17" s="6">
        <f>$B$11*(I4/$C$11)</f>
        <v>8.6812985711119228E-2</v>
      </c>
      <c r="H17" s="7">
        <f>F17</f>
        <v>9.7133198628947509E-2</v>
      </c>
      <c r="I17" s="6">
        <f>H17-(F17-G17)</f>
        <v>8.6812985711119228E-2</v>
      </c>
      <c r="J17" s="7">
        <f>$J$16-($J$16*A17)</f>
        <v>9.7133198628947509E-2</v>
      </c>
      <c r="K17" s="6">
        <f>$B$12*(M4/$C$12)</f>
        <v>9.1404267921954607E-2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0.2</v>
      </c>
      <c r="B18" s="7">
        <f>$B$16-($B$16*A18)</f>
        <v>7.7706558903158002E-2</v>
      </c>
      <c r="C18" s="6">
        <f>$B$10*(E5/$C$10)</f>
        <v>6.5697756116808628E-2</v>
      </c>
      <c r="D18" s="7">
        <f>$D$16-($D$16*(A18*(0.1/0.15)))</f>
        <v>0.12627315821763174</v>
      </c>
      <c r="E18" s="6">
        <f>D18-(B18-C18)</f>
        <v>0.11426435543128237</v>
      </c>
      <c r="F18" s="7">
        <f>$F$16-($F$16*A18)</f>
        <v>7.7706558903158002E-2</v>
      </c>
      <c r="G18" s="6">
        <f>$B$11*(I5/$C$11)</f>
        <v>6.8554401431910855E-2</v>
      </c>
      <c r="H18" s="7">
        <f t="shared" ref="H18:H20" si="3">F18</f>
        <v>7.7706558903158002E-2</v>
      </c>
      <c r="I18" s="6">
        <f>H18-(F18-G18)</f>
        <v>6.8554401431910855E-2</v>
      </c>
      <c r="J18" s="7">
        <f>$J$16-($J$16*A18)</f>
        <v>7.7706558903158002E-2</v>
      </c>
      <c r="K18" s="6">
        <f>$B$12*(M5/$C$12)</f>
        <v>7.2581079044306815E-2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7">
        <v>0.5</v>
      </c>
      <c r="B19" s="7">
        <f>$B$16-($B$16*A19)</f>
        <v>4.8566599314473755E-2</v>
      </c>
      <c r="C19" s="6">
        <f>$B$10*(E6/$C$10)</f>
        <v>4.8103219517002249E-2</v>
      </c>
      <c r="D19" s="7">
        <f>$D$16-($D$16*(A19*(0.1/0.15)))</f>
        <v>9.7133198628947495E-2</v>
      </c>
      <c r="E19" s="6">
        <f>D19-(B19-C19)</f>
        <v>9.666981883147599E-2</v>
      </c>
      <c r="F19" s="7">
        <f>$F$16-($F$16*A19)</f>
        <v>4.8566599314473755E-2</v>
      </c>
      <c r="G19" s="6">
        <f>$B$11*(I6/$C$11)</f>
        <v>5.0684297669281383E-2</v>
      </c>
      <c r="H19" s="7">
        <f t="shared" si="3"/>
        <v>4.8566599314473755E-2</v>
      </c>
      <c r="I19" s="6">
        <f t="shared" ref="I19:I20" si="4">H19-(F19-G19)</f>
        <v>5.0684297669281383E-2</v>
      </c>
      <c r="J19" s="7">
        <f>$J$16-($J$16*A19)</f>
        <v>4.8566599314473755E-2</v>
      </c>
      <c r="K19" s="6">
        <f>$B$12*(M6/$C$12)</f>
        <v>5.3757890166658953E-2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0.8</v>
      </c>
      <c r="B20" s="7">
        <f>$B$16-($B$16*A20)</f>
        <v>1.9426639725789493E-2</v>
      </c>
      <c r="C20" s="6">
        <f>$B$10*(E7/$C$10)</f>
        <v>3.0134331074646817E-2</v>
      </c>
      <c r="D20" s="7">
        <f>$D$16-($D$16*(A20*(0.1/0.15)))</f>
        <v>6.7993239040263234E-2</v>
      </c>
      <c r="E20" s="6">
        <f t="shared" ref="E20" si="5">D20-(B20-C20)</f>
        <v>7.8700930389120557E-2</v>
      </c>
      <c r="F20" s="7">
        <f>$F$16-($F$16*A20)</f>
        <v>1.9426639725789493E-2</v>
      </c>
      <c r="G20" s="6">
        <f>$B$11*(I7/$C$11)</f>
        <v>3.2425713390073038E-2</v>
      </c>
      <c r="H20" s="7">
        <f t="shared" si="3"/>
        <v>1.9426639725789493E-2</v>
      </c>
      <c r="I20" s="6">
        <f t="shared" si="4"/>
        <v>3.2425713390073038E-2</v>
      </c>
      <c r="J20" s="7">
        <f>$J$16-($J$16*A20)</f>
        <v>1.9426639725789493E-2</v>
      </c>
      <c r="K20" s="6">
        <f>$B$12*(M7/$C$12)</f>
        <v>3.4525501530801431E-2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9.0025569751506718E-2</v>
      </c>
      <c r="C23" s="6">
        <f>(B17-C17)/($L$16*60)</f>
        <v>2.0782540577312255E-5</v>
      </c>
      <c r="D23" s="7">
        <f>(D17+E17)/2</f>
        <v>0.13859216906598046</v>
      </c>
      <c r="E23" s="6">
        <f>(D17-E17)/($L$16*60)</f>
        <v>2.0782540577312255E-5</v>
      </c>
      <c r="F23" s="7">
        <f>(F17+G17)/2</f>
        <v>9.1973092170033369E-2</v>
      </c>
      <c r="G23" s="6">
        <f>(F17-G17)/($L$16*60)</f>
        <v>1.5088030581620293E-5</v>
      </c>
      <c r="H23" s="7">
        <f>(H17+I17)/2</f>
        <v>9.1973092170033369E-2</v>
      </c>
      <c r="I23" s="6">
        <f>(H17-I17)/($L$16*60)</f>
        <v>1.5088030581620293E-5</v>
      </c>
      <c r="J23" s="7">
        <f>(J17+K17)/2</f>
        <v>9.4268733275451058E-2</v>
      </c>
      <c r="K23" s="6">
        <f>(J17-K17)/($L$16*60)</f>
        <v>8.3756296885861146E-6</v>
      </c>
      <c r="L23" s="14"/>
      <c r="Q23" s="14"/>
      <c r="R23" s="14"/>
    </row>
    <row r="24" spans="1:18" x14ac:dyDescent="0.25">
      <c r="A24" s="14"/>
      <c r="B24" s="7">
        <f t="shared" ref="B24:B25" si="6">(B18+C18)/2</f>
        <v>7.1702157509983322E-2</v>
      </c>
      <c r="C24" s="6">
        <f>(B18-C18)/($L$16*60)</f>
        <v>1.7556729219809024E-5</v>
      </c>
      <c r="D24" s="7">
        <f t="shared" ref="D24:D26" si="7">(D18+E18)/2</f>
        <v>0.12026875682445706</v>
      </c>
      <c r="E24" s="6">
        <f>(D18-E18)/($L$16*60)</f>
        <v>1.7556729219809024E-5</v>
      </c>
      <c r="F24" s="7">
        <f t="shared" ref="F24:F26" si="8">(F18+G18)/2</f>
        <v>7.3130480167534428E-2</v>
      </c>
      <c r="G24" s="6">
        <f>(F18-G18)/($L$16*60)</f>
        <v>1.3380347180185887E-5</v>
      </c>
      <c r="H24" s="7">
        <f t="shared" ref="H24:H26" si="9">(H18+I18)/2</f>
        <v>7.3130480167534428E-2</v>
      </c>
      <c r="I24" s="6">
        <f>(H18-I18)/($L$16*60)</f>
        <v>1.3380347180185887E-5</v>
      </c>
      <c r="J24" s="7">
        <f t="shared" ref="J24:J26" si="10">(J18+K18)/2</f>
        <v>7.5143818973732401E-2</v>
      </c>
      <c r="K24" s="6">
        <f>(J18-K18)/($L$16*60)</f>
        <v>7.4933916065075832E-6</v>
      </c>
      <c r="L24" s="14"/>
      <c r="Q24" s="50"/>
      <c r="R24" s="14"/>
    </row>
    <row r="25" spans="1:18" x14ac:dyDescent="0.25">
      <c r="A25" s="14"/>
      <c r="B25" s="7">
        <f t="shared" si="6"/>
        <v>4.8334909415738002E-2</v>
      </c>
      <c r="C25" s="6">
        <f>(B19-C19)/($L$16*60)</f>
        <v>6.7745584425658681E-7</v>
      </c>
      <c r="D25" s="7">
        <f t="shared" si="7"/>
        <v>9.6901508730211749E-2</v>
      </c>
      <c r="E25" s="6">
        <f>(D19-E19)/($L$16*60)</f>
        <v>6.7745584425658681E-7</v>
      </c>
      <c r="F25" s="7">
        <f t="shared" si="8"/>
        <v>4.9625448491877569E-2</v>
      </c>
      <c r="G25" s="6">
        <f>(F19-G19)/($L$16*60)</f>
        <v>-3.0960502263269428E-6</v>
      </c>
      <c r="H25" s="7">
        <f t="shared" si="9"/>
        <v>4.9625448491877569E-2</v>
      </c>
      <c r="I25" s="6">
        <f>(H19-I19)/($L$16*60)</f>
        <v>-3.0960502263269428E-6</v>
      </c>
      <c r="J25" s="7">
        <f t="shared" si="10"/>
        <v>5.1162244740566354E-2</v>
      </c>
      <c r="K25" s="6">
        <f>(J19-K19)/($L$16*60)</f>
        <v>-7.5896065090426879E-6</v>
      </c>
      <c r="L25" s="14"/>
      <c r="Q25" s="14"/>
      <c r="R25" s="14"/>
    </row>
    <row r="26" spans="1:18" x14ac:dyDescent="0.25">
      <c r="A26" s="14"/>
      <c r="B26" s="8">
        <f>(B20+C20)/2</f>
        <v>2.4780485400218155E-2</v>
      </c>
      <c r="C26" s="9">
        <f>(B20-C20)/($L$16*60)</f>
        <v>-1.5654519515873279E-5</v>
      </c>
      <c r="D26" s="8">
        <f t="shared" si="7"/>
        <v>7.3347084714691896E-2</v>
      </c>
      <c r="E26" s="9">
        <f>(D20-E20)/($L$16*60)</f>
        <v>-1.5654519515873279E-5</v>
      </c>
      <c r="F26" s="8">
        <f t="shared" si="8"/>
        <v>2.5926176557931266E-2</v>
      </c>
      <c r="G26" s="9">
        <f>(F20-G20)/($L$16*60)</f>
        <v>-1.9004493661233253E-5</v>
      </c>
      <c r="H26" s="8">
        <f t="shared" si="9"/>
        <v>2.5926176557931266E-2</v>
      </c>
      <c r="I26" s="9">
        <f>(H20-I20)/($L$16*60)</f>
        <v>-1.9004493661233253E-5</v>
      </c>
      <c r="J26" s="8">
        <f t="shared" si="10"/>
        <v>2.6976070628295462E-2</v>
      </c>
      <c r="K26" s="9">
        <f>(J20-K20)/($L$16*60)</f>
        <v>-2.2074359364052539E-5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357A-5479-4B47-8C6E-520A7AEBD6F4}">
  <dimension ref="A1:W35"/>
  <sheetViews>
    <sheetView zoomScale="70" zoomScaleNormal="70" workbookViewId="0">
      <selection activeCell="F13" sqref="F13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55" t="s">
        <v>9</v>
      </c>
      <c r="B2" s="56" t="s">
        <v>13</v>
      </c>
      <c r="C2" s="55" t="s">
        <v>64</v>
      </c>
      <c r="D2" s="56" t="s">
        <v>13</v>
      </c>
      <c r="E2" s="55" t="s">
        <v>9</v>
      </c>
      <c r="F2" s="56" t="s">
        <v>13</v>
      </c>
      <c r="G2" s="55" t="s">
        <v>64</v>
      </c>
      <c r="H2" s="56" t="s">
        <v>13</v>
      </c>
      <c r="I2" s="32" t="s">
        <v>9</v>
      </c>
      <c r="J2" s="5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'SPKA-2'!B23</f>
        <v>9.0025569751506718E-2</v>
      </c>
      <c r="B3" s="13">
        <f>'SPKA-2'!C23</f>
        <v>2.0782540577312255E-5</v>
      </c>
      <c r="C3" s="13">
        <f>'SPKA-2'!D23</f>
        <v>0.13859216906598046</v>
      </c>
      <c r="D3" s="13">
        <f>'SPKA-2'!E23</f>
        <v>2.0782540577312255E-5</v>
      </c>
      <c r="E3" s="13">
        <f>'SPKA-2'!F23</f>
        <v>9.1973092170033369E-2</v>
      </c>
      <c r="F3" s="13">
        <f>'SPKA-2'!G23</f>
        <v>1.5088030581620293E-5</v>
      </c>
      <c r="G3" s="13">
        <f>'SPKA-2'!H23</f>
        <v>9.1973092170033369E-2</v>
      </c>
      <c r="H3" s="13">
        <f>'SPKA-2'!I23</f>
        <v>1.5088030581620293E-5</v>
      </c>
      <c r="I3" s="13">
        <f>'SPKA-2'!J23</f>
        <v>9.4268733275451058E-2</v>
      </c>
      <c r="J3" s="17">
        <f>'SPKA-2'!K23</f>
        <v>8.3756296885861146E-6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'SPKA-2'!B24</f>
        <v>7.1702157509983322E-2</v>
      </c>
      <c r="B4" s="14">
        <f>'SPKA-2'!C24</f>
        <v>1.7556729219809024E-5</v>
      </c>
      <c r="C4" s="14">
        <f>'SPKA-2'!D24</f>
        <v>0.12026875682445706</v>
      </c>
      <c r="D4" s="14">
        <f>'SPKA-2'!E24</f>
        <v>1.7556729219809024E-5</v>
      </c>
      <c r="E4" s="14">
        <f>'SPKA-2'!F24</f>
        <v>7.3130480167534428E-2</v>
      </c>
      <c r="F4" s="14">
        <f>'SPKA-2'!G24</f>
        <v>1.3380347180185887E-5</v>
      </c>
      <c r="G4" s="14">
        <f>'SPKA-2'!H24</f>
        <v>7.3130480167534428E-2</v>
      </c>
      <c r="H4" s="14">
        <f>'SPKA-2'!I24</f>
        <v>1.3380347180185887E-5</v>
      </c>
      <c r="I4" s="14">
        <f>'SPKA-2'!J24</f>
        <v>7.5143818973732401E-2</v>
      </c>
      <c r="J4" s="6">
        <f>'SPKA-2'!K24</f>
        <v>7.4933916065075832E-6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'SPKA-2'!B25</f>
        <v>4.8334909415738002E-2</v>
      </c>
      <c r="B5" s="14">
        <f>'SPKA-2'!C25</f>
        <v>6.7745584425658681E-7</v>
      </c>
      <c r="C5" s="14">
        <f>'SPKA-2'!D25</f>
        <v>9.6901508730211749E-2</v>
      </c>
      <c r="D5" s="14">
        <f>'SPKA-2'!E25</f>
        <v>6.7745584425658681E-7</v>
      </c>
      <c r="E5" s="14">
        <f>'SPKA-2'!F25</f>
        <v>4.9625448491877569E-2</v>
      </c>
      <c r="F5" s="14">
        <f>'SPKA-2'!G25</f>
        <v>-3.0960502263269428E-6</v>
      </c>
      <c r="G5" s="14">
        <f>'SPKA-2'!H25</f>
        <v>4.9625448491877569E-2</v>
      </c>
      <c r="H5" s="14">
        <f>'SPKA-2'!I25</f>
        <v>-3.0960502263269428E-6</v>
      </c>
      <c r="I5" s="14">
        <f>'SPKA-2'!J25</f>
        <v>5.1162244740566354E-2</v>
      </c>
      <c r="J5" s="6">
        <f>'SPKA-2'!K25</f>
        <v>-7.5896065090426879E-6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'SPKA-2'!B26</f>
        <v>2.4780485400218155E-2</v>
      </c>
      <c r="B6" s="15">
        <f>'SPKA-2'!C26</f>
        <v>-1.5654519515873279E-5</v>
      </c>
      <c r="C6" s="15">
        <f>'SPKA-2'!D26</f>
        <v>7.3347084714691896E-2</v>
      </c>
      <c r="D6" s="15">
        <f>'SPKA-2'!E26</f>
        <v>-1.5654519515873279E-5</v>
      </c>
      <c r="E6" s="15">
        <f>'SPKA-2'!F26</f>
        <v>2.5926176557931266E-2</v>
      </c>
      <c r="F6" s="15">
        <f>'SPKA-2'!G26</f>
        <v>-1.9004493661233253E-5</v>
      </c>
      <c r="G6" s="15">
        <f>'SPKA-2'!H26</f>
        <v>2.5926176557931266E-2</v>
      </c>
      <c r="H6" s="15">
        <f>'SPKA-2'!I26</f>
        <v>-1.9004493661233253E-5</v>
      </c>
      <c r="I6" s="15">
        <f>'SPKA-2'!J26</f>
        <v>2.6976070628295462E-2</v>
      </c>
      <c r="J6" s="9">
        <f>'SPKA-2'!K26</f>
        <v>-2.2074359364052539E-5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>
        <v>0.3</v>
      </c>
      <c r="C10" s="31" t="s">
        <v>66</v>
      </c>
      <c r="D10" s="6">
        <v>1</v>
      </c>
      <c r="E10" s="55" t="s">
        <v>69</v>
      </c>
      <c r="F10" s="31">
        <v>1.7</v>
      </c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3.7599063648360254E-5</v>
      </c>
      <c r="B13" s="17">
        <f>A3^$D$10</f>
        <v>9.0025569751506718E-2</v>
      </c>
      <c r="C13" s="12">
        <f>H3/G3^$B$10</f>
        <v>3.0869835790442015E-5</v>
      </c>
      <c r="D13" s="17">
        <f>E3^$D$10</f>
        <v>9.1973092170033369E-2</v>
      </c>
      <c r="E13" s="12">
        <f>B3/0.02^$F$10</f>
        <v>1.6067475430861233E-2</v>
      </c>
      <c r="F13" s="17">
        <f>A3</f>
        <v>9.0025569751506718E-2</v>
      </c>
      <c r="G13" s="12">
        <f>J3/0.01^$F$10</f>
        <v>2.1038630570108244E-2</v>
      </c>
      <c r="H13" s="17">
        <f>I3</f>
        <v>9.4268733275451058E-2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3.314345389245243E-5</v>
      </c>
      <c r="B14" s="6">
        <f t="shared" ref="B14:B16" si="1">A4^$D$10</f>
        <v>7.1702157509983322E-2</v>
      </c>
      <c r="C14" s="7">
        <f t="shared" ref="C14:C16" si="2">H4/G4^$B$10</f>
        <v>2.9324988787698528E-5</v>
      </c>
      <c r="D14" s="6">
        <f t="shared" ref="D14:D16" si="3">E4^$D$10</f>
        <v>7.3130480167534428E-2</v>
      </c>
      <c r="E14" s="7">
        <f t="shared" ref="E14:E16" si="4">B4/0.02^$F$10</f>
        <v>1.3573524100009103E-2</v>
      </c>
      <c r="F14" s="6">
        <f t="shared" ref="F14:F16" si="5">A4</f>
        <v>7.1702157509983322E-2</v>
      </c>
      <c r="G14" s="7">
        <f t="shared" ref="G14:G16" si="6">J4/0.01^$F$10</f>
        <v>1.8822548702374146E-2</v>
      </c>
      <c r="H14" s="6">
        <f t="shared" ref="H14:H16" si="7">I4</f>
        <v>7.5143818973732401E-2</v>
      </c>
    </row>
    <row r="15" spans="1:23" x14ac:dyDescent="0.25">
      <c r="A15" s="7">
        <f t="shared" si="0"/>
        <v>1.3645260526787426E-6</v>
      </c>
      <c r="B15" s="6">
        <f t="shared" si="1"/>
        <v>4.8334909415738002E-2</v>
      </c>
      <c r="C15" s="7">
        <f t="shared" si="2"/>
        <v>-7.6224865036760459E-6</v>
      </c>
      <c r="D15" s="6">
        <f t="shared" si="3"/>
        <v>4.9625448491877569E-2</v>
      </c>
      <c r="E15" s="7">
        <f t="shared" si="4"/>
        <v>5.2375719381339407E-4</v>
      </c>
      <c r="F15" s="6">
        <f t="shared" si="5"/>
        <v>4.8334909415738002E-2</v>
      </c>
      <c r="G15" s="7">
        <f t="shared" si="6"/>
        <v>-1.9064229610561093E-2</v>
      </c>
      <c r="H15" s="6">
        <f t="shared" si="7"/>
        <v>5.1162244740566354E-2</v>
      </c>
    </row>
    <row r="16" spans="1:23" x14ac:dyDescent="0.25">
      <c r="A16" s="8">
        <f t="shared" si="0"/>
        <v>-3.4278742788100863E-5</v>
      </c>
      <c r="B16" s="9">
        <f t="shared" si="1"/>
        <v>2.4780485400218155E-2</v>
      </c>
      <c r="C16" s="8">
        <f t="shared" si="2"/>
        <v>-5.685056181259536E-5</v>
      </c>
      <c r="D16" s="9">
        <f t="shared" si="3"/>
        <v>2.5926176557931266E-2</v>
      </c>
      <c r="E16" s="8">
        <f t="shared" si="4"/>
        <v>-1.2102880625567919E-2</v>
      </c>
      <c r="F16" s="9">
        <f t="shared" si="5"/>
        <v>2.4780485400218155E-2</v>
      </c>
      <c r="G16" s="8">
        <f t="shared" si="6"/>
        <v>-5.5448283770829943E-2</v>
      </c>
      <c r="H16" s="9">
        <f t="shared" si="7"/>
        <v>2.6976070628295462E-2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4EE1-07D8-4C6F-8918-C1397C8D8D7F}">
  <dimension ref="A1:R41"/>
  <sheetViews>
    <sheetView zoomScale="85" zoomScaleNormal="85" workbookViewId="0">
      <selection activeCell="M4" sqref="M4:M7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>
        <v>1.784345491666667</v>
      </c>
      <c r="D3" s="52" t="s">
        <v>78</v>
      </c>
      <c r="E3" s="17" t="s">
        <v>35</v>
      </c>
      <c r="F3" s="37" t="s">
        <v>54</v>
      </c>
      <c r="G3" s="62">
        <v>1.784345491666667</v>
      </c>
      <c r="H3" s="37" t="s">
        <v>55</v>
      </c>
      <c r="I3" s="62" t="s">
        <v>35</v>
      </c>
      <c r="J3" s="61" t="s">
        <v>59</v>
      </c>
      <c r="K3" s="44">
        <v>1.784345491666667</v>
      </c>
      <c r="L3" s="61" t="s">
        <v>60</v>
      </c>
      <c r="M3" s="44" t="s">
        <v>35</v>
      </c>
      <c r="N3" s="31"/>
      <c r="O3" s="14"/>
    </row>
    <row r="4" spans="1:18" x14ac:dyDescent="0.25">
      <c r="A4" s="4">
        <v>0</v>
      </c>
      <c r="B4" s="7"/>
      <c r="C4" s="14">
        <f>$C$3-($C$3*$A4)</f>
        <v>1.784345491666667</v>
      </c>
      <c r="D4" s="14"/>
      <c r="E4" s="6">
        <v>1.5906212550000021</v>
      </c>
      <c r="F4" s="39"/>
      <c r="G4" s="63">
        <f>$G$3-($G$3*$A4)</f>
        <v>1.784345491666667</v>
      </c>
      <c r="H4" s="39"/>
      <c r="I4" s="63">
        <v>1.655403701157748</v>
      </c>
      <c r="J4" s="60"/>
      <c r="K4" s="45">
        <f>$K$3-($K$3*$A4)</f>
        <v>1.784345491666667</v>
      </c>
      <c r="L4" s="60"/>
      <c r="M4" s="45">
        <v>1.733756504999999</v>
      </c>
      <c r="N4" s="14"/>
      <c r="O4" s="14"/>
    </row>
    <row r="5" spans="1:18" x14ac:dyDescent="0.25">
      <c r="A5" s="4">
        <v>0.2</v>
      </c>
      <c r="B5" s="7"/>
      <c r="C5" s="14">
        <f t="shared" ref="C5:C7" si="0">$C$3-($C$3*$A5)</f>
        <v>1.4274763933333336</v>
      </c>
      <c r="D5" s="14"/>
      <c r="E5" s="6">
        <v>1.2708911100000011</v>
      </c>
      <c r="F5" s="39"/>
      <c r="G5" s="63">
        <f t="shared" ref="G5:G7" si="1">$G$3-($G$3*$A5)</f>
        <v>1.4274763933333336</v>
      </c>
      <c r="H5" s="39"/>
      <c r="I5" s="63">
        <v>1.3303552193906309</v>
      </c>
      <c r="J5" s="60"/>
      <c r="K5" s="45">
        <f t="shared" ref="K5:K7" si="2">$K$3-($K$3*$A5)</f>
        <v>1.4274763933333336</v>
      </c>
      <c r="L5" s="60"/>
      <c r="M5" s="45">
        <v>1.3865115100000001</v>
      </c>
      <c r="N5" s="14"/>
      <c r="O5" s="14"/>
    </row>
    <row r="6" spans="1:18" x14ac:dyDescent="0.25">
      <c r="A6" s="7">
        <v>0.5</v>
      </c>
      <c r="B6" s="7"/>
      <c r="C6" s="14">
        <f t="shared" si="0"/>
        <v>0.8921727458333335</v>
      </c>
      <c r="D6" s="14"/>
      <c r="E6" s="6">
        <v>0.95116096500000147</v>
      </c>
      <c r="F6" s="39"/>
      <c r="G6" s="63">
        <f t="shared" si="1"/>
        <v>0.8921727458333335</v>
      </c>
      <c r="H6" s="39"/>
      <c r="I6" s="63">
        <v>0.99824046628074825</v>
      </c>
      <c r="J6" s="60"/>
      <c r="K6" s="45">
        <f t="shared" si="2"/>
        <v>0.8921727458333335</v>
      </c>
      <c r="L6" s="60"/>
      <c r="M6" s="45">
        <v>1.039266515</v>
      </c>
      <c r="N6" s="14"/>
      <c r="O6" s="14"/>
    </row>
    <row r="7" spans="1:18" x14ac:dyDescent="0.25">
      <c r="A7" s="5">
        <v>0.8</v>
      </c>
      <c r="B7" s="8"/>
      <c r="C7" s="15">
        <f t="shared" si="0"/>
        <v>0.35686909833333336</v>
      </c>
      <c r="D7" s="15"/>
      <c r="E7" s="9">
        <v>0.63143082000000028</v>
      </c>
      <c r="F7" s="40"/>
      <c r="G7" s="64">
        <f t="shared" si="1"/>
        <v>0.35686909833333336</v>
      </c>
      <c r="H7" s="40"/>
      <c r="I7" s="64">
        <v>0.66612571317086733</v>
      </c>
      <c r="J7" s="46"/>
      <c r="K7" s="47">
        <f t="shared" si="2"/>
        <v>0.35686909833333336</v>
      </c>
      <c r="L7" s="46"/>
      <c r="M7" s="47">
        <v>0.69202152000000083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1.784345491666667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1.784345491666667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1.784345491666667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</v>
      </c>
      <c r="B17" s="7">
        <f>$B$16-($B$16*A17)</f>
        <v>9.7133198628947509E-2</v>
      </c>
      <c r="C17" s="6">
        <f>$B$10*(E4/$C$10)</f>
        <v>8.6587564474987597E-2</v>
      </c>
      <c r="D17" s="7">
        <f>$D$16-($D$16*(A17*(0.1/0.15)))</f>
        <v>0.14569979794342125</v>
      </c>
      <c r="E17" s="6">
        <f>D17-(B17-C17)</f>
        <v>0.13515416378946132</v>
      </c>
      <c r="F17" s="7">
        <f>$F$16-($F$16*A17)</f>
        <v>9.7133198628947509E-2</v>
      </c>
      <c r="G17" s="6">
        <f>$B$11*(I4/$C$11)</f>
        <v>9.0114082315673194E-2</v>
      </c>
      <c r="H17" s="7">
        <f>F17</f>
        <v>9.7133198628947509E-2</v>
      </c>
      <c r="I17" s="6">
        <f>H17-(F17-G17)</f>
        <v>9.0114082315673194E-2</v>
      </c>
      <c r="J17" s="7">
        <f>$J$16-($J$16*A17)</f>
        <v>9.7133198628947509E-2</v>
      </c>
      <c r="K17" s="6">
        <f>$B$12*(M4/$C$12)</f>
        <v>9.4379320462819022E-2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0.2</v>
      </c>
      <c r="B18" s="7">
        <f>$B$16-($B$16*A18)</f>
        <v>7.7706558903158002E-2</v>
      </c>
      <c r="C18" s="6">
        <f>$B$10*(E5/$C$10)</f>
        <v>6.9182632623511306E-2</v>
      </c>
      <c r="D18" s="7">
        <f>$D$16-($D$16*(A18*(0.1/0.15)))</f>
        <v>0.12627315821763174</v>
      </c>
      <c r="E18" s="6">
        <f>D18-(B18-C18)</f>
        <v>0.11774923193798505</v>
      </c>
      <c r="F18" s="7">
        <f>$F$16-($F$16*A18)</f>
        <v>7.7706558903158002E-2</v>
      </c>
      <c r="G18" s="6">
        <f>$B$11*(I5/$C$11)</f>
        <v>7.2419639792643389E-2</v>
      </c>
      <c r="H18" s="7">
        <f t="shared" ref="H18:H20" si="3">F18</f>
        <v>7.7706558903158002E-2</v>
      </c>
      <c r="I18" s="6">
        <f>H18-(F18-G18)</f>
        <v>7.2419639792643389E-2</v>
      </c>
      <c r="J18" s="7">
        <f>$J$16-($J$16*A18)</f>
        <v>7.7706558903158002E-2</v>
      </c>
      <c r="K18" s="6">
        <f>$B$12*(M5/$C$12)</f>
        <v>7.5476581486670274E-2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7">
        <v>0.5</v>
      </c>
      <c r="B19" s="7">
        <f>$B$16-($B$16*A19)</f>
        <v>4.8566599314473755E-2</v>
      </c>
      <c r="C19" s="6">
        <f>$B$10*(E6/$C$10)</f>
        <v>5.1777700772035098E-2</v>
      </c>
      <c r="D19" s="7">
        <f>$D$16-($D$16*(A19*(0.1/0.15)))</f>
        <v>9.7133198628947495E-2</v>
      </c>
      <c r="E19" s="6">
        <f>D19-(B19-C19)</f>
        <v>0.10034430008650884</v>
      </c>
      <c r="F19" s="7">
        <f>$F$16-($F$16*A19)</f>
        <v>4.8566599314473755E-2</v>
      </c>
      <c r="G19" s="6">
        <f>$B$11*(I6/$C$11)</f>
        <v>5.4340535475634555E-2</v>
      </c>
      <c r="H19" s="7">
        <f t="shared" si="3"/>
        <v>4.8566599314473755E-2</v>
      </c>
      <c r="I19" s="6">
        <f t="shared" ref="I19:I20" si="4">H19-(F19-G19)</f>
        <v>5.4340535475634555E-2</v>
      </c>
      <c r="J19" s="7">
        <f>$J$16-($J$16*A19)</f>
        <v>4.8566599314473755E-2</v>
      </c>
      <c r="K19" s="6">
        <f>$B$12*(M6/$C$12)</f>
        <v>5.6573842510521485E-2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0.8</v>
      </c>
      <c r="B20" s="7">
        <f>$B$16-($B$16*A20)</f>
        <v>1.9426639725789493E-2</v>
      </c>
      <c r="C20" s="6">
        <f>$B$10*(E7/$C$10)</f>
        <v>3.4372768920558801E-2</v>
      </c>
      <c r="D20" s="7">
        <f>$D$16-($D$16*(A20*(0.1/0.15)))</f>
        <v>6.7993239040263234E-2</v>
      </c>
      <c r="E20" s="6">
        <f t="shared" ref="E20" si="5">D20-(B20-C20)</f>
        <v>8.2939368235032535E-2</v>
      </c>
      <c r="F20" s="7">
        <f>$F$16-($F$16*A20)</f>
        <v>1.9426639725789493E-2</v>
      </c>
      <c r="G20" s="6">
        <f>$B$11*(I7/$C$11)</f>
        <v>3.6261431158625811E-2</v>
      </c>
      <c r="H20" s="7">
        <f t="shared" si="3"/>
        <v>1.9426639725789493E-2</v>
      </c>
      <c r="I20" s="6">
        <f t="shared" si="4"/>
        <v>3.6261431158625811E-2</v>
      </c>
      <c r="J20" s="7">
        <f>$J$16-($J$16*A20)</f>
        <v>1.9426639725789493E-2</v>
      </c>
      <c r="K20" s="6">
        <f>$B$12*(M7/$C$12)</f>
        <v>3.7671103534372745E-2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9.1860381551967546E-2</v>
      </c>
      <c r="C23" s="6">
        <f>(B17-C17)/($L$16*60)</f>
        <v>1.5417593792339055E-5</v>
      </c>
      <c r="D23" s="7">
        <f>(D17+E17)/2</f>
        <v>0.14042698086644129</v>
      </c>
      <c r="E23" s="6">
        <f>(D17-E17)/($L$16*60)</f>
        <v>1.5417593792339075E-5</v>
      </c>
      <c r="F23" s="7">
        <f>(F17+G17)/2</f>
        <v>9.3623640472310352E-2</v>
      </c>
      <c r="G23" s="6">
        <f>(F17-G17)/($L$16*60)</f>
        <v>1.0261865955079408E-5</v>
      </c>
      <c r="H23" s="7">
        <f>(H17+I17)/2</f>
        <v>9.3623640472310352E-2</v>
      </c>
      <c r="I23" s="6">
        <f>(H17-I17)/($L$16*60)</f>
        <v>1.0261865955079408E-5</v>
      </c>
      <c r="J23" s="7">
        <f>(J17+K17)/2</f>
        <v>9.5756259545883265E-2</v>
      </c>
      <c r="K23" s="6">
        <f>(J17-K17)/($L$16*60)</f>
        <v>4.0261376697784898E-6</v>
      </c>
      <c r="L23" s="14"/>
      <c r="Q23" s="14"/>
      <c r="R23" s="14"/>
    </row>
    <row r="24" spans="1:18" x14ac:dyDescent="0.25">
      <c r="A24" s="14"/>
      <c r="B24" s="7">
        <f t="shared" ref="B24:B25" si="6">(B18+C18)/2</f>
        <v>7.3444595763334647E-2</v>
      </c>
      <c r="C24" s="6">
        <f>(B18-C18)/($L$16*60)</f>
        <v>1.2461880525799263E-5</v>
      </c>
      <c r="D24" s="7">
        <f t="shared" ref="D24:D26" si="7">(D18+E18)/2</f>
        <v>0.12201119507780839</v>
      </c>
      <c r="E24" s="6">
        <f>(D18-E18)/($L$16*60)</f>
        <v>1.2461880525799263E-5</v>
      </c>
      <c r="F24" s="7">
        <f t="shared" ref="F24:F26" si="8">(F18+G18)/2</f>
        <v>7.5063099347900702E-2</v>
      </c>
      <c r="G24" s="6">
        <f>(F18-G18)/($L$16*60)</f>
        <v>7.7294139042611289E-6</v>
      </c>
      <c r="H24" s="7">
        <f t="shared" ref="H24:H26" si="9">(H18+I18)/2</f>
        <v>7.5063099347900702E-2</v>
      </c>
      <c r="I24" s="6">
        <f>(H18-I18)/($L$16*60)</f>
        <v>7.7294139042611289E-6</v>
      </c>
      <c r="J24" s="7">
        <f t="shared" ref="J24:J26" si="10">(J18+K18)/2</f>
        <v>7.6591570194914138E-2</v>
      </c>
      <c r="K24" s="6">
        <f>(J18-K18)/($L$16*60)</f>
        <v>3.2602009012978468E-6</v>
      </c>
      <c r="L24" s="14"/>
      <c r="Q24" s="50"/>
      <c r="R24" s="14"/>
    </row>
    <row r="25" spans="1:18" x14ac:dyDescent="0.25">
      <c r="A25" s="14"/>
      <c r="B25" s="7">
        <f t="shared" si="6"/>
        <v>5.0172150043254427E-2</v>
      </c>
      <c r="C25" s="6">
        <f>(B19-C19)/($L$16*60)</f>
        <v>-4.6945927742124911E-6</v>
      </c>
      <c r="D25" s="7">
        <f t="shared" si="7"/>
        <v>9.8738749357728167E-2</v>
      </c>
      <c r="E25" s="6">
        <f>(D19-E19)/($L$16*60)</f>
        <v>-4.6945927742124911E-6</v>
      </c>
      <c r="F25" s="7">
        <f t="shared" si="8"/>
        <v>5.1453567395054155E-2</v>
      </c>
      <c r="G25" s="6">
        <f>(F19-G19)/($L$16*60)</f>
        <v>-8.4414271362000001E-6</v>
      </c>
      <c r="H25" s="7">
        <f t="shared" si="9"/>
        <v>5.1453567395054155E-2</v>
      </c>
      <c r="I25" s="6">
        <f>(H19-I19)/($L$16*60)</f>
        <v>-8.4414271362000001E-6</v>
      </c>
      <c r="J25" s="7">
        <f t="shared" si="10"/>
        <v>5.257022091249762E-2</v>
      </c>
      <c r="K25" s="6">
        <f>(J19-K19)/($L$16*60)</f>
        <v>-1.1706495900654576E-5</v>
      </c>
      <c r="L25" s="14"/>
      <c r="Q25" s="14"/>
      <c r="R25" s="14"/>
    </row>
    <row r="26" spans="1:18" x14ac:dyDescent="0.25">
      <c r="A26" s="14"/>
      <c r="B26" s="8">
        <f>(B20+C20)/2</f>
        <v>2.6899704323174147E-2</v>
      </c>
      <c r="C26" s="9">
        <f>(B20-C20)/($L$16*60)</f>
        <v>-2.1851066074224134E-5</v>
      </c>
      <c r="D26" s="8">
        <f t="shared" si="7"/>
        <v>7.5466303637647891E-2</v>
      </c>
      <c r="E26" s="9">
        <f>(D20-E20)/($L$16*60)</f>
        <v>-2.1851066074224124E-5</v>
      </c>
      <c r="F26" s="8">
        <f t="shared" si="8"/>
        <v>2.7844035442207652E-2</v>
      </c>
      <c r="G26" s="9">
        <f>(F20-G20)/($L$16*60)</f>
        <v>-2.4612268176661282E-5</v>
      </c>
      <c r="H26" s="8">
        <f t="shared" si="9"/>
        <v>2.7844035442207652E-2</v>
      </c>
      <c r="I26" s="9">
        <f>(H20-I20)/($L$16*60)</f>
        <v>-2.4612268176661282E-5</v>
      </c>
      <c r="J26" s="8">
        <f t="shared" si="10"/>
        <v>2.8548871630081119E-2</v>
      </c>
      <c r="K26" s="9">
        <f>(J20-K20)/($L$16*60)</f>
        <v>-2.6673192702607093E-5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C43A-832C-43E1-BEEA-AE4882B546CB}">
  <dimension ref="A1:W35"/>
  <sheetViews>
    <sheetView zoomScale="70" zoomScaleNormal="70" workbookViewId="0">
      <selection activeCell="A13" sqref="A13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55" t="s">
        <v>9</v>
      </c>
      <c r="B2" s="56" t="s">
        <v>13</v>
      </c>
      <c r="C2" s="55" t="s">
        <v>64</v>
      </c>
      <c r="D2" s="56" t="s">
        <v>13</v>
      </c>
      <c r="E2" s="55" t="s">
        <v>9</v>
      </c>
      <c r="F2" s="56" t="s">
        <v>13</v>
      </c>
      <c r="G2" s="55" t="s">
        <v>64</v>
      </c>
      <c r="H2" s="56" t="s">
        <v>13</v>
      </c>
      <c r="I2" s="32" t="s">
        <v>9</v>
      </c>
      <c r="J2" s="5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'SPKA-3'!B23</f>
        <v>9.1860381551967546E-2</v>
      </c>
      <c r="B3" s="12">
        <f>'SPKA-3'!C23</f>
        <v>1.5417593792339055E-5</v>
      </c>
      <c r="C3" s="12">
        <f>'SPKA-3'!D23</f>
        <v>0.14042698086644129</v>
      </c>
      <c r="D3" s="12">
        <f>'SPKA-3'!E23</f>
        <v>1.5417593792339075E-5</v>
      </c>
      <c r="E3" s="12">
        <f>'SPKA-3'!F23</f>
        <v>9.3623640472310352E-2</v>
      </c>
      <c r="F3" s="12">
        <f>'SPKA-3'!G23</f>
        <v>1.0261865955079408E-5</v>
      </c>
      <c r="G3" s="12">
        <f>'SPKA-3'!H23</f>
        <v>9.3623640472310352E-2</v>
      </c>
      <c r="H3" s="12">
        <f>'SPKA-3'!I23</f>
        <v>1.0261865955079408E-5</v>
      </c>
      <c r="I3" s="12">
        <f>'SPKA-3'!J23</f>
        <v>9.5756259545883265E-2</v>
      </c>
      <c r="J3" s="12">
        <f>'SPKA-3'!K23</f>
        <v>4.0261376697784898E-6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'SPKA-3'!B24</f>
        <v>7.3444595763334647E-2</v>
      </c>
      <c r="B4" s="14">
        <f>'SPKA-3'!C24</f>
        <v>1.2461880525799263E-5</v>
      </c>
      <c r="C4" s="14">
        <f>'SPKA-3'!D24</f>
        <v>0.12201119507780839</v>
      </c>
      <c r="D4" s="14">
        <f>'SPKA-3'!E24</f>
        <v>1.2461880525799263E-5</v>
      </c>
      <c r="E4" s="14">
        <f>'SPKA-3'!F24</f>
        <v>7.5063099347900702E-2</v>
      </c>
      <c r="F4" s="14">
        <f>'SPKA-3'!G24</f>
        <v>7.7294139042611289E-6</v>
      </c>
      <c r="G4" s="14">
        <f>'SPKA-3'!H24</f>
        <v>7.5063099347900702E-2</v>
      </c>
      <c r="H4" s="14">
        <f>'SPKA-3'!I24</f>
        <v>7.7294139042611289E-6</v>
      </c>
      <c r="I4" s="14">
        <f>'SPKA-3'!J24</f>
        <v>7.6591570194914138E-2</v>
      </c>
      <c r="J4" s="6">
        <f>'SPKA-3'!K24</f>
        <v>3.2602009012978468E-6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'SPKA-3'!B25</f>
        <v>5.0172150043254427E-2</v>
      </c>
      <c r="B5" s="14">
        <f>'SPKA-3'!C25</f>
        <v>-4.6945927742124911E-6</v>
      </c>
      <c r="C5" s="14">
        <f>'SPKA-3'!D25</f>
        <v>9.8738749357728167E-2</v>
      </c>
      <c r="D5" s="14">
        <f>'SPKA-3'!E25</f>
        <v>-4.6945927742124911E-6</v>
      </c>
      <c r="E5" s="14">
        <f>'SPKA-3'!F25</f>
        <v>5.1453567395054155E-2</v>
      </c>
      <c r="F5" s="14">
        <f>'SPKA-3'!G25</f>
        <v>-8.4414271362000001E-6</v>
      </c>
      <c r="G5" s="14">
        <f>'SPKA-3'!H25</f>
        <v>5.1453567395054155E-2</v>
      </c>
      <c r="H5" s="14">
        <f>'SPKA-3'!I25</f>
        <v>-8.4414271362000001E-6</v>
      </c>
      <c r="I5" s="14">
        <f>'SPKA-3'!J25</f>
        <v>5.257022091249762E-2</v>
      </c>
      <c r="J5" s="6">
        <f>'SPKA-3'!K25</f>
        <v>-1.1706495900654576E-5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'SPKA-3'!B26</f>
        <v>2.6899704323174147E-2</v>
      </c>
      <c r="B6" s="15">
        <f>'SPKA-3'!C26</f>
        <v>-2.1851066074224134E-5</v>
      </c>
      <c r="C6" s="15">
        <f>'SPKA-3'!D26</f>
        <v>7.5466303637647891E-2</v>
      </c>
      <c r="D6" s="15">
        <f>'SPKA-3'!E26</f>
        <v>-2.1851066074224124E-5</v>
      </c>
      <c r="E6" s="15">
        <f>'SPKA-3'!F26</f>
        <v>2.7844035442207652E-2</v>
      </c>
      <c r="F6" s="15">
        <f>'SPKA-3'!G26</f>
        <v>-2.4612268176661282E-5</v>
      </c>
      <c r="G6" s="15">
        <f>'SPKA-3'!H26</f>
        <v>2.7844035442207652E-2</v>
      </c>
      <c r="H6" s="15">
        <f>'SPKA-3'!I26</f>
        <v>-2.4612268176661282E-5</v>
      </c>
      <c r="I6" s="15">
        <f>'SPKA-3'!J26</f>
        <v>2.8548871630081119E-2</v>
      </c>
      <c r="J6" s="9">
        <f>'SPKA-3'!K26</f>
        <v>-2.6673192702607093E-5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>
        <v>-1.5</v>
      </c>
      <c r="C10" s="31" t="s">
        <v>66</v>
      </c>
      <c r="D10" s="6">
        <v>2</v>
      </c>
      <c r="E10" s="55" t="s">
        <v>69</v>
      </c>
      <c r="F10" s="31">
        <v>-1.1000000000000001</v>
      </c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8.1132047689057734E-7</v>
      </c>
      <c r="B13" s="17">
        <f>A3^$D$10</f>
        <v>8.4383296988730597E-3</v>
      </c>
      <c r="C13" s="12">
        <f>H3/G3^$B$10</f>
        <v>2.939710907717249E-7</v>
      </c>
      <c r="D13" s="17">
        <f>E3^$D$10</f>
        <v>8.7653860552884284E-3</v>
      </c>
      <c r="E13" s="12">
        <f>B3/0.02^$F$10</f>
        <v>2.0852090174144293E-7</v>
      </c>
      <c r="F13" s="17">
        <f>A3</f>
        <v>9.1860381551967546E-2</v>
      </c>
      <c r="G13" s="12">
        <f>J3/0.01^$F$10</f>
        <v>2.5403211326351085E-8</v>
      </c>
      <c r="H13" s="17">
        <f>I3</f>
        <v>9.5756259545883265E-2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5.3110831988480319E-7</v>
      </c>
      <c r="B14" s="6">
        <f t="shared" ref="B14:B16" si="1">A4^$D$10</f>
        <v>5.3941086468396338E-3</v>
      </c>
      <c r="C14" s="7">
        <f t="shared" ref="C14:C16" si="2">H4/G4^$B$10</f>
        <v>1.5895943215715708E-7</v>
      </c>
      <c r="D14" s="6">
        <f t="shared" ref="D14:D16" si="3">E4^$D$10</f>
        <v>5.6344688837128105E-3</v>
      </c>
      <c r="E14" s="7">
        <f t="shared" ref="E14:E16" si="4">B4/0.02^$F$10</f>
        <v>1.685452736421818E-7</v>
      </c>
      <c r="F14" s="6">
        <f t="shared" ref="F14:F16" si="5">A4</f>
        <v>7.3444595763334647E-2</v>
      </c>
      <c r="G14" s="7">
        <f t="shared" ref="G14:G16" si="6">J4/0.01^$F$10</f>
        <v>2.0570477031548213E-8</v>
      </c>
      <c r="H14" s="6">
        <f t="shared" ref="H14:H16" si="7">I4</f>
        <v>7.6591570194914138E-2</v>
      </c>
    </row>
    <row r="15" spans="1:23" x14ac:dyDescent="0.25">
      <c r="A15" s="7">
        <f t="shared" si="0"/>
        <v>-1.4565632863711827E-7</v>
      </c>
      <c r="B15" s="6">
        <f t="shared" si="1"/>
        <v>2.517244639962835E-3</v>
      </c>
      <c r="C15" s="7">
        <f t="shared" si="2"/>
        <v>-9.8523336834139653E-8</v>
      </c>
      <c r="D15" s="6">
        <f t="shared" si="3"/>
        <v>2.6474695976773802E-3</v>
      </c>
      <c r="E15" s="7">
        <f t="shared" si="4"/>
        <v>-6.3493741745490333E-8</v>
      </c>
      <c r="F15" s="6">
        <f t="shared" si="5"/>
        <v>5.0172150043254427E-2</v>
      </c>
      <c r="G15" s="7">
        <f t="shared" si="6"/>
        <v>-7.3862995666452775E-8</v>
      </c>
      <c r="H15" s="6">
        <f t="shared" si="7"/>
        <v>5.257022091249762E-2</v>
      </c>
    </row>
    <row r="16" spans="1:23" x14ac:dyDescent="0.25">
      <c r="A16" s="8">
        <f t="shared" si="0"/>
        <v>-4.5300422050779239E-7</v>
      </c>
      <c r="B16" s="9">
        <f t="shared" si="1"/>
        <v>7.2359409267419388E-4</v>
      </c>
      <c r="C16" s="8">
        <f t="shared" si="2"/>
        <v>-1.143536168699301E-7</v>
      </c>
      <c r="D16" s="9">
        <f t="shared" si="3"/>
        <v>7.7529030970691591E-4</v>
      </c>
      <c r="E16" s="8">
        <f t="shared" si="4"/>
        <v>-2.9553275713316099E-7</v>
      </c>
      <c r="F16" s="9">
        <f t="shared" si="5"/>
        <v>2.6899704323174147E-2</v>
      </c>
      <c r="G16" s="8">
        <f t="shared" si="6"/>
        <v>-1.6829646836445437E-7</v>
      </c>
      <c r="H16" s="9">
        <f t="shared" si="7"/>
        <v>2.8548871630081119E-2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8DB7-0923-4A77-AC7F-1D1C9BE30635}">
  <dimension ref="A1:R41"/>
  <sheetViews>
    <sheetView zoomScale="85" zoomScaleNormal="85" workbookViewId="0">
      <selection activeCell="C18" sqref="C18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>
        <v>1.784345491666667</v>
      </c>
      <c r="D3" s="52" t="s">
        <v>78</v>
      </c>
      <c r="E3" s="17" t="s">
        <v>35</v>
      </c>
      <c r="F3" s="37" t="s">
        <v>54</v>
      </c>
      <c r="G3" s="62">
        <v>1.784345491666667</v>
      </c>
      <c r="H3" s="37" t="s">
        <v>55</v>
      </c>
      <c r="I3" s="62" t="s">
        <v>35</v>
      </c>
      <c r="J3" s="61" t="s">
        <v>59</v>
      </c>
      <c r="K3" s="44">
        <v>1.784345491666667</v>
      </c>
      <c r="L3" s="61" t="s">
        <v>60</v>
      </c>
      <c r="M3" s="44" t="s">
        <v>35</v>
      </c>
      <c r="N3" s="31"/>
      <c r="O3" s="14"/>
    </row>
    <row r="4" spans="1:18" x14ac:dyDescent="0.25">
      <c r="A4" s="4">
        <v>0</v>
      </c>
      <c r="B4" s="7"/>
      <c r="C4" s="14">
        <f>$C$3-($C$3*$A4)</f>
        <v>1.784345491666667</v>
      </c>
      <c r="D4" s="14"/>
      <c r="E4" s="6">
        <v>1.6233208129910199</v>
      </c>
      <c r="F4" s="39"/>
      <c r="G4" s="63">
        <f>$G$3-($G$3*$A4)</f>
        <v>1.784345491666667</v>
      </c>
      <c r="H4" s="39"/>
      <c r="I4" s="63">
        <v>1.825606838649104</v>
      </c>
      <c r="J4" s="60"/>
      <c r="K4" s="45">
        <f>$K$3-($K$3*$A4)</f>
        <v>1.784345491666667</v>
      </c>
      <c r="L4" s="60"/>
      <c r="M4" s="45">
        <v>1.816838292122704</v>
      </c>
      <c r="N4" s="14"/>
      <c r="O4" s="14"/>
    </row>
    <row r="5" spans="1:18" x14ac:dyDescent="0.25">
      <c r="A5" s="4">
        <v>0.2</v>
      </c>
      <c r="B5" s="7"/>
      <c r="C5" s="14">
        <f t="shared" ref="C5:C7" si="0">$C$3-($C$3*$A5)</f>
        <v>1.4274763933333336</v>
      </c>
      <c r="D5" s="14"/>
      <c r="E5" s="6">
        <v>1.3166862125926539</v>
      </c>
      <c r="F5" s="39"/>
      <c r="G5" s="63">
        <f t="shared" ref="G5:G7" si="1">$G$3-($G$3*$A5)</f>
        <v>1.4274763933333336</v>
      </c>
      <c r="H5" s="39"/>
      <c r="I5" s="63">
        <v>1.462599149193156</v>
      </c>
      <c r="J5" s="60"/>
      <c r="K5" s="45">
        <f t="shared" ref="K5:K7" si="2">$K$3-($K$3*$A5)</f>
        <v>1.4274763933333336</v>
      </c>
      <c r="L5" s="60"/>
      <c r="M5" s="45">
        <v>1.4736066304890121</v>
      </c>
      <c r="N5" s="14"/>
      <c r="O5" s="14"/>
    </row>
    <row r="6" spans="1:18" x14ac:dyDescent="0.25">
      <c r="A6" s="7">
        <v>0.5</v>
      </c>
      <c r="B6" s="7"/>
      <c r="C6" s="14">
        <f t="shared" si="0"/>
        <v>0.8921727458333335</v>
      </c>
      <c r="D6" s="14"/>
      <c r="E6" s="6">
        <v>1.0100516121942871</v>
      </c>
      <c r="F6" s="39"/>
      <c r="G6" s="63">
        <f t="shared" si="1"/>
        <v>0.8921727458333335</v>
      </c>
      <c r="H6" s="39"/>
      <c r="I6" s="63">
        <v>1.091867891876444</v>
      </c>
      <c r="J6" s="60"/>
      <c r="K6" s="45">
        <f t="shared" si="2"/>
        <v>0.8921727458333335</v>
      </c>
      <c r="L6" s="60"/>
      <c r="M6" s="45">
        <v>1.1303749688553211</v>
      </c>
      <c r="N6" s="14"/>
      <c r="O6" s="14"/>
    </row>
    <row r="7" spans="1:18" x14ac:dyDescent="0.25">
      <c r="A7" s="5">
        <v>0.8</v>
      </c>
      <c r="B7" s="8"/>
      <c r="C7" s="15">
        <f t="shared" si="0"/>
        <v>0.35686909833333336</v>
      </c>
      <c r="D7" s="15"/>
      <c r="E7" s="9">
        <v>0.69675104222204354</v>
      </c>
      <c r="F7" s="40"/>
      <c r="G7" s="64">
        <f t="shared" si="1"/>
        <v>0.35686909833333336</v>
      </c>
      <c r="H7" s="40"/>
      <c r="I7" s="64">
        <v>0.73658377028125699</v>
      </c>
      <c r="J7" s="46"/>
      <c r="K7" s="47">
        <f t="shared" si="2"/>
        <v>0.35686909833333336</v>
      </c>
      <c r="L7" s="46"/>
      <c r="M7" s="47">
        <v>0.79444610853298059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1.784345491666667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1.784345491666667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1.784345491666667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</v>
      </c>
      <c r="B17" s="7">
        <f>$B$16-($B$16*A17)</f>
        <v>9.7133198628947509E-2</v>
      </c>
      <c r="C17" s="6">
        <f>$B$10*(E4/$C$10)</f>
        <v>8.8367608012662344E-2</v>
      </c>
      <c r="D17" s="7">
        <f>$D$16-($D$16*(A17*(0.1/0.15)))</f>
        <v>0.14569979794342125</v>
      </c>
      <c r="E17" s="6">
        <f>D17-(B17-C17)</f>
        <v>0.13693420732713607</v>
      </c>
      <c r="F17" s="7">
        <f>$F$16-($F$16*A17)</f>
        <v>9.7133198628947509E-2</v>
      </c>
      <c r="G17" s="6">
        <f>$B$11*(I4/$C$11)</f>
        <v>9.9379314434917043E-2</v>
      </c>
      <c r="H17" s="7">
        <f>F17</f>
        <v>9.7133198628947509E-2</v>
      </c>
      <c r="I17" s="6">
        <f>H17-(F17-G17)</f>
        <v>9.9379314434917043E-2</v>
      </c>
      <c r="J17" s="7">
        <f>$J$16-($J$16*A17)</f>
        <v>9.7133198628947509E-2</v>
      </c>
      <c r="K17" s="6">
        <f>$B$12*(M4/$C$12)</f>
        <v>9.890198704769651E-2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0.2</v>
      </c>
      <c r="B18" s="7">
        <f>$B$16-($B$16*A18)</f>
        <v>7.7706558903158002E-2</v>
      </c>
      <c r="C18" s="6">
        <f>$B$10*(E5/$C$10)</f>
        <v>7.1675549391670548E-2</v>
      </c>
      <c r="D18" s="7">
        <f>$D$16-($D$16*(A18*(0.1/0.15)))</f>
        <v>0.12627315821763174</v>
      </c>
      <c r="E18" s="6">
        <f>D18-(B18-C18)</f>
        <v>0.12024214870614429</v>
      </c>
      <c r="F18" s="7">
        <f>$F$16-($F$16*A18)</f>
        <v>7.7706558903158002E-2</v>
      </c>
      <c r="G18" s="6">
        <f>$B$11*(I5/$C$11)</f>
        <v>7.9618512410626771E-2</v>
      </c>
      <c r="H18" s="7">
        <f t="shared" ref="H18:H20" si="3">F18</f>
        <v>7.7706558903158002E-2</v>
      </c>
      <c r="I18" s="6">
        <f>H18-(F18-G18)</f>
        <v>7.9618512410626771E-2</v>
      </c>
      <c r="J18" s="7">
        <f>$J$16-($J$16*A18)</f>
        <v>7.7706558903158002E-2</v>
      </c>
      <c r="K18" s="6">
        <f>$B$12*(M5/$C$12)</f>
        <v>8.021771916296716E-2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7">
        <v>0.5</v>
      </c>
      <c r="B19" s="7">
        <f>$B$16-($B$16*A19)</f>
        <v>4.8566599314473755E-2</v>
      </c>
      <c r="C19" s="6">
        <f>$B$10*(E6/$C$10)</f>
        <v>5.4983490770678704E-2</v>
      </c>
      <c r="D19" s="7">
        <f>$D$16-($D$16*(A19*(0.1/0.15)))</f>
        <v>9.7133198628947495E-2</v>
      </c>
      <c r="E19" s="6">
        <f>D19-(B19-C19)</f>
        <v>0.10355009008515245</v>
      </c>
      <c r="F19" s="7">
        <f>$F$16-($F$16*A19)</f>
        <v>4.8566599314473755E-2</v>
      </c>
      <c r="G19" s="6">
        <f>$B$11*(I6/$C$11)</f>
        <v>5.9437267790075049E-2</v>
      </c>
      <c r="H19" s="7">
        <f t="shared" si="3"/>
        <v>4.8566599314473755E-2</v>
      </c>
      <c r="I19" s="6">
        <f t="shared" ref="I19:I20" si="4">H19-(F19-G19)</f>
        <v>5.9437267790075049E-2</v>
      </c>
      <c r="J19" s="7">
        <f>$J$16-($J$16*A19)</f>
        <v>4.8566599314473755E-2</v>
      </c>
      <c r="K19" s="6">
        <f>$B$12*(M6/$C$12)</f>
        <v>6.1533451278237866E-2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0.8</v>
      </c>
      <c r="B20" s="7">
        <f>$B$16-($B$16*A20)</f>
        <v>1.9426639725789493E-2</v>
      </c>
      <c r="C20" s="6">
        <f>$B$10*(E7/$C$10)</f>
        <v>3.7928561310100133E-2</v>
      </c>
      <c r="D20" s="7">
        <f>$D$16-($D$16*(A20*(0.1/0.15)))</f>
        <v>6.7993239040263234E-2</v>
      </c>
      <c r="E20" s="6">
        <f t="shared" ref="E20" si="5">D20-(B20-C20)</f>
        <v>8.649516062457388E-2</v>
      </c>
      <c r="F20" s="7">
        <f>$F$16-($F$16*A20)</f>
        <v>1.9426639725789493E-2</v>
      </c>
      <c r="G20" s="6">
        <f>$B$11*(I7/$C$11)</f>
        <v>4.0096908362046067E-2</v>
      </c>
      <c r="H20" s="7">
        <f t="shared" si="3"/>
        <v>1.9426639725789493E-2</v>
      </c>
      <c r="I20" s="6">
        <f t="shared" si="4"/>
        <v>4.0096908362046067E-2</v>
      </c>
      <c r="J20" s="7">
        <f>$J$16-($J$16*A20)</f>
        <v>1.9426639725789493E-2</v>
      </c>
      <c r="K20" s="6">
        <f>$B$12*(M7/$C$12)</f>
        <v>4.3246721008077034E-2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9.2750403320804919E-2</v>
      </c>
      <c r="C23" s="6">
        <f>(B17-C17)/($L$16*60)</f>
        <v>1.2815190959481236E-5</v>
      </c>
      <c r="D23" s="7">
        <f>(D17+E17)/2</f>
        <v>0.14131700263527866</v>
      </c>
      <c r="E23" s="6">
        <f>(D17-E17)/($L$16*60)</f>
        <v>1.2815190959481257E-5</v>
      </c>
      <c r="F23" s="7">
        <f>(F17+G17)/2</f>
        <v>9.8256256531932276E-2</v>
      </c>
      <c r="G23" s="6">
        <f>(F17-G17)/($L$16*60)</f>
        <v>-3.2837950379671552E-6</v>
      </c>
      <c r="H23" s="7">
        <f>(H17+I17)/2</f>
        <v>9.8256256531932276E-2</v>
      </c>
      <c r="I23" s="6">
        <f>(H17-I17)/($L$16*60)</f>
        <v>-3.2837950379671552E-6</v>
      </c>
      <c r="J23" s="7">
        <f>(J17+K17)/2</f>
        <v>9.801759283832201E-2</v>
      </c>
      <c r="K23" s="6">
        <f>(J17-K17)/($L$16*60)</f>
        <v>-2.5859479806271945E-6</v>
      </c>
      <c r="L23" s="14"/>
      <c r="Q23" s="14"/>
      <c r="R23" s="14"/>
    </row>
    <row r="24" spans="1:18" x14ac:dyDescent="0.25">
      <c r="A24" s="14"/>
      <c r="B24" s="7">
        <f t="shared" ref="B24:B25" si="6">(B18+C18)/2</f>
        <v>7.4691054147414282E-2</v>
      </c>
      <c r="C24" s="6">
        <f>(B18-C18)/($L$16*60)</f>
        <v>8.8172653676717154E-6</v>
      </c>
      <c r="D24" s="7">
        <f t="shared" ref="D24:D26" si="7">(D18+E18)/2</f>
        <v>0.12325765346188802</v>
      </c>
      <c r="E24" s="6">
        <f>(D18-E18)/($L$16*60)</f>
        <v>8.8172653676717154E-6</v>
      </c>
      <c r="F24" s="7">
        <f t="shared" ref="F24:F26" si="8">(F18+G18)/2</f>
        <v>7.8662535656892379E-2</v>
      </c>
      <c r="G24" s="6">
        <f>(F18-G18)/($L$16*60)</f>
        <v>-2.7952536658900136E-6</v>
      </c>
      <c r="H24" s="7">
        <f t="shared" ref="H24:H26" si="9">(H18+I18)/2</f>
        <v>7.8662535656892379E-2</v>
      </c>
      <c r="I24" s="6">
        <f>(H18-I18)/($L$16*60)</f>
        <v>-2.7952536658900136E-6</v>
      </c>
      <c r="J24" s="7">
        <f t="shared" ref="J24:J26" si="10">(J18+K18)/2</f>
        <v>7.8962139033062581E-2</v>
      </c>
      <c r="K24" s="6">
        <f>(J18-K18)/($L$16*60)</f>
        <v>-3.6712869295455538E-6</v>
      </c>
      <c r="L24" s="14"/>
      <c r="Q24" s="50"/>
      <c r="R24" s="14"/>
    </row>
    <row r="25" spans="1:18" x14ac:dyDescent="0.25">
      <c r="A25" s="14"/>
      <c r="B25" s="7">
        <f t="shared" si="6"/>
        <v>5.1775045042576226E-2</v>
      </c>
      <c r="C25" s="6">
        <f>(B19-C19)/($L$16*60)</f>
        <v>-9.3814202576095763E-6</v>
      </c>
      <c r="D25" s="7">
        <f t="shared" si="7"/>
        <v>0.10034164435704998</v>
      </c>
      <c r="E25" s="6">
        <f>(D19-E19)/($L$16*60)</f>
        <v>-9.3814202576095865E-6</v>
      </c>
      <c r="F25" s="7">
        <f t="shared" si="8"/>
        <v>5.4001933552274402E-2</v>
      </c>
      <c r="G25" s="6">
        <f>(F19-G19)/($L$16*60)</f>
        <v>-1.5892790169007739E-5</v>
      </c>
      <c r="H25" s="7">
        <f t="shared" si="9"/>
        <v>5.4001933552274402E-2</v>
      </c>
      <c r="I25" s="6">
        <f>(H19-I19)/($L$16*60)</f>
        <v>-1.5892790169007739E-5</v>
      </c>
      <c r="J25" s="7">
        <f t="shared" si="10"/>
        <v>5.505002529635581E-2</v>
      </c>
      <c r="K25" s="6">
        <f>(J19-K19)/($L$16*60)</f>
        <v>-1.8957385911935835E-5</v>
      </c>
      <c r="L25" s="14"/>
      <c r="Q25" s="14"/>
      <c r="R25" s="14"/>
    </row>
    <row r="26" spans="1:18" x14ac:dyDescent="0.25">
      <c r="A26" s="14"/>
      <c r="B26" s="8">
        <f>(B20+C20)/2</f>
        <v>2.8677600517944813E-2</v>
      </c>
      <c r="C26" s="9">
        <f>(B20-C20)/($L$16*60)</f>
        <v>-2.704959295951848E-5</v>
      </c>
      <c r="D26" s="8">
        <f t="shared" si="7"/>
        <v>7.7244199832418564E-2</v>
      </c>
      <c r="E26" s="9">
        <f>(D20-E20)/($L$16*60)</f>
        <v>-2.704959295951849E-5</v>
      </c>
      <c r="F26" s="8">
        <f t="shared" si="8"/>
        <v>2.976177404391778E-2</v>
      </c>
      <c r="G26" s="9">
        <f>(F20-G20)/($L$16*60)</f>
        <v>-3.0219690988679201E-5</v>
      </c>
      <c r="H26" s="8">
        <f t="shared" si="9"/>
        <v>2.976177404391778E-2</v>
      </c>
      <c r="I26" s="9">
        <f>(H20-I20)/($L$16*60)</f>
        <v>-3.0219690988679201E-5</v>
      </c>
      <c r="J26" s="8">
        <f t="shared" si="10"/>
        <v>3.1336680366933267E-2</v>
      </c>
      <c r="K26" s="9">
        <f>(J20-K20)/($L$16*60)</f>
        <v>-3.4824680237262484E-5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SPKA-Average</vt:lpstr>
      <vt:lpstr>SPKA-RPKA-1 Average</vt:lpstr>
      <vt:lpstr>SPKA-1</vt:lpstr>
      <vt:lpstr>SPKA-RPKA-1</vt:lpstr>
      <vt:lpstr>SPKA-2</vt:lpstr>
      <vt:lpstr>SPKA-RPKA-2</vt:lpstr>
      <vt:lpstr>SPKA-3</vt:lpstr>
      <vt:lpstr>SPKA-RPKA-3</vt:lpstr>
      <vt:lpstr>SPKA-4</vt:lpstr>
      <vt:lpstr>SPKA-RPKA-4</vt:lpstr>
      <vt:lpstr>Slug Concentration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dingw</dc:creator>
  <cp:keywords/>
  <dc:description/>
  <cp:lastModifiedBy>Gavin Lennon</cp:lastModifiedBy>
  <cp:revision/>
  <dcterms:created xsi:type="dcterms:W3CDTF">2022-05-28T12:03:24Z</dcterms:created>
  <dcterms:modified xsi:type="dcterms:W3CDTF">2023-03-11T17:55:40Z</dcterms:modified>
  <cp:category/>
  <cp:contentStatus/>
</cp:coreProperties>
</file>