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2400" windowHeight="20460" tabRatio="500"/>
  </bookViews>
  <sheets>
    <sheet name="Sheet1" sheetId="1" r:id="rId1"/>
    <sheet name="New Arrivals" sheetId="2" r:id="rId2"/>
    <sheet name="Cases" sheetId="3" r:id="rId3"/>
  </sheets>
  <definedNames>
    <definedName name="_xlnm._FilterDatabase" localSheetId="0" hidden="1">Sheet1!$A$1:$B$1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3" i="3"/>
  <c r="F2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" i="3"/>
  <c r="G14" i="1"/>
  <c r="J21" i="1"/>
  <c r="J22" i="1"/>
  <c r="J23" i="1"/>
  <c r="J20" i="1"/>
  <c r="J6" i="2"/>
  <c r="J5" i="2"/>
  <c r="J4" i="2"/>
  <c r="J3" i="2"/>
  <c r="J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5" i="2"/>
  <c r="D36" i="2"/>
  <c r="B5" i="2"/>
  <c r="B4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5" i="2"/>
  <c r="A25" i="2"/>
  <c r="B26" i="2"/>
  <c r="A26" i="2"/>
  <c r="B27" i="2"/>
  <c r="A27" i="2"/>
  <c r="B28" i="2"/>
  <c r="A28" i="2"/>
  <c r="B29" i="2"/>
  <c r="A29" i="2"/>
  <c r="B2" i="2"/>
  <c r="B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M38" i="1"/>
  <c r="H20" i="1"/>
  <c r="H22" i="1"/>
  <c r="H24" i="1"/>
  <c r="H25" i="1"/>
  <c r="H26" i="1"/>
  <c r="H27" i="1"/>
  <c r="M37" i="1"/>
  <c r="M40" i="1"/>
  <c r="L38" i="1"/>
  <c r="G20" i="1"/>
  <c r="G22" i="1"/>
  <c r="G24" i="1"/>
  <c r="G25" i="1"/>
  <c r="G26" i="1"/>
  <c r="G27" i="1"/>
  <c r="L37" i="1"/>
  <c r="L40" i="1"/>
</calcChain>
</file>

<file path=xl/sharedStrings.xml><?xml version="1.0" encoding="utf-8"?>
<sst xmlns="http://schemas.openxmlformats.org/spreadsheetml/2006/main" count="56" uniqueCount="29">
  <si>
    <t>Date</t>
  </si>
  <si>
    <t>Source</t>
  </si>
  <si>
    <t>http://www.iomsouthsudan.org/tracking//dtm</t>
  </si>
  <si>
    <t>http://iomsouthsudan.org/tracking/sites/default/publicfiles/documents/20161108%20Bentiu%20Population%20Map%20Infographic.pdf</t>
  </si>
  <si>
    <t>Population Count in Bentiu UNMISS PoC area</t>
  </si>
  <si>
    <t>Entries</t>
  </si>
  <si>
    <t>Exits</t>
  </si>
  <si>
    <t>Source 2</t>
  </si>
  <si>
    <t>http://reliefweb.int/report/south-sudan/thousands-idps-vaccinated-against-cholera-bentiu</t>
  </si>
  <si>
    <t>Vaccine Doses</t>
  </si>
  <si>
    <t>http://dx.plos.org/10.1371/journal.pmed.1001901</t>
  </si>
  <si>
    <t>http://www.afro.who.int/en/ssd/news/item/7736-who-supports-oral-cholera-vaccination-campaigns-in-south-sudan.html</t>
  </si>
  <si>
    <t>Cholera cases</t>
  </si>
  <si>
    <t>20% per month</t>
  </si>
  <si>
    <t>Monthly Change</t>
  </si>
  <si>
    <t>Moving Average Change</t>
  </si>
  <si>
    <t>X</t>
  </si>
  <si>
    <t>Day</t>
  </si>
  <si>
    <t>Month</t>
  </si>
  <si>
    <t>Monthly Average</t>
  </si>
  <si>
    <t>Monthly "Average"</t>
  </si>
  <si>
    <t>Inferred number of departures</t>
  </si>
  <si>
    <t>Source: Greater Bentiu Overview PoC trends Movement trend from Dec 2015 to May 2016</t>
  </si>
  <si>
    <t>Approx Number of New Arrivals (biometric)</t>
  </si>
  <si>
    <t>Biometric New Arrivals rate (per week)</t>
  </si>
  <si>
    <t>Notes</t>
  </si>
  <si>
    <t>Using the population counts (which record the number sleeping in the camp) instead of biometric counts (which is an overestimate of overnight residents)</t>
  </si>
  <si>
    <t>Cases</t>
  </si>
  <si>
    <t>Monthly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</si>
</sst>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Count in Bentiu UNMISS PoC area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Sheet1!$A$2:$A$27</c:f>
              <c:numCache>
                <c:formatCode>mmm\-yy</c:formatCode>
                <c:ptCount val="26"/>
                <c:pt idx="0">
                  <c:v>41671.0</c:v>
                </c:pt>
                <c:pt idx="1">
                  <c:v>41699.0</c:v>
                </c:pt>
                <c:pt idx="2">
                  <c:v>41760.0</c:v>
                </c:pt>
                <c:pt idx="3">
                  <c:v>41791.0</c:v>
                </c:pt>
                <c:pt idx="4">
                  <c:v>41821.0</c:v>
                </c:pt>
                <c:pt idx="5">
                  <c:v>41913.0</c:v>
                </c:pt>
                <c:pt idx="6">
                  <c:v>41974.0</c:v>
                </c:pt>
                <c:pt idx="7">
                  <c:v>42036.0</c:v>
                </c:pt>
                <c:pt idx="8">
                  <c:v>42064.0</c:v>
                </c:pt>
                <c:pt idx="9">
                  <c:v>42095.0</c:v>
                </c:pt>
                <c:pt idx="10">
                  <c:v>42125.0</c:v>
                </c:pt>
                <c:pt idx="11">
                  <c:v>42156.0</c:v>
                </c:pt>
                <c:pt idx="12">
                  <c:v>42186.0</c:v>
                </c:pt>
                <c:pt idx="13">
                  <c:v>42217.0</c:v>
                </c:pt>
                <c:pt idx="14">
                  <c:v>42248.0</c:v>
                </c:pt>
                <c:pt idx="15">
                  <c:v>42278.0</c:v>
                </c:pt>
                <c:pt idx="16">
                  <c:v>42309.0</c:v>
                </c:pt>
                <c:pt idx="17">
                  <c:v>42339.0</c:v>
                </c:pt>
                <c:pt idx="18">
                  <c:v>42401.0</c:v>
                </c:pt>
                <c:pt idx="19">
                  <c:v>42430.0</c:v>
                </c:pt>
                <c:pt idx="20">
                  <c:v>42461.0</c:v>
                </c:pt>
                <c:pt idx="21">
                  <c:v>42491.0</c:v>
                </c:pt>
                <c:pt idx="22">
                  <c:v>42522.0</c:v>
                </c:pt>
                <c:pt idx="23">
                  <c:v>42552.0</c:v>
                </c:pt>
                <c:pt idx="24">
                  <c:v>42583.0</c:v>
                </c:pt>
                <c:pt idx="25">
                  <c:v>42614.0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4291.0</c:v>
                </c:pt>
                <c:pt idx="1">
                  <c:v>7894.0</c:v>
                </c:pt>
                <c:pt idx="2">
                  <c:v>31250.0</c:v>
                </c:pt>
                <c:pt idx="3">
                  <c:v>40574.0</c:v>
                </c:pt>
                <c:pt idx="4">
                  <c:v>40574.0</c:v>
                </c:pt>
                <c:pt idx="5">
                  <c:v>49612.0</c:v>
                </c:pt>
                <c:pt idx="6">
                  <c:v>43718.0</c:v>
                </c:pt>
                <c:pt idx="7">
                  <c:v>52825.0</c:v>
                </c:pt>
                <c:pt idx="8">
                  <c:v>74652.0</c:v>
                </c:pt>
                <c:pt idx="9">
                  <c:v>76417.0</c:v>
                </c:pt>
                <c:pt idx="10">
                  <c:v>76417.0</c:v>
                </c:pt>
                <c:pt idx="11">
                  <c:v>81422.0</c:v>
                </c:pt>
                <c:pt idx="12">
                  <c:v>102965.0</c:v>
                </c:pt>
                <c:pt idx="13">
                  <c:v>114277.0</c:v>
                </c:pt>
                <c:pt idx="14">
                  <c:v>119038.0</c:v>
                </c:pt>
                <c:pt idx="15">
                  <c:v>121340.0</c:v>
                </c:pt>
                <c:pt idx="16">
                  <c:v>129339.0</c:v>
                </c:pt>
                <c:pt idx="17">
                  <c:v>140101.0</c:v>
                </c:pt>
                <c:pt idx="18">
                  <c:v>119476.0</c:v>
                </c:pt>
                <c:pt idx="19">
                  <c:v>116538.0</c:v>
                </c:pt>
                <c:pt idx="20">
                  <c:v>108190.0</c:v>
                </c:pt>
                <c:pt idx="21">
                  <c:v>98653.0</c:v>
                </c:pt>
                <c:pt idx="22">
                  <c:v>93817.0</c:v>
                </c:pt>
                <c:pt idx="23">
                  <c:v>99034.0</c:v>
                </c:pt>
                <c:pt idx="24">
                  <c:v>94827.0</c:v>
                </c:pt>
                <c:pt idx="25">
                  <c:v>101350.0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85272"/>
        <c:axId val="361688296"/>
      </c:scatterChart>
      <c:valAx>
        <c:axId val="361685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61688296"/>
        <c:crosses val="autoZero"/>
        <c:crossBetween val="midCat"/>
      </c:valAx>
      <c:valAx>
        <c:axId val="36168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85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Arrivals'!$E$1</c:f>
              <c:strCache>
                <c:ptCount val="1"/>
                <c:pt idx="0">
                  <c:v>Biometric New Arrivals rate (per week)</c:v>
                </c:pt>
              </c:strCache>
            </c:strRef>
          </c:tx>
          <c:marker>
            <c:symbol val="none"/>
          </c:marker>
          <c:xVal>
            <c:numRef>
              <c:f>'New Arrivals'!$A$2:$A$29</c:f>
              <c:numCache>
                <c:formatCode>d\-mmm\-yy</c:formatCode>
                <c:ptCount val="28"/>
                <c:pt idx="0">
                  <c:v>42355.0</c:v>
                </c:pt>
                <c:pt idx="1">
                  <c:v>42361.0</c:v>
                </c:pt>
                <c:pt idx="2">
                  <c:v>42373.0</c:v>
                </c:pt>
                <c:pt idx="3">
                  <c:v>42380.51595881596</c:v>
                </c:pt>
                <c:pt idx="4">
                  <c:v>42382.80797940798</c:v>
                </c:pt>
                <c:pt idx="5">
                  <c:v>42385.57425997425</c:v>
                </c:pt>
                <c:pt idx="6">
                  <c:v>42389.7888030888</c:v>
                </c:pt>
                <c:pt idx="7">
                  <c:v>42393.55456885456</c:v>
                </c:pt>
                <c:pt idx="8">
                  <c:v>42398.11595881596</c:v>
                </c:pt>
                <c:pt idx="9">
                  <c:v>42403.88211068211</c:v>
                </c:pt>
                <c:pt idx="10">
                  <c:v>42408.16885456885</c:v>
                </c:pt>
                <c:pt idx="11">
                  <c:v>42412.19086229086</c:v>
                </c:pt>
                <c:pt idx="12">
                  <c:v>42417.07644787645</c:v>
                </c:pt>
                <c:pt idx="13">
                  <c:v>42425.53667953668</c:v>
                </c:pt>
                <c:pt idx="14">
                  <c:v>42430.31184041184</c:v>
                </c:pt>
                <c:pt idx="15">
                  <c:v>42438.42522522523</c:v>
                </c:pt>
                <c:pt idx="16">
                  <c:v>42447.01711711712</c:v>
                </c:pt>
                <c:pt idx="17">
                  <c:v>42455.12200772201</c:v>
                </c:pt>
                <c:pt idx="18">
                  <c:v>42461.64555984555</c:v>
                </c:pt>
                <c:pt idx="19">
                  <c:v>42468.83590733591</c:v>
                </c:pt>
                <c:pt idx="20">
                  <c:v>42476.00077220077</c:v>
                </c:pt>
                <c:pt idx="21">
                  <c:v>42480.39086229086</c:v>
                </c:pt>
                <c:pt idx="22">
                  <c:v>42483.89189189189</c:v>
                </c:pt>
                <c:pt idx="23">
                  <c:v>42487.76100386101</c:v>
                </c:pt>
                <c:pt idx="24">
                  <c:v>42492.04916344916</c:v>
                </c:pt>
                <c:pt idx="25">
                  <c:v>42496.48172458172</c:v>
                </c:pt>
                <c:pt idx="26">
                  <c:v>42500.26447876448</c:v>
                </c:pt>
                <c:pt idx="27">
                  <c:v>42505.98815958815</c:v>
                </c:pt>
              </c:numCache>
            </c:numRef>
          </c:xVal>
          <c:yVal>
            <c:numRef>
              <c:f>'New Arrivals'!$E$2:$E$29</c:f>
              <c:numCache>
                <c:formatCode>0</c:formatCode>
                <c:ptCount val="28"/>
                <c:pt idx="0">
                  <c:v>1936.36363636363</c:v>
                </c:pt>
                <c:pt idx="1">
                  <c:v>1818.18181818181</c:v>
                </c:pt>
                <c:pt idx="2">
                  <c:v>1545.45454545454</c:v>
                </c:pt>
                <c:pt idx="3">
                  <c:v>1790.90909090909</c:v>
                </c:pt>
                <c:pt idx="4">
                  <c:v>2018.18181818181</c:v>
                </c:pt>
                <c:pt idx="5">
                  <c:v>2163.63636363636</c:v>
                </c:pt>
                <c:pt idx="6">
                  <c:v>2009.0909090909</c:v>
                </c:pt>
                <c:pt idx="7">
                  <c:v>1881.81818181818</c:v>
                </c:pt>
                <c:pt idx="8">
                  <c:v>1918.18181818181</c:v>
                </c:pt>
                <c:pt idx="9">
                  <c:v>1709.0909090909</c:v>
                </c:pt>
                <c:pt idx="10">
                  <c:v>1400.0</c:v>
                </c:pt>
                <c:pt idx="11">
                  <c:v>1190.90909090909</c:v>
                </c:pt>
                <c:pt idx="12">
                  <c:v>1000.0</c:v>
                </c:pt>
                <c:pt idx="13">
                  <c:v>1090.90909090909</c:v>
                </c:pt>
                <c:pt idx="14">
                  <c:v>1136.36363636363</c:v>
                </c:pt>
                <c:pt idx="15">
                  <c:v>1036.36363636363</c:v>
                </c:pt>
                <c:pt idx="16">
                  <c:v>845.454545454545</c:v>
                </c:pt>
                <c:pt idx="17">
                  <c:v>763.636363636363</c:v>
                </c:pt>
                <c:pt idx="18">
                  <c:v>800.0</c:v>
                </c:pt>
                <c:pt idx="19">
                  <c:v>809.090909090909</c:v>
                </c:pt>
                <c:pt idx="20">
                  <c:v>872.727272727273</c:v>
                </c:pt>
                <c:pt idx="21">
                  <c:v>809.090909090909</c:v>
                </c:pt>
                <c:pt idx="22">
                  <c:v>781.818181818181</c:v>
                </c:pt>
                <c:pt idx="23">
                  <c:v>900.0</c:v>
                </c:pt>
                <c:pt idx="24">
                  <c:v>1054.54545454545</c:v>
                </c:pt>
                <c:pt idx="25">
                  <c:v>900.0</c:v>
                </c:pt>
                <c:pt idx="26">
                  <c:v>736.363636363636</c:v>
                </c:pt>
                <c:pt idx="27">
                  <c:v>618.181818181818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8296"/>
        <c:axId val="121877640"/>
      </c:scatterChart>
      <c:valAx>
        <c:axId val="1204682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21877640"/>
        <c:crosses val="autoZero"/>
        <c:crossBetween val="midCat"/>
      </c:valAx>
      <c:valAx>
        <c:axId val="121877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468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Cases!$C$1</c:f>
              <c:strCache>
                <c:ptCount val="1"/>
                <c:pt idx="0">
                  <c:v>Cases</c:v>
                </c:pt>
              </c:strCache>
            </c:strRef>
          </c:tx>
          <c:invertIfNegative val="0"/>
          <c:cat>
            <c:numRef>
              <c:f>Cases!$A$2:$A$32</c:f>
              <c:numCache>
                <c:formatCode>d\-mmm\-yy</c:formatCode>
                <c:ptCount val="31"/>
                <c:pt idx="0">
                  <c:v>42659.0</c:v>
                </c:pt>
                <c:pt idx="1">
                  <c:v>42660.0</c:v>
                </c:pt>
                <c:pt idx="2">
                  <c:v>42661.0</c:v>
                </c:pt>
                <c:pt idx="3">
                  <c:v>42662.0</c:v>
                </c:pt>
                <c:pt idx="4">
                  <c:v>42663.0</c:v>
                </c:pt>
                <c:pt idx="5">
                  <c:v>42664.0</c:v>
                </c:pt>
                <c:pt idx="6">
                  <c:v>42665.0</c:v>
                </c:pt>
                <c:pt idx="7">
                  <c:v>42666.0</c:v>
                </c:pt>
                <c:pt idx="8">
                  <c:v>42667.0</c:v>
                </c:pt>
                <c:pt idx="9">
                  <c:v>42668.0</c:v>
                </c:pt>
                <c:pt idx="10">
                  <c:v>42669.0</c:v>
                </c:pt>
                <c:pt idx="11">
                  <c:v>42670.0</c:v>
                </c:pt>
                <c:pt idx="12">
                  <c:v>42671.0</c:v>
                </c:pt>
                <c:pt idx="13">
                  <c:v>42672.0</c:v>
                </c:pt>
                <c:pt idx="14">
                  <c:v>42673.0</c:v>
                </c:pt>
                <c:pt idx="15">
                  <c:v>42674.0</c:v>
                </c:pt>
                <c:pt idx="16">
                  <c:v>42675.0</c:v>
                </c:pt>
                <c:pt idx="17">
                  <c:v>42676.0</c:v>
                </c:pt>
                <c:pt idx="18">
                  <c:v>42677.0</c:v>
                </c:pt>
                <c:pt idx="19">
                  <c:v>42678.0</c:v>
                </c:pt>
                <c:pt idx="20">
                  <c:v>42679.0</c:v>
                </c:pt>
                <c:pt idx="21">
                  <c:v>42680.0</c:v>
                </c:pt>
                <c:pt idx="22">
                  <c:v>42681.0</c:v>
                </c:pt>
                <c:pt idx="23">
                  <c:v>42682.0</c:v>
                </c:pt>
                <c:pt idx="24">
                  <c:v>42683.0</c:v>
                </c:pt>
                <c:pt idx="25">
                  <c:v>42684.0</c:v>
                </c:pt>
                <c:pt idx="26">
                  <c:v>42685.0</c:v>
                </c:pt>
                <c:pt idx="27">
                  <c:v>42686.0</c:v>
                </c:pt>
                <c:pt idx="28">
                  <c:v>42687.0</c:v>
                </c:pt>
                <c:pt idx="29">
                  <c:v>42688.0</c:v>
                </c:pt>
                <c:pt idx="30">
                  <c:v>42689.0</c:v>
                </c:pt>
              </c:numCache>
            </c:numRef>
          </c:cat>
          <c:val>
            <c:numRef>
              <c:f>Cases!$C$2:$C$32</c:f>
              <c:numCache>
                <c:formatCode>0</c:formatCode>
                <c:ptCount val="31"/>
                <c:pt idx="0">
                  <c:v>1.0</c:v>
                </c:pt>
                <c:pt idx="1">
                  <c:v>-0.277777777777771</c:v>
                </c:pt>
                <c:pt idx="2">
                  <c:v>-0.277777777777771</c:v>
                </c:pt>
                <c:pt idx="3">
                  <c:v>0.0</c:v>
                </c:pt>
                <c:pt idx="4">
                  <c:v>-0.277777777777771</c:v>
                </c:pt>
                <c:pt idx="5">
                  <c:v>2.22222222222222</c:v>
                </c:pt>
                <c:pt idx="6">
                  <c:v>0.833333333333335</c:v>
                </c:pt>
                <c:pt idx="7">
                  <c:v>2.22222222222222</c:v>
                </c:pt>
                <c:pt idx="8">
                  <c:v>3.05555555555555</c:v>
                </c:pt>
                <c:pt idx="9">
                  <c:v>5.27777777777777</c:v>
                </c:pt>
                <c:pt idx="10">
                  <c:v>10.2777777777777</c:v>
                </c:pt>
                <c:pt idx="11">
                  <c:v>15.0</c:v>
                </c:pt>
                <c:pt idx="12">
                  <c:v>10.0</c:v>
                </c:pt>
                <c:pt idx="13">
                  <c:v>13.0555555555555</c:v>
                </c:pt>
                <c:pt idx="14">
                  <c:v>3.88888888888889</c:v>
                </c:pt>
                <c:pt idx="15">
                  <c:v>6.11111111111111</c:v>
                </c:pt>
                <c:pt idx="16">
                  <c:v>11.1111111111111</c:v>
                </c:pt>
                <c:pt idx="17">
                  <c:v>8.05555555555555</c:v>
                </c:pt>
                <c:pt idx="18">
                  <c:v>17.2222222222222</c:v>
                </c:pt>
                <c:pt idx="19">
                  <c:v>11.1111111111111</c:v>
                </c:pt>
                <c:pt idx="20">
                  <c:v>25.2777777777777</c:v>
                </c:pt>
                <c:pt idx="21">
                  <c:v>18.0555555555555</c:v>
                </c:pt>
                <c:pt idx="22">
                  <c:v>5.27777777777777</c:v>
                </c:pt>
                <c:pt idx="23">
                  <c:v>8.05555555555555</c:v>
                </c:pt>
                <c:pt idx="24">
                  <c:v>16.3888888888888</c:v>
                </c:pt>
                <c:pt idx="25">
                  <c:v>25.2777777777777</c:v>
                </c:pt>
                <c:pt idx="26">
                  <c:v>11.9444444444444</c:v>
                </c:pt>
                <c:pt idx="27">
                  <c:v>2.22222222222222</c:v>
                </c:pt>
                <c:pt idx="28">
                  <c:v>8.05555555555555</c:v>
                </c:pt>
                <c:pt idx="29">
                  <c:v>8.05555555555555</c:v>
                </c:pt>
                <c:pt idx="30">
                  <c:v>16.3888888888888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47592"/>
        <c:axId val="423136440"/>
      </c:barChart>
      <c:dateAx>
        <c:axId val="4231475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423136440"/>
        <c:crosses val="autoZero"/>
        <c:auto val="1"/>
        <c:lblOffset val="100"/>
        <c:baseTimeUnit val="days"/>
      </c:dateAx>
      <c:valAx>
        <c:axId val="423136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2314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32</xdr:row>
      <xdr:rowOff>76200</xdr:rowOff>
    </xdr:from>
    <xdr:to>
      <xdr:col>10</xdr:col>
      <xdr:colOff>146050</xdr:colOff>
      <xdr:row>45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30</xdr:row>
      <xdr:rowOff>152400</xdr:rowOff>
    </xdr:from>
    <xdr:to>
      <xdr:col>13</xdr:col>
      <xdr:colOff>368300</xdr:colOff>
      <xdr:row>52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37</xdr:row>
      <xdr:rowOff>50800</xdr:rowOff>
    </xdr:from>
    <xdr:to>
      <xdr:col>8</xdr:col>
      <xdr:colOff>266700</xdr:colOff>
      <xdr:row>55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I13" sqref="I13"/>
    </sheetView>
  </sheetViews>
  <sheetFormatPr baseColWidth="10" defaultRowHeight="15" x14ac:dyDescent="0"/>
  <cols>
    <col min="3" max="4" width="15.6640625" customWidth="1"/>
    <col min="9" max="9" width="16.33203125" customWidth="1"/>
    <col min="11" max="11" width="12.33203125" customWidth="1"/>
  </cols>
  <sheetData>
    <row r="1" spans="1:13" s="4" customFormat="1" ht="44" customHeight="1">
      <c r="A1" s="4" t="s">
        <v>0</v>
      </c>
      <c r="B1" s="4" t="s">
        <v>4</v>
      </c>
      <c r="C1" s="4" t="s">
        <v>14</v>
      </c>
      <c r="D1" s="4" t="s">
        <v>15</v>
      </c>
      <c r="E1" s="4" t="s">
        <v>1</v>
      </c>
      <c r="F1" s="4" t="s">
        <v>7</v>
      </c>
      <c r="G1" s="4" t="s">
        <v>5</v>
      </c>
      <c r="H1" s="4" t="s">
        <v>6</v>
      </c>
      <c r="I1" s="4" t="s">
        <v>23</v>
      </c>
      <c r="J1" s="4" t="s">
        <v>21</v>
      </c>
      <c r="K1" s="4" t="s">
        <v>9</v>
      </c>
      <c r="L1" s="4" t="s">
        <v>1</v>
      </c>
      <c r="M1" s="4" t="s">
        <v>12</v>
      </c>
    </row>
    <row r="2" spans="1:13">
      <c r="A2" s="1">
        <v>41671</v>
      </c>
      <c r="B2">
        <v>4291</v>
      </c>
      <c r="E2" t="s">
        <v>2</v>
      </c>
    </row>
    <row r="3" spans="1:13">
      <c r="A3" s="1">
        <v>41699</v>
      </c>
      <c r="B3">
        <v>7894</v>
      </c>
      <c r="C3" s="2">
        <f>(B3-B2)/((A3-A2)/30.5)</f>
        <v>3924.6964285714284</v>
      </c>
      <c r="D3" s="2"/>
      <c r="E3" t="s">
        <v>2</v>
      </c>
    </row>
    <row r="4" spans="1:13">
      <c r="A4" s="1">
        <v>41760</v>
      </c>
      <c r="B4">
        <v>31250</v>
      </c>
      <c r="C4" s="2">
        <f t="shared" ref="C4:C29" si="0">(B4-B3)/((A4-A3)/30.5)</f>
        <v>11678</v>
      </c>
      <c r="D4" s="2"/>
      <c r="E4" t="s">
        <v>8</v>
      </c>
    </row>
    <row r="5" spans="1:13">
      <c r="A5" s="1">
        <v>41791</v>
      </c>
      <c r="B5">
        <v>40574</v>
      </c>
      <c r="C5" s="2">
        <f t="shared" si="0"/>
        <v>9173.6129032258068</v>
      </c>
      <c r="D5" s="2">
        <f>AVERAGE(C3:C6)</f>
        <v>6194.0773329493086</v>
      </c>
      <c r="E5" t="s">
        <v>2</v>
      </c>
    </row>
    <row r="6" spans="1:13">
      <c r="A6" s="1">
        <v>41821</v>
      </c>
      <c r="B6">
        <v>40574</v>
      </c>
      <c r="C6" s="2">
        <f t="shared" si="0"/>
        <v>0</v>
      </c>
      <c r="D6" s="2">
        <f>AVERAGE(C4:C6)</f>
        <v>6950.5376344086026</v>
      </c>
      <c r="E6" t="s">
        <v>2</v>
      </c>
      <c r="K6">
        <v>66529</v>
      </c>
      <c r="L6" t="s">
        <v>10</v>
      </c>
    </row>
    <row r="7" spans="1:13">
      <c r="A7" s="1">
        <v>41913</v>
      </c>
      <c r="B7">
        <v>49612</v>
      </c>
      <c r="C7" s="2">
        <f t="shared" si="0"/>
        <v>2996.29347826087</v>
      </c>
      <c r="D7" s="2">
        <f>AVERAGE(C7:C9)</f>
        <v>1509.7833099579245</v>
      </c>
      <c r="E7" t="s">
        <v>2</v>
      </c>
    </row>
    <row r="8" spans="1:13">
      <c r="A8" s="1">
        <v>41974</v>
      </c>
      <c r="B8">
        <v>43718</v>
      </c>
      <c r="C8" s="2">
        <f t="shared" si="0"/>
        <v>-2947</v>
      </c>
      <c r="D8" s="2">
        <f>AVERAGE(C7:C10)</f>
        <v>7076.2973038970149</v>
      </c>
      <c r="E8" t="s">
        <v>2</v>
      </c>
    </row>
    <row r="9" spans="1:13">
      <c r="A9" s="1">
        <v>42036</v>
      </c>
      <c r="B9">
        <v>52825</v>
      </c>
      <c r="C9" s="2">
        <f t="shared" si="0"/>
        <v>4480.0564516129034</v>
      </c>
      <c r="D9" s="2">
        <f t="shared" ref="D9:D25" si="1">AVERAGE(C7:C11)</f>
        <v>6008.3442947305148</v>
      </c>
      <c r="E9" t="s">
        <v>2</v>
      </c>
    </row>
    <row r="10" spans="1:13">
      <c r="A10" s="1">
        <v>42064</v>
      </c>
      <c r="B10">
        <v>74652</v>
      </c>
      <c r="C10" s="2">
        <f t="shared" si="0"/>
        <v>23775.839285714286</v>
      </c>
      <c r="D10" s="2">
        <f t="shared" si="1"/>
        <v>5409.0855990783411</v>
      </c>
      <c r="E10" t="s">
        <v>2</v>
      </c>
    </row>
    <row r="11" spans="1:13">
      <c r="A11" s="1">
        <v>42095</v>
      </c>
      <c r="B11">
        <v>76417</v>
      </c>
      <c r="C11" s="2">
        <f t="shared" si="0"/>
        <v>1736.5322580645161</v>
      </c>
      <c r="D11" s="2">
        <f t="shared" si="1"/>
        <v>6983.3404377880188</v>
      </c>
      <c r="E11" t="s">
        <v>2</v>
      </c>
    </row>
    <row r="12" spans="1:13">
      <c r="A12" s="1">
        <v>42125</v>
      </c>
      <c r="B12">
        <v>76417</v>
      </c>
      <c r="C12" s="2">
        <f t="shared" si="0"/>
        <v>0</v>
      </c>
      <c r="D12" s="2">
        <f t="shared" si="1"/>
        <v>10467.739147465438</v>
      </c>
      <c r="E12" t="s">
        <v>2</v>
      </c>
    </row>
    <row r="13" spans="1:13">
      <c r="A13" s="1">
        <v>42156</v>
      </c>
      <c r="B13">
        <v>81422</v>
      </c>
      <c r="C13" s="2">
        <f t="shared" si="0"/>
        <v>4924.2741935483873</v>
      </c>
      <c r="D13" s="2">
        <f t="shared" si="1"/>
        <v>7938.4809677419353</v>
      </c>
      <c r="E13" t="s">
        <v>2</v>
      </c>
      <c r="K13">
        <v>146720</v>
      </c>
      <c r="L13" t="s">
        <v>11</v>
      </c>
    </row>
    <row r="14" spans="1:13">
      <c r="A14" s="1">
        <v>42186</v>
      </c>
      <c r="B14">
        <v>102965</v>
      </c>
      <c r="C14" s="2">
        <f t="shared" si="0"/>
        <v>21902.05</v>
      </c>
      <c r="D14" s="2">
        <f t="shared" si="1"/>
        <v>8528.0164516129043</v>
      </c>
      <c r="E14" t="s">
        <v>2</v>
      </c>
      <c r="G14">
        <f>2500+3200+3200+4800</f>
        <v>13700</v>
      </c>
    </row>
    <row r="15" spans="1:13">
      <c r="A15" s="1">
        <v>42217</v>
      </c>
      <c r="B15">
        <v>114277</v>
      </c>
      <c r="C15" s="2">
        <f t="shared" si="0"/>
        <v>11129.548387096775</v>
      </c>
      <c r="D15" s="2">
        <f t="shared" si="1"/>
        <v>8996.0897849462381</v>
      </c>
      <c r="E15" t="s">
        <v>2</v>
      </c>
    </row>
    <row r="16" spans="1:13">
      <c r="A16" s="1">
        <v>42248</v>
      </c>
      <c r="B16">
        <v>119038</v>
      </c>
      <c r="C16" s="2">
        <f t="shared" si="0"/>
        <v>4684.2096774193551</v>
      </c>
      <c r="D16" s="2">
        <f t="shared" si="1"/>
        <v>9585.2317204301089</v>
      </c>
      <c r="E16" t="s">
        <v>2</v>
      </c>
    </row>
    <row r="17" spans="1:13">
      <c r="A17" s="1">
        <v>42278</v>
      </c>
      <c r="B17">
        <v>121340</v>
      </c>
      <c r="C17" s="2">
        <f t="shared" si="0"/>
        <v>2340.3666666666668</v>
      </c>
      <c r="D17" s="2">
        <f t="shared" si="1"/>
        <v>7393.0950537634417</v>
      </c>
      <c r="E17" t="s">
        <v>2</v>
      </c>
    </row>
    <row r="18" spans="1:13">
      <c r="A18" s="1">
        <v>42309</v>
      </c>
      <c r="B18">
        <v>129339</v>
      </c>
      <c r="C18" s="2">
        <f t="shared" si="0"/>
        <v>7869.9838709677415</v>
      </c>
      <c r="D18" s="2">
        <f t="shared" si="1"/>
        <v>3137.9515053763434</v>
      </c>
      <c r="E18" t="s">
        <v>3</v>
      </c>
    </row>
    <row r="19" spans="1:13">
      <c r="A19" s="1">
        <v>42339</v>
      </c>
      <c r="B19">
        <v>140101</v>
      </c>
      <c r="C19" s="2">
        <f t="shared" si="0"/>
        <v>10941.366666666667</v>
      </c>
      <c r="D19" s="2">
        <f t="shared" si="1"/>
        <v>1583.1164664441965</v>
      </c>
      <c r="E19" t="s">
        <v>3</v>
      </c>
      <c r="G19">
        <v>1933</v>
      </c>
      <c r="H19">
        <v>384</v>
      </c>
    </row>
    <row r="20" spans="1:13">
      <c r="A20" s="1">
        <v>42401</v>
      </c>
      <c r="B20">
        <v>119476</v>
      </c>
      <c r="C20" s="2">
        <f t="shared" si="0"/>
        <v>-10146.16935483871</v>
      </c>
      <c r="D20" s="2">
        <f t="shared" si="1"/>
        <v>-527.62783463107212</v>
      </c>
      <c r="E20" t="s">
        <v>3</v>
      </c>
      <c r="G20">
        <f>1474+1400</f>
        <v>2874</v>
      </c>
      <c r="H20">
        <f>1058+645</f>
        <v>1703</v>
      </c>
      <c r="I20">
        <v>5113</v>
      </c>
      <c r="J20" s="2">
        <f>C20-I20</f>
        <v>-15259.16935483871</v>
      </c>
    </row>
    <row r="21" spans="1:13">
      <c r="A21" s="1">
        <v>42430</v>
      </c>
      <c r="B21">
        <v>116538</v>
      </c>
      <c r="C21" s="2">
        <f t="shared" si="0"/>
        <v>-3089.9655172413795</v>
      </c>
      <c r="D21" s="2">
        <f t="shared" si="1"/>
        <v>-4040.8146088246203</v>
      </c>
      <c r="E21" t="s">
        <v>3</v>
      </c>
      <c r="I21">
        <v>3782</v>
      </c>
      <c r="J21" s="2">
        <f t="shared" ref="J21:J23" si="2">C21-I21</f>
        <v>-6871.9655172413795</v>
      </c>
    </row>
    <row r="22" spans="1:13">
      <c r="A22" s="1">
        <v>42461</v>
      </c>
      <c r="B22">
        <v>108190</v>
      </c>
      <c r="C22" s="2">
        <f t="shared" si="0"/>
        <v>-8213.354838709678</v>
      </c>
      <c r="D22" s="2">
        <f t="shared" si="1"/>
        <v>-7180.6879421579533</v>
      </c>
      <c r="E22" t="s">
        <v>3</v>
      </c>
      <c r="G22">
        <f>658+1039</f>
        <v>1697</v>
      </c>
      <c r="H22">
        <f>2134+2016</f>
        <v>4150</v>
      </c>
      <c r="I22">
        <v>3315</v>
      </c>
      <c r="J22" s="2">
        <f t="shared" si="2"/>
        <v>-11528.354838709678</v>
      </c>
    </row>
    <row r="23" spans="1:13">
      <c r="A23" s="1">
        <v>42491</v>
      </c>
      <c r="B23">
        <v>98653</v>
      </c>
      <c r="C23" s="2">
        <f t="shared" si="0"/>
        <v>-9695.9500000000007</v>
      </c>
      <c r="D23" s="2">
        <f t="shared" si="1"/>
        <v>-4090.6640711902119</v>
      </c>
      <c r="E23" t="s">
        <v>3</v>
      </c>
      <c r="I23">
        <v>3309</v>
      </c>
      <c r="J23" s="2">
        <f t="shared" si="2"/>
        <v>-13004.95</v>
      </c>
    </row>
    <row r="24" spans="1:13">
      <c r="A24" s="1">
        <v>42522</v>
      </c>
      <c r="B24">
        <v>93817</v>
      </c>
      <c r="C24" s="2">
        <f t="shared" si="0"/>
        <v>-4758</v>
      </c>
      <c r="D24" s="2">
        <f t="shared" si="1"/>
        <v>-4300.5</v>
      </c>
      <c r="E24" t="s">
        <v>3</v>
      </c>
      <c r="G24">
        <f>775+581</f>
        <v>1356</v>
      </c>
      <c r="H24">
        <f>1249+2500</f>
        <v>3749</v>
      </c>
    </row>
    <row r="25" spans="1:13">
      <c r="A25" s="1">
        <v>42552</v>
      </c>
      <c r="B25">
        <v>99034</v>
      </c>
      <c r="C25" s="2">
        <f t="shared" si="0"/>
        <v>5303.95</v>
      </c>
      <c r="D25" s="2">
        <f t="shared" si="1"/>
        <v>-1374.2709677419355</v>
      </c>
      <c r="E25" t="s">
        <v>3</v>
      </c>
      <c r="G25">
        <f>652+1686</f>
        <v>2338</v>
      </c>
      <c r="H25">
        <f>1413+1238</f>
        <v>2651</v>
      </c>
    </row>
    <row r="26" spans="1:13">
      <c r="A26" s="1">
        <v>42583</v>
      </c>
      <c r="B26">
        <v>94827</v>
      </c>
      <c r="C26" s="2">
        <f t="shared" si="0"/>
        <v>-4139.1451612903229</v>
      </c>
      <c r="D26" s="2"/>
      <c r="E26" t="s">
        <v>3</v>
      </c>
      <c r="G26">
        <f>335+765</f>
        <v>1100</v>
      </c>
      <c r="H26">
        <f>1076+1142</f>
        <v>2218</v>
      </c>
    </row>
    <row r="27" spans="1:13">
      <c r="A27" s="1">
        <v>42614</v>
      </c>
      <c r="B27">
        <v>101350</v>
      </c>
      <c r="C27" s="2">
        <f t="shared" si="0"/>
        <v>6417.7903225806449</v>
      </c>
      <c r="D27" s="2"/>
      <c r="E27" t="s">
        <v>3</v>
      </c>
      <c r="G27">
        <f>357+2133</f>
        <v>2490</v>
      </c>
      <c r="H27">
        <f>1215+1201</f>
        <v>2416</v>
      </c>
    </row>
    <row r="28" spans="1:13">
      <c r="A28" s="1">
        <v>42644</v>
      </c>
      <c r="B28">
        <v>101570</v>
      </c>
      <c r="C28" s="2">
        <f t="shared" si="0"/>
        <v>223.66666666666666</v>
      </c>
      <c r="M28">
        <v>72</v>
      </c>
    </row>
    <row r="29" spans="1:13">
      <c r="A29" s="1">
        <v>42675</v>
      </c>
      <c r="C29" s="2"/>
      <c r="D29" s="2"/>
      <c r="M29">
        <v>192</v>
      </c>
    </row>
    <row r="30" spans="1:13">
      <c r="A30" s="1"/>
      <c r="C30" s="2"/>
    </row>
    <row r="32" spans="1:13">
      <c r="L32" t="s">
        <v>25</v>
      </c>
      <c r="M32" t="s">
        <v>26</v>
      </c>
    </row>
    <row r="37" spans="12:14">
      <c r="L37">
        <f>AVERAGE(G19:G27)</f>
        <v>1969.7142857142858</v>
      </c>
      <c r="M37">
        <f>AVERAGE(H19:H27)</f>
        <v>2467.2857142857142</v>
      </c>
    </row>
    <row r="38" spans="12:14">
      <c r="L38">
        <f>AVERAGE(B19:B27)</f>
        <v>107998.44444444444</v>
      </c>
      <c r="M38">
        <f>AVERAGE(B19:B27)</f>
        <v>107998.44444444444</v>
      </c>
    </row>
    <row r="40" spans="12:14">
      <c r="L40">
        <f>L37/L38</f>
        <v>1.8238357930493415E-2</v>
      </c>
      <c r="M40">
        <f>M37/M38</f>
        <v>2.2845567146616751E-2</v>
      </c>
      <c r="N40" t="s">
        <v>13</v>
      </c>
    </row>
  </sheetData>
  <autoFilter ref="A1:B1">
    <sortState ref="A2:B34">
      <sortCondition ref="A1:A34"/>
    </sortState>
  </autoFilter>
  <conditionalFormatting sqref="C3:D3 D4:D27 C4:C30">
    <cfRule type="colorScale" priority="7">
      <colorScale>
        <cfvo type="percentile" val="10"/>
        <cfvo type="num" val="0"/>
        <cfvo type="percentile" val="90"/>
        <color rgb="FFFF7128"/>
        <color theme="0"/>
        <color rgb="FF63BE7B"/>
      </colorScale>
    </cfRule>
    <cfRule type="colorScale" priority="8">
      <colorScale>
        <cfvo type="min"/>
        <cfvo type="percentile" val="0"/>
        <cfvo type="max"/>
        <color rgb="FFFF7128"/>
        <color theme="0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8">
    <cfRule type="colorScale" priority="13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7">
    <cfRule type="colorScale" priority="1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0" sqref="K10"/>
    </sheetView>
  </sheetViews>
  <sheetFormatPr baseColWidth="10" defaultRowHeight="15" x14ac:dyDescent="0"/>
  <cols>
    <col min="5" max="5" width="16.5" customWidth="1"/>
  </cols>
  <sheetData>
    <row r="1" spans="1:10" s="4" customFormat="1" ht="66" customHeight="1">
      <c r="A1" s="4" t="s">
        <v>0</v>
      </c>
      <c r="B1" s="4" t="s">
        <v>17</v>
      </c>
      <c r="D1" s="4" t="s">
        <v>16</v>
      </c>
      <c r="E1" s="4" t="s">
        <v>24</v>
      </c>
      <c r="F1" s="4" t="s">
        <v>19</v>
      </c>
      <c r="I1" s="4" t="s">
        <v>18</v>
      </c>
      <c r="J1" s="4" t="s">
        <v>20</v>
      </c>
    </row>
    <row r="2" spans="1:10">
      <c r="A2" s="3">
        <v>42355</v>
      </c>
      <c r="B2" s="2">
        <f t="shared" ref="B2:B3" si="0">(D2-1)*$D$36</f>
        <v>-14.45289575289576</v>
      </c>
      <c r="C2" s="2"/>
      <c r="D2">
        <v>0.52221832221832198</v>
      </c>
      <c r="E2" s="2">
        <v>1936.3636363636299</v>
      </c>
      <c r="I2" s="1">
        <v>42370</v>
      </c>
      <c r="J2" s="2">
        <f>AVERAGE(E4:E10)*4</f>
        <v>7615.5844155843943</v>
      </c>
    </row>
    <row r="3" spans="1:10">
      <c r="A3" s="3">
        <v>42361</v>
      </c>
      <c r="B3" s="2">
        <f t="shared" si="0"/>
        <v>-7.8571428571428665</v>
      </c>
      <c r="C3" s="2"/>
      <c r="D3">
        <v>0.74025974025973995</v>
      </c>
      <c r="E3" s="2">
        <v>1818.1818181818101</v>
      </c>
      <c r="I3" s="1">
        <v>42401</v>
      </c>
      <c r="J3" s="2">
        <f>AVERAGE(E11:E15)*4</f>
        <v>5112.7272727272639</v>
      </c>
    </row>
    <row r="4" spans="1:10">
      <c r="A4" s="3">
        <v>42373</v>
      </c>
      <c r="B4" s="2">
        <f>(D4-1)*$D$36</f>
        <v>4.0432432432431327</v>
      </c>
      <c r="C4" s="2"/>
      <c r="D4">
        <v>1.13366093366093</v>
      </c>
      <c r="E4" s="2">
        <v>1545.45454545454</v>
      </c>
      <c r="I4" s="1">
        <v>42430</v>
      </c>
      <c r="J4" s="2">
        <f>AVERAGE(E16:E19)*4</f>
        <v>3781.8181818181679</v>
      </c>
    </row>
    <row r="5" spans="1:10">
      <c r="A5" s="3">
        <f>A4+B5-B4</f>
        <v>42380.515958815959</v>
      </c>
      <c r="B5" s="2">
        <f t="shared" ref="B5:B29" si="1">(D5-1)*$D$36</f>
        <v>11.559202059201995</v>
      </c>
      <c r="C5" s="2">
        <f>B5-B4</f>
        <v>7.5159588159588626</v>
      </c>
      <c r="D5">
        <v>1.38212238212238</v>
      </c>
      <c r="E5" s="2">
        <v>1790.9090909090901</v>
      </c>
      <c r="I5" s="1">
        <v>42461</v>
      </c>
      <c r="J5" s="2">
        <f>AVERAGE(E20:E25)*4</f>
        <v>3315.1515151515146</v>
      </c>
    </row>
    <row r="6" spans="1:10">
      <c r="A6" s="3">
        <f t="shared" ref="A6:A29" si="2">A5+B6-B5</f>
        <v>42382.807979407982</v>
      </c>
      <c r="B6" s="2">
        <f t="shared" si="1"/>
        <v>13.851222651222415</v>
      </c>
      <c r="C6" s="2">
        <f t="shared" ref="C6:C29" si="3">B6-B5</f>
        <v>2.2920205920204193</v>
      </c>
      <c r="D6">
        <v>1.4578916578916501</v>
      </c>
      <c r="E6" s="2">
        <v>2018.1818181818101</v>
      </c>
      <c r="I6" s="1">
        <v>42491</v>
      </c>
      <c r="J6" s="2">
        <f>AVERAGE(E26:E29)*4</f>
        <v>3309.090909090904</v>
      </c>
    </row>
    <row r="7" spans="1:10">
      <c r="A7" s="3">
        <f t="shared" si="2"/>
        <v>42385.574259974259</v>
      </c>
      <c r="B7" s="2">
        <f t="shared" si="1"/>
        <v>16.617503217502936</v>
      </c>
      <c r="C7" s="2">
        <f t="shared" si="3"/>
        <v>2.7662805662805212</v>
      </c>
      <c r="D7">
        <v>1.54933894933894</v>
      </c>
      <c r="E7" s="2">
        <v>2163.6363636363599</v>
      </c>
    </row>
    <row r="8" spans="1:10">
      <c r="A8" s="3">
        <f t="shared" si="2"/>
        <v>42389.788803088806</v>
      </c>
      <c r="B8" s="2">
        <f t="shared" si="1"/>
        <v>20.832046332046072</v>
      </c>
      <c r="C8" s="2">
        <f t="shared" si="3"/>
        <v>4.2145431145431367</v>
      </c>
      <c r="D8">
        <v>1.6886626886626801</v>
      </c>
      <c r="E8" s="2">
        <v>2009.0909090908999</v>
      </c>
    </row>
    <row r="9" spans="1:10">
      <c r="A9" s="3">
        <f t="shared" si="2"/>
        <v>42393.554568854568</v>
      </c>
      <c r="B9" s="2">
        <f t="shared" si="1"/>
        <v>24.597812097812003</v>
      </c>
      <c r="C9" s="2">
        <f t="shared" si="3"/>
        <v>3.7657657657659307</v>
      </c>
      <c r="D9">
        <v>1.8131508131508101</v>
      </c>
      <c r="E9" s="2">
        <v>1881.8181818181799</v>
      </c>
    </row>
    <row r="10" spans="1:10">
      <c r="A10" s="3">
        <f t="shared" si="2"/>
        <v>42398.115958815957</v>
      </c>
      <c r="B10" s="2">
        <f t="shared" si="1"/>
        <v>29.159202059201942</v>
      </c>
      <c r="C10" s="2">
        <f t="shared" si="3"/>
        <v>4.5613899613899385</v>
      </c>
      <c r="D10">
        <v>1.96394056394056</v>
      </c>
      <c r="E10" s="2">
        <v>1918.1818181818101</v>
      </c>
    </row>
    <row r="11" spans="1:10">
      <c r="A11" s="3">
        <f t="shared" si="2"/>
        <v>42403.882110682112</v>
      </c>
      <c r="B11" s="2">
        <f t="shared" si="1"/>
        <v>34.925353925353782</v>
      </c>
      <c r="C11" s="2">
        <f t="shared" si="3"/>
        <v>5.7661518661518407</v>
      </c>
      <c r="D11">
        <v>2.1545571545571498</v>
      </c>
      <c r="E11" s="2">
        <v>1709.0909090908999</v>
      </c>
    </row>
    <row r="12" spans="1:10">
      <c r="A12" s="3">
        <f t="shared" si="2"/>
        <v>42408.168854568852</v>
      </c>
      <c r="B12" s="2">
        <f t="shared" si="1"/>
        <v>39.212097812097625</v>
      </c>
      <c r="C12" s="2">
        <f t="shared" si="3"/>
        <v>4.2867438867438423</v>
      </c>
      <c r="D12">
        <v>2.29626769626769</v>
      </c>
      <c r="E12" s="2">
        <v>1400</v>
      </c>
    </row>
    <row r="13" spans="1:10">
      <c r="A13" s="3">
        <f t="shared" si="2"/>
        <v>42412.19086229086</v>
      </c>
      <c r="B13" s="2">
        <f t="shared" si="1"/>
        <v>43.234105534105254</v>
      </c>
      <c r="C13" s="2">
        <f t="shared" si="3"/>
        <v>4.0220077220076291</v>
      </c>
      <c r="D13">
        <v>2.42922662922662</v>
      </c>
      <c r="E13" s="2">
        <v>1190.9090909090901</v>
      </c>
    </row>
    <row r="14" spans="1:10">
      <c r="A14" s="3">
        <f t="shared" si="2"/>
        <v>42417.076447876447</v>
      </c>
      <c r="B14" s="2">
        <f t="shared" si="1"/>
        <v>48.119691119691105</v>
      </c>
      <c r="C14" s="2">
        <f t="shared" si="3"/>
        <v>4.8855855855858508</v>
      </c>
      <c r="D14">
        <v>2.5907335907335902</v>
      </c>
      <c r="E14" s="2">
        <v>1000</v>
      </c>
    </row>
    <row r="15" spans="1:10">
      <c r="A15" s="3">
        <f t="shared" si="2"/>
        <v>42425.536679536679</v>
      </c>
      <c r="B15" s="2">
        <f t="shared" si="1"/>
        <v>56.579922779922775</v>
      </c>
      <c r="C15" s="2">
        <f t="shared" si="3"/>
        <v>8.4602316602316705</v>
      </c>
      <c r="D15">
        <v>2.8704106704106702</v>
      </c>
      <c r="E15" s="2">
        <v>1090.9090909090901</v>
      </c>
    </row>
    <row r="16" spans="1:10">
      <c r="A16" s="3">
        <f t="shared" si="2"/>
        <v>42430.311840411843</v>
      </c>
      <c r="B16" s="2">
        <f t="shared" si="1"/>
        <v>61.355083655083398</v>
      </c>
      <c r="C16" s="2">
        <f t="shared" si="3"/>
        <v>4.7751608751606227</v>
      </c>
      <c r="D16">
        <v>3.0282672282672198</v>
      </c>
      <c r="E16" s="2">
        <v>1136.3636363636299</v>
      </c>
    </row>
    <row r="17" spans="1:11">
      <c r="A17" s="3">
        <f t="shared" si="2"/>
        <v>42438.425225225226</v>
      </c>
      <c r="B17" s="2">
        <f t="shared" si="1"/>
        <v>69.468468468468274</v>
      </c>
      <c r="C17" s="2">
        <f t="shared" si="3"/>
        <v>8.1133848133848758</v>
      </c>
      <c r="D17">
        <v>3.2964782964782899</v>
      </c>
      <c r="E17" s="2">
        <v>1036.3636363636299</v>
      </c>
    </row>
    <row r="18" spans="1:11">
      <c r="A18" s="3">
        <f t="shared" si="2"/>
        <v>42447.017117117117</v>
      </c>
      <c r="B18" s="2">
        <f t="shared" si="1"/>
        <v>78.060360360360349</v>
      </c>
      <c r="C18" s="2">
        <f t="shared" si="3"/>
        <v>8.5918918918920753</v>
      </c>
      <c r="D18">
        <v>3.5805077805077801</v>
      </c>
      <c r="E18" s="2">
        <v>845.45454545454504</v>
      </c>
    </row>
    <row r="19" spans="1:11">
      <c r="A19" s="3">
        <f t="shared" si="2"/>
        <v>42455.122007722006</v>
      </c>
      <c r="B19" s="2">
        <f t="shared" si="1"/>
        <v>86.165250965250706</v>
      </c>
      <c r="C19" s="2">
        <f t="shared" si="3"/>
        <v>8.1048906048903575</v>
      </c>
      <c r="D19">
        <v>3.84843804843804</v>
      </c>
      <c r="E19" s="2">
        <v>763.63636363636294</v>
      </c>
    </row>
    <row r="20" spans="1:11">
      <c r="A20" s="3">
        <f t="shared" si="2"/>
        <v>42461.645559845558</v>
      </c>
      <c r="B20" s="2">
        <f t="shared" si="1"/>
        <v>92.688803088802956</v>
      </c>
      <c r="C20" s="2">
        <f t="shared" si="3"/>
        <v>6.5235521235522498</v>
      </c>
      <c r="D20">
        <v>4.0640926640926596</v>
      </c>
      <c r="E20" s="2">
        <v>800</v>
      </c>
    </row>
    <row r="21" spans="1:11">
      <c r="A21" s="3">
        <f t="shared" si="2"/>
        <v>42468.83590733591</v>
      </c>
      <c r="B21" s="2">
        <f t="shared" si="1"/>
        <v>99.879150579150533</v>
      </c>
      <c r="C21" s="2">
        <f t="shared" si="3"/>
        <v>7.1903474903475768</v>
      </c>
      <c r="D21">
        <v>4.3017901017901004</v>
      </c>
      <c r="E21" s="2">
        <v>809.09090909090901</v>
      </c>
    </row>
    <row r="22" spans="1:11">
      <c r="A22" s="3">
        <f t="shared" si="2"/>
        <v>42476.000772200772</v>
      </c>
      <c r="B22" s="2">
        <f t="shared" si="1"/>
        <v>107.04401544401517</v>
      </c>
      <c r="C22" s="2">
        <f t="shared" si="3"/>
        <v>7.16486486486464</v>
      </c>
      <c r="D22">
        <v>4.5386451386451299</v>
      </c>
      <c r="E22" s="2">
        <v>872.72727272727298</v>
      </c>
    </row>
    <row r="23" spans="1:11">
      <c r="A23" s="3">
        <f t="shared" si="2"/>
        <v>42480.390862290864</v>
      </c>
      <c r="B23" s="2">
        <f t="shared" si="1"/>
        <v>111.43410553410543</v>
      </c>
      <c r="C23" s="2">
        <f t="shared" si="3"/>
        <v>4.3900900900902542</v>
      </c>
      <c r="D23">
        <v>4.6837720837720802</v>
      </c>
      <c r="E23" s="2">
        <v>809.09090909090901</v>
      </c>
    </row>
    <row r="24" spans="1:11">
      <c r="A24" s="3">
        <f t="shared" si="2"/>
        <v>42483.891891891893</v>
      </c>
      <c r="B24" s="2">
        <f t="shared" si="1"/>
        <v>114.93513513513484</v>
      </c>
      <c r="C24" s="2">
        <f t="shared" si="3"/>
        <v>3.5010296010294155</v>
      </c>
      <c r="D24">
        <v>4.7995085995085898</v>
      </c>
      <c r="E24" s="2">
        <v>781.81818181818096</v>
      </c>
    </row>
    <row r="25" spans="1:11">
      <c r="A25" s="3">
        <f t="shared" si="2"/>
        <v>42487.761003861007</v>
      </c>
      <c r="B25" s="2">
        <f t="shared" si="1"/>
        <v>118.80424710424687</v>
      </c>
      <c r="C25" s="2">
        <f t="shared" si="3"/>
        <v>3.8691119691120264</v>
      </c>
      <c r="D25">
        <v>4.9274131274131197</v>
      </c>
      <c r="E25" s="2">
        <v>900</v>
      </c>
    </row>
    <row r="26" spans="1:11">
      <c r="A26" s="3">
        <f t="shared" si="2"/>
        <v>42492.049163449163</v>
      </c>
      <c r="B26" s="2">
        <f t="shared" si="1"/>
        <v>123.09240669240643</v>
      </c>
      <c r="C26" s="2">
        <f t="shared" si="3"/>
        <v>4.2881595881595587</v>
      </c>
      <c r="D26">
        <v>5.0691704691704604</v>
      </c>
      <c r="E26" s="2">
        <v>1054.54545454545</v>
      </c>
    </row>
    <row r="27" spans="1:11">
      <c r="A27" s="3">
        <f t="shared" si="2"/>
        <v>42496.481724581725</v>
      </c>
      <c r="B27" s="2">
        <f t="shared" si="1"/>
        <v>127.52496782496766</v>
      </c>
      <c r="C27" s="2">
        <f t="shared" si="3"/>
        <v>4.4325611325612329</v>
      </c>
      <c r="D27">
        <v>5.2157014157014103</v>
      </c>
      <c r="E27" s="2">
        <v>900</v>
      </c>
      <c r="K27" t="s">
        <v>22</v>
      </c>
    </row>
    <row r="28" spans="1:11">
      <c r="A28" s="3">
        <f t="shared" si="2"/>
        <v>42500.264478764482</v>
      </c>
      <c r="B28" s="2">
        <f t="shared" si="1"/>
        <v>131.30772200772196</v>
      </c>
      <c r="C28" s="2">
        <f t="shared" si="3"/>
        <v>3.782754182754303</v>
      </c>
      <c r="D28">
        <v>5.3407511407511397</v>
      </c>
      <c r="E28" s="2">
        <v>736.36363636363603</v>
      </c>
    </row>
    <row r="29" spans="1:11">
      <c r="A29" s="3">
        <f t="shared" si="2"/>
        <v>42505.98815958816</v>
      </c>
      <c r="B29" s="2">
        <f t="shared" si="1"/>
        <v>137.03140283140283</v>
      </c>
      <c r="C29" s="2">
        <f t="shared" si="3"/>
        <v>5.7236808236808656</v>
      </c>
      <c r="D29">
        <v>5.5299637299637299</v>
      </c>
      <c r="E29" s="2">
        <v>618.18181818181802</v>
      </c>
    </row>
    <row r="36" spans="4:4">
      <c r="D36">
        <f>121/4</f>
        <v>30.25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"/>
    </sheetView>
  </sheetViews>
  <sheetFormatPr baseColWidth="10" defaultRowHeight="15" x14ac:dyDescent="0"/>
  <cols>
    <col min="2" max="2" width="10.83203125" style="2"/>
  </cols>
  <sheetData>
    <row r="1" spans="1:6">
      <c r="A1" t="s">
        <v>0</v>
      </c>
      <c r="B1" s="2" t="s">
        <v>16</v>
      </c>
      <c r="C1" t="s">
        <v>27</v>
      </c>
      <c r="E1" t="s">
        <v>28</v>
      </c>
    </row>
    <row r="2" spans="1:6">
      <c r="A2" s="3">
        <v>42659</v>
      </c>
      <c r="B2" s="2">
        <v>0.91102106969205898</v>
      </c>
      <c r="C2" s="2">
        <v>1</v>
      </c>
      <c r="E2" s="1">
        <v>42644</v>
      </c>
      <c r="F2" s="2">
        <f>SUM(C2:C17)</f>
        <v>72.111111111110986</v>
      </c>
    </row>
    <row r="3" spans="1:6">
      <c r="A3" s="3">
        <f>A2+1</f>
        <v>42660</v>
      </c>
      <c r="B3" s="2">
        <v>2.0069692058346802</v>
      </c>
      <c r="C3" s="2">
        <v>-0.27777777777777102</v>
      </c>
      <c r="E3" s="1">
        <v>42675</v>
      </c>
      <c r="F3" s="2">
        <f>SUM(C18:C32)</f>
        <v>192.49999999999949</v>
      </c>
    </row>
    <row r="4" spans="1:6">
      <c r="A4" s="3">
        <f t="shared" ref="A4:A32" si="0">A3+1</f>
        <v>42661</v>
      </c>
      <c r="B4" s="2">
        <v>2.96969205834684</v>
      </c>
      <c r="C4" s="2">
        <v>-0.27777777777777102</v>
      </c>
    </row>
    <row r="5" spans="1:6">
      <c r="A5" s="3">
        <f t="shared" si="0"/>
        <v>42662</v>
      </c>
      <c r="B5" s="2">
        <v>4.0204213938411604</v>
      </c>
      <c r="C5" s="2">
        <v>0</v>
      </c>
      <c r="F5" s="2">
        <f>SUM(F2:F3)</f>
        <v>264.61111111111046</v>
      </c>
    </row>
    <row r="6" spans="1:6">
      <c r="A6" s="3">
        <f t="shared" si="0"/>
        <v>42663</v>
      </c>
      <c r="B6" s="2">
        <v>4.9826580226904298</v>
      </c>
      <c r="C6" s="2">
        <v>-0.27777777777777102</v>
      </c>
    </row>
    <row r="7" spans="1:6">
      <c r="A7" s="3">
        <f t="shared" si="0"/>
        <v>42664</v>
      </c>
      <c r="B7" s="2">
        <v>5.94100486223663</v>
      </c>
      <c r="C7" s="2">
        <v>2.2222222222222201</v>
      </c>
    </row>
    <row r="8" spans="1:6">
      <c r="A8" s="3">
        <f t="shared" si="0"/>
        <v>42665</v>
      </c>
      <c r="B8" s="2">
        <v>6.9936790923824903</v>
      </c>
      <c r="C8" s="2">
        <v>0.83333333333333504</v>
      </c>
    </row>
    <row r="9" spans="1:6">
      <c r="A9" s="3">
        <f t="shared" si="0"/>
        <v>42666</v>
      </c>
      <c r="B9" s="2">
        <v>7.9977309562398702</v>
      </c>
      <c r="C9" s="2">
        <v>2.2222222222222201</v>
      </c>
    </row>
    <row r="10" spans="1:6">
      <c r="A10" s="3">
        <f t="shared" si="0"/>
        <v>42667</v>
      </c>
      <c r="B10" s="2">
        <v>9.0465153970826595</v>
      </c>
      <c r="C10" s="2">
        <v>3.05555555555555</v>
      </c>
    </row>
    <row r="11" spans="1:6">
      <c r="A11" s="3">
        <f t="shared" si="0"/>
        <v>42668</v>
      </c>
      <c r="B11" s="2">
        <v>10.049108589951301</v>
      </c>
      <c r="C11" s="2">
        <v>5.2777777777777697</v>
      </c>
    </row>
    <row r="12" spans="1:6">
      <c r="A12" s="3">
        <f t="shared" si="0"/>
        <v>42669</v>
      </c>
      <c r="B12" s="2">
        <v>11.0030794165316</v>
      </c>
      <c r="C12" s="2">
        <v>10.2777777777777</v>
      </c>
    </row>
    <row r="13" spans="1:6">
      <c r="A13" s="3">
        <f t="shared" si="0"/>
        <v>42670</v>
      </c>
      <c r="B13" s="2">
        <v>11.9575364667747</v>
      </c>
      <c r="C13" s="2">
        <v>15</v>
      </c>
    </row>
    <row r="14" spans="1:6">
      <c r="A14" s="3">
        <f t="shared" si="0"/>
        <v>42671</v>
      </c>
      <c r="B14" s="2">
        <v>12.9727714748784</v>
      </c>
      <c r="C14" s="2">
        <v>10</v>
      </c>
    </row>
    <row r="15" spans="1:6">
      <c r="A15" s="3">
        <f t="shared" si="0"/>
        <v>42672</v>
      </c>
      <c r="B15" s="2">
        <v>14.0614262560778</v>
      </c>
      <c r="C15" s="2">
        <v>13.0555555555555</v>
      </c>
    </row>
    <row r="16" spans="1:6">
      <c r="A16" s="3">
        <f t="shared" si="0"/>
        <v>42673</v>
      </c>
      <c r="B16" s="2">
        <v>14.9964343598055</v>
      </c>
      <c r="C16" s="2">
        <v>3.8888888888888902</v>
      </c>
    </row>
    <row r="17" spans="1:3">
      <c r="A17" s="3">
        <f t="shared" si="0"/>
        <v>42674</v>
      </c>
      <c r="B17" s="2">
        <v>15.9990275526742</v>
      </c>
      <c r="C17" s="2">
        <v>6.1111111111111098</v>
      </c>
    </row>
    <row r="18" spans="1:3">
      <c r="A18" s="3">
        <f t="shared" si="0"/>
        <v>42675</v>
      </c>
      <c r="B18" s="2">
        <v>16.996758508914098</v>
      </c>
      <c r="C18" s="2">
        <v>11.1111111111111</v>
      </c>
    </row>
    <row r="19" spans="1:3">
      <c r="A19" s="3">
        <f t="shared" si="0"/>
        <v>42676</v>
      </c>
      <c r="B19" s="2">
        <v>18.008589951377601</v>
      </c>
      <c r="C19" s="2">
        <v>8.05555555555555</v>
      </c>
    </row>
    <row r="20" spans="1:3">
      <c r="A20" s="3">
        <f t="shared" si="0"/>
        <v>42677</v>
      </c>
      <c r="B20" s="2">
        <v>18.955267423014501</v>
      </c>
      <c r="C20" s="2">
        <v>17.2222222222222</v>
      </c>
    </row>
    <row r="21" spans="1:3">
      <c r="A21" s="3">
        <f t="shared" si="0"/>
        <v>42678</v>
      </c>
      <c r="B21" s="2">
        <v>19.972447325769799</v>
      </c>
      <c r="C21" s="2">
        <v>11.1111111111111</v>
      </c>
    </row>
    <row r="22" spans="1:3">
      <c r="A22" s="3">
        <f t="shared" si="0"/>
        <v>42679</v>
      </c>
      <c r="B22" s="2">
        <v>20.9541329011345</v>
      </c>
      <c r="C22" s="2">
        <v>25.2777777777777</v>
      </c>
    </row>
    <row r="23" spans="1:3">
      <c r="A23" s="3">
        <f t="shared" si="0"/>
        <v>42680</v>
      </c>
      <c r="B23" s="2">
        <v>22.017017828200899</v>
      </c>
      <c r="C23" s="2">
        <v>18.0555555555555</v>
      </c>
    </row>
    <row r="24" spans="1:3">
      <c r="A24" s="3">
        <f t="shared" si="0"/>
        <v>42681</v>
      </c>
      <c r="B24" s="2">
        <v>22.958346839546099</v>
      </c>
      <c r="C24" s="2">
        <v>5.2777777777777697</v>
      </c>
    </row>
    <row r="25" spans="1:3">
      <c r="A25" s="3">
        <f t="shared" si="0"/>
        <v>42682</v>
      </c>
      <c r="B25" s="2">
        <v>23.9599675850891</v>
      </c>
      <c r="C25" s="2">
        <v>8.05555555555555</v>
      </c>
    </row>
    <row r="26" spans="1:3">
      <c r="A26" s="3">
        <f t="shared" si="0"/>
        <v>42683</v>
      </c>
      <c r="B26" s="2">
        <v>24.951863857374398</v>
      </c>
      <c r="C26" s="2">
        <v>16.3888888888888</v>
      </c>
    </row>
    <row r="27" spans="1:3">
      <c r="A27" s="3">
        <f t="shared" si="0"/>
        <v>42684</v>
      </c>
      <c r="B27" s="2">
        <v>25.9865478119935</v>
      </c>
      <c r="C27" s="2">
        <v>25.2777777777777</v>
      </c>
    </row>
    <row r="28" spans="1:3">
      <c r="A28" s="3">
        <f t="shared" si="0"/>
        <v>42685</v>
      </c>
      <c r="B28" s="2">
        <v>27.016369529983699</v>
      </c>
      <c r="C28" s="2">
        <v>11.9444444444444</v>
      </c>
    </row>
    <row r="29" spans="1:3">
      <c r="A29" s="3">
        <f t="shared" si="0"/>
        <v>42686</v>
      </c>
      <c r="B29" s="2">
        <v>27.996110210696902</v>
      </c>
      <c r="C29" s="2">
        <v>2.2222222222222201</v>
      </c>
    </row>
    <row r="30" spans="1:3">
      <c r="A30" s="3">
        <f t="shared" si="0"/>
        <v>42687</v>
      </c>
      <c r="B30" s="2">
        <v>28.948622366288401</v>
      </c>
      <c r="C30" s="2">
        <v>8.05555555555555</v>
      </c>
    </row>
    <row r="31" spans="1:3">
      <c r="A31" s="3">
        <f t="shared" si="0"/>
        <v>42688</v>
      </c>
      <c r="B31" s="2">
        <v>30.042625607779499</v>
      </c>
      <c r="C31" s="2">
        <v>8.05555555555555</v>
      </c>
    </row>
    <row r="32" spans="1:3">
      <c r="A32" s="3">
        <f t="shared" si="0"/>
        <v>42689</v>
      </c>
      <c r="B32" s="2">
        <v>31.034521880064801</v>
      </c>
      <c r="C32" s="2">
        <v>16.3888888888888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 Arrivals</vt:lpstr>
      <vt:lpstr>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Peak</dc:creator>
  <cp:lastModifiedBy>Corey Peak</cp:lastModifiedBy>
  <dcterms:created xsi:type="dcterms:W3CDTF">2016-11-16T21:18:56Z</dcterms:created>
  <dcterms:modified xsi:type="dcterms:W3CDTF">2016-12-03T17:36:00Z</dcterms:modified>
</cp:coreProperties>
</file>