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m\Documents\Visual Studio 2015\Projects\TGP\TGP2\publications\"/>
    </mc:Choice>
  </mc:AlternateContent>
  <bookViews>
    <workbookView xWindow="12495" yWindow="0" windowWidth="23055" windowHeight="10320" tabRatio="500" activeTab="3"/>
  </bookViews>
  <sheets>
    <sheet name="Flows" sheetId="3" r:id="rId1"/>
    <sheet name="Opex" sheetId="2" r:id="rId2"/>
    <sheet name="EBITDA" sheetId="5" r:id="rId3"/>
    <sheet name="DC_Company" sheetId="12" r:id="rId4"/>
    <sheet name="DC_Pro-Forma" sheetId="9" r:id="rId5"/>
    <sheet name="DCut_Capex" sheetId="8" r:id="rId6"/>
  </sheets>
  <definedNames>
    <definedName name="Asphalt_API">Flows!$E$13</definedName>
    <definedName name="bbls_mo">EBITDA!$F$3</definedName>
    <definedName name="days_mo">Opex!$G$3</definedName>
    <definedName name="Diesel_cost">EBITDA!$C$10</definedName>
    <definedName name="Driver_Wage">Opex!$D$7</definedName>
    <definedName name="Foreman_wage">Opex!$D$8</definedName>
    <definedName name="Hours_day">Flows!$B$10</definedName>
    <definedName name="HQ_Wage">Opex!$D$10</definedName>
    <definedName name="kWhr">Opex!$D$3</definedName>
    <definedName name="LRA_Oil_content">Flows!$E$11</definedName>
    <definedName name="Mgr_wage">Opex!$D$11</definedName>
    <definedName name="MinDivCash">DC_Company!$F$137</definedName>
    <definedName name="Oil_Recovery_Ratio">EBITDA!$D$10</definedName>
    <definedName name="Oper_wage">Opex!$D$6</definedName>
    <definedName name="_xlnm.Print_Area" localSheetId="5">DCut_Capex!$A$1:$G$36</definedName>
    <definedName name="_xlnm.Print_Area" localSheetId="2">EBITDA!$A$2:$H$23</definedName>
    <definedName name="_xlnm.Print_Area" localSheetId="0">Flows!$A$1:$G$34</definedName>
    <definedName name="Tech_wage" localSheetId="3">Opex!#REF!</definedName>
    <definedName name="Tech_wage" localSheetId="5">Opex!#REF!</definedName>
    <definedName name="Tech_wage">Opex!#REF!</definedName>
    <definedName name="Water_Yrd">Opex!$D$4</definedName>
  </definedNames>
  <calcPr calcId="152511"/>
  <fileRecoveryPr repairLoad="1"/>
</workbook>
</file>

<file path=xl/calcChain.xml><?xml version="1.0" encoding="utf-8"?>
<calcChain xmlns="http://schemas.openxmlformats.org/spreadsheetml/2006/main">
  <c r="G36" i="8" l="1"/>
  <c r="F35" i="8"/>
  <c r="F34" i="8"/>
  <c r="G32" i="8"/>
  <c r="F31" i="8"/>
  <c r="F30" i="8"/>
  <c r="F26" i="8"/>
  <c r="F25" i="8"/>
  <c r="G23" i="8"/>
  <c r="F22" i="8"/>
  <c r="F21" i="8"/>
  <c r="F20" i="8"/>
  <c r="F19" i="8"/>
  <c r="F18" i="8"/>
  <c r="F17" i="8"/>
  <c r="F16" i="8"/>
  <c r="F15" i="8"/>
  <c r="F14" i="8"/>
  <c r="F13" i="8"/>
  <c r="F12" i="8"/>
  <c r="E12" i="8"/>
  <c r="F11" i="8"/>
  <c r="F10" i="8"/>
  <c r="F9" i="8"/>
  <c r="F8" i="8"/>
  <c r="N7" i="8"/>
  <c r="M7" i="8"/>
  <c r="L7" i="8"/>
  <c r="K7" i="8"/>
  <c r="J7" i="8"/>
  <c r="F7" i="8"/>
  <c r="N6" i="8"/>
  <c r="N5" i="8"/>
  <c r="N4" i="8"/>
  <c r="N3" i="8"/>
  <c r="M3" i="8"/>
  <c r="L3" i="8"/>
  <c r="K3" i="8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AE111" i="9"/>
  <c r="AD111" i="9"/>
  <c r="AC111" i="9"/>
  <c r="T111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H105" i="9"/>
  <c r="G105" i="9"/>
  <c r="F105" i="9"/>
  <c r="I102" i="9"/>
  <c r="H102" i="9"/>
  <c r="G102" i="9"/>
  <c r="F102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Q99" i="9"/>
  <c r="P99" i="9"/>
  <c r="O99" i="9"/>
  <c r="N99" i="9"/>
  <c r="M99" i="9"/>
  <c r="L99" i="9"/>
  <c r="K99" i="9"/>
  <c r="J99" i="9"/>
  <c r="I99" i="9"/>
  <c r="H98" i="9"/>
  <c r="G98" i="9"/>
  <c r="F98" i="9"/>
  <c r="E98" i="9"/>
  <c r="K97" i="9"/>
  <c r="J97" i="9"/>
  <c r="I97" i="9"/>
  <c r="H96" i="9"/>
  <c r="G96" i="9"/>
  <c r="F96" i="9"/>
  <c r="E96" i="9"/>
  <c r="E95" i="9"/>
  <c r="Q92" i="9"/>
  <c r="P92" i="9"/>
  <c r="O92" i="9"/>
  <c r="N92" i="9"/>
  <c r="M92" i="9"/>
  <c r="L92" i="9"/>
  <c r="K92" i="9"/>
  <c r="J92" i="9"/>
  <c r="I92" i="9"/>
  <c r="Q91" i="9"/>
  <c r="P91" i="9"/>
  <c r="O91" i="9"/>
  <c r="N91" i="9"/>
  <c r="M91" i="9"/>
  <c r="L91" i="9"/>
  <c r="K91" i="9"/>
  <c r="J91" i="9"/>
  <c r="I91" i="9"/>
  <c r="Q90" i="9"/>
  <c r="P90" i="9"/>
  <c r="O90" i="9"/>
  <c r="N90" i="9"/>
  <c r="M90" i="9"/>
  <c r="L90" i="9"/>
  <c r="K90" i="9"/>
  <c r="J90" i="9"/>
  <c r="I90" i="9"/>
  <c r="Q89" i="9"/>
  <c r="P89" i="9"/>
  <c r="O89" i="9"/>
  <c r="N89" i="9"/>
  <c r="M89" i="9"/>
  <c r="L89" i="9"/>
  <c r="K89" i="9"/>
  <c r="J89" i="9"/>
  <c r="I89" i="9"/>
  <c r="Q88" i="9"/>
  <c r="P88" i="9"/>
  <c r="O88" i="9"/>
  <c r="N88" i="9"/>
  <c r="M88" i="9"/>
  <c r="L88" i="9"/>
  <c r="K88" i="9"/>
  <c r="J88" i="9"/>
  <c r="I88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Q87" i="9"/>
  <c r="P87" i="9"/>
  <c r="O87" i="9"/>
  <c r="N87" i="9"/>
  <c r="M87" i="9"/>
  <c r="L87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Q85" i="9"/>
  <c r="P85" i="9"/>
  <c r="O85" i="9"/>
  <c r="Q81" i="9"/>
  <c r="P81" i="9"/>
  <c r="O81" i="9"/>
  <c r="N81" i="9"/>
  <c r="M81" i="9"/>
  <c r="L81" i="9"/>
  <c r="K81" i="9"/>
  <c r="J81" i="9"/>
  <c r="I81" i="9"/>
  <c r="H81" i="9"/>
  <c r="G81" i="9"/>
  <c r="F81" i="9"/>
  <c r="Q80" i="9"/>
  <c r="P80" i="9"/>
  <c r="O80" i="9"/>
  <c r="N80" i="9"/>
  <c r="M80" i="9"/>
  <c r="L80" i="9"/>
  <c r="K80" i="9"/>
  <c r="J80" i="9"/>
  <c r="I80" i="9"/>
  <c r="H80" i="9"/>
  <c r="G80" i="9"/>
  <c r="F80" i="9"/>
  <c r="K79" i="9"/>
  <c r="J79" i="9"/>
  <c r="I79" i="9"/>
  <c r="H79" i="9"/>
  <c r="G79" i="9"/>
  <c r="F79" i="9"/>
  <c r="N76" i="9"/>
  <c r="M76" i="9"/>
  <c r="L76" i="9"/>
  <c r="K76" i="9"/>
  <c r="J76" i="9"/>
  <c r="I76" i="9"/>
  <c r="H76" i="9"/>
  <c r="G76" i="9"/>
  <c r="F76" i="9"/>
  <c r="Q75" i="9"/>
  <c r="P75" i="9"/>
  <c r="O75" i="9"/>
  <c r="N75" i="9"/>
  <c r="M75" i="9"/>
  <c r="L75" i="9"/>
  <c r="K75" i="9"/>
  <c r="J75" i="9"/>
  <c r="I75" i="9"/>
  <c r="H75" i="9"/>
  <c r="G75" i="9"/>
  <c r="F75" i="9"/>
  <c r="Q74" i="9"/>
  <c r="P74" i="9"/>
  <c r="O74" i="9"/>
  <c r="N74" i="9"/>
  <c r="M74" i="9"/>
  <c r="L74" i="9"/>
  <c r="K74" i="9"/>
  <c r="J74" i="9"/>
  <c r="I74" i="9"/>
  <c r="H74" i="9"/>
  <c r="G74" i="9"/>
  <c r="F74" i="9"/>
  <c r="Q73" i="9"/>
  <c r="P73" i="9"/>
  <c r="O73" i="9"/>
  <c r="N73" i="9"/>
  <c r="M73" i="9"/>
  <c r="L73" i="9"/>
  <c r="K72" i="9"/>
  <c r="J72" i="9"/>
  <c r="I72" i="9"/>
  <c r="H72" i="9"/>
  <c r="G72" i="9"/>
  <c r="F72" i="9"/>
  <c r="E72" i="9"/>
  <c r="P71" i="9"/>
  <c r="O71" i="9"/>
  <c r="N71" i="9"/>
  <c r="M71" i="9"/>
  <c r="L71" i="9"/>
  <c r="K70" i="9"/>
  <c r="J70" i="9"/>
  <c r="I70" i="9"/>
  <c r="H70" i="9"/>
  <c r="G70" i="9"/>
  <c r="F70" i="9"/>
  <c r="E70" i="9"/>
  <c r="E69" i="9"/>
  <c r="L68" i="9"/>
  <c r="K68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Q61" i="9"/>
  <c r="P61" i="9"/>
  <c r="O61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Q59" i="9"/>
  <c r="P59" i="9"/>
  <c r="O59" i="9"/>
  <c r="Q55" i="9"/>
  <c r="P55" i="9"/>
  <c r="O55" i="9"/>
  <c r="N55" i="9"/>
  <c r="M55" i="9"/>
  <c r="L55" i="9"/>
  <c r="K55" i="9"/>
  <c r="J55" i="9"/>
  <c r="I55" i="9"/>
  <c r="H55" i="9"/>
  <c r="G55" i="9"/>
  <c r="F55" i="9"/>
  <c r="Q54" i="9"/>
  <c r="P54" i="9"/>
  <c r="O54" i="9"/>
  <c r="N54" i="9"/>
  <c r="M54" i="9"/>
  <c r="L54" i="9"/>
  <c r="K54" i="9"/>
  <c r="J54" i="9"/>
  <c r="I54" i="9"/>
  <c r="H54" i="9"/>
  <c r="G54" i="9"/>
  <c r="F54" i="9"/>
  <c r="H53" i="9"/>
  <c r="G53" i="9"/>
  <c r="F53" i="9"/>
  <c r="I50" i="9"/>
  <c r="H50" i="9"/>
  <c r="G50" i="9"/>
  <c r="F50" i="9"/>
  <c r="Q49" i="9"/>
  <c r="P49" i="9"/>
  <c r="O49" i="9"/>
  <c r="N49" i="9"/>
  <c r="M49" i="9"/>
  <c r="L49" i="9"/>
  <c r="K49" i="9"/>
  <c r="J49" i="9"/>
  <c r="I49" i="9"/>
  <c r="H49" i="9"/>
  <c r="G49" i="9"/>
  <c r="F49" i="9"/>
  <c r="Q48" i="9"/>
  <c r="P48" i="9"/>
  <c r="O48" i="9"/>
  <c r="N48" i="9"/>
  <c r="M48" i="9"/>
  <c r="L48" i="9"/>
  <c r="K48" i="9"/>
  <c r="J48" i="9"/>
  <c r="I48" i="9"/>
  <c r="H48" i="9"/>
  <c r="G48" i="9"/>
  <c r="F48" i="9"/>
  <c r="Q47" i="9"/>
  <c r="P47" i="9"/>
  <c r="O47" i="9"/>
  <c r="N47" i="9"/>
  <c r="M47" i="9"/>
  <c r="L47" i="9"/>
  <c r="K47" i="9"/>
  <c r="J47" i="9"/>
  <c r="I47" i="9"/>
  <c r="H46" i="9"/>
  <c r="G46" i="9"/>
  <c r="F46" i="9"/>
  <c r="E46" i="9"/>
  <c r="K45" i="9"/>
  <c r="J45" i="9"/>
  <c r="I45" i="9"/>
  <c r="H44" i="9"/>
  <c r="G44" i="9"/>
  <c r="F44" i="9"/>
  <c r="E44" i="9"/>
  <c r="E43" i="9"/>
  <c r="Q10" i="9"/>
  <c r="P10" i="9"/>
  <c r="O10" i="9"/>
  <c r="N10" i="9"/>
  <c r="M10" i="9"/>
  <c r="L10" i="9"/>
  <c r="K10" i="9"/>
  <c r="J10" i="9"/>
  <c r="I10" i="9"/>
  <c r="Q9" i="9"/>
  <c r="P9" i="9"/>
  <c r="O9" i="9"/>
  <c r="N9" i="9"/>
  <c r="M9" i="9"/>
  <c r="L9" i="9"/>
  <c r="K9" i="9"/>
  <c r="J9" i="9"/>
  <c r="I9" i="9"/>
  <c r="Q8" i="9"/>
  <c r="P8" i="9"/>
  <c r="O8" i="9"/>
  <c r="N8" i="9"/>
  <c r="M8" i="9"/>
  <c r="L8" i="9"/>
  <c r="K8" i="9"/>
  <c r="J8" i="9"/>
  <c r="I8" i="9"/>
  <c r="Q7" i="9"/>
  <c r="P7" i="9"/>
  <c r="O7" i="9"/>
  <c r="N7" i="9"/>
  <c r="M7" i="9"/>
  <c r="L7" i="9"/>
  <c r="K7" i="9"/>
  <c r="J7" i="9"/>
  <c r="I7" i="9"/>
  <c r="Q6" i="9"/>
  <c r="P6" i="9"/>
  <c r="O6" i="9"/>
  <c r="N6" i="9"/>
  <c r="M6" i="9"/>
  <c r="L6" i="9"/>
  <c r="K6" i="9"/>
  <c r="J6" i="9"/>
  <c r="I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Q5" i="9"/>
  <c r="P5" i="9"/>
  <c r="O5" i="9"/>
  <c r="N5" i="9"/>
  <c r="M5" i="9"/>
  <c r="L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AT159" i="12"/>
  <c r="AT158" i="12"/>
  <c r="AU157" i="12"/>
  <c r="AY156" i="12"/>
  <c r="AX156" i="12"/>
  <c r="AW156" i="12"/>
  <c r="AV156" i="12"/>
  <c r="AV155" i="12"/>
  <c r="AV154" i="12"/>
  <c r="BD153" i="12"/>
  <c r="BC153" i="12"/>
  <c r="BB153" i="12"/>
  <c r="BA153" i="12"/>
  <c r="AZ153" i="12"/>
  <c r="AY153" i="12"/>
  <c r="AX153" i="12"/>
  <c r="AW153" i="12"/>
  <c r="AV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AV152" i="12"/>
  <c r="AU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BD150" i="12"/>
  <c r="BC150" i="12"/>
  <c r="BB150" i="12"/>
  <c r="BA150" i="12"/>
  <c r="AZ150" i="12"/>
  <c r="AY150" i="12"/>
  <c r="AX150" i="12"/>
  <c r="AW150" i="12"/>
  <c r="AV150" i="12"/>
  <c r="BD149" i="12"/>
  <c r="BD151" i="12" s="1"/>
  <c r="BC149" i="12"/>
  <c r="BC151" i="12" s="1"/>
  <c r="BB149" i="12"/>
  <c r="BB151" i="12" s="1"/>
  <c r="BA149" i="12"/>
  <c r="AZ149" i="12"/>
  <c r="AZ151" i="12" s="1"/>
  <c r="AY149" i="12"/>
  <c r="AY151" i="12" s="1"/>
  <c r="AX149" i="12"/>
  <c r="AX151" i="12" s="1"/>
  <c r="AW149" i="12"/>
  <c r="AV149" i="12"/>
  <c r="AU148" i="12"/>
  <c r="AS147" i="12"/>
  <c r="AT146" i="12"/>
  <c r="AW145" i="12"/>
  <c r="AU145" i="12"/>
  <c r="I145" i="12"/>
  <c r="H145" i="12"/>
  <c r="G145" i="12"/>
  <c r="AW144" i="12"/>
  <c r="AV144" i="12"/>
  <c r="I144" i="12"/>
  <c r="H144" i="12"/>
  <c r="BD143" i="12"/>
  <c r="BC143" i="12"/>
  <c r="BB143" i="12"/>
  <c r="BA143" i="12"/>
  <c r="AZ143" i="12"/>
  <c r="AY143" i="12"/>
  <c r="AX143" i="12"/>
  <c r="AW143" i="12"/>
  <c r="AV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BD142" i="12"/>
  <c r="BC142" i="12"/>
  <c r="BB142" i="12"/>
  <c r="BA142" i="12"/>
  <c r="AZ142" i="12"/>
  <c r="AY142" i="12"/>
  <c r="AX142" i="12"/>
  <c r="AW142" i="12"/>
  <c r="AU142" i="12"/>
  <c r="AU141" i="12"/>
  <c r="AT140" i="12"/>
  <c r="BD139" i="12"/>
  <c r="BC139" i="12"/>
  <c r="BB139" i="12"/>
  <c r="BA139" i="12"/>
  <c r="AZ139" i="12"/>
  <c r="AY139" i="12"/>
  <c r="AX139" i="12"/>
  <c r="AW139" i="12"/>
  <c r="AT136" i="12"/>
  <c r="AY135" i="12"/>
  <c r="AV135" i="12"/>
  <c r="AY134" i="12"/>
  <c r="AV134" i="12"/>
  <c r="AV133" i="12"/>
  <c r="AW132" i="12"/>
  <c r="AV132" i="12"/>
  <c r="G132" i="12"/>
  <c r="P130" i="12"/>
  <c r="O130" i="12"/>
  <c r="N130" i="12"/>
  <c r="M130" i="12"/>
  <c r="L130" i="12"/>
  <c r="K130" i="12"/>
  <c r="J130" i="12"/>
  <c r="I130" i="12"/>
  <c r="H130" i="12"/>
  <c r="G130" i="12"/>
  <c r="AU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BD128" i="12"/>
  <c r="BC128" i="12"/>
  <c r="BB128" i="12"/>
  <c r="BA128" i="12"/>
  <c r="AZ128" i="12"/>
  <c r="AY128" i="12"/>
  <c r="AX128" i="12"/>
  <c r="AW128" i="12"/>
  <c r="AV128" i="12"/>
  <c r="BD127" i="12"/>
  <c r="BC127" i="12"/>
  <c r="BB127" i="12"/>
  <c r="BA127" i="12"/>
  <c r="AZ127" i="12"/>
  <c r="AY127" i="12"/>
  <c r="AX127" i="12"/>
  <c r="AW127" i="12"/>
  <c r="AV127" i="12"/>
  <c r="BD126" i="12"/>
  <c r="BC126" i="12"/>
  <c r="BB126" i="12"/>
  <c r="BA126" i="12"/>
  <c r="AZ126" i="12"/>
  <c r="AY126" i="12"/>
  <c r="AX126" i="12"/>
  <c r="AW126" i="12"/>
  <c r="AV126" i="12"/>
  <c r="BD125" i="12"/>
  <c r="BC125" i="12"/>
  <c r="BB125" i="12"/>
  <c r="BA125" i="12"/>
  <c r="AZ125" i="12"/>
  <c r="AY125" i="12"/>
  <c r="AX125" i="12"/>
  <c r="AW125" i="12"/>
  <c r="AV125" i="12"/>
  <c r="AU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N118" i="12"/>
  <c r="AD117" i="12"/>
  <c r="AC117" i="12"/>
  <c r="AB117" i="12"/>
  <c r="AA117" i="12"/>
  <c r="Z117" i="12"/>
  <c r="Y117" i="12"/>
  <c r="N117" i="12"/>
  <c r="BD116" i="12"/>
  <c r="BC116" i="12"/>
  <c r="BB116" i="12"/>
  <c r="BA116" i="12"/>
  <c r="AZ116" i="12"/>
  <c r="AY116" i="12"/>
  <c r="AX116" i="12"/>
  <c r="AW116" i="12"/>
  <c r="AV116" i="12"/>
  <c r="Q116" i="12"/>
  <c r="P116" i="12"/>
  <c r="O116" i="12"/>
  <c r="N116" i="12"/>
  <c r="F116" i="12"/>
  <c r="F115" i="12"/>
  <c r="N110" i="12"/>
  <c r="AD109" i="12"/>
  <c r="AC109" i="12"/>
  <c r="N109" i="12"/>
  <c r="BD108" i="12"/>
  <c r="BC108" i="12"/>
  <c r="BB108" i="12"/>
  <c r="BA108" i="12"/>
  <c r="AZ108" i="12"/>
  <c r="AY108" i="12"/>
  <c r="AX108" i="12"/>
  <c r="AW108" i="12"/>
  <c r="AV108" i="12"/>
  <c r="Q108" i="12"/>
  <c r="P108" i="12"/>
  <c r="O108" i="12"/>
  <c r="N108" i="12"/>
  <c r="F108" i="12"/>
  <c r="F107" i="12"/>
  <c r="AA101" i="12"/>
  <c r="Z101" i="12"/>
  <c r="Y101" i="12"/>
  <c r="X101" i="12"/>
  <c r="W101" i="12"/>
  <c r="V101" i="12"/>
  <c r="N101" i="12"/>
  <c r="BD100" i="12"/>
  <c r="BC100" i="12"/>
  <c r="BB100" i="12"/>
  <c r="BA100" i="12"/>
  <c r="AZ100" i="12"/>
  <c r="AY100" i="12"/>
  <c r="AX100" i="12"/>
  <c r="AW100" i="12"/>
  <c r="AV100" i="12"/>
  <c r="Q100" i="12"/>
  <c r="P100" i="12"/>
  <c r="O100" i="12"/>
  <c r="N100" i="12"/>
  <c r="F100" i="12"/>
  <c r="F99" i="12"/>
  <c r="AX95" i="12"/>
  <c r="AW95" i="12"/>
  <c r="AT95" i="12"/>
  <c r="AX94" i="12"/>
  <c r="AW94" i="12"/>
  <c r="AU94" i="12"/>
  <c r="BD93" i="12"/>
  <c r="BC93" i="12"/>
  <c r="BB93" i="12"/>
  <c r="AX93" i="12"/>
  <c r="AW93" i="12"/>
  <c r="AU93" i="12"/>
  <c r="N93" i="12"/>
  <c r="N94" i="12" s="1"/>
  <c r="BD92" i="12"/>
  <c r="BC92" i="12"/>
  <c r="BB92" i="12"/>
  <c r="BA92" i="12"/>
  <c r="AZ92" i="12"/>
  <c r="AY92" i="12"/>
  <c r="AX92" i="12"/>
  <c r="AW92" i="12"/>
  <c r="AV92" i="12"/>
  <c r="Q92" i="12"/>
  <c r="P92" i="12"/>
  <c r="O92" i="12"/>
  <c r="N92" i="12"/>
  <c r="F92" i="12"/>
  <c r="F91" i="12"/>
  <c r="BD90" i="12"/>
  <c r="BC90" i="12"/>
  <c r="BB90" i="12"/>
  <c r="BA90" i="12"/>
  <c r="AZ90" i="12"/>
  <c r="AY90" i="12"/>
  <c r="AX90" i="12"/>
  <c r="AW90" i="12"/>
  <c r="I89" i="12"/>
  <c r="H89" i="12"/>
  <c r="G89" i="12"/>
  <c r="I88" i="12"/>
  <c r="G88" i="12"/>
  <c r="H88" i="12" s="1"/>
  <c r="AW87" i="12"/>
  <c r="AS87" i="12"/>
  <c r="N87" i="12"/>
  <c r="M87" i="12"/>
  <c r="I87" i="12"/>
  <c r="H87" i="12"/>
  <c r="G87" i="12"/>
  <c r="N86" i="12"/>
  <c r="M86" i="12"/>
  <c r="J86" i="12"/>
  <c r="J87" i="12" s="1"/>
  <c r="J85" i="12"/>
  <c r="BD84" i="12"/>
  <c r="BC84" i="12"/>
  <c r="BB84" i="12"/>
  <c r="BA84" i="12"/>
  <c r="BA123" i="12" s="1"/>
  <c r="AZ84" i="12"/>
  <c r="AY84" i="12"/>
  <c r="AX84" i="12"/>
  <c r="AW84" i="12"/>
  <c r="AW123" i="12" s="1"/>
  <c r="AV84" i="12"/>
  <c r="I84" i="12"/>
  <c r="H84" i="12"/>
  <c r="G84" i="12"/>
  <c r="F84" i="12"/>
  <c r="F83" i="12"/>
  <c r="AU81" i="12"/>
  <c r="BD80" i="12"/>
  <c r="BC80" i="12"/>
  <c r="BB80" i="12"/>
  <c r="BA80" i="12"/>
  <c r="AZ80" i="12"/>
  <c r="AY80" i="12"/>
  <c r="AV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AX80" i="12" s="1"/>
  <c r="I80" i="12"/>
  <c r="H80" i="12"/>
  <c r="G80" i="12"/>
  <c r="AW80" i="12" s="1"/>
  <c r="AV79" i="12"/>
  <c r="BD78" i="12"/>
  <c r="BC78" i="12"/>
  <c r="BB78" i="12"/>
  <c r="BA78" i="12"/>
  <c r="AZ78" i="12"/>
  <c r="AY78" i="12"/>
  <c r="AX78" i="12"/>
  <c r="AW78" i="12"/>
  <c r="AS78" i="12"/>
  <c r="AT76" i="12"/>
  <c r="AV74" i="12"/>
  <c r="AU73" i="12"/>
  <c r="AU72" i="12"/>
  <c r="H71" i="12"/>
  <c r="BD70" i="12"/>
  <c r="BC70" i="12"/>
  <c r="BB70" i="12"/>
  <c r="BA70" i="12"/>
  <c r="AZ70" i="12"/>
  <c r="AY70" i="12"/>
  <c r="AX70" i="12"/>
  <c r="AW70" i="12"/>
  <c r="AT70" i="12"/>
  <c r="BD69" i="12"/>
  <c r="BC69" i="12"/>
  <c r="BB69" i="12"/>
  <c r="BA69" i="12"/>
  <c r="AZ69" i="12"/>
  <c r="AY69" i="12"/>
  <c r="AW69" i="12"/>
  <c r="AV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BD68" i="12"/>
  <c r="BC68" i="12"/>
  <c r="BB68" i="12"/>
  <c r="BA68" i="12"/>
  <c r="AZ68" i="12"/>
  <c r="AY68" i="12"/>
  <c r="AX68" i="12"/>
  <c r="AW68" i="12"/>
  <c r="AV68" i="12"/>
  <c r="AD68" i="12"/>
  <c r="AC68" i="12"/>
  <c r="AB68" i="12"/>
  <c r="AA68" i="12"/>
  <c r="Z68" i="12"/>
  <c r="Y68" i="12"/>
  <c r="X68" i="12"/>
  <c r="W68" i="12"/>
  <c r="V68" i="12"/>
  <c r="U68" i="12"/>
  <c r="AD67" i="12"/>
  <c r="AC67" i="12"/>
  <c r="AB67" i="12"/>
  <c r="AA67" i="12"/>
  <c r="Z67" i="12"/>
  <c r="Y67" i="12"/>
  <c r="X67" i="12"/>
  <c r="W67" i="12"/>
  <c r="V67" i="12"/>
  <c r="U67" i="12"/>
  <c r="T67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G64" i="12"/>
  <c r="AU62" i="12"/>
  <c r="H62" i="12"/>
  <c r="AV60" i="12"/>
  <c r="H60" i="12"/>
  <c r="AW60" i="12" s="1"/>
  <c r="G60" i="12"/>
  <c r="G62" i="12" s="1"/>
  <c r="G71" i="12" s="1"/>
  <c r="BD59" i="12"/>
  <c r="BC59" i="12"/>
  <c r="BB59" i="12"/>
  <c r="BA59" i="12"/>
  <c r="AZ59" i="12"/>
  <c r="AY59" i="12"/>
  <c r="AX59" i="12"/>
  <c r="AV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Q59" i="12"/>
  <c r="P59" i="12"/>
  <c r="O59" i="12"/>
  <c r="M59" i="12"/>
  <c r="L59" i="12"/>
  <c r="I59" i="12"/>
  <c r="AW59" i="12" s="1"/>
  <c r="BD58" i="12"/>
  <c r="BC58" i="12"/>
  <c r="BB58" i="12"/>
  <c r="BA58" i="12"/>
  <c r="AV58" i="12"/>
  <c r="AD58" i="12"/>
  <c r="AC58" i="12"/>
  <c r="AB58" i="12"/>
  <c r="AA58" i="12"/>
  <c r="Z58" i="12"/>
  <c r="Y58" i="12"/>
  <c r="X58" i="12"/>
  <c r="W58" i="12"/>
  <c r="V58" i="12"/>
  <c r="J58" i="12"/>
  <c r="I58" i="12"/>
  <c r="I60" i="12" s="1"/>
  <c r="I62" i="12" s="1"/>
  <c r="I71" i="12" s="1"/>
  <c r="BD57" i="12"/>
  <c r="BC57" i="12"/>
  <c r="BB57" i="12"/>
  <c r="BA57" i="12"/>
  <c r="AX57" i="12"/>
  <c r="AW57" i="12"/>
  <c r="AV57" i="12"/>
  <c r="AD57" i="12"/>
  <c r="AC57" i="12"/>
  <c r="AB57" i="12"/>
  <c r="AA57" i="12"/>
  <c r="Z57" i="12"/>
  <c r="Y57" i="12"/>
  <c r="X57" i="12"/>
  <c r="W57" i="12"/>
  <c r="V57" i="12"/>
  <c r="M57" i="12"/>
  <c r="L57" i="12"/>
  <c r="K57" i="12"/>
  <c r="I57" i="12"/>
  <c r="H57" i="12"/>
  <c r="BD56" i="12"/>
  <c r="BC56" i="12"/>
  <c r="BB56" i="12"/>
  <c r="BA56" i="12"/>
  <c r="AW56" i="12"/>
  <c r="AV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K56" i="12"/>
  <c r="I56" i="12"/>
  <c r="H56" i="12"/>
  <c r="AW55" i="12"/>
  <c r="AV55" i="12"/>
  <c r="J55" i="12"/>
  <c r="I55" i="12"/>
  <c r="H55" i="12"/>
  <c r="BD54" i="12"/>
  <c r="BC54" i="12"/>
  <c r="BB54" i="12"/>
  <c r="BA54" i="12"/>
  <c r="AZ54" i="12"/>
  <c r="AY54" i="12"/>
  <c r="AX54" i="12"/>
  <c r="AW54" i="12"/>
  <c r="AV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I54" i="12"/>
  <c r="H54" i="12"/>
  <c r="AU52" i="12"/>
  <c r="M52" i="12"/>
  <c r="AW51" i="12"/>
  <c r="AV51" i="12"/>
  <c r="M51" i="12"/>
  <c r="L51" i="12"/>
  <c r="K51" i="12"/>
  <c r="J51" i="12"/>
  <c r="AX51" i="12" s="1"/>
  <c r="AX50" i="12"/>
  <c r="AW50" i="12"/>
  <c r="AV50" i="12"/>
  <c r="M50" i="12"/>
  <c r="L50" i="12"/>
  <c r="K50" i="12"/>
  <c r="J50" i="12"/>
  <c r="AW49" i="12"/>
  <c r="AV49" i="12"/>
  <c r="M49" i="12"/>
  <c r="L49" i="12"/>
  <c r="K49" i="12"/>
  <c r="J49" i="12"/>
  <c r="AX49" i="12" s="1"/>
  <c r="AX48" i="12"/>
  <c r="AW48" i="12"/>
  <c r="AV48" i="12"/>
  <c r="M48" i="12"/>
  <c r="L48" i="12"/>
  <c r="K48" i="12"/>
  <c r="J48" i="12"/>
  <c r="AW47" i="12"/>
  <c r="AV47" i="12"/>
  <c r="N47" i="12"/>
  <c r="M47" i="12"/>
  <c r="BD46" i="12"/>
  <c r="BC46" i="12"/>
  <c r="BB46" i="12"/>
  <c r="BA46" i="12"/>
  <c r="AZ46" i="12"/>
  <c r="AY46" i="12"/>
  <c r="AX46" i="12"/>
  <c r="AW46" i="12"/>
  <c r="AV46" i="12"/>
  <c r="AU45" i="12"/>
  <c r="N45" i="12"/>
  <c r="M45" i="12"/>
  <c r="L45" i="12"/>
  <c r="K45" i="12"/>
  <c r="J45" i="12"/>
  <c r="AX45" i="12" s="1"/>
  <c r="I45" i="12"/>
  <c r="H45" i="12"/>
  <c r="AW45" i="12" s="1"/>
  <c r="G45" i="12"/>
  <c r="BD44" i="12"/>
  <c r="BC44" i="12"/>
  <c r="BB44" i="12"/>
  <c r="BA44" i="12"/>
  <c r="AZ44" i="12"/>
  <c r="AY44" i="12"/>
  <c r="AX44" i="12"/>
  <c r="AW44" i="12"/>
  <c r="AT44" i="12"/>
  <c r="AZ43" i="12"/>
  <c r="AY43" i="12"/>
  <c r="AX43" i="12"/>
  <c r="AW43" i="12"/>
  <c r="AV43" i="12"/>
  <c r="AZ42" i="12"/>
  <c r="AY42" i="12"/>
  <c r="AX42" i="12"/>
  <c r="AW42" i="12"/>
  <c r="AV42" i="12"/>
  <c r="AU42" i="12"/>
  <c r="AZ41" i="12"/>
  <c r="AY41" i="12"/>
  <c r="AX41" i="12"/>
  <c r="AW41" i="12"/>
  <c r="AV41" i="12"/>
  <c r="AZ40" i="12"/>
  <c r="AY40" i="12"/>
  <c r="AX40" i="12"/>
  <c r="AW40" i="12"/>
  <c r="AV40" i="12"/>
  <c r="AZ39" i="12"/>
  <c r="AY39" i="12"/>
  <c r="AX39" i="12"/>
  <c r="AW39" i="12"/>
  <c r="AV39" i="12"/>
  <c r="U39" i="12"/>
  <c r="BD38" i="12"/>
  <c r="BC38" i="12"/>
  <c r="BB38" i="12"/>
  <c r="BA38" i="12"/>
  <c r="AZ38" i="12"/>
  <c r="AY38" i="12"/>
  <c r="AX38" i="12"/>
  <c r="AW38" i="12"/>
  <c r="AV38" i="12"/>
  <c r="AD38" i="12"/>
  <c r="AC38" i="12"/>
  <c r="AB38" i="12"/>
  <c r="AA38" i="12"/>
  <c r="Z38" i="12"/>
  <c r="Y38" i="12"/>
  <c r="X38" i="12"/>
  <c r="BA37" i="12"/>
  <c r="AZ37" i="12"/>
  <c r="AY37" i="12"/>
  <c r="AX37" i="12"/>
  <c r="AW37" i="12"/>
  <c r="AV37" i="12"/>
  <c r="W37" i="12"/>
  <c r="W39" i="12" s="1"/>
  <c r="V37" i="12"/>
  <c r="V39" i="12" s="1"/>
  <c r="BD36" i="12"/>
  <c r="BC36" i="12"/>
  <c r="BB36" i="12"/>
  <c r="BA36" i="12"/>
  <c r="AZ36" i="12"/>
  <c r="AY36" i="12"/>
  <c r="AX36" i="12"/>
  <c r="AW36" i="12"/>
  <c r="AV36" i="12"/>
  <c r="AZ35" i="12"/>
  <c r="AY35" i="12"/>
  <c r="AX35" i="12"/>
  <c r="AW35" i="12"/>
  <c r="AV35" i="12"/>
  <c r="AZ34" i="12"/>
  <c r="AY34" i="12"/>
  <c r="AX34" i="12"/>
  <c r="AW34" i="12"/>
  <c r="AV34" i="12"/>
  <c r="AZ33" i="12"/>
  <c r="AY33" i="12"/>
  <c r="AX33" i="12"/>
  <c r="AW33" i="12"/>
  <c r="AV33" i="12"/>
  <c r="AZ32" i="12"/>
  <c r="AY32" i="12"/>
  <c r="AX32" i="12"/>
  <c r="AW32" i="12"/>
  <c r="AV32" i="12"/>
  <c r="AZ31" i="12"/>
  <c r="AY31" i="12"/>
  <c r="AX31" i="12"/>
  <c r="AW31" i="12"/>
  <c r="AV31" i="12"/>
  <c r="T31" i="12"/>
  <c r="T34" i="12" s="1"/>
  <c r="BA30" i="12"/>
  <c r="AZ30" i="12"/>
  <c r="AY30" i="12"/>
  <c r="AX30" i="12"/>
  <c r="AW30" i="12"/>
  <c r="AV30" i="12"/>
  <c r="W30" i="12"/>
  <c r="BA29" i="12"/>
  <c r="AZ29" i="12"/>
  <c r="AY29" i="12"/>
  <c r="AX29" i="12"/>
  <c r="AW29" i="12"/>
  <c r="AV29" i="12"/>
  <c r="U29" i="12"/>
  <c r="U31" i="12" s="1"/>
  <c r="AZ27" i="12"/>
  <c r="AY27" i="12"/>
  <c r="AX27" i="12"/>
  <c r="AW27" i="12"/>
  <c r="AV27" i="12"/>
  <c r="AV26" i="12"/>
  <c r="AZ25" i="12"/>
  <c r="AY25" i="12"/>
  <c r="AX25" i="12"/>
  <c r="AW25" i="12"/>
  <c r="AV25" i="12"/>
  <c r="AT25" i="12"/>
  <c r="S25" i="12"/>
  <c r="AZ24" i="12"/>
  <c r="AY24" i="12"/>
  <c r="AX24" i="12"/>
  <c r="AW24" i="12"/>
  <c r="AV24" i="12"/>
  <c r="S24" i="12"/>
  <c r="AZ23" i="12"/>
  <c r="AY23" i="12"/>
  <c r="AX23" i="12"/>
  <c r="AW23" i="12"/>
  <c r="AV23" i="12"/>
  <c r="AU23" i="12"/>
  <c r="S23" i="12"/>
  <c r="S26" i="12" s="1"/>
  <c r="BD22" i="12"/>
  <c r="BC22" i="12"/>
  <c r="BB22" i="12"/>
  <c r="BA22" i="12"/>
  <c r="AZ22" i="12"/>
  <c r="AY22" i="12"/>
  <c r="AX22" i="12"/>
  <c r="AW22" i="12"/>
  <c r="AV22" i="12"/>
  <c r="AZ21" i="12"/>
  <c r="AY21" i="12"/>
  <c r="AX21" i="12"/>
  <c r="AW21" i="12"/>
  <c r="AV21" i="12"/>
  <c r="T21" i="12"/>
  <c r="T23" i="12" s="1"/>
  <c r="BD20" i="12"/>
  <c r="BC20" i="12"/>
  <c r="BB20" i="12"/>
  <c r="BA20" i="12"/>
  <c r="AZ20" i="12"/>
  <c r="AY20" i="12"/>
  <c r="AX20" i="12"/>
  <c r="AW20" i="12"/>
  <c r="AU20" i="12"/>
  <c r="AY19" i="12"/>
  <c r="AX19" i="12"/>
  <c r="AW19" i="12"/>
  <c r="AV19" i="12"/>
  <c r="AV18" i="12"/>
  <c r="R18" i="12"/>
  <c r="AY17" i="12"/>
  <c r="AX17" i="12"/>
  <c r="AW17" i="12"/>
  <c r="AV17" i="12"/>
  <c r="R17" i="12"/>
  <c r="AZ17" i="12" s="1"/>
  <c r="AV16" i="12"/>
  <c r="R16" i="12"/>
  <c r="R19" i="12" s="1"/>
  <c r="AZ15" i="12"/>
  <c r="AY15" i="12"/>
  <c r="AX15" i="12"/>
  <c r="AW15" i="12"/>
  <c r="AV15" i="12"/>
  <c r="R15" i="12"/>
  <c r="AV14" i="12"/>
  <c r="AV13" i="12"/>
  <c r="S13" i="12"/>
  <c r="AX11" i="12"/>
  <c r="AW11" i="12"/>
  <c r="AV11" i="12"/>
  <c r="N11" i="12"/>
  <c r="M11" i="12"/>
  <c r="L11" i="12"/>
  <c r="K11" i="12"/>
  <c r="J11" i="12"/>
  <c r="AX10" i="12"/>
  <c r="AW10" i="12"/>
  <c r="AV10" i="12"/>
  <c r="N10" i="12"/>
  <c r="M10" i="12"/>
  <c r="L10" i="12"/>
  <c r="K10" i="12"/>
  <c r="J10" i="12"/>
  <c r="AX9" i="12"/>
  <c r="AW9" i="12"/>
  <c r="AV9" i="12"/>
  <c r="N9" i="12"/>
  <c r="M9" i="12"/>
  <c r="L9" i="12"/>
  <c r="K9" i="12"/>
  <c r="J9" i="12"/>
  <c r="N8" i="12"/>
  <c r="M8" i="12"/>
  <c r="L8" i="12"/>
  <c r="K8" i="12"/>
  <c r="J8" i="12"/>
  <c r="O7" i="12"/>
  <c r="O9" i="12" s="1"/>
  <c r="AY9" i="12" s="1"/>
  <c r="N7" i="12"/>
  <c r="M7" i="12"/>
  <c r="L7" i="12"/>
  <c r="K7" i="12"/>
  <c r="J7" i="12"/>
  <c r="AY6" i="12"/>
  <c r="AX6" i="12"/>
  <c r="AW6" i="12"/>
  <c r="AV6" i="12"/>
  <c r="P6" i="12"/>
  <c r="O6" i="12"/>
  <c r="BD5" i="12"/>
  <c r="BC5" i="12"/>
  <c r="BB5" i="12"/>
  <c r="BA5" i="12"/>
  <c r="AZ5" i="12"/>
  <c r="AY5" i="12"/>
  <c r="AX5" i="12"/>
  <c r="AW5" i="12"/>
  <c r="AV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BD4" i="12"/>
  <c r="BC4" i="12"/>
  <c r="BB4" i="12"/>
  <c r="BA4" i="12"/>
  <c r="AZ4" i="12"/>
  <c r="AY4" i="12"/>
  <c r="AX4" i="12"/>
  <c r="AW4" i="12"/>
  <c r="AS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BD3" i="12"/>
  <c r="BC3" i="12"/>
  <c r="BB3" i="12"/>
  <c r="BA3" i="12"/>
  <c r="AZ3" i="12"/>
  <c r="AY3" i="12"/>
  <c r="AX3" i="12"/>
  <c r="AS1" i="12"/>
  <c r="R40" i="5"/>
  <c r="Q40" i="5"/>
  <c r="P40" i="5"/>
  <c r="O40" i="5"/>
  <c r="N40" i="5"/>
  <c r="M40" i="5"/>
  <c r="L40" i="5"/>
  <c r="K40" i="5"/>
  <c r="R38" i="5"/>
  <c r="Q38" i="5"/>
  <c r="P38" i="5"/>
  <c r="O38" i="5"/>
  <c r="N38" i="5"/>
  <c r="M38" i="5"/>
  <c r="L38" i="5"/>
  <c r="K38" i="5"/>
  <c r="R36" i="5"/>
  <c r="Q36" i="5"/>
  <c r="P36" i="5"/>
  <c r="O36" i="5"/>
  <c r="N36" i="5"/>
  <c r="M36" i="5"/>
  <c r="L36" i="5"/>
  <c r="K36" i="5"/>
  <c r="R34" i="5"/>
  <c r="Q34" i="5"/>
  <c r="P34" i="5"/>
  <c r="O34" i="5"/>
  <c r="N34" i="5"/>
  <c r="M34" i="5"/>
  <c r="L34" i="5"/>
  <c r="K34" i="5"/>
  <c r="R32" i="5"/>
  <c r="Q32" i="5"/>
  <c r="P32" i="5"/>
  <c r="O32" i="5"/>
  <c r="N32" i="5"/>
  <c r="M32" i="5"/>
  <c r="L32" i="5"/>
  <c r="K32" i="5"/>
  <c r="C19" i="5"/>
  <c r="I16" i="5"/>
  <c r="G16" i="5"/>
  <c r="H15" i="5"/>
  <c r="G15" i="5"/>
  <c r="H14" i="5"/>
  <c r="G14" i="5"/>
  <c r="H13" i="5"/>
  <c r="I12" i="5"/>
  <c r="G12" i="5"/>
  <c r="I11" i="5"/>
  <c r="G11" i="5"/>
  <c r="H10" i="5"/>
  <c r="G10" i="5"/>
  <c r="F10" i="5"/>
  <c r="E10" i="5"/>
  <c r="H9" i="5"/>
  <c r="G9" i="5"/>
  <c r="H8" i="5"/>
  <c r="G8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I6" i="5"/>
  <c r="G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H5" i="5"/>
  <c r="G5" i="5"/>
  <c r="F5" i="5"/>
  <c r="E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H4" i="5"/>
  <c r="G4" i="5"/>
  <c r="F4" i="5"/>
  <c r="E4" i="5"/>
  <c r="D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H3" i="5"/>
  <c r="F3" i="5"/>
  <c r="E3" i="5"/>
  <c r="E44" i="2"/>
  <c r="O37" i="2"/>
  <c r="I37" i="2"/>
  <c r="O36" i="2"/>
  <c r="I36" i="2"/>
  <c r="H36" i="2"/>
  <c r="G36" i="2"/>
  <c r="E36" i="2"/>
  <c r="O35" i="2"/>
  <c r="M35" i="2"/>
  <c r="I35" i="2"/>
  <c r="H35" i="2"/>
  <c r="G35" i="2"/>
  <c r="E35" i="2"/>
  <c r="R34" i="2"/>
  <c r="O33" i="2"/>
  <c r="M33" i="2"/>
  <c r="I29" i="2"/>
  <c r="I28" i="2"/>
  <c r="H28" i="2"/>
  <c r="G28" i="2"/>
  <c r="E28" i="2"/>
  <c r="I26" i="2"/>
  <c r="H26" i="2"/>
  <c r="G26" i="2"/>
  <c r="E26" i="2"/>
  <c r="I24" i="2"/>
  <c r="H24" i="2"/>
  <c r="G24" i="2"/>
  <c r="E24" i="2"/>
  <c r="D24" i="2"/>
  <c r="O23" i="2"/>
  <c r="I23" i="2"/>
  <c r="H23" i="2"/>
  <c r="G23" i="2"/>
  <c r="E23" i="2"/>
  <c r="D23" i="2"/>
  <c r="P22" i="2"/>
  <c r="O22" i="2"/>
  <c r="N22" i="2"/>
  <c r="M22" i="2"/>
  <c r="I22" i="2"/>
  <c r="H22" i="2"/>
  <c r="G22" i="2"/>
  <c r="E22" i="2"/>
  <c r="D22" i="2"/>
  <c r="I21" i="2"/>
  <c r="H21" i="2"/>
  <c r="G21" i="2"/>
  <c r="E21" i="2"/>
  <c r="I20" i="2"/>
  <c r="H20" i="2"/>
  <c r="G20" i="2"/>
  <c r="E20" i="2"/>
  <c r="D20" i="2"/>
  <c r="O19" i="2"/>
  <c r="I19" i="2"/>
  <c r="H19" i="2"/>
  <c r="G19" i="2"/>
  <c r="E19" i="2"/>
  <c r="D19" i="2"/>
  <c r="I18" i="2"/>
  <c r="H18" i="2"/>
  <c r="G18" i="2"/>
  <c r="E18" i="2"/>
  <c r="D18" i="2"/>
  <c r="O17" i="2"/>
  <c r="M17" i="2"/>
  <c r="C14" i="2"/>
  <c r="G13" i="2"/>
  <c r="C13" i="2"/>
  <c r="G2" i="2"/>
  <c r="D2" i="2"/>
  <c r="B47" i="3"/>
  <c r="B46" i="3"/>
  <c r="B45" i="3"/>
  <c r="B44" i="3"/>
  <c r="B43" i="3"/>
  <c r="B42" i="3"/>
  <c r="B41" i="3"/>
  <c r="E40" i="3"/>
  <c r="B40" i="3"/>
  <c r="E39" i="3"/>
  <c r="E38" i="3"/>
  <c r="B38" i="3"/>
  <c r="B37" i="3"/>
  <c r="E33" i="3"/>
  <c r="E32" i="3"/>
  <c r="B32" i="3"/>
  <c r="E31" i="3"/>
  <c r="E30" i="3"/>
  <c r="B30" i="3"/>
  <c r="E29" i="3"/>
  <c r="B29" i="3"/>
  <c r="E28" i="3"/>
  <c r="B28" i="3"/>
  <c r="E27" i="3"/>
  <c r="B27" i="3"/>
  <c r="E26" i="3"/>
  <c r="E25" i="3"/>
  <c r="B24" i="3"/>
  <c r="B23" i="3"/>
  <c r="B22" i="3"/>
  <c r="E19" i="3"/>
  <c r="E18" i="3"/>
  <c r="B18" i="3"/>
  <c r="F17" i="3"/>
  <c r="E17" i="3"/>
  <c r="B17" i="3"/>
  <c r="E16" i="3"/>
  <c r="B16" i="3"/>
  <c r="H15" i="3"/>
  <c r="G15" i="3"/>
  <c r="E15" i="3"/>
  <c r="B15" i="3"/>
  <c r="H14" i="3"/>
  <c r="G14" i="3"/>
  <c r="E14" i="3"/>
  <c r="B14" i="3"/>
  <c r="B13" i="3"/>
  <c r="G12" i="3"/>
  <c r="E12" i="3"/>
  <c r="B12" i="3"/>
  <c r="B11" i="3"/>
  <c r="H10" i="3"/>
  <c r="F10" i="3"/>
  <c r="E10" i="3"/>
  <c r="G9" i="3"/>
  <c r="G8" i="3"/>
  <c r="F8" i="3"/>
  <c r="E8" i="3"/>
  <c r="B5" i="3"/>
  <c r="B3" i="3"/>
  <c r="AX123" i="12" l="1"/>
  <c r="AW52" i="12"/>
  <c r="AZ129" i="12"/>
  <c r="BD129" i="12"/>
  <c r="BB123" i="12"/>
  <c r="AZ123" i="12"/>
  <c r="BD123" i="12"/>
  <c r="AW129" i="12"/>
  <c r="BA129" i="12"/>
  <c r="AW151" i="12"/>
  <c r="BA151" i="12"/>
  <c r="U34" i="12"/>
  <c r="BA34" i="12" s="1"/>
  <c r="U33" i="12"/>
  <c r="U32" i="12"/>
  <c r="AZ19" i="12"/>
  <c r="T26" i="12"/>
  <c r="T25" i="12"/>
  <c r="T24" i="12"/>
  <c r="T27" i="12" s="1"/>
  <c r="J89" i="12"/>
  <c r="J47" i="12"/>
  <c r="P7" i="12"/>
  <c r="Q6" i="12"/>
  <c r="S15" i="12"/>
  <c r="T13" i="12"/>
  <c r="S27" i="12"/>
  <c r="BB30" i="12"/>
  <c r="O10" i="12"/>
  <c r="AY10" i="12" s="1"/>
  <c r="X30" i="12"/>
  <c r="Y30" i="12" s="1"/>
  <c r="BA31" i="12"/>
  <c r="T32" i="12"/>
  <c r="T35" i="12" s="1"/>
  <c r="T33" i="12"/>
  <c r="BA33" i="12" s="1"/>
  <c r="V41" i="12"/>
  <c r="V42" i="12"/>
  <c r="U40" i="12"/>
  <c r="BA39" i="12"/>
  <c r="U41" i="12"/>
  <c r="BA41" i="12" s="1"/>
  <c r="U42" i="12"/>
  <c r="BA42" i="12" s="1"/>
  <c r="AW62" i="12"/>
  <c r="K55" i="12"/>
  <c r="L56" i="12"/>
  <c r="M56" i="12" s="1"/>
  <c r="AY57" i="12"/>
  <c r="N57" i="12"/>
  <c r="O57" i="12" s="1"/>
  <c r="P57" i="12" s="1"/>
  <c r="J60" i="12"/>
  <c r="J144" i="12"/>
  <c r="AX69" i="12"/>
  <c r="K58" i="12"/>
  <c r="L58" i="12" s="1"/>
  <c r="M58" i="12" s="1"/>
  <c r="O8" i="12"/>
  <c r="O11" i="12" s="1"/>
  <c r="U21" i="12"/>
  <c r="V29" i="12"/>
  <c r="W42" i="12"/>
  <c r="W40" i="12"/>
  <c r="W43" i="12" s="1"/>
  <c r="V40" i="12"/>
  <c r="X37" i="12"/>
  <c r="W41" i="12"/>
  <c r="G72" i="12"/>
  <c r="J88" i="12"/>
  <c r="N95" i="12"/>
  <c r="N102" i="12"/>
  <c r="N103" i="12" s="1"/>
  <c r="AW58" i="12"/>
  <c r="N111" i="12"/>
  <c r="N119" i="12"/>
  <c r="AX129" i="12"/>
  <c r="BB129" i="12"/>
  <c r="AY123" i="12"/>
  <c r="BC123" i="12"/>
  <c r="AY129" i="12"/>
  <c r="BC129" i="12"/>
  <c r="N105" i="12" l="1"/>
  <c r="N49" i="12"/>
  <c r="N104" i="12"/>
  <c r="G73" i="12"/>
  <c r="H72" i="12"/>
  <c r="O45" i="12"/>
  <c r="AY45" i="12" s="1"/>
  <c r="O86" i="12"/>
  <c r="O87" i="12" s="1"/>
  <c r="AY11" i="12"/>
  <c r="N56" i="12"/>
  <c r="O56" i="12" s="1"/>
  <c r="P56" i="12" s="1"/>
  <c r="AY56" i="12"/>
  <c r="N121" i="12"/>
  <c r="N120" i="12"/>
  <c r="N51" i="12"/>
  <c r="N113" i="12"/>
  <c r="N112" i="12"/>
  <c r="N50" i="12"/>
  <c r="AY58" i="12"/>
  <c r="N58" i="12"/>
  <c r="O58" i="12" s="1"/>
  <c r="P58" i="12" s="1"/>
  <c r="AX56" i="12"/>
  <c r="U13" i="12"/>
  <c r="T15" i="12"/>
  <c r="U35" i="12"/>
  <c r="BA35" i="12" s="1"/>
  <c r="BA32" i="12"/>
  <c r="J145" i="12"/>
  <c r="K144" i="12"/>
  <c r="P8" i="12"/>
  <c r="P10" i="12"/>
  <c r="P9" i="12"/>
  <c r="X39" i="12"/>
  <c r="BB37" i="12"/>
  <c r="Y37" i="12"/>
  <c r="V31" i="12"/>
  <c r="W29" i="12"/>
  <c r="AX58" i="12"/>
  <c r="Q57" i="12"/>
  <c r="AZ57" i="12" s="1"/>
  <c r="L55" i="12"/>
  <c r="K60" i="12"/>
  <c r="Z30" i="12"/>
  <c r="AA30" i="12" s="1"/>
  <c r="AB30" i="12" s="1"/>
  <c r="S17" i="12"/>
  <c r="S18" i="12"/>
  <c r="S16" i="12"/>
  <c r="J52" i="12"/>
  <c r="J62" i="12" s="1"/>
  <c r="J71" i="12" s="1"/>
  <c r="N97" i="12"/>
  <c r="N96" i="12"/>
  <c r="N48" i="12"/>
  <c r="BA40" i="12"/>
  <c r="U43" i="12"/>
  <c r="V43" i="12"/>
  <c r="V21" i="12"/>
  <c r="U23" i="12"/>
  <c r="BA21" i="12"/>
  <c r="Q7" i="12"/>
  <c r="R6" i="12"/>
  <c r="K85" i="12"/>
  <c r="K86" i="12" l="1"/>
  <c r="K87" i="12" s="1"/>
  <c r="O93" i="12"/>
  <c r="S19" i="12"/>
  <c r="BC30" i="12"/>
  <c r="X29" i="12"/>
  <c r="W31" i="12"/>
  <c r="X40" i="12"/>
  <c r="X41" i="12"/>
  <c r="BB41" i="12" s="1"/>
  <c r="X42" i="12"/>
  <c r="BB42" i="12" s="1"/>
  <c r="BB39" i="12"/>
  <c r="P11" i="12"/>
  <c r="T18" i="12"/>
  <c r="T16" i="12"/>
  <c r="T17" i="12"/>
  <c r="O117" i="12"/>
  <c r="H73" i="12"/>
  <c r="H74" i="12" s="1"/>
  <c r="H76" i="12" s="1"/>
  <c r="V23" i="12"/>
  <c r="W21" i="12"/>
  <c r="N52" i="12"/>
  <c r="V34" i="12"/>
  <c r="V33" i="12"/>
  <c r="V32" i="12"/>
  <c r="V13" i="12"/>
  <c r="U15" i="12"/>
  <c r="Q58" i="12"/>
  <c r="AZ58" i="12"/>
  <c r="O109" i="12"/>
  <c r="Q56" i="12"/>
  <c r="AZ56" i="12" s="1"/>
  <c r="AZ6" i="12"/>
  <c r="S6" i="12"/>
  <c r="R7" i="12"/>
  <c r="U25" i="12"/>
  <c r="BA25" i="12" s="1"/>
  <c r="U24" i="12"/>
  <c r="U26" i="12"/>
  <c r="BA23" i="12"/>
  <c r="BA43" i="12"/>
  <c r="Z37" i="12"/>
  <c r="Y39" i="12"/>
  <c r="I73" i="12"/>
  <c r="I74" i="12" s="1"/>
  <c r="I76" i="12" s="1"/>
  <c r="I72" i="12"/>
  <c r="AW72" i="12" s="1"/>
  <c r="Q10" i="12"/>
  <c r="Q9" i="12"/>
  <c r="Q8" i="12"/>
  <c r="AC30" i="12"/>
  <c r="AD30" i="12" s="1"/>
  <c r="BD30" i="12"/>
  <c r="M55" i="12"/>
  <c r="L60" i="12"/>
  <c r="AX60" i="12" s="1"/>
  <c r="AX55" i="12"/>
  <c r="K145" i="12"/>
  <c r="L144" i="12"/>
  <c r="AY87" i="12"/>
  <c r="O47" i="12"/>
  <c r="G74" i="12"/>
  <c r="AW73" i="12"/>
  <c r="O101" i="12"/>
  <c r="K47" i="12" l="1"/>
  <c r="K88" i="12"/>
  <c r="K89" i="12"/>
  <c r="L85" i="12" s="1"/>
  <c r="I155" i="12"/>
  <c r="AW155" i="12" s="1"/>
  <c r="I79" i="12"/>
  <c r="I81" i="12" s="1"/>
  <c r="I133" i="12" s="1"/>
  <c r="U27" i="12"/>
  <c r="BA24" i="12"/>
  <c r="O110" i="12"/>
  <c r="O111" i="12" s="1"/>
  <c r="U18" i="12"/>
  <c r="U16" i="12"/>
  <c r="U19" i="12" s="1"/>
  <c r="U94" i="12" s="1"/>
  <c r="U95" i="12" s="1"/>
  <c r="U48" i="12" s="1"/>
  <c r="U17" i="12"/>
  <c r="BA17" i="12" s="1"/>
  <c r="BA15" i="12"/>
  <c r="H155" i="12"/>
  <c r="H79" i="12"/>
  <c r="H81" i="12" s="1"/>
  <c r="H133" i="12" s="1"/>
  <c r="W34" i="12"/>
  <c r="W33" i="12"/>
  <c r="W32" i="12"/>
  <c r="W35" i="12" s="1"/>
  <c r="AW74" i="12"/>
  <c r="AW76" i="12" s="1"/>
  <c r="G76" i="12"/>
  <c r="V15" i="12"/>
  <c r="W13" i="12"/>
  <c r="W23" i="12"/>
  <c r="X21" i="12"/>
  <c r="T19" i="12"/>
  <c r="X31" i="12"/>
  <c r="Y29" i="12"/>
  <c r="BB29" i="12"/>
  <c r="O94" i="12"/>
  <c r="AY94" i="12" s="1"/>
  <c r="O95" i="12"/>
  <c r="AY93" i="12"/>
  <c r="AY47" i="12"/>
  <c r="Y40" i="12"/>
  <c r="Y41" i="12"/>
  <c r="Y42" i="12"/>
  <c r="R9" i="12"/>
  <c r="AZ9" i="12" s="1"/>
  <c r="R8" i="12"/>
  <c r="R10" i="12"/>
  <c r="AZ10" i="12" s="1"/>
  <c r="V24" i="12"/>
  <c r="V25" i="12"/>
  <c r="V26" i="12"/>
  <c r="O118" i="12"/>
  <c r="O119" i="12" s="1"/>
  <c r="O102" i="12"/>
  <c r="O103" i="12"/>
  <c r="L145" i="12"/>
  <c r="AX145" i="12" s="1"/>
  <c r="M144" i="12"/>
  <c r="AX144" i="12"/>
  <c r="M60" i="12"/>
  <c r="N55" i="12"/>
  <c r="Q11" i="12"/>
  <c r="J73" i="12"/>
  <c r="J72" i="12"/>
  <c r="Z39" i="12"/>
  <c r="AA37" i="12"/>
  <c r="S7" i="12"/>
  <c r="T6" i="12"/>
  <c r="V35" i="12"/>
  <c r="P86" i="12"/>
  <c r="P87" i="12" s="1"/>
  <c r="P45" i="12"/>
  <c r="X43" i="12"/>
  <c r="BB40" i="12"/>
  <c r="BA19" i="12"/>
  <c r="O50" i="12" l="1"/>
  <c r="AY50" i="12" s="1"/>
  <c r="O112" i="12"/>
  <c r="O113" i="12"/>
  <c r="O51" i="12"/>
  <c r="AY51" i="12" s="1"/>
  <c r="O120" i="12"/>
  <c r="O121" i="12"/>
  <c r="S9" i="12"/>
  <c r="S8" i="12"/>
  <c r="S10" i="12"/>
  <c r="BB43" i="12"/>
  <c r="AA39" i="12"/>
  <c r="BC37" i="12"/>
  <c r="AB37" i="12"/>
  <c r="Q86" i="12"/>
  <c r="Q87" i="12" s="1"/>
  <c r="Q47" i="12" s="1"/>
  <c r="Q45" i="12"/>
  <c r="R11" i="12"/>
  <c r="Y43" i="12"/>
  <c r="O48" i="12"/>
  <c r="AY95" i="12"/>
  <c r="O96" i="12"/>
  <c r="O97" i="12"/>
  <c r="X34" i="12"/>
  <c r="BB34" i="12" s="1"/>
  <c r="X33" i="12"/>
  <c r="BB33" i="12" s="1"/>
  <c r="X32" i="12"/>
  <c r="BB31" i="12"/>
  <c r="W15" i="12"/>
  <c r="X13" i="12"/>
  <c r="L87" i="12"/>
  <c r="L86" i="12"/>
  <c r="Z41" i="12"/>
  <c r="Z42" i="12"/>
  <c r="Z40" i="12"/>
  <c r="M145" i="12"/>
  <c r="N144" i="12"/>
  <c r="V17" i="12"/>
  <c r="V16" i="12"/>
  <c r="V18" i="12"/>
  <c r="BA27" i="12"/>
  <c r="U6" i="12"/>
  <c r="T7" i="12"/>
  <c r="O55" i="12"/>
  <c r="N60" i="12"/>
  <c r="N62" i="12" s="1"/>
  <c r="N71" i="12" s="1"/>
  <c r="V27" i="12"/>
  <c r="X23" i="12"/>
  <c r="Y21" i="12"/>
  <c r="BB21" i="12"/>
  <c r="G155" i="12"/>
  <c r="G79" i="12"/>
  <c r="P47" i="12"/>
  <c r="J74" i="12"/>
  <c r="M62" i="12"/>
  <c r="M71" i="12" s="1"/>
  <c r="O49" i="12"/>
  <c r="AY49" i="12" s="1"/>
  <c r="O105" i="12"/>
  <c r="O104" i="12"/>
  <c r="Y31" i="12"/>
  <c r="Z29" i="12"/>
  <c r="W26" i="12"/>
  <c r="W25" i="12"/>
  <c r="W24" i="12"/>
  <c r="K52" i="12"/>
  <c r="K62" i="12" s="1"/>
  <c r="K71" i="12" s="1"/>
  <c r="U7" i="12" l="1"/>
  <c r="V6" i="12"/>
  <c r="BA6" i="12"/>
  <c r="N145" i="12"/>
  <c r="O144" i="12"/>
  <c r="L47" i="12"/>
  <c r="AX87" i="12"/>
  <c r="P93" i="12"/>
  <c r="Z31" i="12"/>
  <c r="AA29" i="12"/>
  <c r="Z21" i="12"/>
  <c r="Y23" i="12"/>
  <c r="V102" i="12"/>
  <c r="V103" i="12" s="1"/>
  <c r="V49" i="12" s="1"/>
  <c r="X35" i="12"/>
  <c r="BB32" i="12"/>
  <c r="Y118" i="12"/>
  <c r="Y119" i="12" s="1"/>
  <c r="Y51" i="12" s="1"/>
  <c r="AB39" i="12"/>
  <c r="AC37" i="12"/>
  <c r="P117" i="12"/>
  <c r="P109" i="12"/>
  <c r="W27" i="12"/>
  <c r="W102" i="12" s="1"/>
  <c r="W103" i="12" s="1"/>
  <c r="W49" i="12" s="1"/>
  <c r="BC29" i="12"/>
  <c r="P101" i="12"/>
  <c r="J76" i="12"/>
  <c r="G81" i="12"/>
  <c r="G133" i="12" s="1"/>
  <c r="AW79" i="12"/>
  <c r="AW81" i="12" s="1"/>
  <c r="X25" i="12"/>
  <c r="BB25" i="12" s="1"/>
  <c r="X26" i="12"/>
  <c r="X24" i="12"/>
  <c r="BB23" i="12"/>
  <c r="K72" i="12"/>
  <c r="L88" i="12"/>
  <c r="M88" i="12" s="1"/>
  <c r="N88" i="12" s="1"/>
  <c r="O88" i="12" s="1"/>
  <c r="P88" i="12" s="1"/>
  <c r="Q88" i="12" s="1"/>
  <c r="V19" i="12"/>
  <c r="Z43" i="12"/>
  <c r="Z118" i="12" s="1"/>
  <c r="Z119" i="12" s="1"/>
  <c r="Z51" i="12" s="1"/>
  <c r="Y13" i="12"/>
  <c r="X15" i="12"/>
  <c r="R86" i="12"/>
  <c r="R87" i="12" s="1"/>
  <c r="R45" i="12"/>
  <c r="AZ45" i="12" s="1"/>
  <c r="AZ11" i="12"/>
  <c r="Y32" i="12"/>
  <c r="Y34" i="12"/>
  <c r="Y33" i="12"/>
  <c r="G157" i="12"/>
  <c r="G158" i="12" s="1"/>
  <c r="H154" i="12"/>
  <c r="P55" i="12"/>
  <c r="O60" i="12"/>
  <c r="AY60" i="12" s="1"/>
  <c r="AY55" i="12"/>
  <c r="T8" i="12"/>
  <c r="T10" i="12"/>
  <c r="T9" i="12"/>
  <c r="W17" i="12"/>
  <c r="W18" i="12"/>
  <c r="W16" i="12"/>
  <c r="AY48" i="12"/>
  <c r="AY52" i="12" s="1"/>
  <c r="AY62" i="12" s="1"/>
  <c r="O52" i="12"/>
  <c r="O62" i="12" s="1"/>
  <c r="O71" i="12" s="1"/>
  <c r="AA42" i="12"/>
  <c r="BC42" i="12" s="1"/>
  <c r="AA40" i="12"/>
  <c r="BC39" i="12"/>
  <c r="AA41" i="12"/>
  <c r="BC41" i="12" s="1"/>
  <c r="S11" i="12"/>
  <c r="S86" i="12" l="1"/>
  <c r="S87" i="12" s="1"/>
  <c r="S45" i="12"/>
  <c r="T11" i="12"/>
  <c r="I154" i="12"/>
  <c r="H157" i="12"/>
  <c r="H158" i="12" s="1"/>
  <c r="Y35" i="12"/>
  <c r="Z13" i="12"/>
  <c r="Y15" i="12"/>
  <c r="K73" i="12"/>
  <c r="J155" i="12"/>
  <c r="J79" i="12"/>
  <c r="P110" i="12"/>
  <c r="P111" i="12" s="1"/>
  <c r="AB40" i="12"/>
  <c r="AB41" i="12"/>
  <c r="AB42" i="12"/>
  <c r="Y25" i="12"/>
  <c r="Y24" i="12"/>
  <c r="Y26" i="12"/>
  <c r="AB29" i="12"/>
  <c r="AA31" i="12"/>
  <c r="P118" i="12"/>
  <c r="P119" i="12" s="1"/>
  <c r="BC43" i="12"/>
  <c r="BB35" i="12"/>
  <c r="Z23" i="12"/>
  <c r="AA21" i="12"/>
  <c r="Z32" i="12"/>
  <c r="Z34" i="12"/>
  <c r="Z33" i="12"/>
  <c r="L52" i="12"/>
  <c r="L62" i="12" s="1"/>
  <c r="L71" i="12" s="1"/>
  <c r="AX47" i="12"/>
  <c r="AX52" i="12" s="1"/>
  <c r="AX62" i="12" s="1"/>
  <c r="W6" i="12"/>
  <c r="V7" i="12"/>
  <c r="R47" i="12"/>
  <c r="AZ87" i="12"/>
  <c r="P102" i="12"/>
  <c r="P103" i="12" s="1"/>
  <c r="BC51" i="12"/>
  <c r="P94" i="12"/>
  <c r="O145" i="12"/>
  <c r="AY145" i="12" s="1"/>
  <c r="P144" i="12"/>
  <c r="AY144" i="12"/>
  <c r="U10" i="12"/>
  <c r="BA10" i="12" s="1"/>
  <c r="U9" i="12"/>
  <c r="BA9" i="12" s="1"/>
  <c r="U8" i="12"/>
  <c r="V94" i="12"/>
  <c r="AA43" i="12"/>
  <c r="AA118" i="12" s="1"/>
  <c r="AA119" i="12" s="1"/>
  <c r="AA51" i="12" s="1"/>
  <c r="BC40" i="12"/>
  <c r="W19" i="12"/>
  <c r="W94" i="12" s="1"/>
  <c r="W95" i="12" s="1"/>
  <c r="W48" i="12" s="1"/>
  <c r="Q55" i="12"/>
  <c r="P60" i="12"/>
  <c r="X18" i="12"/>
  <c r="X16" i="12"/>
  <c r="X17" i="12"/>
  <c r="BB17" i="12" s="1"/>
  <c r="BB15" i="12"/>
  <c r="R88" i="12"/>
  <c r="S88" i="12" s="1"/>
  <c r="X27" i="12"/>
  <c r="X102" i="12" s="1"/>
  <c r="X103" i="12" s="1"/>
  <c r="X49" i="12" s="1"/>
  <c r="BB49" i="12" s="1"/>
  <c r="BB24" i="12"/>
  <c r="AW133" i="12"/>
  <c r="AW136" i="12" s="1"/>
  <c r="AX132" i="12" s="1"/>
  <c r="G136" i="12"/>
  <c r="AD37" i="12"/>
  <c r="AC39" i="12"/>
  <c r="P50" i="12" l="1"/>
  <c r="P113" i="12"/>
  <c r="P112" i="12"/>
  <c r="P49" i="12"/>
  <c r="P104" i="12"/>
  <c r="P105" i="12"/>
  <c r="P51" i="12"/>
  <c r="P120" i="12"/>
  <c r="P121" i="12"/>
  <c r="X19" i="12"/>
  <c r="X94" i="12" s="1"/>
  <c r="X95" i="12" s="1"/>
  <c r="X48" i="12" s="1"/>
  <c r="Q60" i="12"/>
  <c r="R55" i="12"/>
  <c r="BB19" i="12"/>
  <c r="BB27" i="12"/>
  <c r="Z35" i="12"/>
  <c r="AA34" i="12"/>
  <c r="BC34" i="12" s="1"/>
  <c r="AA33" i="12"/>
  <c r="BC33" i="12" s="1"/>
  <c r="AA32" i="12"/>
  <c r="BC31" i="12"/>
  <c r="Y27" i="12"/>
  <c r="AB43" i="12"/>
  <c r="BB94" i="12"/>
  <c r="V95" i="12"/>
  <c r="AZ47" i="12"/>
  <c r="AA23" i="12"/>
  <c r="AB21" i="12"/>
  <c r="BC21" i="12"/>
  <c r="AB31" i="12"/>
  <c r="AC29" i="12"/>
  <c r="K74" i="12"/>
  <c r="Y18" i="12"/>
  <c r="Y16" i="12"/>
  <c r="Y19" i="12" s="1"/>
  <c r="Y17" i="12"/>
  <c r="J154" i="12"/>
  <c r="I157" i="12"/>
  <c r="I158" i="12" s="1"/>
  <c r="AW154" i="12"/>
  <c r="AW157" i="12" s="1"/>
  <c r="AW158" i="12" s="1"/>
  <c r="S47" i="12"/>
  <c r="G141" i="12"/>
  <c r="G146" i="12" s="1"/>
  <c r="G159" i="12" s="1"/>
  <c r="H132" i="12"/>
  <c r="H136" i="12" s="1"/>
  <c r="AZ55" i="12"/>
  <c r="V9" i="12"/>
  <c r="V8" i="12"/>
  <c r="V10" i="12"/>
  <c r="Z24" i="12"/>
  <c r="Z25" i="12"/>
  <c r="Z26" i="12"/>
  <c r="Z15" i="12"/>
  <c r="AA13" i="12"/>
  <c r="T86" i="12"/>
  <c r="T87" i="12" s="1"/>
  <c r="T47" i="12" s="1"/>
  <c r="T45" i="12"/>
  <c r="AD39" i="12"/>
  <c r="BD37" i="12"/>
  <c r="T88" i="12"/>
  <c r="AC40" i="12"/>
  <c r="AC41" i="12"/>
  <c r="AC42" i="12"/>
  <c r="U11" i="12"/>
  <c r="P145" i="12"/>
  <c r="Q144" i="12"/>
  <c r="P95" i="12"/>
  <c r="W7" i="12"/>
  <c r="X6" i="12"/>
  <c r="BC23" i="12"/>
  <c r="J81" i="12"/>
  <c r="J133" i="12" s="1"/>
  <c r="L72" i="12"/>
  <c r="BA11" i="12"/>
  <c r="V11" i="12" l="1"/>
  <c r="H141" i="12"/>
  <c r="H146" i="12" s="1"/>
  <c r="H159" i="12" s="1"/>
  <c r="I132" i="12"/>
  <c r="I136" i="12" s="1"/>
  <c r="K76" i="12"/>
  <c r="BB95" i="12"/>
  <c r="V48" i="12"/>
  <c r="BB48" i="12" s="1"/>
  <c r="AA35" i="12"/>
  <c r="BC32" i="12"/>
  <c r="M72" i="12"/>
  <c r="M73" i="12" s="1"/>
  <c r="AX72" i="12"/>
  <c r="L73" i="12"/>
  <c r="Q145" i="12"/>
  <c r="R144" i="12"/>
  <c r="AA15" i="12"/>
  <c r="BC15" i="12" s="1"/>
  <c r="AB13" i="12"/>
  <c r="Y94" i="12"/>
  <c r="Y102" i="12"/>
  <c r="Y103" i="12" s="1"/>
  <c r="Y49" i="12" s="1"/>
  <c r="Q101" i="12"/>
  <c r="Q109" i="12"/>
  <c r="P48" i="12"/>
  <c r="P97" i="12"/>
  <c r="P96" i="12"/>
  <c r="BB6" i="12"/>
  <c r="X7" i="12"/>
  <c r="Y6" i="12"/>
  <c r="AD41" i="12"/>
  <c r="BD41" i="12" s="1"/>
  <c r="AD42" i="12"/>
  <c r="BD42" i="12" s="1"/>
  <c r="BD39" i="12"/>
  <c r="AD40" i="12"/>
  <c r="Z17" i="12"/>
  <c r="Z16" i="12"/>
  <c r="Z18" i="12"/>
  <c r="Z27" i="12"/>
  <c r="Z102" i="12" s="1"/>
  <c r="Z103" i="12" s="1"/>
  <c r="Z49" i="12" s="1"/>
  <c r="K154" i="12"/>
  <c r="J157" i="12"/>
  <c r="J158" i="12" s="1"/>
  <c r="AC31" i="12"/>
  <c r="AD29" i="12"/>
  <c r="AD31" i="12" s="1"/>
  <c r="AB23" i="12"/>
  <c r="AC21" i="12"/>
  <c r="Q117" i="12"/>
  <c r="W9" i="12"/>
  <c r="W8" i="12"/>
  <c r="W10" i="12"/>
  <c r="U86" i="12"/>
  <c r="U87" i="12" s="1"/>
  <c r="U47" i="12" s="1"/>
  <c r="U45" i="12"/>
  <c r="BA45" i="12" s="1"/>
  <c r="AC43" i="12"/>
  <c r="AC118" i="12" s="1"/>
  <c r="AC119" i="12" s="1"/>
  <c r="AC51" i="12" s="1"/>
  <c r="AB34" i="12"/>
  <c r="AB33" i="12"/>
  <c r="BD31" i="12"/>
  <c r="AB32" i="12"/>
  <c r="AA26" i="12"/>
  <c r="AA25" i="12"/>
  <c r="BC25" i="12" s="1"/>
  <c r="AA24" i="12"/>
  <c r="AB118" i="12"/>
  <c r="AB119" i="12" s="1"/>
  <c r="AB51" i="12" s="1"/>
  <c r="S55" i="12"/>
  <c r="R60" i="12"/>
  <c r="AZ60" i="12" s="1"/>
  <c r="M74" i="12" l="1"/>
  <c r="T55" i="12"/>
  <c r="S60" i="12"/>
  <c r="AA27" i="12"/>
  <c r="AA102" i="12" s="1"/>
  <c r="AA103" i="12" s="1"/>
  <c r="AA49" i="12" s="1"/>
  <c r="W11" i="12"/>
  <c r="Q118" i="12"/>
  <c r="Q119" i="12" s="1"/>
  <c r="AD21" i="12"/>
  <c r="AD23" i="12" s="1"/>
  <c r="AC23" i="12"/>
  <c r="AD43" i="12"/>
  <c r="Y7" i="12"/>
  <c r="Z6" i="12"/>
  <c r="Q110" i="12"/>
  <c r="Q111" i="12" s="1"/>
  <c r="BC27" i="12"/>
  <c r="Y95" i="12"/>
  <c r="BC35" i="12"/>
  <c r="K155" i="12"/>
  <c r="K79" i="12"/>
  <c r="BD23" i="12"/>
  <c r="AB26" i="12"/>
  <c r="AB25" i="12"/>
  <c r="AB24" i="12"/>
  <c r="K157" i="12"/>
  <c r="K158" i="12" s="1"/>
  <c r="L154" i="12"/>
  <c r="X8" i="12"/>
  <c r="X10" i="12"/>
  <c r="BB10" i="12" s="1"/>
  <c r="X9" i="12"/>
  <c r="BB9" i="12" s="1"/>
  <c r="Q93" i="12"/>
  <c r="BC49" i="12"/>
  <c r="AC13" i="12"/>
  <c r="AB15" i="12"/>
  <c r="L74" i="12"/>
  <c r="AX73" i="12"/>
  <c r="I141" i="12"/>
  <c r="J132" i="12"/>
  <c r="J136" i="12" s="1"/>
  <c r="U88" i="12"/>
  <c r="BC24" i="12"/>
  <c r="AD32" i="12"/>
  <c r="AD34" i="12"/>
  <c r="BD34" i="12" s="1"/>
  <c r="AD33" i="12"/>
  <c r="BA47" i="12"/>
  <c r="Z19" i="12"/>
  <c r="P52" i="12"/>
  <c r="P62" i="12" s="1"/>
  <c r="P71" i="12" s="1"/>
  <c r="AA17" i="12"/>
  <c r="BC17" i="12" s="1"/>
  <c r="AA18" i="12"/>
  <c r="AA16" i="12"/>
  <c r="BD29" i="12"/>
  <c r="AB35" i="12"/>
  <c r="BA87" i="12"/>
  <c r="BD21" i="12"/>
  <c r="AC32" i="12"/>
  <c r="AC35" i="12" s="1"/>
  <c r="AC110" i="12" s="1"/>
  <c r="AC111" i="12" s="1"/>
  <c r="AC50" i="12" s="1"/>
  <c r="AC33" i="12"/>
  <c r="BD33" i="12" s="1"/>
  <c r="AC34" i="12"/>
  <c r="Q102" i="12"/>
  <c r="Q103" i="12" s="1"/>
  <c r="R145" i="12"/>
  <c r="AZ145" i="12" s="1"/>
  <c r="AZ144" i="12"/>
  <c r="S144" i="12"/>
  <c r="N73" i="12"/>
  <c r="N74" i="12" s="1"/>
  <c r="N76" i="12" s="1"/>
  <c r="N72" i="12"/>
  <c r="V86" i="12"/>
  <c r="V87" i="12" s="1"/>
  <c r="V45" i="12"/>
  <c r="BD40" i="12"/>
  <c r="Q50" i="12" l="1"/>
  <c r="Q112" i="12"/>
  <c r="Q113" i="12"/>
  <c r="Q51" i="12"/>
  <c r="Q120" i="12"/>
  <c r="Q121" i="12"/>
  <c r="Q49" i="12"/>
  <c r="Q104" i="12"/>
  <c r="Q105" i="12"/>
  <c r="V47" i="12"/>
  <c r="AA19" i="12"/>
  <c r="AA94" i="12" s="1"/>
  <c r="AA95" i="12" s="1"/>
  <c r="AA48" i="12" s="1"/>
  <c r="V88" i="12"/>
  <c r="L76" i="12"/>
  <c r="AX74" i="12"/>
  <c r="AX76" i="12" s="1"/>
  <c r="Q94" i="12"/>
  <c r="X11" i="12"/>
  <c r="K81" i="12"/>
  <c r="K133" i="12" s="1"/>
  <c r="AD118" i="12"/>
  <c r="AD119" i="12" s="1"/>
  <c r="AD51" i="12" s="1"/>
  <c r="BD51" i="12" s="1"/>
  <c r="BD43" i="12"/>
  <c r="U55" i="12"/>
  <c r="T60" i="12"/>
  <c r="O72" i="12"/>
  <c r="AY72" i="12"/>
  <c r="BD35" i="12"/>
  <c r="Z94" i="12"/>
  <c r="BC19" i="12"/>
  <c r="AD35" i="12"/>
  <c r="AD110" i="12" s="1"/>
  <c r="AD111" i="12" s="1"/>
  <c r="AD50" i="12" s="1"/>
  <c r="BD32" i="12"/>
  <c r="J141" i="12"/>
  <c r="J146" i="12" s="1"/>
  <c r="J159" i="12" s="1"/>
  <c r="K132" i="12"/>
  <c r="K136" i="12" s="1"/>
  <c r="AB18" i="12"/>
  <c r="AB16" i="12"/>
  <c r="AB17" i="12"/>
  <c r="AX154" i="12"/>
  <c r="Y48" i="12"/>
  <c r="AC25" i="12"/>
  <c r="BD25" i="12" s="1"/>
  <c r="AC24" i="12"/>
  <c r="AC26" i="12"/>
  <c r="W86" i="12"/>
  <c r="W87" i="12" s="1"/>
  <c r="W47" i="12" s="1"/>
  <c r="W45" i="12"/>
  <c r="I146" i="12"/>
  <c r="I159" i="12" s="1"/>
  <c r="AW141" i="12"/>
  <c r="AW146" i="12" s="1"/>
  <c r="AW159" i="12" s="1"/>
  <c r="AD13" i="12"/>
  <c r="AD15" i="12" s="1"/>
  <c r="AC15" i="12"/>
  <c r="BD15" i="12" s="1"/>
  <c r="AA6" i="12"/>
  <c r="Z7" i="12"/>
  <c r="AD24" i="12"/>
  <c r="AD25" i="12"/>
  <c r="AD26" i="12"/>
  <c r="N155" i="12"/>
  <c r="N79" i="12"/>
  <c r="N81" i="12" s="1"/>
  <c r="N133" i="12" s="1"/>
  <c r="S145" i="12"/>
  <c r="T144" i="12"/>
  <c r="AB27" i="12"/>
  <c r="BD24" i="12"/>
  <c r="Y10" i="12"/>
  <c r="Y9" i="12"/>
  <c r="Y8" i="12"/>
  <c r="M76" i="12"/>
  <c r="Z8" i="12" l="1"/>
  <c r="Z9" i="12"/>
  <c r="Z10" i="12"/>
  <c r="M155" i="12"/>
  <c r="M79" i="12"/>
  <c r="AD27" i="12"/>
  <c r="AD102" i="12" s="1"/>
  <c r="AD103" i="12" s="1"/>
  <c r="AD49" i="12" s="1"/>
  <c r="AD17" i="12"/>
  <c r="BD17" i="12" s="1"/>
  <c r="AD18" i="12"/>
  <c r="AD16" i="12"/>
  <c r="P73" i="12"/>
  <c r="P72" i="12"/>
  <c r="X86" i="12"/>
  <c r="X87" i="12" s="1"/>
  <c r="X47" i="12" s="1"/>
  <c r="BB47" i="12" s="1"/>
  <c r="X45" i="12"/>
  <c r="BB45" i="12" s="1"/>
  <c r="BB11" i="12"/>
  <c r="L155" i="12"/>
  <c r="L79" i="12"/>
  <c r="BB87" i="12"/>
  <c r="R109" i="12"/>
  <c r="K141" i="12"/>
  <c r="K146" i="12" s="1"/>
  <c r="K159" i="12" s="1"/>
  <c r="L132" i="12"/>
  <c r="U60" i="12"/>
  <c r="BA60" i="12" s="1"/>
  <c r="V55" i="12"/>
  <c r="BA55" i="12"/>
  <c r="W88" i="12"/>
  <c r="X88" i="12" s="1"/>
  <c r="R117" i="12"/>
  <c r="T145" i="12"/>
  <c r="U144" i="12"/>
  <c r="AA7" i="12"/>
  <c r="BC6" i="12"/>
  <c r="AB6" i="12"/>
  <c r="Y11" i="12"/>
  <c r="AB102" i="12"/>
  <c r="AB103" i="12" s="1"/>
  <c r="AB49" i="12" s="1"/>
  <c r="AC18" i="12"/>
  <c r="AC16" i="12"/>
  <c r="AC17" i="12"/>
  <c r="AC27" i="12"/>
  <c r="AC102" i="12" s="1"/>
  <c r="AC103" i="12" s="1"/>
  <c r="AC49" i="12" s="1"/>
  <c r="AB19" i="12"/>
  <c r="Z95" i="12"/>
  <c r="BC94" i="12"/>
  <c r="O73" i="12"/>
  <c r="Q95" i="12"/>
  <c r="R101" i="12"/>
  <c r="R102" i="12" l="1"/>
  <c r="R103" i="12" s="1"/>
  <c r="Z48" i="12"/>
  <c r="BC48" i="12" s="1"/>
  <c r="BC95" i="12"/>
  <c r="Q48" i="12"/>
  <c r="Q96" i="12"/>
  <c r="Q97" i="12"/>
  <c r="AB94" i="12"/>
  <c r="AB7" i="12"/>
  <c r="AC6" i="12"/>
  <c r="W55" i="12"/>
  <c r="V60" i="12"/>
  <c r="R110" i="12"/>
  <c r="R111" i="12"/>
  <c r="L81" i="12"/>
  <c r="L133" i="12" s="1"/>
  <c r="AX133" i="12" s="1"/>
  <c r="AX136" i="12" s="1"/>
  <c r="AY132" i="12" s="1"/>
  <c r="AX79" i="12"/>
  <c r="AX81" i="12" s="1"/>
  <c r="BD27" i="12"/>
  <c r="AX155" i="12"/>
  <c r="AX157" i="12" s="1"/>
  <c r="AX158" i="12" s="1"/>
  <c r="L157" i="12"/>
  <c r="L158" i="12" s="1"/>
  <c r="M154" i="12"/>
  <c r="P74" i="12"/>
  <c r="BD49" i="12"/>
  <c r="AA9" i="12"/>
  <c r="BC9" i="12" s="1"/>
  <c r="AA8" i="12"/>
  <c r="AA10" i="12"/>
  <c r="BC10" i="12" s="1"/>
  <c r="R118" i="12"/>
  <c r="R119" i="12" s="1"/>
  <c r="L136" i="12"/>
  <c r="AD19" i="12"/>
  <c r="AD94" i="12" s="1"/>
  <c r="AD95" i="12" s="1"/>
  <c r="AD48" i="12" s="1"/>
  <c r="M81" i="12"/>
  <c r="M133" i="12" s="1"/>
  <c r="Z11" i="12"/>
  <c r="O74" i="12"/>
  <c r="AY73" i="12"/>
  <c r="AC19" i="12"/>
  <c r="AC94" i="12" s="1"/>
  <c r="AC95" i="12" s="1"/>
  <c r="AC48" i="12" s="1"/>
  <c r="Y86" i="12"/>
  <c r="Y87" i="12" s="1"/>
  <c r="Y88" i="12" s="1"/>
  <c r="Y45" i="12"/>
  <c r="BA144" i="12"/>
  <c r="U145" i="12"/>
  <c r="BA145" i="12" s="1"/>
  <c r="V144" i="12"/>
  <c r="R51" i="12" l="1"/>
  <c r="AZ51" i="12" s="1"/>
  <c r="R121" i="12"/>
  <c r="R120" i="12"/>
  <c r="R49" i="12"/>
  <c r="AZ49" i="12" s="1"/>
  <c r="R105" i="12"/>
  <c r="R104" i="12"/>
  <c r="N154" i="12"/>
  <c r="M157" i="12"/>
  <c r="M158" i="12" s="1"/>
  <c r="X55" i="12"/>
  <c r="W60" i="12"/>
  <c r="AB8" i="12"/>
  <c r="AB11" i="12" s="1"/>
  <c r="AB10" i="12"/>
  <c r="AB9" i="12"/>
  <c r="R50" i="12"/>
  <c r="AZ50" i="12" s="1"/>
  <c r="R113" i="12"/>
  <c r="R112" i="12"/>
  <c r="BD19" i="12"/>
  <c r="O76" i="12"/>
  <c r="AY74" i="12"/>
  <c r="AY76" i="12" s="1"/>
  <c r="BD94" i="12"/>
  <c r="AB95" i="12"/>
  <c r="Q52" i="12"/>
  <c r="Q62" i="12" s="1"/>
  <c r="Q71" i="12" s="1"/>
  <c r="V145" i="12"/>
  <c r="W144" i="12"/>
  <c r="Y47" i="12"/>
  <c r="Z86" i="12"/>
  <c r="Z87" i="12" s="1"/>
  <c r="Z47" i="12" s="1"/>
  <c r="Z45" i="12"/>
  <c r="L141" i="12"/>
  <c r="M132" i="12"/>
  <c r="M136" i="12" s="1"/>
  <c r="AA11" i="12"/>
  <c r="P76" i="12"/>
  <c r="AC7" i="12"/>
  <c r="AD6" i="12"/>
  <c r="R93" i="12"/>
  <c r="BD6" i="12" l="1"/>
  <c r="AD7" i="12"/>
  <c r="Y55" i="12"/>
  <c r="X60" i="12"/>
  <c r="BB60" i="12" s="1"/>
  <c r="BB55" i="12"/>
  <c r="R94" i="12"/>
  <c r="AZ94" i="12" s="1"/>
  <c r="AZ93" i="12"/>
  <c r="M141" i="12"/>
  <c r="M146" i="12" s="1"/>
  <c r="M159" i="12" s="1"/>
  <c r="N132" i="12"/>
  <c r="N136" i="12" s="1"/>
  <c r="P155" i="12"/>
  <c r="P79" i="12"/>
  <c r="AX141" i="12"/>
  <c r="AX146" i="12" s="1"/>
  <c r="AX159" i="12" s="1"/>
  <c r="L146" i="12"/>
  <c r="L159" i="12" s="1"/>
  <c r="Q72" i="12"/>
  <c r="O155" i="12"/>
  <c r="AY155" i="12" s="1"/>
  <c r="O79" i="12"/>
  <c r="S109" i="12"/>
  <c r="S117" i="12"/>
  <c r="W145" i="12"/>
  <c r="X144" i="12"/>
  <c r="BD95" i="12"/>
  <c r="AB48" i="12"/>
  <c r="BD48" i="12" s="1"/>
  <c r="AB86" i="12"/>
  <c r="AB87" i="12" s="1"/>
  <c r="AB45" i="12"/>
  <c r="S101" i="12"/>
  <c r="AC10" i="12"/>
  <c r="AC9" i="12"/>
  <c r="AC8" i="12"/>
  <c r="AA86" i="12"/>
  <c r="AA87" i="12" s="1"/>
  <c r="AA47" i="12" s="1"/>
  <c r="BC47" i="12" s="1"/>
  <c r="AA45" i="12"/>
  <c r="BC45" i="12" s="1"/>
  <c r="BC11" i="12"/>
  <c r="O154" i="12"/>
  <c r="N157" i="12"/>
  <c r="N158" i="12" s="1"/>
  <c r="Z88" i="12"/>
  <c r="AA88" i="12" s="1"/>
  <c r="AB88" i="12" s="1"/>
  <c r="O81" i="12" l="1"/>
  <c r="O133" i="12" s="1"/>
  <c r="AY133" i="12" s="1"/>
  <c r="AY136" i="12" s="1"/>
  <c r="AZ132" i="12" s="1"/>
  <c r="AY79" i="12"/>
  <c r="AY81" i="12" s="1"/>
  <c r="BC87" i="12"/>
  <c r="BB144" i="12"/>
  <c r="X145" i="12"/>
  <c r="BB145" i="12" s="1"/>
  <c r="Y144" i="12"/>
  <c r="N141" i="12"/>
  <c r="N146" i="12" s="1"/>
  <c r="N159" i="12" s="1"/>
  <c r="O132" i="12"/>
  <c r="O136" i="12" s="1"/>
  <c r="R95" i="12"/>
  <c r="Y60" i="12"/>
  <c r="Z55" i="12"/>
  <c r="AD9" i="12"/>
  <c r="BD9" i="12" s="1"/>
  <c r="AD8" i="12"/>
  <c r="AD10" i="12"/>
  <c r="BD10" i="12" s="1"/>
  <c r="S103" i="12"/>
  <c r="S102" i="12"/>
  <c r="AB47" i="12"/>
  <c r="S111" i="12"/>
  <c r="S110" i="12"/>
  <c r="Q73" i="12"/>
  <c r="O157" i="12"/>
  <c r="O158" i="12" s="1"/>
  <c r="AY154" i="12"/>
  <c r="AY157" i="12" s="1"/>
  <c r="AY158" i="12" s="1"/>
  <c r="P154" i="12"/>
  <c r="AC11" i="12"/>
  <c r="S118" i="12"/>
  <c r="S119" i="12" s="1"/>
  <c r="P81" i="12"/>
  <c r="P133" i="12" s="1"/>
  <c r="S51" i="12" l="1"/>
  <c r="S120" i="12"/>
  <c r="S121" i="12"/>
  <c r="Q154" i="12"/>
  <c r="P157" i="12"/>
  <c r="P158" i="12" s="1"/>
  <c r="S50" i="12"/>
  <c r="S113" i="12"/>
  <c r="S112" i="12"/>
  <c r="S49" i="12"/>
  <c r="S105" i="12"/>
  <c r="S104" i="12"/>
  <c r="R48" i="12"/>
  <c r="AZ95" i="12"/>
  <c r="R96" i="12"/>
  <c r="R97" i="12"/>
  <c r="AA55" i="12"/>
  <c r="Z60" i="12"/>
  <c r="O141" i="12"/>
  <c r="P132" i="12"/>
  <c r="P136" i="12" s="1"/>
  <c r="BC55" i="12"/>
  <c r="AC86" i="12"/>
  <c r="AC87" i="12" s="1"/>
  <c r="AC45" i="12"/>
  <c r="Q74" i="12"/>
  <c r="AD11" i="12"/>
  <c r="BD11" i="12" s="1"/>
  <c r="Y145" i="12"/>
  <c r="Z144" i="12"/>
  <c r="AC47" i="12" l="1"/>
  <c r="AC88" i="12"/>
  <c r="Q76" i="12"/>
  <c r="AY141" i="12"/>
  <c r="AY146" i="12" s="1"/>
  <c r="AY159" i="12" s="1"/>
  <c r="O146" i="12"/>
  <c r="O159" i="12" s="1"/>
  <c r="R52" i="12"/>
  <c r="R62" i="12" s="1"/>
  <c r="R71" i="12" s="1"/>
  <c r="AZ48" i="12"/>
  <c r="AZ52" i="12" s="1"/>
  <c r="AZ62" i="12" s="1"/>
  <c r="S93" i="12"/>
  <c r="T109" i="12"/>
  <c r="T117" i="12"/>
  <c r="AD86" i="12"/>
  <c r="AD87" i="12" s="1"/>
  <c r="AD47" i="12" s="1"/>
  <c r="AD52" i="12" s="1"/>
  <c r="AD45" i="12"/>
  <c r="BD45" i="12"/>
  <c r="AB55" i="12"/>
  <c r="AA60" i="12"/>
  <c r="BC60" i="12" s="1"/>
  <c r="T101" i="12"/>
  <c r="Z145" i="12"/>
  <c r="AA144" i="12"/>
  <c r="P141" i="12"/>
  <c r="P146" i="12" s="1"/>
  <c r="P159" i="12" s="1"/>
  <c r="Q132" i="12"/>
  <c r="R72" i="12" l="1"/>
  <c r="AA145" i="12"/>
  <c r="BC145" i="12" s="1"/>
  <c r="AB144" i="12"/>
  <c r="BC144" i="12"/>
  <c r="T102" i="12"/>
  <c r="T103" i="12" s="1"/>
  <c r="AC55" i="12"/>
  <c r="AB60" i="12"/>
  <c r="T119" i="12"/>
  <c r="T118" i="12"/>
  <c r="BD87" i="12"/>
  <c r="AD88" i="12"/>
  <c r="T110" i="12"/>
  <c r="T111" i="12" s="1"/>
  <c r="S95" i="12"/>
  <c r="S94" i="12"/>
  <c r="Q155" i="12"/>
  <c r="Q79" i="12"/>
  <c r="AC52" i="12"/>
  <c r="BD47" i="12"/>
  <c r="T50" i="12" l="1"/>
  <c r="T112" i="12"/>
  <c r="T113" i="12"/>
  <c r="T49" i="12"/>
  <c r="T105" i="12"/>
  <c r="U101" i="12" s="1"/>
  <c r="T104" i="12"/>
  <c r="S48" i="12"/>
  <c r="S96" i="12"/>
  <c r="S97" i="12"/>
  <c r="T93" i="12" s="1"/>
  <c r="T51" i="12"/>
  <c r="T120" i="12"/>
  <c r="T121" i="12"/>
  <c r="Q81" i="12"/>
  <c r="Q133" i="12" s="1"/>
  <c r="R154" i="12"/>
  <c r="Q157" i="12"/>
  <c r="Q158" i="12" s="1"/>
  <c r="R73" i="12"/>
  <c r="AZ72" i="12"/>
  <c r="AC62" i="12"/>
  <c r="AC71" i="12" s="1"/>
  <c r="AC60" i="12"/>
  <c r="AD55" i="12"/>
  <c r="AB145" i="12"/>
  <c r="AC144" i="12"/>
  <c r="S52" i="12" l="1"/>
  <c r="S62" i="12" s="1"/>
  <c r="S71" i="12" s="1"/>
  <c r="Q136" i="12"/>
  <c r="U109" i="12"/>
  <c r="AD60" i="12"/>
  <c r="BD55" i="12"/>
  <c r="T94" i="12"/>
  <c r="BA94" i="12" s="1"/>
  <c r="BA93" i="12"/>
  <c r="AC145" i="12"/>
  <c r="AD144" i="12"/>
  <c r="R74" i="12"/>
  <c r="AZ73" i="12"/>
  <c r="AZ154" i="12"/>
  <c r="U117" i="12"/>
  <c r="U103" i="12"/>
  <c r="U49" i="12" s="1"/>
  <c r="U102" i="12"/>
  <c r="S72" i="12" l="1"/>
  <c r="AZ74" i="12"/>
  <c r="AZ76" i="12" s="1"/>
  <c r="R76" i="12"/>
  <c r="U104" i="12"/>
  <c r="V104" i="12" s="1"/>
  <c r="W104" i="12" s="1"/>
  <c r="X104" i="12" s="1"/>
  <c r="Y104" i="12" s="1"/>
  <c r="Z104" i="12" s="1"/>
  <c r="AA104" i="12" s="1"/>
  <c r="AB104" i="12" s="1"/>
  <c r="AC104" i="12" s="1"/>
  <c r="AD104" i="12" s="1"/>
  <c r="AD145" i="12"/>
  <c r="BD145" i="12" s="1"/>
  <c r="BD144" i="12"/>
  <c r="AD62" i="12"/>
  <c r="AD71" i="12" s="1"/>
  <c r="BD60" i="12"/>
  <c r="Q141" i="12"/>
  <c r="Q146" i="12" s="1"/>
  <c r="Q159" i="12" s="1"/>
  <c r="R132" i="12"/>
  <c r="U118" i="12"/>
  <c r="U119" i="12" s="1"/>
  <c r="U110" i="12"/>
  <c r="U111" i="12" s="1"/>
  <c r="T95" i="12"/>
  <c r="BA49" i="12"/>
  <c r="U51" i="12" l="1"/>
  <c r="BA51" i="12" s="1"/>
  <c r="U121" i="12"/>
  <c r="U120" i="12"/>
  <c r="U50" i="12"/>
  <c r="U113" i="12"/>
  <c r="U112" i="12"/>
  <c r="T48" i="12"/>
  <c r="BA95" i="12"/>
  <c r="T96" i="12"/>
  <c r="U96" i="12" s="1"/>
  <c r="V96" i="12" s="1"/>
  <c r="W96" i="12" s="1"/>
  <c r="X96" i="12" s="1"/>
  <c r="Y96" i="12" s="1"/>
  <c r="Z96" i="12" s="1"/>
  <c r="AA96" i="12" s="1"/>
  <c r="AB96" i="12" s="1"/>
  <c r="AC96" i="12" s="1"/>
  <c r="AD96" i="12" s="1"/>
  <c r="S73" i="12"/>
  <c r="R155" i="12"/>
  <c r="R79" i="12"/>
  <c r="S74" i="12" l="1"/>
  <c r="AZ155" i="12"/>
  <c r="S154" i="12"/>
  <c r="BA50" i="12"/>
  <c r="U52" i="12"/>
  <c r="U62" i="12" s="1"/>
  <c r="U71" i="12" s="1"/>
  <c r="V117" i="12"/>
  <c r="R81" i="12"/>
  <c r="AZ79" i="12"/>
  <c r="AZ81" i="12" s="1"/>
  <c r="T52" i="12"/>
  <c r="T62" i="12" s="1"/>
  <c r="T71" i="12" s="1"/>
  <c r="BA48" i="12"/>
  <c r="V109" i="12"/>
  <c r="BA52" i="12" l="1"/>
  <c r="BA62" i="12" s="1"/>
  <c r="V118" i="12"/>
  <c r="V119" i="12" s="1"/>
  <c r="V110" i="12"/>
  <c r="V111" i="12" s="1"/>
  <c r="R133" i="12"/>
  <c r="R130" i="12"/>
  <c r="T72" i="12"/>
  <c r="S76" i="12"/>
  <c r="V50" i="12" l="1"/>
  <c r="V112" i="12"/>
  <c r="V113" i="12"/>
  <c r="V51" i="12"/>
  <c r="V121" i="12"/>
  <c r="V120" i="12"/>
  <c r="S155" i="12"/>
  <c r="S79" i="12"/>
  <c r="R134" i="12"/>
  <c r="U72" i="12"/>
  <c r="BA72" i="12"/>
  <c r="T73" i="12"/>
  <c r="AZ133" i="12"/>
  <c r="R135" i="12"/>
  <c r="AZ135" i="12" s="1"/>
  <c r="S81" i="12" l="1"/>
  <c r="R136" i="12"/>
  <c r="R156" i="12"/>
  <c r="AZ134" i="12"/>
  <c r="AZ136" i="12" s="1"/>
  <c r="BA132" i="12" s="1"/>
  <c r="T154" i="12"/>
  <c r="W109" i="12"/>
  <c r="U73" i="12"/>
  <c r="U74" i="12" s="1"/>
  <c r="U76" i="12" s="1"/>
  <c r="T74" i="12"/>
  <c r="BA73" i="12"/>
  <c r="W117" i="12"/>
  <c r="V52" i="12"/>
  <c r="V62" i="12" s="1"/>
  <c r="V71" i="12" s="1"/>
  <c r="W110" i="12" l="1"/>
  <c r="W111" i="12" s="1"/>
  <c r="R141" i="12"/>
  <c r="S132" i="12"/>
  <c r="W118" i="12"/>
  <c r="W119" i="12" s="1"/>
  <c r="AZ156" i="12"/>
  <c r="AZ157" i="12" s="1"/>
  <c r="AZ158" i="12" s="1"/>
  <c r="R157" i="12"/>
  <c r="R158" i="12" s="1"/>
  <c r="U155" i="12"/>
  <c r="BA155" i="12" s="1"/>
  <c r="U79" i="12"/>
  <c r="U81" i="12" s="1"/>
  <c r="U133" i="12" s="1"/>
  <c r="V72" i="12"/>
  <c r="BA74" i="12"/>
  <c r="BA76" i="12" s="1"/>
  <c r="T76" i="12"/>
  <c r="S133" i="12"/>
  <c r="S130" i="12"/>
  <c r="W51" i="12" l="1"/>
  <c r="W120" i="12"/>
  <c r="W121" i="12"/>
  <c r="X117" i="12" s="1"/>
  <c r="W50" i="12"/>
  <c r="W113" i="12"/>
  <c r="W112" i="12"/>
  <c r="V73" i="12"/>
  <c r="S135" i="12"/>
  <c r="S136" i="12" s="1"/>
  <c r="S134" i="12"/>
  <c r="T155" i="12"/>
  <c r="T79" i="12"/>
  <c r="R146" i="12"/>
  <c r="R159" i="12" s="1"/>
  <c r="AZ141" i="12"/>
  <c r="AZ146" i="12" s="1"/>
  <c r="AZ159" i="12" s="1"/>
  <c r="S141" i="12" l="1"/>
  <c r="S146" i="12" s="1"/>
  <c r="T132" i="12"/>
  <c r="W52" i="12"/>
  <c r="W62" i="12" s="1"/>
  <c r="W71" i="12" s="1"/>
  <c r="T81" i="12"/>
  <c r="BA79" i="12"/>
  <c r="BA81" i="12" s="1"/>
  <c r="X118" i="12"/>
  <c r="X119" i="12" s="1"/>
  <c r="U154" i="12"/>
  <c r="S156" i="12"/>
  <c r="S157" i="12" s="1"/>
  <c r="S158" i="12" s="1"/>
  <c r="V74" i="12"/>
  <c r="X109" i="12"/>
  <c r="X51" i="12" l="1"/>
  <c r="BB51" i="12" s="1"/>
  <c r="X120" i="12"/>
  <c r="Y120" i="12" s="1"/>
  <c r="Z120" i="12" s="1"/>
  <c r="AA120" i="12" s="1"/>
  <c r="AB120" i="12" s="1"/>
  <c r="AC120" i="12" s="1"/>
  <c r="AD120" i="12" s="1"/>
  <c r="X110" i="12"/>
  <c r="X111" i="12" s="1"/>
  <c r="W72" i="12"/>
  <c r="V76" i="12"/>
  <c r="V154" i="12"/>
  <c r="BA154" i="12"/>
  <c r="T133" i="12"/>
  <c r="BA133" i="12" s="1"/>
  <c r="T130" i="12"/>
  <c r="S159" i="12"/>
  <c r="X50" i="12" l="1"/>
  <c r="X113" i="12"/>
  <c r="X112" i="12"/>
  <c r="T135" i="12"/>
  <c r="T134" i="12"/>
  <c r="U130" i="12"/>
  <c r="U134" i="12" s="1"/>
  <c r="V155" i="12"/>
  <c r="V79" i="12"/>
  <c r="W73" i="12"/>
  <c r="W74" i="12" l="1"/>
  <c r="W154" i="12"/>
  <c r="T136" i="12"/>
  <c r="Y109" i="12"/>
  <c r="V81" i="12"/>
  <c r="V133" i="12" s="1"/>
  <c r="T156" i="12"/>
  <c r="T157" i="12" s="1"/>
  <c r="T158" i="12" s="1"/>
  <c r="BA134" i="12"/>
  <c r="X52" i="12"/>
  <c r="X62" i="12" s="1"/>
  <c r="X71" i="12" s="1"/>
  <c r="BB50" i="12"/>
  <c r="BB52" i="12" s="1"/>
  <c r="BB62" i="12" s="1"/>
  <c r="X72" i="12" l="1"/>
  <c r="T141" i="12"/>
  <c r="T146" i="12" s="1"/>
  <c r="T159" i="12" s="1"/>
  <c r="U132" i="12"/>
  <c r="W76" i="12"/>
  <c r="Y110" i="12"/>
  <c r="Y111" i="12" s="1"/>
  <c r="V130" i="12"/>
  <c r="Y50" i="12" l="1"/>
  <c r="Y112" i="12"/>
  <c r="Y113" i="12"/>
  <c r="U135" i="12"/>
  <c r="U136" i="12" s="1"/>
  <c r="W155" i="12"/>
  <c r="W79" i="12"/>
  <c r="BB72" i="12"/>
  <c r="X73" i="12"/>
  <c r="V134" i="12"/>
  <c r="U141" i="12" l="1"/>
  <c r="V132" i="12"/>
  <c r="X74" i="12"/>
  <c r="BB73" i="12"/>
  <c r="W81" i="12"/>
  <c r="Z109" i="12"/>
  <c r="X154" i="12"/>
  <c r="BA135" i="12"/>
  <c r="BA136" i="12" s="1"/>
  <c r="BB132" i="12" s="1"/>
  <c r="U156" i="12"/>
  <c r="Y52" i="12"/>
  <c r="Y62" i="12" s="1"/>
  <c r="Y71" i="12" s="1"/>
  <c r="BA156" i="12" l="1"/>
  <c r="BA157" i="12" s="1"/>
  <c r="BA158" i="12" s="1"/>
  <c r="U157" i="12"/>
  <c r="U158" i="12" s="1"/>
  <c r="W133" i="12"/>
  <c r="W130" i="12"/>
  <c r="BB154" i="12"/>
  <c r="Z110" i="12"/>
  <c r="Z111" i="12" s="1"/>
  <c r="V135" i="12"/>
  <c r="V136" i="12" s="1"/>
  <c r="Y72" i="12"/>
  <c r="X76" i="12"/>
  <c r="BB74" i="12"/>
  <c r="BB76" i="12" s="1"/>
  <c r="U146" i="12"/>
  <c r="U159" i="12" s="1"/>
  <c r="BA141" i="12"/>
  <c r="BA146" i="12" s="1"/>
  <c r="BA159" i="12" s="1"/>
  <c r="V141" i="12" l="1"/>
  <c r="V146" i="12" s="1"/>
  <c r="W132" i="12"/>
  <c r="Z50" i="12"/>
  <c r="Z113" i="12"/>
  <c r="Z112" i="12"/>
  <c r="W134" i="12"/>
  <c r="X130" i="12"/>
  <c r="X155" i="12"/>
  <c r="X79" i="12"/>
  <c r="V156" i="12"/>
  <c r="V157" i="12" s="1"/>
  <c r="V158" i="12" s="1"/>
  <c r="Y73" i="12"/>
  <c r="BB155" i="12" l="1"/>
  <c r="Y154" i="12"/>
  <c r="AA109" i="12"/>
  <c r="X134" i="12"/>
  <c r="Y130" i="12"/>
  <c r="Z52" i="12"/>
  <c r="Z62" i="12" s="1"/>
  <c r="Z71" i="12" s="1"/>
  <c r="Y74" i="12"/>
  <c r="BB134" i="12"/>
  <c r="W135" i="12"/>
  <c r="W156" i="12" s="1"/>
  <c r="W157" i="12" s="1"/>
  <c r="W158" i="12" s="1"/>
  <c r="X81" i="12"/>
  <c r="X133" i="12" s="1"/>
  <c r="BB133" i="12" s="1"/>
  <c r="BB79" i="12"/>
  <c r="BB81" i="12" s="1"/>
  <c r="V159" i="12"/>
  <c r="Z72" i="12" l="1"/>
  <c r="Y134" i="12"/>
  <c r="Z130" i="12"/>
  <c r="W136" i="12"/>
  <c r="Y76" i="12"/>
  <c r="AA110" i="12"/>
  <c r="AA111" i="12" s="1"/>
  <c r="AA50" i="12" l="1"/>
  <c r="AA112" i="12"/>
  <c r="AA113" i="12"/>
  <c r="AB109" i="12" s="1"/>
  <c r="W141" i="12"/>
  <c r="W146" i="12" s="1"/>
  <c r="W159" i="12" s="1"/>
  <c r="X132" i="12"/>
  <c r="Z73" i="12"/>
  <c r="Y155" i="12"/>
  <c r="Y79" i="12"/>
  <c r="Z134" i="12"/>
  <c r="AA130" i="12"/>
  <c r="X135" i="12" l="1"/>
  <c r="AB110" i="12"/>
  <c r="AB111" i="12" s="1"/>
  <c r="Z154" i="12"/>
  <c r="AA134" i="12"/>
  <c r="AB130" i="12"/>
  <c r="Z74" i="12"/>
  <c r="Y81" i="12"/>
  <c r="Y133" i="12" s="1"/>
  <c r="AA52" i="12"/>
  <c r="AA62" i="12" s="1"/>
  <c r="AA71" i="12" s="1"/>
  <c r="BC50" i="12"/>
  <c r="BC52" i="12" s="1"/>
  <c r="BC62" i="12" s="1"/>
  <c r="AB50" i="12" l="1"/>
  <c r="AB112" i="12"/>
  <c r="AC112" i="12" s="1"/>
  <c r="AD112" i="12" s="1"/>
  <c r="AA72" i="12"/>
  <c r="Z76" i="12"/>
  <c r="AB134" i="12"/>
  <c r="AC130" i="12"/>
  <c r="X156" i="12"/>
  <c r="BB135" i="12"/>
  <c r="BB136" i="12" s="1"/>
  <c r="BC132" i="12" s="1"/>
  <c r="BC134" i="12"/>
  <c r="X136" i="12"/>
  <c r="AA73" i="12" l="1"/>
  <c r="BC72" i="12"/>
  <c r="X141" i="12"/>
  <c r="Y132" i="12"/>
  <c r="BB156" i="12"/>
  <c r="BB157" i="12" s="1"/>
  <c r="BB158" i="12" s="1"/>
  <c r="X157" i="12"/>
  <c r="X158" i="12" s="1"/>
  <c r="AC134" i="12"/>
  <c r="AD130" i="12"/>
  <c r="AD134" i="12" s="1"/>
  <c r="Z155" i="12"/>
  <c r="Z79" i="12"/>
  <c r="BD50" i="12"/>
  <c r="BD52" i="12" s="1"/>
  <c r="BD62" i="12" s="1"/>
  <c r="AB52" i="12"/>
  <c r="AB62" i="12" s="1"/>
  <c r="AB71" i="12" s="1"/>
  <c r="AB72" i="12" s="1"/>
  <c r="AC72" i="12" l="1"/>
  <c r="AB73" i="12"/>
  <c r="Y135" i="12"/>
  <c r="Z81" i="12"/>
  <c r="Z133" i="12" s="1"/>
  <c r="BB141" i="12"/>
  <c r="BB146" i="12" s="1"/>
  <c r="BB159" i="12" s="1"/>
  <c r="X146" i="12"/>
  <c r="X159" i="12" s="1"/>
  <c r="AA154" i="12"/>
  <c r="BD134" i="12"/>
  <c r="AA74" i="12"/>
  <c r="BC73" i="12"/>
  <c r="Y156" i="12" l="1"/>
  <c r="Y157" i="12" s="1"/>
  <c r="Y158" i="12" s="1"/>
  <c r="AB74" i="12"/>
  <c r="Y136" i="12"/>
  <c r="AD72" i="12"/>
  <c r="BD72" i="12" s="1"/>
  <c r="BC74" i="12"/>
  <c r="BC76" i="12" s="1"/>
  <c r="AA76" i="12"/>
  <c r="AC73" i="12"/>
  <c r="AC74" i="12" s="1"/>
  <c r="AC76" i="12" s="1"/>
  <c r="BC154" i="12"/>
  <c r="AB76" i="12" l="1"/>
  <c r="AC155" i="12"/>
  <c r="AC79" i="12"/>
  <c r="AC81" i="12" s="1"/>
  <c r="AC133" i="12" s="1"/>
  <c r="AD73" i="12"/>
  <c r="AA155" i="12"/>
  <c r="AA79" i="12"/>
  <c r="Y141" i="12"/>
  <c r="Y146" i="12" s="1"/>
  <c r="Y159" i="12" s="1"/>
  <c r="Z132" i="12"/>
  <c r="AA81" i="12" l="1"/>
  <c r="AA133" i="12" s="1"/>
  <c r="BC133" i="12" s="1"/>
  <c r="BC79" i="12"/>
  <c r="BC81" i="12" s="1"/>
  <c r="BC155" i="12"/>
  <c r="AB154" i="12"/>
  <c r="Z135" i="12"/>
  <c r="AB155" i="12"/>
  <c r="AB79" i="12"/>
  <c r="AD74" i="12"/>
  <c r="BD73" i="12"/>
  <c r="AB81" i="12" l="1"/>
  <c r="AB133" i="12" s="1"/>
  <c r="AC154" i="12"/>
  <c r="Z156" i="12"/>
  <c r="Z157" i="12" s="1"/>
  <c r="Z158" i="12" s="1"/>
  <c r="Z136" i="12"/>
  <c r="AD76" i="12"/>
  <c r="BD74" i="12"/>
  <c r="BD76" i="12" s="1"/>
  <c r="AD155" i="12" l="1"/>
  <c r="BD155" i="12" s="1"/>
  <c r="AD79" i="12"/>
  <c r="Z141" i="12"/>
  <c r="Z146" i="12" s="1"/>
  <c r="Z159" i="12" s="1"/>
  <c r="AA132" i="12"/>
  <c r="AD154" i="12"/>
  <c r="AA135" i="12" l="1"/>
  <c r="AD81" i="12"/>
  <c r="AD133" i="12" s="1"/>
  <c r="BD133" i="12" s="1"/>
  <c r="BD79" i="12"/>
  <c r="BD81" i="12" s="1"/>
  <c r="BD154" i="12"/>
  <c r="AA156" i="12" l="1"/>
  <c r="BC135" i="12"/>
  <c r="BC136" i="12" s="1"/>
  <c r="BD132" i="12" s="1"/>
  <c r="AA136" i="12"/>
  <c r="AA141" i="12" l="1"/>
  <c r="AB132" i="12"/>
  <c r="BC156" i="12"/>
  <c r="BC157" i="12" s="1"/>
  <c r="BC158" i="12" s="1"/>
  <c r="AA157" i="12"/>
  <c r="AA158" i="12" s="1"/>
  <c r="AB135" i="12" l="1"/>
  <c r="BC141" i="12"/>
  <c r="BC146" i="12" s="1"/>
  <c r="BC159" i="12" s="1"/>
  <c r="AA146" i="12"/>
  <c r="AA159" i="12" s="1"/>
  <c r="AB156" i="12" l="1"/>
  <c r="AB157" i="12" s="1"/>
  <c r="AB158" i="12" s="1"/>
  <c r="AB136" i="12"/>
  <c r="AB141" i="12" l="1"/>
  <c r="AB146" i="12" s="1"/>
  <c r="AB159" i="12" s="1"/>
  <c r="AC132" i="12"/>
  <c r="AC135" i="12" l="1"/>
  <c r="AC156" i="12" l="1"/>
  <c r="AC157" i="12" s="1"/>
  <c r="AC158" i="12" s="1"/>
  <c r="AC136" i="12"/>
  <c r="AC141" i="12" l="1"/>
  <c r="AC146" i="12" s="1"/>
  <c r="AC159" i="12" s="1"/>
  <c r="AD132" i="12"/>
  <c r="AD135" i="12" l="1"/>
  <c r="AD136" i="12" s="1"/>
  <c r="AD141" i="12" s="1"/>
  <c r="AD146" i="12" l="1"/>
  <c r="BD141" i="12"/>
  <c r="BD146" i="12" s="1"/>
  <c r="AD156" i="12"/>
  <c r="BD135" i="12"/>
  <c r="BD136" i="12" s="1"/>
  <c r="BD156" i="12" l="1"/>
  <c r="BD157" i="12" s="1"/>
  <c r="BD158" i="12" s="1"/>
  <c r="BD159" i="12" s="1"/>
  <c r="AD157" i="12"/>
  <c r="AD158" i="12" s="1"/>
  <c r="AD159" i="12"/>
</calcChain>
</file>

<file path=xl/sharedStrings.xml><?xml version="1.0" encoding="utf-8"?>
<sst xmlns="http://schemas.openxmlformats.org/spreadsheetml/2006/main" count="501" uniqueCount="381">
  <si>
    <t>Hrs/day</t>
  </si>
  <si>
    <t>Days/Mo</t>
  </si>
  <si>
    <t>Hrs/Mo</t>
  </si>
  <si>
    <t>Gals/hr</t>
  </si>
  <si>
    <t>Consumables</t>
  </si>
  <si>
    <t>Diesel</t>
  </si>
  <si>
    <t>Electricity</t>
  </si>
  <si>
    <t>Water</t>
  </si>
  <si>
    <t>Unit</t>
  </si>
  <si>
    <t>$/gallon</t>
  </si>
  <si>
    <t>Cost/Unit</t>
  </si>
  <si>
    <t>Op Hrs</t>
  </si>
  <si>
    <t>Truck Driver</t>
  </si>
  <si>
    <t>$/hr</t>
  </si>
  <si>
    <t>$/kWhr</t>
  </si>
  <si>
    <t>Operator</t>
  </si>
  <si>
    <t>Foreman</t>
  </si>
  <si>
    <t>Crew</t>
  </si>
  <si>
    <t>Accountant</t>
  </si>
  <si>
    <t>HQ Staff</t>
  </si>
  <si>
    <t>Operator shift #1</t>
  </si>
  <si>
    <t>Operator shift #2</t>
  </si>
  <si>
    <t>Operator shift #3</t>
  </si>
  <si>
    <t>Foreman shift #1</t>
  </si>
  <si>
    <t>Foreman shift #2</t>
  </si>
  <si>
    <t>Lab Technician</t>
  </si>
  <si>
    <t>Labor $</t>
  </si>
  <si>
    <t>Foreman shift #3</t>
  </si>
  <si>
    <t>Offloading</t>
  </si>
  <si>
    <t>Staff Hrs</t>
  </si>
  <si>
    <t>Wage</t>
  </si>
  <si>
    <t>Equipment</t>
  </si>
  <si>
    <t>Cost $</t>
  </si>
  <si>
    <t>Processing Maint</t>
  </si>
  <si>
    <t>Processing - Staff</t>
  </si>
  <si>
    <t>Maintenance - Staff</t>
  </si>
  <si>
    <t>Telecoms</t>
  </si>
  <si>
    <t>Print/Postage</t>
  </si>
  <si>
    <t>Banking</t>
  </si>
  <si>
    <t>tons/yard3, water</t>
  </si>
  <si>
    <t>Lbs/yard3, water</t>
  </si>
  <si>
    <t>Bbls/yard3</t>
  </si>
  <si>
    <t>Gals/yard3</t>
  </si>
  <si>
    <t>Gals/foot3</t>
  </si>
  <si>
    <t>Quartz, spec gravity</t>
  </si>
  <si>
    <t>Gals/ton, oil</t>
  </si>
  <si>
    <t>Bbls/ton, water</t>
  </si>
  <si>
    <t>Gals/ton, water</t>
  </si>
  <si>
    <t>Lbs/gal, water</t>
  </si>
  <si>
    <t>Oil Bbls/day output</t>
  </si>
  <si>
    <t>Oil bbls/day output</t>
  </si>
  <si>
    <t>Oil Bbls/ton</t>
  </si>
  <si>
    <t>Oil content, % vol</t>
  </si>
  <si>
    <t>Oil Tons</t>
  </si>
  <si>
    <t>Solids, yard3/day</t>
  </si>
  <si>
    <t>Oil spec gravity</t>
  </si>
  <si>
    <t>Solids, tons/day</t>
  </si>
  <si>
    <t>Asphalt API</t>
  </si>
  <si>
    <t>Solids, bbls/day</t>
  </si>
  <si>
    <t>Oil content, % wt</t>
  </si>
  <si>
    <t>Solids, bbls/min</t>
  </si>
  <si>
    <t>Mins/day</t>
  </si>
  <si>
    <t>Input, tons/day</t>
  </si>
  <si>
    <t>Hours/day</t>
  </si>
  <si>
    <t>Packed sand, spec gravity</t>
  </si>
  <si>
    <t>Solids, % of fluids</t>
  </si>
  <si>
    <t>Input, yard3/day</t>
  </si>
  <si>
    <t>Fluid, bbls/min</t>
  </si>
  <si>
    <t>Inlet Material</t>
  </si>
  <si>
    <t>Make-up bbls/day</t>
  </si>
  <si>
    <t>Make-up % per day</t>
  </si>
  <si>
    <t>Diesel barrels</t>
  </si>
  <si>
    <t>Diesel gallons</t>
  </si>
  <si>
    <t>Charge System</t>
  </si>
  <si>
    <t>Diesel (make-up)</t>
  </si>
  <si>
    <t>Variables</t>
  </si>
  <si>
    <t>hrs/day</t>
  </si>
  <si>
    <t>days/mo</t>
  </si>
  <si>
    <t># Staff</t>
  </si>
  <si>
    <t>$/mo</t>
  </si>
  <si>
    <t>Crude oil, bbls</t>
  </si>
  <si>
    <t>/day</t>
  </si>
  <si>
    <t>/mo</t>
  </si>
  <si>
    <t>Direct Staff Costs</t>
  </si>
  <si>
    <t>Office Costs</t>
  </si>
  <si>
    <t>Operating Income</t>
  </si>
  <si>
    <t>Insurance</t>
  </si>
  <si>
    <t>Parts/Service, equipmt</t>
  </si>
  <si>
    <t>Vehicle &amp; Equipmt Costs</t>
  </si>
  <si>
    <t>Total</t>
  </si>
  <si>
    <t xml:space="preserve">Chaos Mixer </t>
  </si>
  <si>
    <t>Description</t>
  </si>
  <si>
    <t>Qty</t>
  </si>
  <si>
    <t>Feed Hopper</t>
  </si>
  <si>
    <t>Detail</t>
  </si>
  <si>
    <t>No.</t>
  </si>
  <si>
    <t>Water tanks</t>
  </si>
  <si>
    <t>50 bbl</t>
  </si>
  <si>
    <t>Controls &amp; lighting</t>
  </si>
  <si>
    <t>Various</t>
  </si>
  <si>
    <t>1000 bbl</t>
  </si>
  <si>
    <t>Packed Sand</t>
  </si>
  <si>
    <t>Spec Grav</t>
  </si>
  <si>
    <t>Crushed Limestone</t>
  </si>
  <si>
    <t>Total Main Process</t>
  </si>
  <si>
    <t>Total Project estimate</t>
  </si>
  <si>
    <t>per hour</t>
  </si>
  <si>
    <t>Kw/hr</t>
  </si>
  <si>
    <t>Width</t>
  </si>
  <si>
    <t>feet</t>
  </si>
  <si>
    <t>inches</t>
  </si>
  <si>
    <t>Length</t>
  </si>
  <si>
    <t>Conveyor Belt</t>
  </si>
  <si>
    <t>feet^3</t>
  </si>
  <si>
    <t>yards^3</t>
  </si>
  <si>
    <t>Plant rate, tons3/hr</t>
  </si>
  <si>
    <t>Plant rate, yards3/hr</t>
  </si>
  <si>
    <t>Volume on Conveyor</t>
  </si>
  <si>
    <t>yards3/hr</t>
  </si>
  <si>
    <t>tons3/hr</t>
  </si>
  <si>
    <t>Conveyor rate</t>
  </si>
  <si>
    <t>feet/hour</t>
  </si>
  <si>
    <t>feet/min</t>
  </si>
  <si>
    <t>feet/sec</t>
  </si>
  <si>
    <t>Material Thickness</t>
  </si>
  <si>
    <t>Tons</t>
  </si>
  <si>
    <t>Tons/foot</t>
  </si>
  <si>
    <t>Mon 1</t>
  </si>
  <si>
    <t>Mon 2</t>
  </si>
  <si>
    <t>Mon 3</t>
  </si>
  <si>
    <t>Mon 4</t>
  </si>
  <si>
    <t>Mon 5</t>
  </si>
  <si>
    <t>Mon 6</t>
  </si>
  <si>
    <t>Mon 7</t>
  </si>
  <si>
    <t>Mon 8</t>
  </si>
  <si>
    <t>Ionizers</t>
  </si>
  <si>
    <t>Drill Cuttings</t>
  </si>
  <si>
    <t>Mon 9</t>
  </si>
  <si>
    <t>Mon 10</t>
  </si>
  <si>
    <t>Mon 11</t>
  </si>
  <si>
    <t>Mon 12</t>
  </si>
  <si>
    <t>LRA</t>
  </si>
  <si>
    <t xml:space="preserve">Total </t>
  </si>
  <si>
    <t>Q1</t>
  </si>
  <si>
    <t>Q2</t>
  </si>
  <si>
    <t>Q3</t>
  </si>
  <si>
    <t>Q4</t>
  </si>
  <si>
    <t>Mon 13</t>
  </si>
  <si>
    <t>Mon 14</t>
  </si>
  <si>
    <t>Mon 15</t>
  </si>
  <si>
    <t>Mon 16</t>
  </si>
  <si>
    <t>Mon 17</t>
  </si>
  <si>
    <t>Mon 18</t>
  </si>
  <si>
    <t>Mon 19</t>
  </si>
  <si>
    <t>Mon 20</t>
  </si>
  <si>
    <t>Mon 21</t>
  </si>
  <si>
    <t>Mon 22</t>
  </si>
  <si>
    <t>Mon 23</t>
  </si>
  <si>
    <t>Mon 24</t>
  </si>
  <si>
    <t>Projected EBITDA ($000)</t>
  </si>
  <si>
    <t>Q5</t>
  </si>
  <si>
    <t>Q6</t>
  </si>
  <si>
    <t>Q7</t>
  </si>
  <si>
    <t>Q8</t>
  </si>
  <si>
    <t>Budget</t>
  </si>
  <si>
    <t>Dec</t>
  </si>
  <si>
    <t>Jan</t>
  </si>
  <si>
    <t>Feb</t>
  </si>
  <si>
    <t>Mar</t>
  </si>
  <si>
    <t>Commercial Plant</t>
  </si>
  <si>
    <t>Pilot final (est)</t>
  </si>
  <si>
    <t>Output</t>
  </si>
  <si>
    <t>bbls/day</t>
  </si>
  <si>
    <t>Gals/m3</t>
  </si>
  <si>
    <t>Bbls/m3</t>
  </si>
  <si>
    <t>m3/yard3</t>
  </si>
  <si>
    <t>Yard3/m3</t>
  </si>
  <si>
    <r>
      <t>H-API</t>
    </r>
    <r>
      <rPr>
        <sz val="12"/>
        <color theme="1"/>
        <rFont val="Calibri"/>
        <family val="2"/>
      </rPr>
      <t>°</t>
    </r>
  </si>
  <si>
    <t>Material, tons</t>
  </si>
  <si>
    <t>Material, yard3/day</t>
  </si>
  <si>
    <t>Mix-spec grav</t>
  </si>
  <si>
    <t>Mix-volume</t>
  </si>
  <si>
    <t>Water-vol</t>
  </si>
  <si>
    <t>Hcarb-vol</t>
  </si>
  <si>
    <t>Hcarb-spec grav</t>
  </si>
  <si>
    <t>Hcarb%, wt</t>
  </si>
  <si>
    <t>LRA%, wt</t>
  </si>
  <si>
    <t>LRA-spec grav</t>
  </si>
  <si>
    <t>Chk, Mix-s.g.</t>
  </si>
  <si>
    <t>LRA-vol</t>
  </si>
  <si>
    <t>Total Opex</t>
  </si>
  <si>
    <t>Total Ancillary</t>
  </si>
  <si>
    <t>Hydro-cyclone Assembly</t>
  </si>
  <si>
    <t>2" and 3"</t>
  </si>
  <si>
    <t>Service fee*</t>
  </si>
  <si>
    <t>*Dec-2014 includes $300/day out of office for DNS; this will be dropped w/ fee increase</t>
  </si>
  <si>
    <t>Travel Expenses</t>
  </si>
  <si>
    <t>Oil Recovery Ratio</t>
  </si>
  <si>
    <t>Bbls/bbl</t>
  </si>
  <si>
    <t>bbls/hr</t>
  </si>
  <si>
    <t>$/bbl</t>
  </si>
  <si>
    <t xml:space="preserve">    + Aggregate, tons</t>
  </si>
  <si>
    <t>Assumptions</t>
  </si>
  <si>
    <t>Power</t>
  </si>
  <si>
    <t>Site Manager</t>
  </si>
  <si>
    <t>Site Office</t>
  </si>
  <si>
    <t>Units/hr</t>
  </si>
  <si>
    <t>Sales/Site Mgr</t>
  </si>
  <si>
    <t>EBITDA</t>
  </si>
  <si>
    <t xml:space="preserve">    Technology License</t>
  </si>
  <si>
    <t xml:space="preserve">    Sales, General &amp; Admin</t>
  </si>
  <si>
    <t xml:space="preserve">    Operating Costs</t>
  </si>
  <si>
    <t xml:space="preserve">    Revenue</t>
  </si>
  <si>
    <t>Net Revenue</t>
  </si>
  <si>
    <t xml:space="preserve">    Plant Staff</t>
  </si>
  <si>
    <t xml:space="preserve">    Equipment</t>
  </si>
  <si>
    <r>
      <t>Asphalt API</t>
    </r>
    <r>
      <rPr>
        <sz val="12"/>
        <color theme="1"/>
        <rFont val="Calibri"/>
        <family val="2"/>
      </rPr>
      <t>°</t>
    </r>
  </si>
  <si>
    <t>Admin Costs</t>
  </si>
  <si>
    <t>Sales / Admin</t>
  </si>
  <si>
    <t>Table 2: Monthly Earnings</t>
  </si>
  <si>
    <t xml:space="preserve">    - LRA: $/tn, % oil, tons</t>
  </si>
  <si>
    <t xml:space="preserve">    Diesel: $/gal, ratio, bbls</t>
  </si>
  <si>
    <t xml:space="preserve">Ionizer 6" </t>
  </si>
  <si>
    <t>Mechanical piping, valves, actuators</t>
  </si>
  <si>
    <t>Electrical fittings</t>
  </si>
  <si>
    <t>Mechanical &amp; Electrical Labor</t>
  </si>
  <si>
    <t>Trinity Environmental Drill Cutting System - Cost Estimate</t>
  </si>
  <si>
    <t>Wash Tank, 50 bbl</t>
  </si>
  <si>
    <t>Stand for Shaker Table</t>
  </si>
  <si>
    <t>Shaker Table</t>
  </si>
  <si>
    <t>U-Tube Vibratory Screen</t>
  </si>
  <si>
    <t>Subtotal</t>
  </si>
  <si>
    <t>Capex ($000's)</t>
  </si>
  <si>
    <t>Bbls/day</t>
  </si>
  <si>
    <t>Days/mo</t>
  </si>
  <si>
    <t>Bbls/mo</t>
  </si>
  <si>
    <t>Capital Recovery</t>
  </si>
  <si>
    <t>Profit Share</t>
  </si>
  <si>
    <t>Capex % spend</t>
  </si>
  <si>
    <t>Operating Income ($000's)</t>
  </si>
  <si>
    <t>#1: Cash Flow ($000's)</t>
  </si>
  <si>
    <t>Month</t>
  </si>
  <si>
    <t>Opex ($000's)</t>
  </si>
  <si>
    <t>4'x40' Vacuum Conveyor</t>
  </si>
  <si>
    <t>Contingency</t>
  </si>
  <si>
    <t>Working Capital</t>
  </si>
  <si>
    <t>Capex to Recover</t>
  </si>
  <si>
    <t xml:space="preserve">Drill Cuttings Cleaning System - Downside Case </t>
  </si>
  <si>
    <t>#3: Cash Flow ($000's)</t>
  </si>
  <si>
    <t>Drill Cuttings Cleaning System - Upside Case</t>
  </si>
  <si>
    <t>#1b: Royalty on System</t>
  </si>
  <si>
    <t>#1b: Royalty ($000's)</t>
  </si>
  <si>
    <t>#1b: Cumulative Royalty</t>
  </si>
  <si>
    <t>#2: Cash Flow ($000's)</t>
  </si>
  <si>
    <t>#2: Downside Cum CFlow</t>
  </si>
  <si>
    <t xml:space="preserve">#2b: Downside Royalty </t>
  </si>
  <si>
    <t>#2b: Royalty ($000's)</t>
  </si>
  <si>
    <t>#2b: Cumulative Royalty</t>
  </si>
  <si>
    <t>#1: Base Case</t>
  </si>
  <si>
    <t>#2: Downside Case</t>
  </si>
  <si>
    <t>#3: Upside Case</t>
  </si>
  <si>
    <t>#3b: Royalty on System</t>
  </si>
  <si>
    <t>#3b: Royalty ($000's)</t>
  </si>
  <si>
    <t>#3b: Cumulative Royalty</t>
  </si>
  <si>
    <t>Drill Cuttings Upside Case Financial Results ($000's)</t>
  </si>
  <si>
    <t>Drill Cuttings Downside Case Results ($000's)</t>
  </si>
  <si>
    <t>Drill Cuttings Base Case Financial Results ($000's)</t>
  </si>
  <si>
    <t>#1: Base Case Cum CFlow</t>
  </si>
  <si>
    <t>Drill Cuttings Cleaning System - Base Case</t>
  </si>
  <si>
    <t>#3: Upside Case Cum CFlow</t>
  </si>
  <si>
    <t>10-12</t>
  </si>
  <si>
    <t>13-15</t>
  </si>
  <si>
    <t>Drill Cuttings Cleaning System - investment Cases</t>
  </si>
  <si>
    <t>16-18</t>
  </si>
  <si>
    <t>Disposal Fee ($000's)</t>
  </si>
  <si>
    <t>H'Carbon Sales ($000's)</t>
  </si>
  <si>
    <t>2" Yamada air diaphragm pump</t>
  </si>
  <si>
    <t>Inline De-Lumper</t>
  </si>
  <si>
    <t>Shaftless Augur</t>
  </si>
  <si>
    <t>Premitting / legal</t>
  </si>
  <si>
    <t>Air Compressor</t>
  </si>
  <si>
    <t>Mounting Skids</t>
  </si>
  <si>
    <t>Systems engineering (skid mounting?)</t>
  </si>
  <si>
    <t>Site engineering (inc. integration)</t>
  </si>
  <si>
    <t>Connecting piping, pumps, tanks</t>
  </si>
  <si>
    <t>(#, costs?)</t>
  </si>
  <si>
    <t>Air Actuator / 6" Slide Gate Valve</t>
  </si>
  <si>
    <t>Oil/Water Separator</t>
  </si>
  <si>
    <t>Finished product storage tanks (oil)</t>
  </si>
  <si>
    <t>Centrifugal pumps 3" (mains powered)</t>
  </si>
  <si>
    <t>Disposal Fee</t>
  </si>
  <si>
    <t>H'Carbon Sales</t>
  </si>
  <si>
    <t>Opex</t>
  </si>
  <si>
    <t>Site #1: Operating Income</t>
  </si>
  <si>
    <t>Site #2: Operating Income</t>
  </si>
  <si>
    <t>Site #3: Operating Income</t>
  </si>
  <si>
    <t>Site #4: Operating Income</t>
  </si>
  <si>
    <t>Total Operating Income</t>
  </si>
  <si>
    <t>Cumulative Cash Flow</t>
  </si>
  <si>
    <t xml:space="preserve">Site #1: Cash Flow </t>
  </si>
  <si>
    <t xml:space="preserve">Site #2: Cash Flow </t>
  </si>
  <si>
    <t xml:space="preserve">Site #3: Cash Flow </t>
  </si>
  <si>
    <t xml:space="preserve">Site #4: Cash Flow </t>
  </si>
  <si>
    <t>Drill Cuttings Company Model</t>
  </si>
  <si>
    <t xml:space="preserve">Site #1: Capex </t>
  </si>
  <si>
    <t xml:space="preserve">Site #3: Capex </t>
  </si>
  <si>
    <t xml:space="preserve">Site #2: Capex </t>
  </si>
  <si>
    <t xml:space="preserve">Site #4: Capex </t>
  </si>
  <si>
    <t>Site #5: Operating Income</t>
  </si>
  <si>
    <t xml:space="preserve">Site #5: Capex </t>
  </si>
  <si>
    <t xml:space="preserve">Site #5: Cash Flow </t>
  </si>
  <si>
    <t>Site #1: Op Inc Share</t>
  </si>
  <si>
    <t>Site #2: Op Inc Share</t>
  </si>
  <si>
    <t>Site #3: Op Inc Share</t>
  </si>
  <si>
    <t>Site #4: Op Inc Share</t>
  </si>
  <si>
    <t>Site #5: Op Inc Share</t>
  </si>
  <si>
    <t>Salaries</t>
  </si>
  <si>
    <t>Travel</t>
  </si>
  <si>
    <t>Office</t>
  </si>
  <si>
    <t>Legal</t>
  </si>
  <si>
    <t>Accounting</t>
  </si>
  <si>
    <t>Sales, General &amp; Admin</t>
  </si>
  <si>
    <t>Tax basis</t>
  </si>
  <si>
    <t>Cum EBITDA</t>
  </si>
  <si>
    <t>Corporate Tax</t>
  </si>
  <si>
    <t>Site #1: Depreciation</t>
  </si>
  <si>
    <t>Site #2: Depreciation</t>
  </si>
  <si>
    <t>Site #3: Depreciation</t>
  </si>
  <si>
    <t>Site #4: Depreciation</t>
  </si>
  <si>
    <t>Site #5: Depreciation</t>
  </si>
  <si>
    <t>EBT</t>
  </si>
  <si>
    <t>Net Income</t>
  </si>
  <si>
    <t>Depreciation</t>
  </si>
  <si>
    <t>Operations (Need)/Supply</t>
  </si>
  <si>
    <t>Investment (Need)/Supply</t>
  </si>
  <si>
    <t>Co's Share of Operating Income</t>
  </si>
  <si>
    <t>Preferred Equity</t>
  </si>
  <si>
    <t>Common</t>
  </si>
  <si>
    <t>Financing (Need)/Supply</t>
  </si>
  <si>
    <t>Debt</t>
  </si>
  <si>
    <t>Debt Service</t>
  </si>
  <si>
    <t>Starting Cash</t>
  </si>
  <si>
    <t>Ending Cash</t>
  </si>
  <si>
    <t>Net Cash In / (Out)</t>
  </si>
  <si>
    <t>Min Cash for Dividends</t>
  </si>
  <si>
    <t>Assets</t>
  </si>
  <si>
    <t>Cash</t>
  </si>
  <si>
    <t>Accounts Receivable</t>
  </si>
  <si>
    <t>Depreciable Assets</t>
  </si>
  <si>
    <t>Less accumulated depreciation</t>
  </si>
  <si>
    <t>Net Fixed Assets</t>
  </si>
  <si>
    <t>Total Assets</t>
  </si>
  <si>
    <t>Liabilities &amp; Equity</t>
  </si>
  <si>
    <t>Total Liabilities</t>
  </si>
  <si>
    <t>Equity Investment</t>
  </si>
  <si>
    <t>Retained earnings</t>
  </si>
  <si>
    <t>Dividends / Ret of Capital</t>
  </si>
  <si>
    <t>Total Owners' Equity</t>
  </si>
  <si>
    <t>Total Liabilities and Equity</t>
  </si>
  <si>
    <t>Error check: does statement balance?</t>
  </si>
  <si>
    <t>Prefered Dividends</t>
  </si>
  <si>
    <t>Current Liabilities</t>
  </si>
  <si>
    <t>Term Debt</t>
  </si>
  <si>
    <t>Owners' Equity</t>
  </si>
  <si>
    <t>Pref. Equity (Bonus)</t>
  </si>
  <si>
    <t>Common Dividends</t>
  </si>
  <si>
    <t>1Q:1Y</t>
  </si>
  <si>
    <t>2Q:1Y</t>
  </si>
  <si>
    <t>3Q:1Y</t>
  </si>
  <si>
    <t>4Q:1Y</t>
  </si>
  <si>
    <t>1Q:2Y</t>
  </si>
  <si>
    <t>2Q:2Y</t>
  </si>
  <si>
    <t>3Q:2Y</t>
  </si>
  <si>
    <t>4Q:2Y</t>
  </si>
  <si>
    <t>Source &amp; Uses of Cash ($000's)</t>
  </si>
  <si>
    <t>Balance Sheet ($000's)</t>
  </si>
  <si>
    <t>Income Statement ($000's)</t>
  </si>
  <si>
    <t>Cash Flow Statement ($000's)</t>
  </si>
  <si>
    <t>$/ton</t>
  </si>
  <si>
    <t>bbls/mo</t>
  </si>
  <si>
    <t xml:space="preserve">    Land: acres,, $/ac/mo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</si>
</sst>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7" formatCode="0.0%"/>
    <numFmt numFmtId="168" formatCode="_(* #,##0_);_(* \(#,##0\);_(* &quot;-&quot;??_);_(@_)"/>
    <numFmt numFmtId="169" formatCode="_(* #,##0.0_);_(* \(#,##0.0\);_(* &quot;-&quot;??_);_(@_)"/>
    <numFmt numFmtId="170" formatCode="_(* #,##0.000_);_(* \(#,##0.000\);_(* &quot;-&quot;??_);_(@_)"/>
    <numFmt numFmtId="171" formatCode="&quot;@ &quot;0%"/>
    <numFmt numFmtId="172" formatCode="0.000"/>
    <numFmt numFmtId="173" formatCode="&quot;$&quot;#,##0.0_);[Red]\(&quot;$&quot;#,##0.0\)"/>
    <numFmt numFmtId="174" formatCode="&quot;$&quot;#,##0.0"/>
    <numFmt numFmtId="175" formatCode="&quot;$&quot;#,##0&quot;/bbl&quot;"/>
    <numFmt numFmtId="176" formatCode="&quot;$&quot;#,##0.0&quot;/bbl&quot;"/>
    <numFmt numFmtId="177" formatCode="&quot;$&quot;#,##0.00&quot;/bbl&quot;"/>
    <numFmt numFmtId="178" formatCode="[$-409]mmm/yy;@"/>
    <numFmt numFmtId="179" formatCode="&quot;Mon &quot;0"/>
    <numFmt numFmtId="180" formatCode="#,##0.0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indexed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i/>
      <sz val="12"/>
      <color theme="3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164" fontId="0" fillId="0" borderId="0" xfId="4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0" xfId="4" applyNumberFormat="1" applyFont="1" applyAlignment="1">
      <alignment horizontal="center"/>
    </xf>
    <xf numFmtId="2" fontId="0" fillId="0" borderId="0" xfId="0" applyNumberFormat="1"/>
    <xf numFmtId="0" fontId="0" fillId="2" borderId="0" xfId="0" applyFill="1"/>
    <xf numFmtId="165" fontId="11" fillId="0" borderId="0" xfId="0" applyNumberFormat="1" applyFont="1"/>
    <xf numFmtId="0" fontId="0" fillId="0" borderId="0" xfId="0" applyFill="1"/>
    <xf numFmtId="165" fontId="0" fillId="0" borderId="0" xfId="0" applyNumberFormat="1" applyFill="1"/>
    <xf numFmtId="0" fontId="6" fillId="0" borderId="0" xfId="5"/>
    <xf numFmtId="0" fontId="12" fillId="0" borderId="0" xfId="5" applyFont="1"/>
    <xf numFmtId="166" fontId="6" fillId="0" borderId="0" xfId="5" applyNumberFormat="1"/>
    <xf numFmtId="166" fontId="12" fillId="0" borderId="0" xfId="5" applyNumberFormat="1" applyFont="1"/>
    <xf numFmtId="2" fontId="12" fillId="0" borderId="0" xfId="5" applyNumberFormat="1" applyFont="1"/>
    <xf numFmtId="166" fontId="10" fillId="3" borderId="0" xfId="5" applyNumberFormat="1" applyFont="1" applyFill="1"/>
    <xf numFmtId="0" fontId="10" fillId="3" borderId="0" xfId="5" applyFont="1" applyFill="1"/>
    <xf numFmtId="2" fontId="6" fillId="0" borderId="0" xfId="5" applyNumberFormat="1"/>
    <xf numFmtId="167" fontId="6" fillId="0" borderId="0" xfId="5" applyNumberFormat="1" applyFill="1"/>
    <xf numFmtId="0" fontId="10" fillId="0" borderId="0" xfId="5" applyFont="1"/>
    <xf numFmtId="166" fontId="10" fillId="0" borderId="0" xfId="5" applyNumberFormat="1" applyFont="1"/>
    <xf numFmtId="168" fontId="6" fillId="0" borderId="0" xfId="3" applyNumberFormat="1" applyFont="1"/>
    <xf numFmtId="168" fontId="0" fillId="0" borderId="0" xfId="3" applyNumberFormat="1" applyFont="1"/>
    <xf numFmtId="0" fontId="11" fillId="0" borderId="1" xfId="0" applyFont="1" applyBorder="1"/>
    <xf numFmtId="0" fontId="0" fillId="0" borderId="1" xfId="0" applyBorder="1"/>
    <xf numFmtId="2" fontId="0" fillId="0" borderId="1" xfId="0" applyNumberFormat="1" applyBorder="1"/>
    <xf numFmtId="165" fontId="0" fillId="0" borderId="1" xfId="4" applyNumberFormat="1" applyFont="1" applyBorder="1" applyAlignment="1">
      <alignment horizontal="center"/>
    </xf>
    <xf numFmtId="165" fontId="11" fillId="0" borderId="1" xfId="0" applyNumberFormat="1" applyFont="1" applyBorder="1"/>
    <xf numFmtId="6" fontId="11" fillId="0" borderId="1" xfId="0" applyNumberFormat="1" applyFont="1" applyBorder="1"/>
    <xf numFmtId="0" fontId="11" fillId="0" borderId="2" xfId="0" applyFont="1" applyBorder="1"/>
    <xf numFmtId="6" fontId="11" fillId="0" borderId="2" xfId="0" applyNumberFormat="1" applyFont="1" applyBorder="1"/>
    <xf numFmtId="168" fontId="0" fillId="0" borderId="0" xfId="0" applyNumberFormat="1" applyFill="1"/>
    <xf numFmtId="0" fontId="0" fillId="0" borderId="0" xfId="0" applyFont="1"/>
    <xf numFmtId="166" fontId="0" fillId="0" borderId="0" xfId="0" applyNumberFormat="1"/>
    <xf numFmtId="168" fontId="10" fillId="3" borderId="0" xfId="3" applyNumberFormat="1" applyFont="1" applyFill="1"/>
    <xf numFmtId="168" fontId="6" fillId="0" borderId="0" xfId="5" applyNumberFormat="1"/>
    <xf numFmtId="0" fontId="12" fillId="0" borderId="0" xfId="5" applyFont="1" applyAlignment="1">
      <alignment horizontal="right"/>
    </xf>
    <xf numFmtId="43" fontId="6" fillId="0" borderId="0" xfId="5" applyNumberFormat="1"/>
    <xf numFmtId="43" fontId="12" fillId="0" borderId="0" xfId="5" applyNumberFormat="1" applyFont="1"/>
    <xf numFmtId="168" fontId="5" fillId="0" borderId="0" xfId="3" applyNumberFormat="1" applyFont="1"/>
    <xf numFmtId="169" fontId="6" fillId="0" borderId="0" xfId="5" applyNumberFormat="1"/>
    <xf numFmtId="0" fontId="4" fillId="0" borderId="0" xfId="5" applyFont="1"/>
    <xf numFmtId="169" fontId="4" fillId="0" borderId="0" xfId="3" applyNumberFormat="1" applyFont="1" applyFill="1"/>
    <xf numFmtId="168" fontId="0" fillId="0" borderId="0" xfId="3" applyNumberFormat="1" applyFont="1" applyFill="1"/>
    <xf numFmtId="6" fontId="0" fillId="0" borderId="0" xfId="0" applyNumberFormat="1" applyFont="1" applyFill="1"/>
    <xf numFmtId="168" fontId="0" fillId="0" borderId="0" xfId="0" applyNumberFormat="1"/>
    <xf numFmtId="0" fontId="0" fillId="0" borderId="0" xfId="0" applyBorder="1"/>
    <xf numFmtId="6" fontId="0" fillId="0" borderId="0" xfId="0" applyNumberFormat="1" applyFont="1"/>
    <xf numFmtId="166" fontId="6" fillId="4" borderId="0" xfId="5" applyNumberFormat="1" applyFill="1"/>
    <xf numFmtId="0" fontId="12" fillId="4" borderId="0" xfId="5" applyFont="1" applyFill="1"/>
    <xf numFmtId="166" fontId="0" fillId="2" borderId="0" xfId="0" applyNumberFormat="1" applyFill="1"/>
    <xf numFmtId="0" fontId="0" fillId="0" borderId="3" xfId="0" applyBorder="1"/>
    <xf numFmtId="168" fontId="11" fillId="0" borderId="3" xfId="3" applyNumberFormat="1" applyFont="1" applyBorder="1"/>
    <xf numFmtId="43" fontId="9" fillId="0" borderId="0" xfId="3" applyNumberFormat="1" applyFont="1" applyBorder="1"/>
    <xf numFmtId="43" fontId="4" fillId="0" borderId="0" xfId="5" applyNumberFormat="1" applyFont="1" applyBorder="1"/>
    <xf numFmtId="0" fontId="4" fillId="0" borderId="0" xfId="5" applyFont="1" applyBorder="1"/>
    <xf numFmtId="0" fontId="0" fillId="0" borderId="4" xfId="0" applyBorder="1"/>
    <xf numFmtId="170" fontId="10" fillId="0" borderId="4" xfId="5" applyNumberFormat="1" applyFont="1" applyBorder="1"/>
    <xf numFmtId="0" fontId="4" fillId="0" borderId="4" xfId="5" applyFont="1" applyBorder="1"/>
    <xf numFmtId="6" fontId="0" fillId="0" borderId="0" xfId="0" applyNumberForma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3" fillId="0" borderId="0" xfId="5" applyFont="1"/>
    <xf numFmtId="172" fontId="6" fillId="0" borderId="0" xfId="5" applyNumberFormat="1"/>
    <xf numFmtId="167" fontId="12" fillId="0" borderId="0" xfId="5" applyNumberFormat="1" applyFont="1" applyFill="1"/>
    <xf numFmtId="9" fontId="0" fillId="0" borderId="0" xfId="0" applyNumberFormat="1"/>
    <xf numFmtId="172" fontId="0" fillId="0" borderId="0" xfId="0" applyNumberFormat="1"/>
    <xf numFmtId="172" fontId="0" fillId="3" borderId="0" xfId="0" applyNumberFormat="1" applyFill="1"/>
    <xf numFmtId="167" fontId="0" fillId="2" borderId="0" xfId="7" applyNumberFormat="1" applyFont="1" applyFill="1"/>
    <xf numFmtId="167" fontId="0" fillId="0" borderId="0" xfId="7" applyNumberFormat="1" applyFont="1" applyFill="1"/>
    <xf numFmtId="172" fontId="0" fillId="4" borderId="0" xfId="0" applyNumberFormat="1" applyFill="1"/>
    <xf numFmtId="1" fontId="0" fillId="4" borderId="0" xfId="0" applyNumberFormat="1" applyFill="1"/>
    <xf numFmtId="9" fontId="0" fillId="4" borderId="0" xfId="0" applyNumberFormat="1" applyFill="1"/>
    <xf numFmtId="169" fontId="10" fillId="3" borderId="0" xfId="5" applyNumberFormat="1" applyFont="1" applyFill="1"/>
    <xf numFmtId="0" fontId="4" fillId="4" borderId="0" xfId="5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Fill="1" applyAlignment="1">
      <alignment horizontal="center"/>
    </xf>
    <xf numFmtId="0" fontId="14" fillId="0" borderId="0" xfId="0" applyFont="1"/>
    <xf numFmtId="6" fontId="14" fillId="0" borderId="0" xfId="0" applyNumberFormat="1" applyFont="1"/>
    <xf numFmtId="3" fontId="0" fillId="0" borderId="0" xfId="0" applyNumberFormat="1"/>
    <xf numFmtId="0" fontId="0" fillId="0" borderId="9" xfId="0" applyFont="1" applyBorder="1"/>
    <xf numFmtId="0" fontId="0" fillId="0" borderId="9" xfId="0" applyBorder="1"/>
    <xf numFmtId="6" fontId="0" fillId="0" borderId="9" xfId="0" applyNumberFormat="1" applyFont="1" applyBorder="1"/>
    <xf numFmtId="168" fontId="14" fillId="0" borderId="0" xfId="3" applyNumberFormat="1" applyFont="1"/>
    <xf numFmtId="6" fontId="14" fillId="0" borderId="0" xfId="0" applyNumberFormat="1" applyFont="1" applyFill="1"/>
    <xf numFmtId="0" fontId="11" fillId="0" borderId="0" xfId="0" applyFont="1" applyFill="1"/>
    <xf numFmtId="0" fontId="0" fillId="0" borderId="0" xfId="0" applyFill="1" applyAlignment="1">
      <alignment horizontal="center"/>
    </xf>
    <xf numFmtId="1" fontId="11" fillId="5" borderId="0" xfId="0" applyNumberFormat="1" applyFont="1" applyFill="1"/>
    <xf numFmtId="0" fontId="11" fillId="6" borderId="0" xfId="0" applyFont="1" applyFill="1"/>
    <xf numFmtId="8" fontId="0" fillId="0" borderId="0" xfId="0" applyNumberFormat="1"/>
    <xf numFmtId="173" fontId="11" fillId="0" borderId="1" xfId="0" applyNumberFormat="1" applyFont="1" applyBorder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2" xfId="0" applyFont="1" applyBorder="1"/>
    <xf numFmtId="173" fontId="11" fillId="0" borderId="2" xfId="0" applyNumberFormat="1" applyFont="1" applyFill="1" applyBorder="1" applyAlignment="1">
      <alignment horizontal="center"/>
    </xf>
    <xf numFmtId="173" fontId="11" fillId="0" borderId="1" xfId="0" applyNumberFormat="1" applyFont="1" applyFill="1" applyBorder="1" applyAlignment="1">
      <alignment horizontal="center"/>
    </xf>
    <xf numFmtId="0" fontId="11" fillId="0" borderId="0" xfId="0" applyFont="1" applyBorder="1"/>
    <xf numFmtId="6" fontId="11" fillId="0" borderId="0" xfId="0" applyNumberFormat="1" applyFont="1" applyBorder="1"/>
    <xf numFmtId="0" fontId="14" fillId="0" borderId="0" xfId="0" applyFont="1" applyBorder="1"/>
    <xf numFmtId="0" fontId="0" fillId="5" borderId="0" xfId="0" applyFill="1"/>
    <xf numFmtId="165" fontId="0" fillId="5" borderId="0" xfId="0" applyNumberFormat="1" applyFill="1"/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4" fillId="0" borderId="0" xfId="0" quotePrefix="1" applyFont="1" applyFill="1"/>
    <xf numFmtId="168" fontId="14" fillId="0" borderId="0" xfId="3" applyNumberFormat="1" applyFont="1" applyFill="1"/>
    <xf numFmtId="173" fontId="0" fillId="6" borderId="0" xfId="0" applyNumberFormat="1" applyFont="1" applyFill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5" fillId="0" borderId="1" xfId="0" applyFont="1" applyBorder="1"/>
    <xf numFmtId="0" fontId="16" fillId="0" borderId="2" xfId="0" applyFont="1" applyBorder="1"/>
    <xf numFmtId="168" fontId="15" fillId="0" borderId="0" xfId="3" applyNumberFormat="1" applyFont="1"/>
    <xf numFmtId="169" fontId="12" fillId="6" borderId="0" xfId="3" applyNumberFormat="1" applyFont="1" applyFill="1"/>
    <xf numFmtId="167" fontId="6" fillId="6" borderId="0" xfId="5" applyNumberFormat="1" applyFill="1"/>
    <xf numFmtId="9" fontId="12" fillId="6" borderId="0" xfId="5" applyNumberFormat="1" applyFont="1" applyFill="1"/>
    <xf numFmtId="9" fontId="0" fillId="6" borderId="0" xfId="6" applyFont="1" applyFill="1"/>
    <xf numFmtId="166" fontId="12" fillId="6" borderId="0" xfId="5" applyNumberFormat="1" applyFont="1" applyFill="1"/>
    <xf numFmtId="0" fontId="2" fillId="0" borderId="0" xfId="5" applyFont="1" applyAlignment="1">
      <alignment horizontal="right"/>
    </xf>
    <xf numFmtId="167" fontId="0" fillId="0" borderId="0" xfId="7" applyNumberFormat="1" applyFont="1"/>
    <xf numFmtId="0" fontId="0" fillId="0" borderId="0" xfId="0" applyFont="1" applyBorder="1"/>
    <xf numFmtId="173" fontId="11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Font="1" applyFill="1" applyBorder="1"/>
    <xf numFmtId="6" fontId="0" fillId="0" borderId="0" xfId="0" applyNumberFormat="1" applyFont="1" applyBorder="1"/>
    <xf numFmtId="6" fontId="14" fillId="0" borderId="0" xfId="0" applyNumberFormat="1" applyFont="1" applyFill="1" applyAlignment="1">
      <alignment horizontal="right"/>
    </xf>
    <xf numFmtId="167" fontId="14" fillId="0" borderId="0" xfId="7" applyNumberFormat="1" applyFont="1" applyFill="1" applyAlignment="1">
      <alignment horizontal="left"/>
    </xf>
    <xf numFmtId="0" fontId="17" fillId="0" borderId="0" xfId="0" applyFont="1" applyAlignment="1">
      <alignment horizontal="left"/>
    </xf>
    <xf numFmtId="174" fontId="18" fillId="6" borderId="0" xfId="0" applyNumberFormat="1" applyFont="1" applyFill="1" applyAlignment="1">
      <alignment horizontal="center"/>
    </xf>
    <xf numFmtId="43" fontId="0" fillId="0" borderId="0" xfId="0" applyNumberFormat="1"/>
    <xf numFmtId="173" fontId="0" fillId="0" borderId="0" xfId="0" applyNumberFormat="1" applyFont="1" applyFill="1" applyAlignment="1">
      <alignment horizontal="center"/>
    </xf>
    <xf numFmtId="0" fontId="16" fillId="0" borderId="0" xfId="0" applyFont="1" applyBorder="1"/>
    <xf numFmtId="0" fontId="15" fillId="0" borderId="0" xfId="0" applyFont="1" applyBorder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4" fontId="15" fillId="0" borderId="0" xfId="0" applyNumberFormat="1" applyFont="1" applyFill="1"/>
    <xf numFmtId="0" fontId="16" fillId="0" borderId="0" xfId="0" applyFont="1"/>
    <xf numFmtId="9" fontId="15" fillId="0" borderId="0" xfId="0" applyNumberFormat="1" applyFont="1"/>
    <xf numFmtId="5" fontId="15" fillId="0" borderId="0" xfId="3" applyNumberFormat="1" applyFont="1"/>
    <xf numFmtId="9" fontId="15" fillId="0" borderId="2" xfId="0" applyNumberFormat="1" applyFont="1" applyBorder="1"/>
    <xf numFmtId="5" fontId="15" fillId="0" borderId="2" xfId="3" applyNumberFormat="1" applyFont="1" applyBorder="1"/>
    <xf numFmtId="5" fontId="15" fillId="0" borderId="1" xfId="3" applyNumberFormat="1" applyFont="1" applyBorder="1"/>
    <xf numFmtId="168" fontId="15" fillId="0" borderId="0" xfId="0" applyNumberFormat="1" applyFont="1"/>
    <xf numFmtId="0" fontId="16" fillId="0" borderId="5" xfId="0" applyFont="1" applyBorder="1" applyAlignment="1">
      <alignment horizontal="right"/>
    </xf>
    <xf numFmtId="0" fontId="16" fillId="0" borderId="5" xfId="0" applyFont="1" applyBorder="1" applyAlignment="1">
      <alignment horizontal="center"/>
    </xf>
    <xf numFmtId="0" fontId="16" fillId="0" borderId="5" xfId="0" quotePrefix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5" xfId="0" applyFont="1" applyBorder="1" applyAlignment="1"/>
    <xf numFmtId="0" fontId="16" fillId="0" borderId="0" xfId="0" applyFont="1" applyBorder="1" applyAlignment="1">
      <alignment horizontal="left"/>
    </xf>
    <xf numFmtId="5" fontId="15" fillId="0" borderId="0" xfId="3" applyNumberFormat="1" applyFont="1" applyBorder="1"/>
    <xf numFmtId="175" fontId="15" fillId="0" borderId="0" xfId="4" applyNumberFormat="1" applyFont="1"/>
    <xf numFmtId="176" fontId="15" fillId="0" borderId="0" xfId="0" applyNumberFormat="1" applyFont="1" applyAlignment="1">
      <alignment horizontal="right"/>
    </xf>
    <xf numFmtId="0" fontId="16" fillId="0" borderId="0" xfId="0" applyFont="1" applyBorder="1" applyAlignment="1">
      <alignment horizontal="right"/>
    </xf>
    <xf numFmtId="5" fontId="15" fillId="0" borderId="4" xfId="3" applyNumberFormat="1" applyFont="1" applyBorder="1"/>
    <xf numFmtId="0" fontId="16" fillId="0" borderId="1" xfId="0" applyFont="1" applyBorder="1" applyAlignment="1">
      <alignment horizontal="left"/>
    </xf>
    <xf numFmtId="0" fontId="20" fillId="0" borderId="0" xfId="0" applyFont="1"/>
    <xf numFmtId="0" fontId="16" fillId="0" borderId="1" xfId="0" applyFont="1" applyBorder="1" applyAlignment="1">
      <alignment horizontal="left"/>
    </xf>
    <xf numFmtId="0" fontId="19" fillId="0" borderId="0" xfId="0" applyFont="1" applyAlignment="1">
      <alignment horizontal="left" vertical="center" readingOrder="1"/>
    </xf>
    <xf numFmtId="0" fontId="15" fillId="7" borderId="0" xfId="0" applyFont="1" applyFill="1"/>
    <xf numFmtId="176" fontId="15" fillId="0" borderId="0" xfId="4" applyNumberFormat="1" applyFont="1"/>
    <xf numFmtId="7" fontId="15" fillId="0" borderId="0" xfId="3" applyNumberFormat="1" applyFont="1" applyBorder="1"/>
    <xf numFmtId="5" fontId="15" fillId="0" borderId="0" xfId="0" applyNumberFormat="1" applyFont="1"/>
    <xf numFmtId="0" fontId="16" fillId="0" borderId="0" xfId="0" applyFont="1" applyBorder="1" applyAlignment="1"/>
    <xf numFmtId="177" fontId="15" fillId="0" borderId="0" xfId="4" applyNumberFormat="1" applyFont="1"/>
    <xf numFmtId="165" fontId="15" fillId="0" borderId="0" xfId="4" applyNumberFormat="1" applyFont="1" applyFill="1"/>
    <xf numFmtId="0" fontId="2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0" fontId="1" fillId="0" borderId="0" xfId="0" applyFont="1" applyFill="1"/>
    <xf numFmtId="166" fontId="10" fillId="0" borderId="0" xfId="0" applyNumberFormat="1" applyFont="1" applyFill="1"/>
    <xf numFmtId="0" fontId="10" fillId="0" borderId="6" xfId="0" applyFont="1" applyFill="1" applyBorder="1" applyAlignment="1">
      <alignment horizontal="center"/>
    </xf>
    <xf numFmtId="165" fontId="23" fillId="0" borderId="0" xfId="4" applyNumberFormat="1" applyFont="1" applyFill="1"/>
    <xf numFmtId="165" fontId="15" fillId="0" borderId="0" xfId="0" applyNumberFormat="1" applyFont="1" applyFill="1"/>
    <xf numFmtId="165" fontId="16" fillId="0" borderId="6" xfId="0" applyNumberFormat="1" applyFont="1" applyFill="1" applyBorder="1"/>
    <xf numFmtId="0" fontId="16" fillId="0" borderId="1" xfId="0" applyFont="1" applyFill="1" applyBorder="1"/>
    <xf numFmtId="165" fontId="16" fillId="0" borderId="1" xfId="0" applyNumberFormat="1" applyFont="1" applyFill="1" applyBorder="1"/>
    <xf numFmtId="165" fontId="16" fillId="0" borderId="7" xfId="0" applyNumberFormat="1" applyFont="1" applyFill="1" applyBorder="1"/>
    <xf numFmtId="0" fontId="15" fillId="0" borderId="0" xfId="0" quotePrefix="1" applyFont="1" applyFill="1"/>
    <xf numFmtId="4" fontId="16" fillId="0" borderId="0" xfId="0" applyNumberFormat="1" applyFont="1" applyFill="1"/>
    <xf numFmtId="0" fontId="15" fillId="0" borderId="1" xfId="0" applyFont="1" applyFill="1" applyBorder="1"/>
    <xf numFmtId="165" fontId="15" fillId="0" borderId="1" xfId="4" applyNumberFormat="1" applyFont="1" applyFill="1" applyBorder="1"/>
    <xf numFmtId="0" fontId="22" fillId="0" borderId="0" xfId="0" applyFont="1" applyFill="1"/>
    <xf numFmtId="165" fontId="22" fillId="0" borderId="0" xfId="4" applyNumberFormat="1" applyFont="1" applyFill="1"/>
    <xf numFmtId="165" fontId="22" fillId="0" borderId="0" xfId="0" applyNumberFormat="1" applyFont="1" applyFill="1"/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16" fillId="0" borderId="0" xfId="0" applyFont="1" applyFill="1" applyBorder="1"/>
    <xf numFmtId="0" fontId="15" fillId="0" borderId="0" xfId="0" applyFont="1" applyFill="1" applyBorder="1"/>
    <xf numFmtId="165" fontId="15" fillId="0" borderId="0" xfId="4" applyNumberFormat="1" applyFont="1" applyFill="1" applyBorder="1"/>
    <xf numFmtId="165" fontId="16" fillId="0" borderId="0" xfId="0" applyNumberFormat="1" applyFont="1" applyFill="1" applyBorder="1"/>
    <xf numFmtId="171" fontId="15" fillId="0" borderId="0" xfId="0" quotePrefix="1" applyNumberFormat="1" applyFont="1" applyFill="1"/>
    <xf numFmtId="0" fontId="16" fillId="0" borderId="2" xfId="0" applyFont="1" applyFill="1" applyBorder="1"/>
    <xf numFmtId="165" fontId="16" fillId="0" borderId="2" xfId="0" applyNumberFormat="1" applyFont="1" applyFill="1" applyBorder="1"/>
    <xf numFmtId="0" fontId="11" fillId="0" borderId="0" xfId="0" applyFont="1" applyAlignment="1">
      <alignment horizontal="left"/>
    </xf>
    <xf numFmtId="175" fontId="24" fillId="6" borderId="0" xfId="4" applyNumberFormat="1" applyFont="1" applyFill="1"/>
    <xf numFmtId="177" fontId="24" fillId="6" borderId="0" xfId="4" applyNumberFormat="1" applyFont="1" applyFill="1"/>
    <xf numFmtId="168" fontId="24" fillId="6" borderId="0" xfId="3" applyNumberFormat="1" applyFont="1" applyFill="1"/>
    <xf numFmtId="176" fontId="24" fillId="6" borderId="0" xfId="4" applyNumberFormat="1" applyFont="1" applyFill="1"/>
    <xf numFmtId="9" fontId="15" fillId="0" borderId="0" xfId="0" applyNumberFormat="1" applyFont="1" applyFill="1"/>
    <xf numFmtId="0" fontId="23" fillId="0" borderId="0" xfId="0" applyFont="1"/>
    <xf numFmtId="7" fontId="15" fillId="0" borderId="1" xfId="3" applyNumberFormat="1" applyFont="1" applyBorder="1"/>
    <xf numFmtId="168" fontId="15" fillId="0" borderId="0" xfId="3" applyNumberFormat="1" applyFont="1" applyBorder="1"/>
    <xf numFmtId="9" fontId="16" fillId="0" borderId="0" xfId="0" applyNumberFormat="1" applyFont="1" applyBorder="1"/>
    <xf numFmtId="9" fontId="15" fillId="0" borderId="0" xfId="0" applyNumberFormat="1" applyFont="1" applyBorder="1"/>
    <xf numFmtId="0" fontId="23" fillId="0" borderId="0" xfId="0" applyFont="1" applyBorder="1"/>
    <xf numFmtId="5" fontId="15" fillId="0" borderId="0" xfId="0" applyNumberFormat="1" applyFont="1" applyBorder="1"/>
    <xf numFmtId="168" fontId="16" fillId="0" borderId="1" xfId="3" applyNumberFormat="1" applyFont="1" applyBorder="1"/>
    <xf numFmtId="168" fontId="16" fillId="0" borderId="0" xfId="3" applyNumberFormat="1" applyFont="1" applyBorder="1"/>
    <xf numFmtId="168" fontId="15" fillId="0" borderId="1" xfId="0" applyNumberFormat="1" applyFont="1" applyBorder="1"/>
    <xf numFmtId="168" fontId="16" fillId="0" borderId="1" xfId="0" applyNumberFormat="1" applyFont="1" applyBorder="1"/>
    <xf numFmtId="10" fontId="15" fillId="0" borderId="0" xfId="0" applyNumberFormat="1" applyFont="1"/>
    <xf numFmtId="0" fontId="15" fillId="0" borderId="2" xfId="0" applyFont="1" applyBorder="1"/>
    <xf numFmtId="168" fontId="16" fillId="0" borderId="2" xfId="0" applyNumberFormat="1" applyFont="1" applyBorder="1"/>
    <xf numFmtId="168" fontId="16" fillId="0" borderId="0" xfId="0" applyNumberFormat="1" applyFont="1" applyBorder="1"/>
    <xf numFmtId="168" fontId="15" fillId="0" borderId="0" xfId="0" applyNumberFormat="1" applyFont="1" applyBorder="1"/>
    <xf numFmtId="9" fontId="15" fillId="0" borderId="0" xfId="7" applyFont="1" applyBorder="1"/>
    <xf numFmtId="0" fontId="16" fillId="0" borderId="3" xfId="0" applyFont="1" applyBorder="1"/>
    <xf numFmtId="7" fontId="15" fillId="0" borderId="3" xfId="3" applyNumberFormat="1" applyFont="1" applyBorder="1"/>
    <xf numFmtId="5" fontId="15" fillId="0" borderId="3" xfId="3" applyNumberFormat="1" applyFont="1" applyBorder="1"/>
    <xf numFmtId="168" fontId="15" fillId="0" borderId="3" xfId="3" applyNumberFormat="1" applyFont="1" applyBorder="1"/>
    <xf numFmtId="0" fontId="23" fillId="0" borderId="2" xfId="0" applyFont="1" applyBorder="1" applyAlignment="1">
      <alignment horizontal="right"/>
    </xf>
    <xf numFmtId="178" fontId="27" fillId="0" borderId="0" xfId="0" applyNumberFormat="1" applyFont="1" applyFill="1"/>
    <xf numFmtId="41" fontId="27" fillId="0" borderId="0" xfId="0" applyNumberFormat="1" applyFont="1" applyFill="1"/>
    <xf numFmtId="178" fontId="27" fillId="0" borderId="0" xfId="0" applyNumberFormat="1" applyFont="1" applyFill="1" applyBorder="1"/>
    <xf numFmtId="178" fontId="27" fillId="0" borderId="0" xfId="0" applyNumberFormat="1" applyFont="1"/>
    <xf numFmtId="178" fontId="28" fillId="0" borderId="0" xfId="0" applyNumberFormat="1" applyFont="1" applyFill="1" applyBorder="1"/>
    <xf numFmtId="41" fontId="27" fillId="0" borderId="0" xfId="0" applyNumberFormat="1" applyFont="1" applyFill="1" applyBorder="1" applyAlignment="1">
      <alignment vertical="center" wrapText="1"/>
    </xf>
    <xf numFmtId="178" fontId="27" fillId="0" borderId="0" xfId="0" applyNumberFormat="1" applyFont="1" applyBorder="1"/>
    <xf numFmtId="178" fontId="27" fillId="0" borderId="0" xfId="0" applyNumberFormat="1" applyFont="1" applyFill="1" applyBorder="1" applyAlignment="1" applyProtection="1">
      <alignment vertical="center"/>
    </xf>
    <xf numFmtId="41" fontId="27" fillId="0" borderId="0" xfId="0" applyNumberFormat="1" applyFont="1" applyFill="1" applyBorder="1"/>
    <xf numFmtId="178" fontId="27" fillId="0" borderId="3" xfId="0" applyNumberFormat="1" applyFont="1" applyFill="1" applyBorder="1"/>
    <xf numFmtId="41" fontId="27" fillId="0" borderId="3" xfId="0" applyNumberFormat="1" applyFont="1" applyFill="1" applyBorder="1" applyAlignment="1">
      <alignment vertical="center" wrapText="1"/>
    </xf>
    <xf numFmtId="41" fontId="27" fillId="0" borderId="3" xfId="0" applyNumberFormat="1" applyFont="1" applyFill="1" applyBorder="1"/>
    <xf numFmtId="178" fontId="27" fillId="0" borderId="5" xfId="0" applyNumberFormat="1" applyFont="1" applyFill="1" applyBorder="1" applyAlignment="1" applyProtection="1">
      <alignment vertical="center"/>
    </xf>
    <xf numFmtId="41" fontId="27" fillId="0" borderId="5" xfId="0" applyNumberFormat="1" applyFont="1" applyFill="1" applyBorder="1" applyAlignment="1">
      <alignment vertical="center" wrapText="1"/>
    </xf>
    <xf numFmtId="41" fontId="27" fillId="0" borderId="5" xfId="0" applyNumberFormat="1" applyFont="1" applyBorder="1"/>
    <xf numFmtId="41" fontId="27" fillId="0" borderId="0" xfId="0" applyNumberFormat="1" applyFont="1"/>
    <xf numFmtId="178" fontId="28" fillId="0" borderId="2" xfId="0" applyNumberFormat="1" applyFont="1" applyFill="1" applyBorder="1" applyAlignment="1" applyProtection="1">
      <alignment vertical="center"/>
    </xf>
    <xf numFmtId="41" fontId="27" fillId="0" borderId="2" xfId="0" applyNumberFormat="1" applyFont="1" applyFill="1" applyBorder="1" applyAlignment="1">
      <alignment vertical="center" wrapText="1"/>
    </xf>
    <xf numFmtId="41" fontId="28" fillId="0" borderId="2" xfId="0" applyNumberFormat="1" applyFont="1" applyFill="1" applyBorder="1"/>
    <xf numFmtId="178" fontId="27" fillId="0" borderId="0" xfId="0" applyNumberFormat="1" applyFont="1" applyFill="1" applyBorder="1" applyAlignment="1">
      <alignment vertical="center"/>
    </xf>
    <xf numFmtId="178" fontId="28" fillId="0" borderId="0" xfId="0" applyNumberFormat="1" applyFont="1" applyFill="1" applyBorder="1" applyAlignment="1" applyProtection="1">
      <alignment vertical="center"/>
    </xf>
    <xf numFmtId="178" fontId="27" fillId="0" borderId="9" xfId="0" applyNumberFormat="1" applyFont="1" applyFill="1" applyBorder="1"/>
    <xf numFmtId="178" fontId="27" fillId="0" borderId="9" xfId="0" applyNumberFormat="1" applyFont="1" applyFill="1" applyBorder="1" applyAlignment="1" applyProtection="1">
      <alignment vertical="center"/>
    </xf>
    <xf numFmtId="41" fontId="27" fillId="0" borderId="9" xfId="0" applyNumberFormat="1" applyFont="1" applyFill="1" applyBorder="1" applyAlignment="1">
      <alignment vertical="center" wrapText="1"/>
    </xf>
    <xf numFmtId="41" fontId="27" fillId="0" borderId="9" xfId="0" applyNumberFormat="1" applyFont="1" applyFill="1" applyBorder="1"/>
    <xf numFmtId="178" fontId="29" fillId="0" borderId="0" xfId="0" applyNumberFormat="1" applyFont="1" applyFill="1" applyBorder="1"/>
    <xf numFmtId="178" fontId="29" fillId="0" borderId="0" xfId="0" applyNumberFormat="1" applyFont="1" applyFill="1" applyBorder="1" applyAlignment="1" applyProtection="1">
      <alignment vertical="center"/>
    </xf>
    <xf numFmtId="41" fontId="29" fillId="0" borderId="0" xfId="0" applyNumberFormat="1" applyFont="1" applyFill="1" applyBorder="1" applyAlignment="1">
      <alignment vertical="center" wrapText="1"/>
    </xf>
    <xf numFmtId="41" fontId="29" fillId="0" borderId="0" xfId="0" applyNumberFormat="1" applyFont="1" applyFill="1" applyBorder="1"/>
    <xf numFmtId="178" fontId="30" fillId="0" borderId="0" xfId="0" applyNumberFormat="1" applyFont="1" applyFill="1" applyBorder="1" applyAlignment="1">
      <alignment vertical="center"/>
    </xf>
    <xf numFmtId="41" fontId="27" fillId="0" borderId="0" xfId="0" applyNumberFormat="1" applyFont="1" applyBorder="1"/>
    <xf numFmtId="0" fontId="16" fillId="0" borderId="0" xfId="0" applyFont="1" applyAlignment="1">
      <alignment horizontal="right"/>
    </xf>
    <xf numFmtId="179" fontId="11" fillId="0" borderId="0" xfId="0" applyNumberFormat="1" applyFont="1" applyBorder="1" applyAlignment="1">
      <alignment horizontal="left"/>
    </xf>
    <xf numFmtId="179" fontId="31" fillId="0" borderId="0" xfId="0" applyNumberFormat="1" applyFont="1" applyBorder="1" applyAlignment="1">
      <alignment horizontal="center"/>
    </xf>
    <xf numFmtId="0" fontId="32" fillId="0" borderId="0" xfId="0" applyFont="1"/>
    <xf numFmtId="1" fontId="16" fillId="8" borderId="0" xfId="0" applyNumberFormat="1" applyFont="1" applyFill="1" applyAlignment="1">
      <alignment horizontal="center"/>
    </xf>
    <xf numFmtId="179" fontId="32" fillId="0" borderId="0" xfId="0" applyNumberFormat="1" applyFont="1" applyBorder="1" applyAlignment="1">
      <alignment horizontal="center"/>
    </xf>
    <xf numFmtId="0" fontId="32" fillId="0" borderId="0" xfId="0" applyFont="1" applyBorder="1"/>
    <xf numFmtId="0" fontId="25" fillId="9" borderId="0" xfId="0" applyFont="1" applyFill="1" applyBorder="1"/>
    <xf numFmtId="0" fontId="26" fillId="9" borderId="0" xfId="0" applyFont="1" applyFill="1" applyBorder="1"/>
    <xf numFmtId="0" fontId="25" fillId="9" borderId="0" xfId="0" applyFont="1" applyFill="1" applyBorder="1" applyAlignment="1">
      <alignment horizontal="center"/>
    </xf>
    <xf numFmtId="0" fontId="32" fillId="8" borderId="0" xfId="0" applyFont="1" applyFill="1"/>
    <xf numFmtId="38" fontId="32" fillId="10" borderId="0" xfId="0" applyNumberFormat="1" applyFont="1" applyFill="1"/>
    <xf numFmtId="38" fontId="32" fillId="0" borderId="0" xfId="0" applyNumberFormat="1" applyFont="1"/>
    <xf numFmtId="38" fontId="32" fillId="8" borderId="0" xfId="0" applyNumberFormat="1" applyFont="1" applyFill="1"/>
    <xf numFmtId="0" fontId="32" fillId="8" borderId="0" xfId="0" applyFont="1" applyFill="1" applyBorder="1"/>
    <xf numFmtId="38" fontId="32" fillId="8" borderId="0" xfId="0" applyNumberFormat="1" applyFont="1" applyFill="1" applyBorder="1"/>
    <xf numFmtId="178" fontId="27" fillId="8" borderId="0" xfId="0" applyNumberFormat="1" applyFont="1" applyFill="1" applyBorder="1"/>
    <xf numFmtId="178" fontId="32" fillId="8" borderId="0" xfId="0" applyNumberFormat="1" applyFont="1" applyFill="1" applyBorder="1"/>
    <xf numFmtId="178" fontId="32" fillId="8" borderId="0" xfId="0" applyNumberFormat="1" applyFont="1" applyFill="1"/>
    <xf numFmtId="9" fontId="32" fillId="8" borderId="0" xfId="7" applyFont="1" applyFill="1"/>
    <xf numFmtId="38" fontId="31" fillId="8" borderId="0" xfId="0" applyNumberFormat="1" applyFont="1" applyFill="1" applyBorder="1"/>
    <xf numFmtId="38" fontId="33" fillId="8" borderId="0" xfId="0" applyNumberFormat="1" applyFont="1" applyFill="1" applyBorder="1"/>
    <xf numFmtId="0" fontId="33" fillId="8" borderId="0" xfId="0" applyFont="1" applyFill="1" applyBorder="1"/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38" fontId="25" fillId="9" borderId="0" xfId="0" applyNumberFormat="1" applyFont="1" applyFill="1"/>
    <xf numFmtId="178" fontId="26" fillId="9" borderId="0" xfId="0" applyNumberFormat="1" applyFont="1" applyFill="1" applyBorder="1"/>
    <xf numFmtId="41" fontId="27" fillId="0" borderId="9" xfId="0" applyNumberFormat="1" applyFont="1" applyBorder="1"/>
    <xf numFmtId="0" fontId="10" fillId="0" borderId="0" xfId="0" applyFont="1" applyAlignment="1">
      <alignment horizontal="left"/>
    </xf>
    <xf numFmtId="179" fontId="16" fillId="0" borderId="0" xfId="0" applyNumberFormat="1" applyFont="1" applyBorder="1" applyAlignment="1">
      <alignment horizontal="left"/>
    </xf>
    <xf numFmtId="179" fontId="16" fillId="0" borderId="0" xfId="0" applyNumberFormat="1" applyFont="1" applyBorder="1" applyAlignment="1">
      <alignment horizontal="center"/>
    </xf>
    <xf numFmtId="0" fontId="15" fillId="8" borderId="0" xfId="0" applyFont="1" applyFill="1"/>
    <xf numFmtId="178" fontId="27" fillId="8" borderId="0" xfId="0" applyNumberFormat="1" applyFont="1" applyFill="1" applyBorder="1" applyAlignment="1" applyProtection="1">
      <alignment vertical="center"/>
    </xf>
    <xf numFmtId="41" fontId="27" fillId="8" borderId="0" xfId="0" applyNumberFormat="1" applyFont="1" applyFill="1" applyBorder="1" applyAlignment="1">
      <alignment vertical="center" wrapText="1"/>
    </xf>
    <xf numFmtId="41" fontId="27" fillId="8" borderId="0" xfId="0" applyNumberFormat="1" applyFont="1" applyFill="1" applyBorder="1"/>
    <xf numFmtId="178" fontId="27" fillId="8" borderId="3" xfId="0" applyNumberFormat="1" applyFont="1" applyFill="1" applyBorder="1"/>
    <xf numFmtId="41" fontId="27" fillId="8" borderId="3" xfId="0" applyNumberFormat="1" applyFont="1" applyFill="1" applyBorder="1" applyAlignment="1">
      <alignment vertical="center" wrapText="1"/>
    </xf>
    <xf numFmtId="41" fontId="27" fillId="8" borderId="3" xfId="0" applyNumberFormat="1" applyFont="1" applyFill="1" applyBorder="1"/>
    <xf numFmtId="178" fontId="27" fillId="8" borderId="5" xfId="0" applyNumberFormat="1" applyFont="1" applyFill="1" applyBorder="1" applyAlignment="1" applyProtection="1">
      <alignment vertical="center"/>
    </xf>
    <xf numFmtId="41" fontId="27" fillId="8" borderId="5" xfId="0" applyNumberFormat="1" applyFont="1" applyFill="1" applyBorder="1" applyAlignment="1">
      <alignment vertical="center" wrapText="1"/>
    </xf>
    <xf numFmtId="41" fontId="27" fillId="8" borderId="5" xfId="0" applyNumberFormat="1" applyFont="1" applyFill="1" applyBorder="1"/>
    <xf numFmtId="41" fontId="27" fillId="8" borderId="0" xfId="0" applyNumberFormat="1" applyFont="1" applyFill="1"/>
    <xf numFmtId="178" fontId="28" fillId="8" borderId="2" xfId="0" applyNumberFormat="1" applyFont="1" applyFill="1" applyBorder="1" applyAlignment="1" applyProtection="1">
      <alignment vertical="center"/>
    </xf>
    <xf numFmtId="41" fontId="27" fillId="8" borderId="2" xfId="0" applyNumberFormat="1" applyFont="1" applyFill="1" applyBorder="1" applyAlignment="1">
      <alignment vertical="center" wrapText="1"/>
    </xf>
    <xf numFmtId="41" fontId="28" fillId="8" borderId="2" xfId="0" applyNumberFormat="1" applyFont="1" applyFill="1" applyBorder="1"/>
    <xf numFmtId="178" fontId="27" fillId="8" borderId="0" xfId="0" applyNumberFormat="1" applyFont="1" applyFill="1" applyBorder="1" applyAlignment="1">
      <alignment vertical="center"/>
    </xf>
    <xf numFmtId="178" fontId="28" fillId="8" borderId="0" xfId="0" applyNumberFormat="1" applyFont="1" applyFill="1" applyBorder="1" applyAlignment="1" applyProtection="1">
      <alignment vertical="center"/>
    </xf>
    <xf numFmtId="41" fontId="29" fillId="8" borderId="0" xfId="0" applyNumberFormat="1" applyFont="1" applyFill="1" applyBorder="1" applyAlignment="1">
      <alignment vertical="center" wrapText="1"/>
    </xf>
    <xf numFmtId="41" fontId="29" fillId="8" borderId="0" xfId="0" applyNumberFormat="1" applyFont="1" applyFill="1" applyBorder="1"/>
    <xf numFmtId="178" fontId="27" fillId="8" borderId="9" xfId="0" applyNumberFormat="1" applyFont="1" applyFill="1" applyBorder="1" applyAlignment="1" applyProtection="1">
      <alignment vertical="center"/>
    </xf>
    <xf numFmtId="41" fontId="27" fillId="8" borderId="9" xfId="0" applyNumberFormat="1" applyFont="1" applyFill="1" applyBorder="1" applyAlignment="1">
      <alignment vertical="center" wrapText="1"/>
    </xf>
    <xf numFmtId="41" fontId="27" fillId="8" borderId="9" xfId="0" applyNumberFormat="1" applyFont="1" applyFill="1" applyBorder="1"/>
    <xf numFmtId="178" fontId="27" fillId="8" borderId="0" xfId="0" applyNumberFormat="1" applyFont="1" applyFill="1"/>
    <xf numFmtId="41" fontId="27" fillId="8" borderId="9" xfId="0" applyNumberFormat="1" applyFont="1" applyFill="1" applyBorder="1" applyAlignment="1">
      <alignment vertical="center"/>
    </xf>
    <xf numFmtId="0" fontId="15" fillId="8" borderId="0" xfId="0" applyFont="1" applyFill="1" applyBorder="1"/>
    <xf numFmtId="168" fontId="15" fillId="8" borderId="0" xfId="3" applyNumberFormat="1" applyFont="1" applyFill="1" applyBorder="1"/>
    <xf numFmtId="0" fontId="16" fillId="8" borderId="1" xfId="0" applyFont="1" applyFill="1" applyBorder="1"/>
    <xf numFmtId="168" fontId="16" fillId="8" borderId="1" xfId="0" applyNumberFormat="1" applyFont="1" applyFill="1" applyBorder="1"/>
    <xf numFmtId="0" fontId="23" fillId="8" borderId="0" xfId="0" applyFont="1" applyFill="1"/>
    <xf numFmtId="38" fontId="32" fillId="8" borderId="10" xfId="0" applyNumberFormat="1" applyFont="1" applyFill="1" applyBorder="1"/>
    <xf numFmtId="38" fontId="32" fillId="8" borderId="2" xfId="0" applyNumberFormat="1" applyFont="1" applyFill="1" applyBorder="1"/>
    <xf numFmtId="0" fontId="26" fillId="8" borderId="0" xfId="0" applyFont="1" applyFill="1" applyBorder="1"/>
    <xf numFmtId="0" fontId="26" fillId="8" borderId="0" xfId="0" applyFont="1" applyFill="1" applyBorder="1" applyAlignment="1">
      <alignment horizontal="center"/>
    </xf>
    <xf numFmtId="38" fontId="32" fillId="8" borderId="4" xfId="0" applyNumberFormat="1" applyFont="1" applyFill="1" applyBorder="1"/>
    <xf numFmtId="178" fontId="32" fillId="8" borderId="1" xfId="0" applyNumberFormat="1" applyFont="1" applyFill="1" applyBorder="1"/>
    <xf numFmtId="38" fontId="32" fillId="8" borderId="1" xfId="0" applyNumberFormat="1" applyFont="1" applyFill="1" applyBorder="1"/>
    <xf numFmtId="0" fontId="23" fillId="8" borderId="0" xfId="0" applyFont="1" applyFill="1" applyBorder="1"/>
    <xf numFmtId="7" fontId="15" fillId="8" borderId="1" xfId="3" applyNumberFormat="1" applyFont="1" applyFill="1" applyBorder="1"/>
    <xf numFmtId="0" fontId="16" fillId="8" borderId="0" xfId="0" applyFont="1" applyFill="1"/>
    <xf numFmtId="168" fontId="15" fillId="8" borderId="0" xfId="0" applyNumberFormat="1" applyFont="1" applyFill="1"/>
    <xf numFmtId="0" fontId="16" fillId="8" borderId="2" xfId="0" applyFont="1" applyFill="1" applyBorder="1"/>
    <xf numFmtId="168" fontId="16" fillId="8" borderId="2" xfId="0" applyNumberFormat="1" applyFont="1" applyFill="1" applyBorder="1"/>
    <xf numFmtId="0" fontId="16" fillId="8" borderId="0" xfId="0" applyFont="1" applyFill="1" applyBorder="1"/>
    <xf numFmtId="0" fontId="16" fillId="8" borderId="0" xfId="0" applyFont="1" applyFill="1" applyBorder="1" applyAlignment="1">
      <alignment horizontal="left"/>
    </xf>
    <xf numFmtId="168" fontId="15" fillId="8" borderId="0" xfId="0" applyNumberFormat="1" applyFont="1" applyFill="1" applyBorder="1"/>
    <xf numFmtId="9" fontId="15" fillId="8" borderId="0" xfId="0" applyNumberFormat="1" applyFont="1" applyFill="1"/>
    <xf numFmtId="168" fontId="15" fillId="8" borderId="0" xfId="3" applyNumberFormat="1" applyFont="1" applyFill="1"/>
    <xf numFmtId="168" fontId="16" fillId="8" borderId="1" xfId="3" applyNumberFormat="1" applyFont="1" applyFill="1" applyBorder="1"/>
    <xf numFmtId="168" fontId="16" fillId="8" borderId="0" xfId="3" applyNumberFormat="1" applyFont="1" applyFill="1" applyBorder="1"/>
    <xf numFmtId="0" fontId="15" fillId="8" borderId="1" xfId="0" applyFont="1" applyFill="1" applyBorder="1"/>
    <xf numFmtId="168" fontId="15" fillId="8" borderId="1" xfId="0" applyNumberFormat="1" applyFont="1" applyFill="1" applyBorder="1"/>
    <xf numFmtId="5" fontId="15" fillId="8" borderId="0" xfId="0" applyNumberFormat="1" applyFont="1" applyFill="1" applyBorder="1"/>
    <xf numFmtId="168" fontId="16" fillId="8" borderId="0" xfId="0" applyNumberFormat="1" applyFont="1" applyFill="1" applyBorder="1"/>
    <xf numFmtId="0" fontId="15" fillId="8" borderId="2" xfId="0" applyFont="1" applyFill="1" applyBorder="1"/>
    <xf numFmtId="178" fontId="27" fillId="8" borderId="5" xfId="0" applyNumberFormat="1" applyFont="1" applyFill="1" applyBorder="1"/>
    <xf numFmtId="178" fontId="27" fillId="0" borderId="3" xfId="0" applyNumberFormat="1" applyFont="1" applyBorder="1"/>
    <xf numFmtId="178" fontId="27" fillId="0" borderId="5" xfId="0" applyNumberFormat="1" applyFont="1" applyBorder="1"/>
    <xf numFmtId="41" fontId="28" fillId="8" borderId="2" xfId="0" applyNumberFormat="1" applyFont="1" applyFill="1" applyBorder="1" applyAlignment="1">
      <alignment vertical="center" wrapText="1"/>
    </xf>
    <xf numFmtId="164" fontId="18" fillId="6" borderId="0" xfId="0" applyNumberFormat="1" applyFont="1" applyFill="1" applyAlignment="1">
      <alignment horizontal="center"/>
    </xf>
    <xf numFmtId="173" fontId="34" fillId="6" borderId="0" xfId="0" applyNumberFormat="1" applyFont="1" applyFill="1" applyAlignment="1">
      <alignment horizontal="center"/>
    </xf>
    <xf numFmtId="6" fontId="35" fillId="6" borderId="0" xfId="0" applyNumberFormat="1" applyFont="1" applyFill="1" applyAlignment="1">
      <alignment horizontal="right"/>
    </xf>
    <xf numFmtId="9" fontId="35" fillId="6" borderId="0" xfId="7" quotePrefix="1" applyFont="1" applyFill="1"/>
    <xf numFmtId="180" fontId="11" fillId="5" borderId="0" xfId="0" applyNumberFormat="1" applyFont="1" applyFill="1"/>
    <xf numFmtId="166" fontId="11" fillId="5" borderId="0" xfId="0" applyNumberFormat="1" applyFont="1" applyFill="1"/>
    <xf numFmtId="168" fontId="0" fillId="0" borderId="0" xfId="0" applyNumberFormat="1" applyAlignment="1">
      <alignment horizontal="center"/>
    </xf>
    <xf numFmtId="173" fontId="0" fillId="0" borderId="9" xfId="0" applyNumberFormat="1" applyFont="1" applyFill="1" applyBorder="1" applyAlignment="1">
      <alignment horizontal="center"/>
    </xf>
    <xf numFmtId="0" fontId="35" fillId="6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quotePrefix="1" applyFont="1" applyFill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8" xfId="0" applyFont="1" applyFill="1" applyBorder="1" applyAlignment="1">
      <alignment horizontal="center"/>
    </xf>
  </cellXfs>
  <cellStyles count="8">
    <cellStyle name="Comma" xfId="3" builtinId="3"/>
    <cellStyle name="Currency" xfId="4" builtinId="4"/>
    <cellStyle name="Followed Hyperlink" xfId="2" builtinId="9" hidden="1"/>
    <cellStyle name="Hyperlink" xfId="1" builtinId="8" hidden="1"/>
    <cellStyle name="Normal" xfId="0" builtinId="0"/>
    <cellStyle name="Normal 2" xfId="5"/>
    <cellStyle name="Percent" xfId="7" builtinId="5"/>
    <cellStyle name="Percent 2" xfId="6"/>
  </cellStyles>
  <dxfs count="4"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Medium4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Cuttings Base Case Financial Results ($000's)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'DC_Pro-Forma'!$S$4</c:f>
              <c:strCache>
                <c:ptCount val="1"/>
                <c:pt idx="0">
                  <c:v>#1: Base Case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'DC_Pro-Forma'!$T$4:$AE$4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-800</c:v>
                </c:pt>
                <c:pt idx="2">
                  <c:v>-1000</c:v>
                </c:pt>
                <c:pt idx="3">
                  <c:v>-616</c:v>
                </c:pt>
                <c:pt idx="4">
                  <c:v>63.125</c:v>
                </c:pt>
                <c:pt idx="5">
                  <c:v>783.125</c:v>
                </c:pt>
                <c:pt idx="6">
                  <c:v>1503.125</c:v>
                </c:pt>
                <c:pt idx="7">
                  <c:v>2223.125</c:v>
                </c:pt>
                <c:pt idx="8">
                  <c:v>2943.125</c:v>
                </c:pt>
                <c:pt idx="9">
                  <c:v>5103.125</c:v>
                </c:pt>
                <c:pt idx="10">
                  <c:v>7263.125</c:v>
                </c:pt>
                <c:pt idx="11">
                  <c:v>9423.125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'DC_Pro-Forma'!$S$5</c:f>
              <c:strCache>
                <c:ptCount val="1"/>
                <c:pt idx="0">
                  <c:v>#1b: Cumulative Royalty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'DC_Pro-Forma'!$T$5:$AE$5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360</c:v>
                </c:pt>
                <c:pt idx="5">
                  <c:v>720</c:v>
                </c:pt>
                <c:pt idx="6">
                  <c:v>1080</c:v>
                </c:pt>
                <c:pt idx="7">
                  <c:v>1440</c:v>
                </c:pt>
                <c:pt idx="8">
                  <c:v>1800</c:v>
                </c:pt>
                <c:pt idx="9">
                  <c:v>2880</c:v>
                </c:pt>
                <c:pt idx="10">
                  <c:v>3960</c:v>
                </c:pt>
                <c:pt idx="11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6672"/>
        <c:axId val="110537064"/>
      </c:lineChart>
      <c:catAx>
        <c:axId val="1105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7064"/>
        <c:crosses val="autoZero"/>
        <c:auto val="1"/>
        <c:lblAlgn val="ctr"/>
        <c:lblOffset val="100"/>
        <c:noMultiLvlLbl val="0"/>
      </c:catAx>
      <c:valAx>
        <c:axId val="110537064"/>
        <c:scaling>
          <c:orientation val="minMax"/>
          <c:max val="10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Cuttings Downside Case Results ($000's)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'DC_Pro-Forma'!$S$60</c:f>
              <c:strCache>
                <c:ptCount val="1"/>
                <c:pt idx="0">
                  <c:v>#2: Downside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'DC_Pro-Forma'!$T$59:$AE$59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'DC_Pro-Forma'!$T$60:$AE$60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-700</c:v>
                </c:pt>
                <c:pt idx="2">
                  <c:v>-900</c:v>
                </c:pt>
                <c:pt idx="3">
                  <c:v>-1100</c:v>
                </c:pt>
                <c:pt idx="4">
                  <c:v>-1200</c:v>
                </c:pt>
                <c:pt idx="5">
                  <c:v>-1300</c:v>
                </c:pt>
                <c:pt idx="6">
                  <c:v>-1146.4000000000001</c:v>
                </c:pt>
                <c:pt idx="7">
                  <c:v>-839.2</c:v>
                </c:pt>
                <c:pt idx="8">
                  <c:v>-378.40000000000003</c:v>
                </c:pt>
                <c:pt idx="9">
                  <c:v>586.0625</c:v>
                </c:pt>
                <c:pt idx="10">
                  <c:v>1450.0625</c:v>
                </c:pt>
                <c:pt idx="11">
                  <c:v>2314.0625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'DC_Pro-Forma'!$S$61</c:f>
              <c:strCache>
                <c:ptCount val="1"/>
                <c:pt idx="0">
                  <c:v>#2b: Cumulative Royalty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'DC_Pro-Forma'!$T$59:$AE$59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'DC_Pro-Forma'!$T$61:$AE$61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</c:v>
                </c:pt>
                <c:pt idx="7">
                  <c:v>144</c:v>
                </c:pt>
                <c:pt idx="8">
                  <c:v>288</c:v>
                </c:pt>
                <c:pt idx="9">
                  <c:v>720</c:v>
                </c:pt>
                <c:pt idx="10">
                  <c:v>1152</c:v>
                </c:pt>
                <c:pt idx="11">
                  <c:v>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6104"/>
        <c:axId val="154621592"/>
      </c:lineChart>
      <c:catAx>
        <c:axId val="154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1592"/>
        <c:crosses val="autoZero"/>
        <c:auto val="1"/>
        <c:lblAlgn val="ctr"/>
        <c:lblOffset val="100"/>
        <c:noMultiLvlLbl val="0"/>
      </c:catAx>
      <c:valAx>
        <c:axId val="1546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Cuttings Upside Case Financial Results ($000's)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'DC_Pro-Forma'!$S$4</c:f>
              <c:strCache>
                <c:ptCount val="1"/>
                <c:pt idx="0">
                  <c:v>#1: Base Case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'DC_Pro-Forma'!$T$4:$AE$4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-800</c:v>
                </c:pt>
                <c:pt idx="2">
                  <c:v>-1000</c:v>
                </c:pt>
                <c:pt idx="3">
                  <c:v>-616</c:v>
                </c:pt>
                <c:pt idx="4">
                  <c:v>63.125</c:v>
                </c:pt>
                <c:pt idx="5">
                  <c:v>783.125</c:v>
                </c:pt>
                <c:pt idx="6">
                  <c:v>1503.125</c:v>
                </c:pt>
                <c:pt idx="7">
                  <c:v>2223.125</c:v>
                </c:pt>
                <c:pt idx="8">
                  <c:v>2943.125</c:v>
                </c:pt>
                <c:pt idx="9">
                  <c:v>5103.125</c:v>
                </c:pt>
                <c:pt idx="10">
                  <c:v>7263.125</c:v>
                </c:pt>
                <c:pt idx="11">
                  <c:v>9423.125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'DC_Pro-Forma'!$S$5</c:f>
              <c:strCache>
                <c:ptCount val="1"/>
                <c:pt idx="0">
                  <c:v>#1b: Cumulative Royalty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'DC_Pro-Forma'!$T$5:$AE$5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360</c:v>
                </c:pt>
                <c:pt idx="5">
                  <c:v>720</c:v>
                </c:pt>
                <c:pt idx="6">
                  <c:v>1080</c:v>
                </c:pt>
                <c:pt idx="7">
                  <c:v>1440</c:v>
                </c:pt>
                <c:pt idx="8">
                  <c:v>1800</c:v>
                </c:pt>
                <c:pt idx="9">
                  <c:v>2880</c:v>
                </c:pt>
                <c:pt idx="10">
                  <c:v>3960</c:v>
                </c:pt>
                <c:pt idx="11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22768"/>
        <c:axId val="154620808"/>
      </c:lineChart>
      <c:catAx>
        <c:axId val="1546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0808"/>
        <c:crosses val="autoZero"/>
        <c:auto val="1"/>
        <c:lblAlgn val="ctr"/>
        <c:lblOffset val="100"/>
        <c:noMultiLvlLbl val="0"/>
      </c:catAx>
      <c:valAx>
        <c:axId val="154620808"/>
        <c:scaling>
          <c:orientation val="minMax"/>
          <c:max val="10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</a:t>
            </a:r>
            <a:r>
              <a:rPr lang="en-US" baseline="0"/>
              <a:t> Cuttings Investment Cases ($000's)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'DC_Pro-Forma'!$S$112</c:f>
              <c:strCache>
                <c:ptCount val="1"/>
                <c:pt idx="0">
                  <c:v>#1: Base Case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'DC_Pro-Forma'!$T$111:$AE$111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'DC_Pro-Forma'!$T$112:$AE$112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-800</c:v>
                </c:pt>
                <c:pt idx="2">
                  <c:v>-1000</c:v>
                </c:pt>
                <c:pt idx="3">
                  <c:v>-616</c:v>
                </c:pt>
                <c:pt idx="4">
                  <c:v>63.125</c:v>
                </c:pt>
                <c:pt idx="5">
                  <c:v>783.125</c:v>
                </c:pt>
                <c:pt idx="6">
                  <c:v>1503.125</c:v>
                </c:pt>
                <c:pt idx="7">
                  <c:v>2223.125</c:v>
                </c:pt>
                <c:pt idx="8">
                  <c:v>2943.125</c:v>
                </c:pt>
                <c:pt idx="9">
                  <c:v>5103.125</c:v>
                </c:pt>
                <c:pt idx="10">
                  <c:v>7263.125</c:v>
                </c:pt>
                <c:pt idx="11">
                  <c:v>9423.125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'DC_Pro-Forma'!$S$113</c:f>
              <c:strCache>
                <c:ptCount val="1"/>
                <c:pt idx="0">
                  <c:v>#2: Downside Cum CFlow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'DC_Pro-Forma'!$T$111:$AE$111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'DC_Pro-Forma'!$T$113:$AE$113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-700</c:v>
                </c:pt>
                <c:pt idx="2">
                  <c:v>-900</c:v>
                </c:pt>
                <c:pt idx="3">
                  <c:v>-1100</c:v>
                </c:pt>
                <c:pt idx="4">
                  <c:v>-1200</c:v>
                </c:pt>
                <c:pt idx="5">
                  <c:v>-1300</c:v>
                </c:pt>
                <c:pt idx="6">
                  <c:v>-1146.4000000000001</c:v>
                </c:pt>
                <c:pt idx="7">
                  <c:v>-839.2</c:v>
                </c:pt>
                <c:pt idx="8">
                  <c:v>-378.40000000000003</c:v>
                </c:pt>
                <c:pt idx="9">
                  <c:v>586.0625</c:v>
                </c:pt>
                <c:pt idx="10">
                  <c:v>1450.0625</c:v>
                </c:pt>
                <c:pt idx="11">
                  <c:v>2314.0625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'DC_Pro-Forma'!$S$114</c:f>
              <c:strCache>
                <c:ptCount val="1"/>
                <c:pt idx="0">
                  <c:v>#3: Upside Case Cum CFlow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'DC_Pro-Forma'!$T$111:$AE$111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'DC_Pro-Forma'!$T$114:$AE$114</c:f>
              <c:numCache>
                <c:formatCode>"$"#,##0_);\("$"#,##0\)</c:formatCode>
                <c:ptCount val="12"/>
                <c:pt idx="0">
                  <c:v>-380</c:v>
                </c:pt>
                <c:pt idx="1">
                  <c:v>-760</c:v>
                </c:pt>
                <c:pt idx="2">
                  <c:v>-950</c:v>
                </c:pt>
                <c:pt idx="3">
                  <c:v>-190</c:v>
                </c:pt>
                <c:pt idx="4">
                  <c:v>800.96875</c:v>
                </c:pt>
                <c:pt idx="5">
                  <c:v>2225.96875</c:v>
                </c:pt>
                <c:pt idx="6">
                  <c:v>3650.96875</c:v>
                </c:pt>
                <c:pt idx="7">
                  <c:v>5075.96875</c:v>
                </c:pt>
                <c:pt idx="8">
                  <c:v>6500.96875</c:v>
                </c:pt>
                <c:pt idx="9">
                  <c:v>10775.96875</c:v>
                </c:pt>
                <c:pt idx="10">
                  <c:v>15050.96875</c:v>
                </c:pt>
                <c:pt idx="11">
                  <c:v>19325.96875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5320"/>
        <c:axId val="154622376"/>
      </c:lineChart>
      <c:catAx>
        <c:axId val="15461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376"/>
        <c:crosses val="autoZero"/>
        <c:auto val="1"/>
        <c:lblAlgn val="ctr"/>
        <c:lblOffset val="100"/>
        <c:noMultiLvlLbl val="0"/>
      </c:catAx>
      <c:valAx>
        <c:axId val="15462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53214</xdr:colOff>
      <xdr:row>6</xdr:row>
      <xdr:rowOff>10353</xdr:rowOff>
    </xdr:from>
    <xdr:to>
      <xdr:col>24</xdr:col>
      <xdr:colOff>223630</xdr:colOff>
      <xdr:row>54</xdr:row>
      <xdr:rowOff>49694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33753</xdr:colOff>
      <xdr:row>62</xdr:row>
      <xdr:rowOff>33132</xdr:rowOff>
    </xdr:from>
    <xdr:to>
      <xdr:col>24</xdr:col>
      <xdr:colOff>670890</xdr:colOff>
      <xdr:row>79</xdr:row>
      <xdr:rowOff>157370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53214</xdr:colOff>
      <xdr:row>88</xdr:row>
      <xdr:rowOff>10353</xdr:rowOff>
    </xdr:from>
    <xdr:to>
      <xdr:col>24</xdr:col>
      <xdr:colOff>223630</xdr:colOff>
      <xdr:row>106</xdr:row>
      <xdr:rowOff>49694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12422</xdr:colOff>
      <xdr:row>114</xdr:row>
      <xdr:rowOff>44726</xdr:rowOff>
    </xdr:from>
    <xdr:to>
      <xdr:col>24</xdr:col>
      <xdr:colOff>472108</xdr:colOff>
      <xdr:row>133</xdr:row>
      <xdr:rowOff>149087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zoomScale="115" zoomScaleNormal="115" workbookViewId="0">
      <selection activeCell="E13" sqref="E13"/>
    </sheetView>
  </sheetViews>
  <sheetFormatPr defaultRowHeight="15" x14ac:dyDescent="0.25"/>
  <cols>
    <col min="1" max="1" width="16" style="12" bestFit="1" customWidth="1"/>
    <col min="2" max="2" width="10.75" style="12" bestFit="1" customWidth="1"/>
    <col min="3" max="3" width="3.25" style="12" customWidth="1"/>
    <col min="4" max="4" width="21.75" style="12" bestFit="1" customWidth="1"/>
    <col min="5" max="5" width="9.5" style="12" customWidth="1"/>
    <col min="6" max="6" width="9" style="12"/>
    <col min="7" max="7" width="12.125" style="12" bestFit="1" customWidth="1"/>
    <col min="8" max="16384" width="9" style="12"/>
  </cols>
  <sheetData>
    <row r="1" spans="1:9" x14ac:dyDescent="0.25">
      <c r="A1" s="21" t="s">
        <v>73</v>
      </c>
      <c r="B1" s="14"/>
      <c r="E1" s="21" t="s">
        <v>102</v>
      </c>
    </row>
    <row r="2" spans="1:9" x14ac:dyDescent="0.25">
      <c r="A2" s="12" t="s">
        <v>72</v>
      </c>
      <c r="B2" s="116">
        <v>600</v>
      </c>
      <c r="D2" s="38" t="s">
        <v>101</v>
      </c>
      <c r="E2" s="13">
        <v>1.6</v>
      </c>
    </row>
    <row r="3" spans="1:9" x14ac:dyDescent="0.25">
      <c r="A3" s="21" t="s">
        <v>71</v>
      </c>
      <c r="B3" s="22">
        <f>B2/42</f>
        <v>14.285714285714286</v>
      </c>
      <c r="D3" s="38" t="s">
        <v>103</v>
      </c>
      <c r="E3" s="12">
        <v>1.4</v>
      </c>
    </row>
    <row r="4" spans="1:9" ht="15.75" x14ac:dyDescent="0.25">
      <c r="A4" s="12" t="s">
        <v>70</v>
      </c>
      <c r="B4" s="115">
        <v>0.1</v>
      </c>
      <c r="D4" s="117" t="s">
        <v>141</v>
      </c>
      <c r="E4" s="12">
        <v>1.1000000000000001</v>
      </c>
    </row>
    <row r="5" spans="1:9" x14ac:dyDescent="0.25">
      <c r="A5" s="18" t="s">
        <v>69</v>
      </c>
      <c r="B5" s="17">
        <f>B3*B4</f>
        <v>1.4285714285714288</v>
      </c>
    </row>
    <row r="6" spans="1:9" x14ac:dyDescent="0.25">
      <c r="B6" s="14"/>
    </row>
    <row r="7" spans="1:9" x14ac:dyDescent="0.25">
      <c r="A7" s="21" t="s">
        <v>68</v>
      </c>
      <c r="B7" s="14"/>
      <c r="F7" s="76" t="s">
        <v>106</v>
      </c>
      <c r="G7" s="23">
        <v>1500000</v>
      </c>
    </row>
    <row r="8" spans="1:9" x14ac:dyDescent="0.25">
      <c r="A8" s="12" t="s">
        <v>67</v>
      </c>
      <c r="B8" s="112">
        <v>34.590000000000003</v>
      </c>
      <c r="D8" s="12" t="s">
        <v>66</v>
      </c>
      <c r="E8" s="23">
        <f>B15</f>
        <v>2157.8713779255991</v>
      </c>
      <c r="F8" s="50">
        <f>E8/Hours_day</f>
        <v>107.89356889627996</v>
      </c>
      <c r="G8" s="23">
        <f>G7/1000</f>
        <v>1500</v>
      </c>
    </row>
    <row r="9" spans="1:9" s="13" customFormat="1" x14ac:dyDescent="0.25">
      <c r="A9" s="12" t="s">
        <v>65</v>
      </c>
      <c r="B9" s="114">
        <v>0.25</v>
      </c>
      <c r="C9" s="12"/>
      <c r="D9" s="12" t="s">
        <v>64</v>
      </c>
      <c r="E9" s="112">
        <v>1.1000000000000001</v>
      </c>
      <c r="F9" s="51"/>
      <c r="G9" s="40">
        <f>G8/360</f>
        <v>4.166666666666667</v>
      </c>
    </row>
    <row r="10" spans="1:9" x14ac:dyDescent="0.25">
      <c r="A10" s="12" t="s">
        <v>63</v>
      </c>
      <c r="B10" s="112">
        <v>20</v>
      </c>
      <c r="D10" s="12" t="s">
        <v>62</v>
      </c>
      <c r="E10" s="41">
        <f>E8*B30*E9</f>
        <v>2000.4410141100007</v>
      </c>
      <c r="F10" s="50">
        <f>E10/Hours_day</f>
        <v>100.02205070550004</v>
      </c>
      <c r="H10" s="39">
        <f>6.3*E10*E12</f>
        <v>658.04174982596328</v>
      </c>
    </row>
    <row r="11" spans="1:9" x14ac:dyDescent="0.25">
      <c r="A11" s="12" t="s">
        <v>61</v>
      </c>
      <c r="B11" s="23">
        <f>60*B10</f>
        <v>1200</v>
      </c>
      <c r="D11" s="12" t="s">
        <v>59</v>
      </c>
      <c r="E11" s="113">
        <v>0.05</v>
      </c>
    </row>
    <row r="12" spans="1:9" x14ac:dyDescent="0.25">
      <c r="A12" s="12" t="s">
        <v>60</v>
      </c>
      <c r="B12" s="44">
        <f>B8*B9</f>
        <v>8.6475000000000009</v>
      </c>
      <c r="D12" s="12" t="s">
        <v>52</v>
      </c>
      <c r="E12" s="66">
        <f>E11*E14</f>
        <v>5.221402214022141E-2</v>
      </c>
      <c r="F12" s="66"/>
      <c r="G12" s="39">
        <f>E8*30</f>
        <v>64736.141337767971</v>
      </c>
    </row>
    <row r="13" spans="1:9" x14ac:dyDescent="0.25">
      <c r="A13" s="12" t="s">
        <v>58</v>
      </c>
      <c r="B13" s="23">
        <f>B12*B11</f>
        <v>10377.000000000002</v>
      </c>
      <c r="D13" s="12" t="s">
        <v>57</v>
      </c>
      <c r="E13" s="112">
        <v>4</v>
      </c>
      <c r="G13" s="12">
        <v>2500000</v>
      </c>
    </row>
    <row r="14" spans="1:9" x14ac:dyDescent="0.25">
      <c r="A14" s="12" t="s">
        <v>56</v>
      </c>
      <c r="B14" s="23">
        <f>B13*42*B21*E9/2000</f>
        <v>2000.4410141100007</v>
      </c>
      <c r="D14" s="12" t="s">
        <v>55</v>
      </c>
      <c r="E14" s="19">
        <f>141.5/(131.5+E13)</f>
        <v>1.0442804428044281</v>
      </c>
      <c r="G14" s="39">
        <f>G13/G12</f>
        <v>38.61830421674307</v>
      </c>
      <c r="H14" s="39">
        <f>G14/12</f>
        <v>3.2181920180619223</v>
      </c>
    </row>
    <row r="15" spans="1:9" x14ac:dyDescent="0.25">
      <c r="A15" s="18" t="s">
        <v>54</v>
      </c>
      <c r="B15" s="36">
        <f>B13/B28</f>
        <v>2157.8713779255991</v>
      </c>
      <c r="D15" s="12" t="s">
        <v>53</v>
      </c>
      <c r="E15" s="23">
        <f>E10*E11</f>
        <v>100.02205070550004</v>
      </c>
      <c r="G15" s="39">
        <f>G14*7/2.5</f>
        <v>108.1312518068806</v>
      </c>
      <c r="H15" s="39">
        <f>G15/12</f>
        <v>9.0109376505733838</v>
      </c>
    </row>
    <row r="16" spans="1:9" s="13" customFormat="1" x14ac:dyDescent="0.25">
      <c r="A16" s="12" t="s">
        <v>52</v>
      </c>
      <c r="B16" s="20">
        <f>E12</f>
        <v>5.221402214022141E-2</v>
      </c>
      <c r="C16" s="12"/>
      <c r="D16" s="12" t="s">
        <v>51</v>
      </c>
      <c r="E16" s="19">
        <f>B23/E14</f>
        <v>5.4641373453142785</v>
      </c>
      <c r="F16" s="12"/>
      <c r="G16" s="39"/>
      <c r="H16" s="12"/>
      <c r="I16" s="12"/>
    </row>
    <row r="17" spans="1:9" s="13" customFormat="1" x14ac:dyDescent="0.25">
      <c r="A17" s="18" t="s">
        <v>50</v>
      </c>
      <c r="B17" s="36">
        <f>B13*B16</f>
        <v>541.82490774907762</v>
      </c>
      <c r="C17" s="12"/>
      <c r="D17" s="18" t="s">
        <v>49</v>
      </c>
      <c r="E17" s="36">
        <f>E15*E16</f>
        <v>546.53422261484116</v>
      </c>
      <c r="F17" s="42">
        <f>E17/B10</f>
        <v>27.326711130742058</v>
      </c>
      <c r="G17" s="12"/>
      <c r="H17" s="12"/>
      <c r="I17" s="12"/>
    </row>
    <row r="18" spans="1:9" s="13" customFormat="1" x14ac:dyDescent="0.25">
      <c r="B18" s="40">
        <f>B13*B9*B16</f>
        <v>135.45622693726941</v>
      </c>
      <c r="C18" s="12"/>
      <c r="D18" s="64" t="s">
        <v>178</v>
      </c>
      <c r="E18" s="23">
        <f>E10-E15</f>
        <v>1900.4189634045006</v>
      </c>
      <c r="H18" s="12"/>
      <c r="I18" s="12"/>
    </row>
    <row r="19" spans="1:9" x14ac:dyDescent="0.25">
      <c r="B19" s="13"/>
      <c r="D19" s="64" t="s">
        <v>179</v>
      </c>
      <c r="E19" s="23">
        <f>E8*(100%-E12)</f>
        <v>2045.2002340228416</v>
      </c>
    </row>
    <row r="20" spans="1:9" x14ac:dyDescent="0.25">
      <c r="B20" s="13"/>
      <c r="D20" s="64"/>
      <c r="E20" s="23"/>
    </row>
    <row r="21" spans="1:9" ht="15.75" x14ac:dyDescent="0.25">
      <c r="A21" s="13" t="s">
        <v>48</v>
      </c>
      <c r="B21" s="16">
        <v>8.3452999999999999</v>
      </c>
      <c r="D21" s="18" t="s">
        <v>112</v>
      </c>
      <c r="F21"/>
    </row>
    <row r="22" spans="1:9" ht="15.75" x14ac:dyDescent="0.25">
      <c r="A22" s="13" t="s">
        <v>47</v>
      </c>
      <c r="B22" s="16">
        <f>2000/B21</f>
        <v>239.6558541933783</v>
      </c>
      <c r="D22" t="s">
        <v>108</v>
      </c>
      <c r="E22" s="8">
        <v>4</v>
      </c>
      <c r="F22" t="s">
        <v>109</v>
      </c>
    </row>
    <row r="23" spans="1:9" ht="15.75" x14ac:dyDescent="0.25">
      <c r="A23" s="13" t="s">
        <v>46</v>
      </c>
      <c r="B23" s="16">
        <f>B22/42</f>
        <v>5.7060917665090072</v>
      </c>
      <c r="D23" t="s">
        <v>111</v>
      </c>
      <c r="E23" s="8">
        <v>30</v>
      </c>
      <c r="F23" t="s">
        <v>109</v>
      </c>
    </row>
    <row r="24" spans="1:9" ht="15.75" x14ac:dyDescent="0.25">
      <c r="A24" s="13" t="s">
        <v>45</v>
      </c>
      <c r="B24" s="16">
        <f>B22/E14</f>
        <v>229.4937685031997</v>
      </c>
      <c r="D24" t="s">
        <v>124</v>
      </c>
      <c r="E24" s="52">
        <v>2</v>
      </c>
      <c r="F24" t="s">
        <v>110</v>
      </c>
    </row>
    <row r="25" spans="1:9" ht="15.75" x14ac:dyDescent="0.25">
      <c r="A25" s="13" t="s">
        <v>44</v>
      </c>
      <c r="B25" s="16">
        <v>2.65</v>
      </c>
      <c r="D25" s="53" t="s">
        <v>117</v>
      </c>
      <c r="E25" s="54">
        <f>E22*E23*E24/12</f>
        <v>20</v>
      </c>
      <c r="F25" s="53" t="s">
        <v>113</v>
      </c>
    </row>
    <row r="26" spans="1:9" ht="15.75" x14ac:dyDescent="0.25">
      <c r="A26" s="13" t="s">
        <v>43</v>
      </c>
      <c r="B26" s="15">
        <v>7.4805200000000003</v>
      </c>
      <c r="D26" s="48" t="s">
        <v>117</v>
      </c>
      <c r="E26" s="55">
        <f>E25/3^3</f>
        <v>0.7407407407407407</v>
      </c>
      <c r="F26" s="48" t="s">
        <v>114</v>
      </c>
    </row>
    <row r="27" spans="1:9" ht="15.75" x14ac:dyDescent="0.25">
      <c r="A27" s="13" t="s">
        <v>42</v>
      </c>
      <c r="B27" s="15">
        <f>B26*3^3</f>
        <v>201.97404</v>
      </c>
      <c r="D27" s="48" t="s">
        <v>117</v>
      </c>
      <c r="E27" s="56">
        <f>E26*E30/E29</f>
        <v>0.68669901911600006</v>
      </c>
      <c r="F27" s="57" t="s">
        <v>125</v>
      </c>
    </row>
    <row r="28" spans="1:9" ht="16.5" thickBot="1" x14ac:dyDescent="0.3">
      <c r="A28" s="13" t="s">
        <v>41</v>
      </c>
      <c r="B28" s="15">
        <f>B27/42</f>
        <v>4.8089057142857143</v>
      </c>
      <c r="D28" s="58" t="s">
        <v>117</v>
      </c>
      <c r="E28" s="59">
        <f>E27/E23</f>
        <v>2.2889967303866669E-2</v>
      </c>
      <c r="F28" s="60" t="s">
        <v>126</v>
      </c>
    </row>
    <row r="29" spans="1:9" ht="15.75" x14ac:dyDescent="0.25">
      <c r="A29" s="13" t="s">
        <v>40</v>
      </c>
      <c r="B29" s="14">
        <f>B27*B21</f>
        <v>1685.5339560120001</v>
      </c>
      <c r="D29" t="s">
        <v>116</v>
      </c>
      <c r="E29" s="35">
        <f>F8</f>
        <v>107.89356889627996</v>
      </c>
      <c r="F29" t="s">
        <v>118</v>
      </c>
    </row>
    <row r="30" spans="1:9" ht="15.75" x14ac:dyDescent="0.25">
      <c r="A30" s="13" t="s">
        <v>39</v>
      </c>
      <c r="B30" s="65">
        <f>B29/2000</f>
        <v>0.84276697800600009</v>
      </c>
      <c r="D30" t="s">
        <v>115</v>
      </c>
      <c r="E30" s="35">
        <f>F10</f>
        <v>100.02205070550004</v>
      </c>
      <c r="F30" t="s">
        <v>119</v>
      </c>
    </row>
    <row r="31" spans="1:9" x14ac:dyDescent="0.25">
      <c r="A31" s="64" t="s">
        <v>173</v>
      </c>
      <c r="B31" s="14">
        <v>264.17200000000003</v>
      </c>
      <c r="D31" s="43" t="s">
        <v>120</v>
      </c>
      <c r="E31" s="37">
        <f>E30/E28</f>
        <v>4369.6895402993387</v>
      </c>
      <c r="F31" s="43" t="s">
        <v>121</v>
      </c>
    </row>
    <row r="32" spans="1:9" x14ac:dyDescent="0.25">
      <c r="A32" s="64" t="s">
        <v>174</v>
      </c>
      <c r="B32" s="14">
        <f>264.172/42</f>
        <v>6.2898095238095246</v>
      </c>
      <c r="D32" s="43" t="s">
        <v>120</v>
      </c>
      <c r="E32" s="42">
        <f>E31/60</f>
        <v>72.828159004988976</v>
      </c>
      <c r="F32" s="43" t="s">
        <v>122</v>
      </c>
    </row>
    <row r="33" spans="1:6" x14ac:dyDescent="0.25">
      <c r="A33" s="64" t="s">
        <v>176</v>
      </c>
      <c r="B33" s="65">
        <v>1.30795062</v>
      </c>
      <c r="D33" s="18" t="s">
        <v>120</v>
      </c>
      <c r="E33" s="75">
        <f>E32/60</f>
        <v>1.2138026500831496</v>
      </c>
      <c r="F33" s="18" t="s">
        <v>123</v>
      </c>
    </row>
    <row r="34" spans="1:6" x14ac:dyDescent="0.25">
      <c r="A34" s="64" t="s">
        <v>175</v>
      </c>
      <c r="B34" s="65">
        <v>0.76455485758323205</v>
      </c>
    </row>
    <row r="37" spans="1:6" ht="15.75" x14ac:dyDescent="0.25">
      <c r="A37" t="s">
        <v>180</v>
      </c>
      <c r="B37" s="72">
        <f>E9</f>
        <v>1.1000000000000001</v>
      </c>
      <c r="C37"/>
      <c r="D37" t="s">
        <v>181</v>
      </c>
      <c r="E37" s="70">
        <v>1</v>
      </c>
    </row>
    <row r="38" spans="1:6" ht="15.75" x14ac:dyDescent="0.25">
      <c r="A38" t="s">
        <v>177</v>
      </c>
      <c r="B38" s="73">
        <f>E13</f>
        <v>4</v>
      </c>
      <c r="C38"/>
      <c r="D38" t="s">
        <v>182</v>
      </c>
      <c r="E38" s="71">
        <f>E37*B37</f>
        <v>1.1000000000000001</v>
      </c>
    </row>
    <row r="39" spans="1:6" ht="15.75" x14ac:dyDescent="0.25">
      <c r="A39" t="s">
        <v>184</v>
      </c>
      <c r="B39" s="68">
        <v>0.9</v>
      </c>
      <c r="C39" s="68"/>
      <c r="D39" t="s">
        <v>183</v>
      </c>
      <c r="E39" s="71">
        <f>E37*B40*B39</f>
        <v>4.5000000000000005E-2</v>
      </c>
    </row>
    <row r="40" spans="1:6" ht="15.75" x14ac:dyDescent="0.25">
      <c r="A40" t="s">
        <v>185</v>
      </c>
      <c r="B40" s="74">
        <f>E11</f>
        <v>0.05</v>
      </c>
      <c r="C40"/>
      <c r="D40" t="s">
        <v>189</v>
      </c>
      <c r="E40" s="71">
        <f>E37*B41*B44</f>
        <v>1.0550000000000002</v>
      </c>
    </row>
    <row r="41" spans="1:6" ht="15.75" x14ac:dyDescent="0.25">
      <c r="A41" t="s">
        <v>186</v>
      </c>
      <c r="B41" s="67">
        <f>1-B40</f>
        <v>0.95</v>
      </c>
      <c r="C41"/>
      <c r="D41"/>
      <c r="E41"/>
    </row>
    <row r="42" spans="1:6" ht="15.75" x14ac:dyDescent="0.25">
      <c r="A42"/>
      <c r="B42" s="68">
        <f>-B40*B39</f>
        <v>-4.5000000000000005E-2</v>
      </c>
      <c r="C42"/>
      <c r="D42"/>
      <c r="E42"/>
    </row>
    <row r="43" spans="1:6" ht="15.75" x14ac:dyDescent="0.25">
      <c r="A43"/>
      <c r="B43" s="68">
        <f>B37+B42</f>
        <v>1.0550000000000002</v>
      </c>
      <c r="C43"/>
      <c r="D43"/>
      <c r="E43"/>
    </row>
    <row r="44" spans="1:6" ht="15.75" x14ac:dyDescent="0.25">
      <c r="A44" t="s">
        <v>187</v>
      </c>
      <c r="B44" s="69">
        <f>B43/B41</f>
        <v>1.1105263157894738</v>
      </c>
      <c r="C44"/>
      <c r="D44"/>
      <c r="E44"/>
    </row>
    <row r="45" spans="1:6" ht="15.75" x14ac:dyDescent="0.25">
      <c r="A45"/>
      <c r="B45">
        <f>B44*B41</f>
        <v>1.0550000000000002</v>
      </c>
      <c r="C45"/>
      <c r="D45"/>
      <c r="E45"/>
    </row>
    <row r="46" spans="1:6" ht="15.75" x14ac:dyDescent="0.25">
      <c r="A46"/>
      <c r="B46">
        <f>B39*B40</f>
        <v>4.5000000000000005E-2</v>
      </c>
      <c r="C46"/>
      <c r="D46"/>
      <c r="E46"/>
    </row>
    <row r="47" spans="1:6" ht="15.75" x14ac:dyDescent="0.25">
      <c r="A47" t="s">
        <v>188</v>
      </c>
      <c r="B47" s="69">
        <f>B45+B46</f>
        <v>1.1000000000000001</v>
      </c>
      <c r="C47"/>
      <c r="D47"/>
      <c r="E4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opLeftCell="A10" workbookViewId="0">
      <selection activeCell="R14" sqref="R14"/>
    </sheetView>
  </sheetViews>
  <sheetFormatPr defaultRowHeight="15.75" x14ac:dyDescent="0.25"/>
  <cols>
    <col min="1" max="1" width="3.75" customWidth="1"/>
    <col min="2" max="2" width="16.375" bestFit="1" customWidth="1"/>
    <col min="3" max="3" width="8.125" bestFit="1" customWidth="1"/>
    <col min="4" max="4" width="9" bestFit="1" customWidth="1"/>
    <col min="5" max="5" width="7.375" bestFit="1" customWidth="1"/>
    <col min="6" max="6" width="7.5" customWidth="1"/>
    <col min="7" max="7" width="8.625" bestFit="1" customWidth="1"/>
    <col min="8" max="8" width="9.5" bestFit="1" customWidth="1"/>
    <col min="9" max="9" width="8.375" bestFit="1" customWidth="1"/>
    <col min="10" max="10" width="2.75" customWidth="1"/>
    <col min="11" max="11" width="3.625" customWidth="1"/>
    <col min="12" max="12" width="18.25" customWidth="1"/>
    <col min="13" max="13" width="9.375" customWidth="1"/>
    <col min="14" max="14" width="8.125" customWidth="1"/>
    <col min="15" max="15" width="9.75" customWidth="1"/>
    <col min="16" max="16" width="12.25" customWidth="1"/>
    <col min="17" max="17" width="13.25" customWidth="1"/>
    <col min="18" max="18" width="14.125" customWidth="1"/>
  </cols>
  <sheetData>
    <row r="1" spans="1:20" x14ac:dyDescent="0.25">
      <c r="A1" s="3" t="s">
        <v>4</v>
      </c>
      <c r="B1" s="3"/>
      <c r="C1" s="4" t="s">
        <v>8</v>
      </c>
      <c r="D1" s="4" t="s">
        <v>10</v>
      </c>
      <c r="F1" s="3" t="s">
        <v>75</v>
      </c>
    </row>
    <row r="2" spans="1:20" x14ac:dyDescent="0.25">
      <c r="B2" t="s">
        <v>5</v>
      </c>
      <c r="C2" s="1" t="s">
        <v>9</v>
      </c>
      <c r="D2" s="1">
        <f>Diesel_cost</f>
        <v>1.75</v>
      </c>
      <c r="F2" t="s">
        <v>76</v>
      </c>
      <c r="G2" s="89">
        <f>Hours_day</f>
        <v>20</v>
      </c>
    </row>
    <row r="3" spans="1:20" x14ac:dyDescent="0.25">
      <c r="B3" t="s">
        <v>6</v>
      </c>
      <c r="C3" s="1" t="s">
        <v>14</v>
      </c>
      <c r="D3" s="2">
        <v>0.1</v>
      </c>
      <c r="F3" t="s">
        <v>77</v>
      </c>
      <c r="G3" s="90">
        <v>24</v>
      </c>
    </row>
    <row r="4" spans="1:20" x14ac:dyDescent="0.25">
      <c r="B4" t="s">
        <v>7</v>
      </c>
      <c r="C4" s="1" t="s">
        <v>9</v>
      </c>
      <c r="D4" s="2">
        <v>1</v>
      </c>
    </row>
    <row r="5" spans="1:20" x14ac:dyDescent="0.25">
      <c r="A5" s="3" t="s">
        <v>17</v>
      </c>
      <c r="C5" s="1"/>
      <c r="D5" s="2"/>
    </row>
    <row r="6" spans="1:20" x14ac:dyDescent="0.25">
      <c r="B6" t="s">
        <v>15</v>
      </c>
      <c r="C6" s="1" t="s">
        <v>13</v>
      </c>
      <c r="D6" s="6">
        <v>25</v>
      </c>
    </row>
    <row r="7" spans="1:20" x14ac:dyDescent="0.25">
      <c r="B7" t="s">
        <v>12</v>
      </c>
      <c r="C7" s="1" t="s">
        <v>13</v>
      </c>
      <c r="D7" s="6">
        <v>30</v>
      </c>
    </row>
    <row r="8" spans="1:20" x14ac:dyDescent="0.25">
      <c r="B8" t="s">
        <v>16</v>
      </c>
      <c r="C8" s="1" t="s">
        <v>13</v>
      </c>
      <c r="D8" s="6">
        <v>40</v>
      </c>
    </row>
    <row r="9" spans="1:20" x14ac:dyDescent="0.25">
      <c r="A9" s="3" t="s">
        <v>19</v>
      </c>
      <c r="C9" s="1"/>
      <c r="D9" s="6"/>
    </row>
    <row r="10" spans="1:20" x14ac:dyDescent="0.25">
      <c r="B10" t="s">
        <v>18</v>
      </c>
      <c r="C10" s="1" t="s">
        <v>13</v>
      </c>
      <c r="D10" s="6">
        <v>40</v>
      </c>
    </row>
    <row r="11" spans="1:20" x14ac:dyDescent="0.25">
      <c r="A11" s="3"/>
      <c r="B11" t="s">
        <v>204</v>
      </c>
      <c r="C11" s="1" t="s">
        <v>13</v>
      </c>
      <c r="D11" s="6">
        <v>60</v>
      </c>
    </row>
    <row r="12" spans="1:20" x14ac:dyDescent="0.25">
      <c r="A12" s="3" t="s">
        <v>171</v>
      </c>
      <c r="C12" s="1"/>
      <c r="D12" s="2"/>
      <c r="F12" s="3" t="s">
        <v>197</v>
      </c>
    </row>
    <row r="13" spans="1:20" x14ac:dyDescent="0.25">
      <c r="B13" t="s">
        <v>172</v>
      </c>
      <c r="C13" s="89">
        <f>Flows!E17</f>
        <v>546.53422261484116</v>
      </c>
      <c r="F13" t="s">
        <v>198</v>
      </c>
      <c r="G13" s="346">
        <f>Oil_Recovery_Ratio</f>
        <v>5</v>
      </c>
      <c r="J13" s="4"/>
      <c r="K13" s="4"/>
      <c r="L13" s="4"/>
    </row>
    <row r="14" spans="1:20" x14ac:dyDescent="0.25">
      <c r="B14" t="s">
        <v>199</v>
      </c>
      <c r="C14" s="345">
        <f>C13/Hours_day</f>
        <v>27.326711130742058</v>
      </c>
      <c r="J14" s="4"/>
      <c r="K14" s="4"/>
      <c r="L14" s="4"/>
    </row>
    <row r="15" spans="1:20" x14ac:dyDescent="0.25">
      <c r="J15" s="4"/>
    </row>
    <row r="16" spans="1:20" x14ac:dyDescent="0.25">
      <c r="C16" s="4" t="s">
        <v>0</v>
      </c>
      <c r="D16" s="4" t="s">
        <v>1</v>
      </c>
      <c r="E16" s="4" t="s">
        <v>2</v>
      </c>
      <c r="F16" s="4" t="s">
        <v>78</v>
      </c>
      <c r="G16" s="4" t="s">
        <v>29</v>
      </c>
      <c r="H16" s="4" t="s">
        <v>30</v>
      </c>
      <c r="I16" s="4" t="s">
        <v>26</v>
      </c>
      <c r="J16" s="102"/>
      <c r="K16" s="3" t="s">
        <v>31</v>
      </c>
      <c r="L16" s="4"/>
      <c r="M16" s="4" t="s">
        <v>11</v>
      </c>
      <c r="N16" s="87" t="s">
        <v>107</v>
      </c>
      <c r="O16" s="4" t="s">
        <v>32</v>
      </c>
      <c r="P16" s="1"/>
      <c r="T16" s="3"/>
    </row>
    <row r="17" spans="1:20" s="3" customFormat="1" x14ac:dyDescent="0.25">
      <c r="A17" s="3" t="s">
        <v>34</v>
      </c>
      <c r="B17"/>
      <c r="C17"/>
      <c r="D17"/>
      <c r="E17"/>
      <c r="F17" s="4"/>
      <c r="G17"/>
      <c r="H17" s="4" t="s">
        <v>13</v>
      </c>
      <c r="I17" s="4"/>
      <c r="J17" s="101"/>
      <c r="K17" s="5"/>
      <c r="L17" s="5" t="s">
        <v>203</v>
      </c>
      <c r="M17">
        <f>Hours_day*days_mo</f>
        <v>480</v>
      </c>
      <c r="N17" s="10">
        <v>250</v>
      </c>
      <c r="O17" s="5">
        <f>kWhr*N17*M17</f>
        <v>12000</v>
      </c>
      <c r="P17" s="88"/>
      <c r="Q17"/>
      <c r="R17"/>
      <c r="S17"/>
      <c r="T17"/>
    </row>
    <row r="18" spans="1:20" x14ac:dyDescent="0.25">
      <c r="B18" t="s">
        <v>20</v>
      </c>
      <c r="C18">
        <v>8</v>
      </c>
      <c r="D18">
        <f>days_mo</f>
        <v>24</v>
      </c>
      <c r="E18">
        <f t="shared" ref="E18:E24" si="0">D18*C18</f>
        <v>192</v>
      </c>
      <c r="F18" s="7">
        <v>1.25</v>
      </c>
      <c r="G18">
        <f t="shared" ref="G18:G24" si="1">E18*F18</f>
        <v>240</v>
      </c>
      <c r="H18" s="6">
        <f>Oper_wage</f>
        <v>25</v>
      </c>
      <c r="I18" s="5">
        <f t="shared" ref="I18:I24" si="2">G18*H18</f>
        <v>6000</v>
      </c>
      <c r="J18" s="101"/>
      <c r="K18" s="5"/>
      <c r="L18" s="5" t="s">
        <v>87</v>
      </c>
      <c r="M18" s="5"/>
      <c r="O18" s="5">
        <v>6000</v>
      </c>
      <c r="P18" s="88"/>
    </row>
    <row r="19" spans="1:20" ht="16.5" thickBot="1" x14ac:dyDescent="0.3">
      <c r="B19" t="s">
        <v>21</v>
      </c>
      <c r="C19">
        <v>8</v>
      </c>
      <c r="D19">
        <f>days_mo</f>
        <v>24</v>
      </c>
      <c r="E19">
        <f t="shared" si="0"/>
        <v>192</v>
      </c>
      <c r="F19" s="7">
        <v>1.25</v>
      </c>
      <c r="G19">
        <f t="shared" si="1"/>
        <v>240</v>
      </c>
      <c r="H19" s="6">
        <f>Oper_wage</f>
        <v>25</v>
      </c>
      <c r="I19" s="5">
        <f t="shared" si="2"/>
        <v>6000</v>
      </c>
      <c r="J19" s="100"/>
      <c r="K19" s="25" t="s">
        <v>88</v>
      </c>
      <c r="L19" s="25"/>
      <c r="M19" s="25"/>
      <c r="N19" s="25"/>
      <c r="O19" s="29">
        <f>SUM(O16:O18)</f>
        <v>18000</v>
      </c>
      <c r="P19" s="1"/>
    </row>
    <row r="20" spans="1:20" x14ac:dyDescent="0.25">
      <c r="B20" t="s">
        <v>22</v>
      </c>
      <c r="C20">
        <v>8</v>
      </c>
      <c r="D20">
        <f>days_mo</f>
        <v>24</v>
      </c>
      <c r="E20">
        <f t="shared" si="0"/>
        <v>192</v>
      </c>
      <c r="F20" s="7">
        <v>1.25</v>
      </c>
      <c r="G20">
        <f t="shared" si="1"/>
        <v>240</v>
      </c>
      <c r="H20" s="6">
        <f>Oper_wage</f>
        <v>25</v>
      </c>
      <c r="I20" s="5">
        <f t="shared" si="2"/>
        <v>6000</v>
      </c>
      <c r="J20" s="103"/>
    </row>
    <row r="21" spans="1:20" x14ac:dyDescent="0.25">
      <c r="B21" t="s">
        <v>25</v>
      </c>
      <c r="C21">
        <v>8</v>
      </c>
      <c r="D21">
        <v>18</v>
      </c>
      <c r="E21">
        <f t="shared" si="0"/>
        <v>144</v>
      </c>
      <c r="F21" s="7">
        <v>1.25</v>
      </c>
      <c r="G21">
        <f t="shared" si="1"/>
        <v>180</v>
      </c>
      <c r="H21" s="6">
        <f>Oper_wage</f>
        <v>25</v>
      </c>
      <c r="I21" s="5">
        <f t="shared" si="2"/>
        <v>4500</v>
      </c>
      <c r="J21" s="101"/>
      <c r="K21" s="9" t="s">
        <v>4</v>
      </c>
      <c r="M21" s="4" t="s">
        <v>11</v>
      </c>
      <c r="N21" s="4" t="s">
        <v>3</v>
      </c>
      <c r="O21" s="4" t="s">
        <v>32</v>
      </c>
      <c r="P21" s="4" t="s">
        <v>379</v>
      </c>
    </row>
    <row r="22" spans="1:20" x14ac:dyDescent="0.25">
      <c r="B22" t="s">
        <v>23</v>
      </c>
      <c r="C22">
        <v>8</v>
      </c>
      <c r="D22">
        <f>days_mo</f>
        <v>24</v>
      </c>
      <c r="E22">
        <f t="shared" si="0"/>
        <v>192</v>
      </c>
      <c r="F22" s="7">
        <v>1.35</v>
      </c>
      <c r="G22">
        <f t="shared" si="1"/>
        <v>259.20000000000005</v>
      </c>
      <c r="H22" s="6">
        <f>Foreman_wage</f>
        <v>40</v>
      </c>
      <c r="I22" s="5">
        <f t="shared" si="2"/>
        <v>10368.000000000002</v>
      </c>
      <c r="J22" s="101"/>
      <c r="K22" s="5"/>
      <c r="L22" s="5" t="s">
        <v>74</v>
      </c>
      <c r="M22" s="81">
        <f>Hours_day*days_mo</f>
        <v>480</v>
      </c>
      <c r="N22" s="33">
        <f>42*C14/Oil_Recovery_Ratio</f>
        <v>229.54437349823328</v>
      </c>
      <c r="O22" s="5">
        <f>Diesel_cost*M22*N22</f>
        <v>192817.27373851597</v>
      </c>
      <c r="P22" s="347">
        <f>M22*N22/42</f>
        <v>2623.3642685512377</v>
      </c>
    </row>
    <row r="23" spans="1:20" ht="16.5" thickBot="1" x14ac:dyDescent="0.3">
      <c r="B23" t="s">
        <v>24</v>
      </c>
      <c r="C23">
        <v>8</v>
      </c>
      <c r="D23">
        <f>days_mo</f>
        <v>24</v>
      </c>
      <c r="E23">
        <f t="shared" si="0"/>
        <v>192</v>
      </c>
      <c r="F23" s="7">
        <v>1.35</v>
      </c>
      <c r="G23">
        <f t="shared" si="1"/>
        <v>259.20000000000005</v>
      </c>
      <c r="H23" s="6">
        <f>Foreman_wage</f>
        <v>40</v>
      </c>
      <c r="I23" s="5">
        <f t="shared" si="2"/>
        <v>10368.000000000002</v>
      </c>
      <c r="J23" s="101"/>
      <c r="K23" s="25" t="s">
        <v>4</v>
      </c>
      <c r="L23" s="25"/>
      <c r="M23" s="25"/>
      <c r="N23" s="25"/>
      <c r="O23" s="29">
        <f>SUM(O22:O22)</f>
        <v>192817.27373851597</v>
      </c>
      <c r="P23" s="1"/>
    </row>
    <row r="24" spans="1:20" x14ac:dyDescent="0.25">
      <c r="B24" t="s">
        <v>27</v>
      </c>
      <c r="C24">
        <v>8</v>
      </c>
      <c r="D24">
        <f>days_mo</f>
        <v>24</v>
      </c>
      <c r="E24">
        <f t="shared" si="0"/>
        <v>192</v>
      </c>
      <c r="F24" s="7">
        <v>1.35</v>
      </c>
      <c r="G24">
        <f t="shared" si="1"/>
        <v>259.20000000000005</v>
      </c>
      <c r="H24" s="6">
        <f>Foreman_wage</f>
        <v>40</v>
      </c>
      <c r="I24" s="5">
        <f t="shared" si="2"/>
        <v>10368.000000000002</v>
      </c>
      <c r="J24" s="101"/>
    </row>
    <row r="25" spans="1:20" x14ac:dyDescent="0.25">
      <c r="A25" s="3" t="s">
        <v>28</v>
      </c>
      <c r="F25" s="7"/>
      <c r="H25" s="6"/>
      <c r="I25" s="5"/>
      <c r="J25" s="101"/>
    </row>
    <row r="26" spans="1:20" x14ac:dyDescent="0.25">
      <c r="B26" t="s">
        <v>20</v>
      </c>
      <c r="C26">
        <v>8</v>
      </c>
      <c r="D26">
        <v>20</v>
      </c>
      <c r="E26">
        <f>D26*C26</f>
        <v>160</v>
      </c>
      <c r="F26" s="7">
        <v>1.25</v>
      </c>
      <c r="G26">
        <f>E26*F26</f>
        <v>200</v>
      </c>
      <c r="H26" s="6">
        <f>Oper_wage</f>
        <v>25</v>
      </c>
      <c r="I26" s="5">
        <f>G26*H26</f>
        <v>5000</v>
      </c>
      <c r="J26" s="101"/>
    </row>
    <row r="27" spans="1:20" x14ac:dyDescent="0.25">
      <c r="A27" s="3" t="s">
        <v>35</v>
      </c>
      <c r="J27" s="100"/>
    </row>
    <row r="28" spans="1:20" x14ac:dyDescent="0.25">
      <c r="B28" t="s">
        <v>33</v>
      </c>
      <c r="C28">
        <v>8</v>
      </c>
      <c r="D28">
        <v>12</v>
      </c>
      <c r="E28">
        <f>D28*C28</f>
        <v>96</v>
      </c>
      <c r="F28" s="7">
        <v>1.3</v>
      </c>
      <c r="G28">
        <f>E28*F28</f>
        <v>124.80000000000001</v>
      </c>
      <c r="H28" s="6">
        <f>Driver_Wage</f>
        <v>30</v>
      </c>
      <c r="I28" s="5">
        <f>G28*H28</f>
        <v>3744.0000000000005</v>
      </c>
      <c r="J28" s="101"/>
    </row>
    <row r="29" spans="1:20" ht="16.5" thickBot="1" x14ac:dyDescent="0.3">
      <c r="A29" s="25" t="s">
        <v>83</v>
      </c>
      <c r="B29" s="26"/>
      <c r="C29" s="26"/>
      <c r="D29" s="26"/>
      <c r="E29" s="26"/>
      <c r="F29" s="27"/>
      <c r="G29" s="26"/>
      <c r="H29" s="28"/>
      <c r="I29" s="29">
        <f>SUM(I17:I28)</f>
        <v>62348</v>
      </c>
      <c r="J29" s="101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1"/>
      <c r="K30" s="100"/>
      <c r="L30" s="100"/>
      <c r="M30" s="100"/>
      <c r="N30" s="100"/>
      <c r="O30" s="100"/>
      <c r="P30" s="1"/>
    </row>
    <row r="31" spans="1:20" x14ac:dyDescent="0.25">
      <c r="J31" s="100"/>
      <c r="K31" s="9" t="s">
        <v>205</v>
      </c>
      <c r="L31" s="5"/>
      <c r="M31" s="5"/>
      <c r="N31" s="3" t="s">
        <v>206</v>
      </c>
      <c r="R31">
        <v>876.83</v>
      </c>
    </row>
    <row r="32" spans="1:20" x14ac:dyDescent="0.25">
      <c r="J32" s="100"/>
      <c r="L32" s="5" t="s">
        <v>86</v>
      </c>
      <c r="O32" s="11">
        <v>2000</v>
      </c>
      <c r="R32">
        <v>497.13</v>
      </c>
    </row>
    <row r="33" spans="1:18" x14ac:dyDescent="0.25">
      <c r="J33" s="101"/>
      <c r="L33" s="5" t="s">
        <v>203</v>
      </c>
      <c r="M33">
        <f>20*24</f>
        <v>480</v>
      </c>
      <c r="N33" s="10">
        <v>15</v>
      </c>
      <c r="O33" s="5">
        <f>kWhr*N33*M33</f>
        <v>720</v>
      </c>
      <c r="R33">
        <v>935.54</v>
      </c>
    </row>
    <row r="34" spans="1:18" x14ac:dyDescent="0.25">
      <c r="A34" s="3" t="s">
        <v>218</v>
      </c>
      <c r="J34" s="100"/>
      <c r="K34" s="5"/>
      <c r="L34" s="5" t="s">
        <v>38</v>
      </c>
      <c r="M34" s="5"/>
      <c r="O34" s="11">
        <v>100</v>
      </c>
      <c r="R34">
        <f>SUM(R31:R33)</f>
        <v>2309.5</v>
      </c>
    </row>
    <row r="35" spans="1:18" x14ac:dyDescent="0.25">
      <c r="B35" t="s">
        <v>207</v>
      </c>
      <c r="C35">
        <v>8</v>
      </c>
      <c r="D35">
        <v>20</v>
      </c>
      <c r="E35">
        <f>D35*C35</f>
        <v>160</v>
      </c>
      <c r="F35" s="7">
        <v>1.4</v>
      </c>
      <c r="G35">
        <f>E35*F35</f>
        <v>224</v>
      </c>
      <c r="H35" s="6">
        <f>Mgr_wage</f>
        <v>60</v>
      </c>
      <c r="I35" s="5">
        <f>G35*H35</f>
        <v>13440</v>
      </c>
      <c r="J35" s="101"/>
      <c r="L35" s="5" t="s">
        <v>36</v>
      </c>
      <c r="M35">
        <f>20*8</f>
        <v>160</v>
      </c>
      <c r="N35" s="10">
        <v>2</v>
      </c>
      <c r="O35" s="11">
        <f>Water_Yrd*M35*N35</f>
        <v>320</v>
      </c>
    </row>
    <row r="36" spans="1:18" x14ac:dyDescent="0.25">
      <c r="B36" t="s">
        <v>18</v>
      </c>
      <c r="C36">
        <v>8</v>
      </c>
      <c r="D36">
        <v>20</v>
      </c>
      <c r="E36">
        <f>D36*C36</f>
        <v>160</v>
      </c>
      <c r="F36" s="7">
        <v>1.35</v>
      </c>
      <c r="G36">
        <f>E36*F36</f>
        <v>216</v>
      </c>
      <c r="H36" s="6">
        <f>HQ_Wage</f>
        <v>40</v>
      </c>
      <c r="I36" s="5">
        <f>G36*H36</f>
        <v>8640</v>
      </c>
      <c r="J36" s="101"/>
      <c r="K36" s="5"/>
      <c r="L36" s="5" t="s">
        <v>37</v>
      </c>
      <c r="M36">
        <v>40</v>
      </c>
      <c r="N36" s="10">
        <v>1</v>
      </c>
      <c r="O36" s="11">
        <f>Water_Yrd*M36*N36</f>
        <v>40</v>
      </c>
    </row>
    <row r="37" spans="1:18" ht="16.5" thickBot="1" x14ac:dyDescent="0.3">
      <c r="A37" s="25" t="s">
        <v>217</v>
      </c>
      <c r="B37" s="26"/>
      <c r="C37" s="26"/>
      <c r="D37" s="26"/>
      <c r="E37" s="26"/>
      <c r="F37" s="26"/>
      <c r="G37" s="26"/>
      <c r="H37" s="26"/>
      <c r="I37" s="29">
        <f>SUM(I35:I36)</f>
        <v>22080</v>
      </c>
      <c r="J37" s="100"/>
      <c r="K37" s="25" t="s">
        <v>84</v>
      </c>
      <c r="L37" s="26"/>
      <c r="M37" s="26"/>
      <c r="N37" s="26"/>
      <c r="O37" s="29">
        <f>SUM(O32:O36)</f>
        <v>3180</v>
      </c>
    </row>
    <row r="42" spans="1:18" x14ac:dyDescent="0.25">
      <c r="E42">
        <v>40</v>
      </c>
    </row>
    <row r="43" spans="1:18" x14ac:dyDescent="0.25">
      <c r="E43">
        <v>25</v>
      </c>
    </row>
    <row r="44" spans="1:18" x14ac:dyDescent="0.25">
      <c r="E44">
        <f>E42*E43</f>
        <v>1000</v>
      </c>
    </row>
  </sheetData>
  <pageMargins left="0.7" right="0.7" top="0.75" bottom="0.75" header="0.3" footer="0.3"/>
  <pageSetup scale="8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115" zoomScaleNormal="115" workbookViewId="0">
      <selection activeCell="H23" sqref="H23"/>
    </sheetView>
  </sheetViews>
  <sheetFormatPr defaultRowHeight="15.75" x14ac:dyDescent="0.25"/>
  <cols>
    <col min="1" max="1" width="4.5" customWidth="1"/>
    <col min="2" max="2" width="23.25" bestFit="1" customWidth="1"/>
    <col min="3" max="3" width="6.125" bestFit="1" customWidth="1"/>
    <col min="4" max="4" width="6" bestFit="1" customWidth="1"/>
    <col min="5" max="5" width="7.375" bestFit="1" customWidth="1"/>
    <col min="6" max="6" width="8.375" bestFit="1" customWidth="1"/>
    <col min="7" max="7" width="9.625" bestFit="1" customWidth="1"/>
    <col min="8" max="8" width="10.5" bestFit="1" customWidth="1"/>
    <col min="9" max="9" width="9.75" bestFit="1" customWidth="1"/>
    <col min="10" max="10" width="6.625" bestFit="1" customWidth="1"/>
    <col min="11" max="12" width="6" bestFit="1" customWidth="1"/>
    <col min="13" max="17" width="7" bestFit="1" customWidth="1"/>
    <col min="18" max="18" width="7.125" bestFit="1" customWidth="1"/>
    <col min="19" max="19" width="8" bestFit="1" customWidth="1"/>
    <col min="20" max="21" width="7" bestFit="1" customWidth="1"/>
  </cols>
  <sheetData>
    <row r="1" spans="1:35" x14ac:dyDescent="0.25">
      <c r="A1" s="351" t="s">
        <v>219</v>
      </c>
      <c r="B1" s="351"/>
      <c r="C1" s="126"/>
      <c r="D1" s="121"/>
      <c r="H1" s="124"/>
      <c r="I1" s="125"/>
      <c r="K1" s="350" t="s">
        <v>159</v>
      </c>
      <c r="L1" s="350"/>
      <c r="M1" s="350"/>
      <c r="N1" s="350"/>
      <c r="O1" s="350"/>
    </row>
    <row r="2" spans="1:35" x14ac:dyDescent="0.25">
      <c r="A2" s="3" t="s">
        <v>212</v>
      </c>
      <c r="B2" s="34"/>
      <c r="C2" s="34"/>
      <c r="D2" s="34"/>
      <c r="E2" s="77" t="s">
        <v>81</v>
      </c>
      <c r="F2" s="77" t="s">
        <v>82</v>
      </c>
      <c r="G2" s="78" t="s">
        <v>200</v>
      </c>
      <c r="H2" s="4" t="s">
        <v>79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137</v>
      </c>
      <c r="U2" t="s">
        <v>138</v>
      </c>
      <c r="V2" t="s">
        <v>139</v>
      </c>
      <c r="W2" t="s">
        <v>140</v>
      </c>
      <c r="X2" t="s">
        <v>147</v>
      </c>
      <c r="Y2" t="s">
        <v>148</v>
      </c>
      <c r="Z2" t="s">
        <v>149</v>
      </c>
      <c r="AA2" t="s">
        <v>150</v>
      </c>
      <c r="AB2" t="s">
        <v>151</v>
      </c>
      <c r="AC2" t="s">
        <v>152</v>
      </c>
      <c r="AD2" t="s">
        <v>153</v>
      </c>
      <c r="AE2" t="s">
        <v>154</v>
      </c>
      <c r="AF2" t="s">
        <v>155</v>
      </c>
      <c r="AG2" t="s">
        <v>156</v>
      </c>
      <c r="AH2" t="s">
        <v>157</v>
      </c>
      <c r="AI2" t="s">
        <v>158</v>
      </c>
    </row>
    <row r="3" spans="1:35" x14ac:dyDescent="0.25">
      <c r="A3" s="34"/>
      <c r="B3" s="34" t="s">
        <v>80</v>
      </c>
      <c r="C3" s="34"/>
      <c r="D3" s="34"/>
      <c r="E3" s="24">
        <f>Flows!E17</f>
        <v>546.53422261484116</v>
      </c>
      <c r="F3" s="24">
        <f>E3*days_mo</f>
        <v>13116.821342756188</v>
      </c>
      <c r="G3" s="342">
        <v>50</v>
      </c>
      <c r="H3" s="49">
        <f>F3*G3</f>
        <v>655841.06713780935</v>
      </c>
      <c r="J3" s="91"/>
      <c r="K3" s="3" t="s">
        <v>135</v>
      </c>
      <c r="L3" s="61"/>
      <c r="M3" s="61">
        <v>2</v>
      </c>
      <c r="N3" s="61">
        <v>2</v>
      </c>
      <c r="O3" s="61">
        <v>2</v>
      </c>
      <c r="P3" s="61">
        <f>O3+2</f>
        <v>4</v>
      </c>
      <c r="Q3" s="61">
        <f>P3</f>
        <v>4</v>
      </c>
      <c r="R3" s="61">
        <f>Q3+2</f>
        <v>6</v>
      </c>
      <c r="S3" s="61">
        <f>R3+2</f>
        <v>8</v>
      </c>
      <c r="T3" s="61">
        <f>S3+2</f>
        <v>10</v>
      </c>
      <c r="U3" s="61">
        <f>T3+2</f>
        <v>12</v>
      </c>
      <c r="V3" s="61">
        <f>U3+4</f>
        <v>16</v>
      </c>
      <c r="W3" s="61">
        <f>V3+4</f>
        <v>20</v>
      </c>
      <c r="X3" s="61">
        <f>W3+4</f>
        <v>24</v>
      </c>
      <c r="Y3" s="61">
        <f>X3+4</f>
        <v>28</v>
      </c>
      <c r="Z3" s="61">
        <f>Y3+6</f>
        <v>34</v>
      </c>
      <c r="AA3" s="61">
        <f t="shared" ref="AA3:AI3" si="0">Z3+6</f>
        <v>40</v>
      </c>
      <c r="AB3" s="61">
        <f t="shared" si="0"/>
        <v>46</v>
      </c>
      <c r="AC3" s="61">
        <f t="shared" si="0"/>
        <v>52</v>
      </c>
      <c r="AD3" s="61">
        <f t="shared" si="0"/>
        <v>58</v>
      </c>
      <c r="AE3" s="61">
        <f t="shared" si="0"/>
        <v>64</v>
      </c>
      <c r="AF3" s="61">
        <f t="shared" si="0"/>
        <v>70</v>
      </c>
      <c r="AG3" s="61">
        <f t="shared" si="0"/>
        <v>76</v>
      </c>
      <c r="AH3" s="61">
        <f t="shared" si="0"/>
        <v>82</v>
      </c>
      <c r="AI3" s="61">
        <f t="shared" si="0"/>
        <v>88</v>
      </c>
    </row>
    <row r="4" spans="1:35" x14ac:dyDescent="0.25">
      <c r="A4" s="34"/>
      <c r="B4" s="104" t="s">
        <v>220</v>
      </c>
      <c r="C4" s="127">
        <v>6</v>
      </c>
      <c r="D4" s="344">
        <f>LRA_Oil_content</f>
        <v>0.05</v>
      </c>
      <c r="E4" s="105">
        <f>ROUND(Flows!E10,-1)</f>
        <v>2000</v>
      </c>
      <c r="F4" s="105">
        <f>E4*days_mo</f>
        <v>48000</v>
      </c>
      <c r="G4" s="129">
        <f>H4/F3</f>
        <v>-21.956539048162689</v>
      </c>
      <c r="H4" s="86">
        <f>-F4*C4</f>
        <v>-288000</v>
      </c>
      <c r="K4" s="3" t="s">
        <v>136</v>
      </c>
      <c r="N4" s="61"/>
      <c r="O4" s="61">
        <f>500*2.5*30/1000</f>
        <v>37.5</v>
      </c>
      <c r="P4" s="61">
        <f>O4</f>
        <v>37.5</v>
      </c>
      <c r="Q4" s="61">
        <f>P4</f>
        <v>37.5</v>
      </c>
      <c r="R4" s="61">
        <f>Q4+O4</f>
        <v>75</v>
      </c>
      <c r="S4" s="61">
        <f>R4</f>
        <v>75</v>
      </c>
      <c r="T4" s="61">
        <f>S4+$N4</f>
        <v>75</v>
      </c>
      <c r="U4" s="61">
        <f>T4+$O4</f>
        <v>112.5</v>
      </c>
      <c r="V4" s="61">
        <f>U4+$O4</f>
        <v>150</v>
      </c>
      <c r="W4" s="61">
        <f>V4+$N4</f>
        <v>150</v>
      </c>
      <c r="X4" s="61">
        <f>W4+$O4</f>
        <v>187.5</v>
      </c>
      <c r="Y4" s="61">
        <f>X4+$N4</f>
        <v>187.5</v>
      </c>
      <c r="Z4" s="61">
        <f>Y4+$O4</f>
        <v>225</v>
      </c>
      <c r="AA4" s="61">
        <f>Z4+$N4</f>
        <v>225</v>
      </c>
      <c r="AB4" s="61">
        <f>AA4+$O4</f>
        <v>262.5</v>
      </c>
      <c r="AC4" s="61">
        <f>AB4+$N4</f>
        <v>262.5</v>
      </c>
      <c r="AD4" s="61">
        <f>AC4+$O4</f>
        <v>300</v>
      </c>
      <c r="AE4" s="61">
        <f>AD4+$N4</f>
        <v>300</v>
      </c>
      <c r="AF4" s="61">
        <f>AE4+$O4</f>
        <v>337.5</v>
      </c>
      <c r="AG4" s="61">
        <f>AF4+$N4</f>
        <v>337.5</v>
      </c>
      <c r="AH4" s="61">
        <f>AG4+$O4</f>
        <v>375</v>
      </c>
      <c r="AI4" s="61">
        <f>AH4</f>
        <v>375</v>
      </c>
    </row>
    <row r="5" spans="1:35" x14ac:dyDescent="0.25">
      <c r="A5" s="34"/>
      <c r="B5" s="104" t="s">
        <v>201</v>
      </c>
      <c r="C5" s="127">
        <v>0</v>
      </c>
      <c r="D5" s="104" t="s">
        <v>378</v>
      </c>
      <c r="E5" s="105">
        <f>ROUND(Flows!E18,-1)</f>
        <v>1900</v>
      </c>
      <c r="F5" s="105">
        <f>E5*days_mo</f>
        <v>45600</v>
      </c>
      <c r="G5" s="129">
        <f>H5/bbls_mo</f>
        <v>0</v>
      </c>
      <c r="H5" s="86">
        <f>F5*C5</f>
        <v>0</v>
      </c>
      <c r="J5" s="46"/>
      <c r="K5" s="3" t="s">
        <v>141</v>
      </c>
      <c r="Q5" s="61"/>
      <c r="R5" s="61">
        <f>$I$16/1000/2</f>
        <v>19.107313756183789</v>
      </c>
      <c r="S5" s="61">
        <f>$I$16/1000</f>
        <v>38.214627512367578</v>
      </c>
      <c r="T5" s="61">
        <f>S5</f>
        <v>38.214627512367578</v>
      </c>
      <c r="U5" s="61">
        <f>T5</f>
        <v>38.214627512367578</v>
      </c>
      <c r="V5" s="61">
        <f>U5</f>
        <v>38.214627512367578</v>
      </c>
      <c r="W5" s="61">
        <f>V5</f>
        <v>38.214627512367578</v>
      </c>
      <c r="X5" s="61">
        <f t="shared" ref="X5:AI5" si="1">W5</f>
        <v>38.214627512367578</v>
      </c>
      <c r="Y5" s="61">
        <f t="shared" si="1"/>
        <v>38.214627512367578</v>
      </c>
      <c r="Z5" s="61">
        <f t="shared" si="1"/>
        <v>38.214627512367578</v>
      </c>
      <c r="AA5" s="61">
        <f t="shared" si="1"/>
        <v>38.214627512367578</v>
      </c>
      <c r="AB5" s="61">
        <f t="shared" si="1"/>
        <v>38.214627512367578</v>
      </c>
      <c r="AC5" s="61">
        <f t="shared" si="1"/>
        <v>38.214627512367578</v>
      </c>
      <c r="AD5" s="61">
        <f t="shared" si="1"/>
        <v>38.214627512367578</v>
      </c>
      <c r="AE5" s="61">
        <f t="shared" si="1"/>
        <v>38.214627512367578</v>
      </c>
      <c r="AF5" s="61">
        <f t="shared" si="1"/>
        <v>38.214627512367578</v>
      </c>
      <c r="AG5" s="61">
        <f t="shared" si="1"/>
        <v>38.214627512367578</v>
      </c>
      <c r="AH5" s="61">
        <f t="shared" si="1"/>
        <v>38.214627512367578</v>
      </c>
      <c r="AI5" s="61">
        <f t="shared" si="1"/>
        <v>38.214627512367578</v>
      </c>
    </row>
    <row r="6" spans="1:35" ht="16.5" thickBot="1" x14ac:dyDescent="0.3">
      <c r="A6" s="25" t="s">
        <v>213</v>
      </c>
      <c r="B6" s="25"/>
      <c r="C6" s="25"/>
      <c r="D6" s="25"/>
      <c r="E6" s="25"/>
      <c r="F6" s="25"/>
      <c r="G6" s="92">
        <f>SUM(G3:G5)</f>
        <v>28.043460951837311</v>
      </c>
      <c r="H6" s="25"/>
      <c r="I6" s="30">
        <f>SUM(H3:H5)</f>
        <v>367841.06713780935</v>
      </c>
      <c r="J6" s="46"/>
      <c r="K6" s="25" t="s">
        <v>142</v>
      </c>
      <c r="L6" s="30">
        <f t="shared" ref="L6:W6" si="2">SUM(L3:L5)</f>
        <v>0</v>
      </c>
      <c r="M6" s="30">
        <f t="shared" si="2"/>
        <v>2</v>
      </c>
      <c r="N6" s="30">
        <f t="shared" si="2"/>
        <v>2</v>
      </c>
      <c r="O6" s="30">
        <f t="shared" si="2"/>
        <v>39.5</v>
      </c>
      <c r="P6" s="30">
        <f t="shared" si="2"/>
        <v>41.5</v>
      </c>
      <c r="Q6" s="30">
        <f t="shared" si="2"/>
        <v>41.5</v>
      </c>
      <c r="R6" s="30">
        <f t="shared" si="2"/>
        <v>100.10731375618379</v>
      </c>
      <c r="S6" s="30">
        <f t="shared" si="2"/>
        <v>121.21462751236757</v>
      </c>
      <c r="T6" s="30">
        <f t="shared" si="2"/>
        <v>123.21462751236757</v>
      </c>
      <c r="U6" s="30">
        <f t="shared" si="2"/>
        <v>162.71462751236757</v>
      </c>
      <c r="V6" s="30">
        <f t="shared" si="2"/>
        <v>204.21462751236757</v>
      </c>
      <c r="W6" s="30">
        <f t="shared" si="2"/>
        <v>208.21462751236757</v>
      </c>
      <c r="X6" s="30">
        <f t="shared" ref="X6:AI6" si="3">SUM(X3:X5)</f>
        <v>249.71462751236757</v>
      </c>
      <c r="Y6" s="30">
        <f t="shared" si="3"/>
        <v>253.71462751236757</v>
      </c>
      <c r="Z6" s="30">
        <f t="shared" si="3"/>
        <v>297.2146275123676</v>
      </c>
      <c r="AA6" s="30">
        <f t="shared" si="3"/>
        <v>303.2146275123676</v>
      </c>
      <c r="AB6" s="30">
        <f t="shared" si="3"/>
        <v>346.7146275123676</v>
      </c>
      <c r="AC6" s="30">
        <f t="shared" si="3"/>
        <v>352.7146275123676</v>
      </c>
      <c r="AD6" s="30">
        <f t="shared" si="3"/>
        <v>396.2146275123676</v>
      </c>
      <c r="AE6" s="30">
        <f t="shared" si="3"/>
        <v>402.2146275123676</v>
      </c>
      <c r="AF6" s="30">
        <f t="shared" si="3"/>
        <v>445.7146275123676</v>
      </c>
      <c r="AG6" s="30">
        <f t="shared" si="3"/>
        <v>451.7146275123676</v>
      </c>
      <c r="AH6" s="30">
        <f t="shared" si="3"/>
        <v>495.2146275123676</v>
      </c>
      <c r="AI6" s="30">
        <f t="shared" si="3"/>
        <v>501.2146275123676</v>
      </c>
    </row>
    <row r="7" spans="1:35" x14ac:dyDescent="0.25">
      <c r="A7" s="3" t="s">
        <v>211</v>
      </c>
      <c r="B7" s="34"/>
      <c r="C7" s="34"/>
      <c r="D7" s="34"/>
      <c r="E7" s="34"/>
      <c r="F7" s="34"/>
      <c r="G7" s="93"/>
      <c r="H7" s="4"/>
      <c r="J7" s="46"/>
    </row>
    <row r="8" spans="1:35" x14ac:dyDescent="0.25">
      <c r="A8" s="34"/>
      <c r="B8" s="79" t="s">
        <v>214</v>
      </c>
      <c r="C8" s="79"/>
      <c r="D8" s="79"/>
      <c r="E8" s="79"/>
      <c r="F8" s="79"/>
      <c r="G8" s="129">
        <f>H8/bbls_mo</f>
        <v>-4.7532857519959979</v>
      </c>
      <c r="H8" s="80">
        <f>-Opex!I29</f>
        <v>-62348</v>
      </c>
    </row>
    <row r="9" spans="1:35" x14ac:dyDescent="0.25">
      <c r="A9" s="34"/>
      <c r="B9" s="79" t="s">
        <v>215</v>
      </c>
      <c r="C9" s="79"/>
      <c r="D9" s="79"/>
      <c r="E9" s="79"/>
      <c r="F9" s="79"/>
      <c r="G9" s="129">
        <f>H9/bbls_mo</f>
        <v>-1.3722836905101681</v>
      </c>
      <c r="H9" s="80">
        <f>-Opex!O19</f>
        <v>-18000</v>
      </c>
    </row>
    <row r="10" spans="1:35" x14ac:dyDescent="0.25">
      <c r="A10" s="34"/>
      <c r="B10" s="79" t="s">
        <v>221</v>
      </c>
      <c r="C10" s="341">
        <v>1.75</v>
      </c>
      <c r="D10" s="349">
        <v>5</v>
      </c>
      <c r="E10" s="128">
        <f>E3/Oil_Recovery_Ratio</f>
        <v>109.30684452296823</v>
      </c>
      <c r="F10" s="45">
        <f>Opex!P22</f>
        <v>2623.3642685512377</v>
      </c>
      <c r="G10" s="129">
        <f>H10/bbls_mo</f>
        <v>-14.700000000000001</v>
      </c>
      <c r="H10" s="80">
        <f>-Opex!O23</f>
        <v>-192817.27373851597</v>
      </c>
    </row>
    <row r="11" spans="1:35" x14ac:dyDescent="0.25">
      <c r="A11" s="34"/>
      <c r="B11" s="82" t="s">
        <v>190</v>
      </c>
      <c r="C11" s="82"/>
      <c r="D11" s="82"/>
      <c r="E11" s="82"/>
      <c r="F11" s="82"/>
      <c r="G11" s="348">
        <f>SUM(G8:G10)</f>
        <v>-20.825569442506165</v>
      </c>
      <c r="H11" s="83"/>
      <c r="I11" s="84">
        <f>SUM(H8:H10)</f>
        <v>-273165.27373851597</v>
      </c>
    </row>
    <row r="12" spans="1:35" ht="16.5" thickBot="1" x14ac:dyDescent="0.3">
      <c r="A12" s="25" t="s">
        <v>85</v>
      </c>
      <c r="B12" s="25"/>
      <c r="C12" s="25"/>
      <c r="D12" s="25"/>
      <c r="E12" s="25"/>
      <c r="F12" s="25"/>
      <c r="G12" s="96">
        <f>G6+G11</f>
        <v>7.217891509331146</v>
      </c>
      <c r="H12" s="30"/>
      <c r="I12" s="30">
        <f>I6+I11</f>
        <v>94675.793399293383</v>
      </c>
      <c r="J12" s="46"/>
    </row>
    <row r="13" spans="1:35" x14ac:dyDescent="0.25">
      <c r="A13" s="97"/>
      <c r="B13" s="99" t="s">
        <v>209</v>
      </c>
      <c r="C13" s="99"/>
      <c r="D13" s="99"/>
      <c r="E13" s="97"/>
      <c r="F13" s="97"/>
      <c r="G13" s="106">
        <v>-2.15</v>
      </c>
      <c r="H13" s="80">
        <f>F3*G13</f>
        <v>-28201.165886925803</v>
      </c>
      <c r="I13" s="98"/>
      <c r="J13" s="46"/>
    </row>
    <row r="14" spans="1:35" x14ac:dyDescent="0.25">
      <c r="A14" s="34"/>
      <c r="B14" s="352" t="s">
        <v>380</v>
      </c>
      <c r="C14" s="352"/>
      <c r="D14" s="79">
        <v>30</v>
      </c>
      <c r="F14" s="343">
        <v>100</v>
      </c>
      <c r="G14" s="129">
        <f>H14/bbls_mo</f>
        <v>-0.22871394841836135</v>
      </c>
      <c r="H14" s="80">
        <f>-D14*F14</f>
        <v>-3000</v>
      </c>
      <c r="J14" s="118"/>
    </row>
    <row r="15" spans="1:35" x14ac:dyDescent="0.25">
      <c r="A15" s="34"/>
      <c r="B15" s="79" t="s">
        <v>210</v>
      </c>
      <c r="C15" s="79"/>
      <c r="D15" s="79"/>
      <c r="E15" s="79"/>
      <c r="F15" s="79"/>
      <c r="G15" s="129">
        <f>H15/bbls_mo</f>
        <v>-1.9257714456826025</v>
      </c>
      <c r="H15" s="61">
        <f>-Opex!I37-Opex!O37</f>
        <v>-25260</v>
      </c>
    </row>
    <row r="16" spans="1:35" ht="16.5" thickBot="1" x14ac:dyDescent="0.3">
      <c r="A16" s="31" t="s">
        <v>208</v>
      </c>
      <c r="B16" s="94"/>
      <c r="C16" s="94"/>
      <c r="D16" s="94"/>
      <c r="E16" s="94"/>
      <c r="F16" s="94"/>
      <c r="G16" s="95">
        <f>I16/$F$3</f>
        <v>2.9134061152301771</v>
      </c>
      <c r="H16" s="94"/>
      <c r="I16" s="32">
        <f>I12+SUM(H13:H15)</f>
        <v>38214.62751236758</v>
      </c>
      <c r="J16" s="47"/>
    </row>
    <row r="17" spans="1:18" ht="16.5" thickTop="1" x14ac:dyDescent="0.25">
      <c r="A17" s="97"/>
      <c r="B17" s="122"/>
      <c r="C17" s="122"/>
      <c r="D17" s="122"/>
      <c r="E17" s="119"/>
      <c r="F17" s="119"/>
      <c r="G17" s="120"/>
      <c r="H17" s="123"/>
      <c r="I17" s="98"/>
      <c r="J17" s="47"/>
    </row>
    <row r="18" spans="1:18" x14ac:dyDescent="0.25">
      <c r="A18" s="3" t="s">
        <v>202</v>
      </c>
    </row>
    <row r="19" spans="1:18" x14ac:dyDescent="0.25">
      <c r="B19" s="86" t="s">
        <v>216</v>
      </c>
      <c r="C19" s="85">
        <f>Asphalt_API</f>
        <v>4</v>
      </c>
    </row>
    <row r="20" spans="1:18" x14ac:dyDescent="0.25">
      <c r="B20" s="86"/>
      <c r="C20" s="86"/>
      <c r="D20" s="79"/>
    </row>
    <row r="21" spans="1:18" x14ac:dyDescent="0.25">
      <c r="B21" s="79"/>
      <c r="C21" s="79"/>
    </row>
    <row r="29" spans="1:18" x14ac:dyDescent="0.25">
      <c r="J29" s="350" t="s">
        <v>159</v>
      </c>
      <c r="K29" s="350"/>
      <c r="L29" s="350"/>
      <c r="M29" s="350"/>
      <c r="N29" s="350"/>
    </row>
    <row r="30" spans="1:18" x14ac:dyDescent="0.25">
      <c r="J30" s="62"/>
      <c r="K30" s="62"/>
      <c r="L30" s="62"/>
      <c r="M30" s="62"/>
      <c r="N30" s="62"/>
    </row>
    <row r="31" spans="1:18" x14ac:dyDescent="0.25">
      <c r="K31" s="63" t="s">
        <v>143</v>
      </c>
      <c r="L31" s="63" t="s">
        <v>144</v>
      </c>
      <c r="M31" s="63" t="s">
        <v>145</v>
      </c>
      <c r="N31" s="63" t="s">
        <v>146</v>
      </c>
      <c r="O31" s="63" t="s">
        <v>160</v>
      </c>
      <c r="P31" s="63" t="s">
        <v>161</v>
      </c>
      <c r="Q31" s="63" t="s">
        <v>162</v>
      </c>
      <c r="R31" s="63" t="s">
        <v>163</v>
      </c>
    </row>
    <row r="32" spans="1:18" x14ac:dyDescent="0.25">
      <c r="J32" s="3" t="s">
        <v>135</v>
      </c>
      <c r="K32" s="61">
        <f>SUM(L3:N3)</f>
        <v>4</v>
      </c>
      <c r="L32" s="61">
        <f>SUM(O3:Q3)</f>
        <v>10</v>
      </c>
      <c r="M32" s="61">
        <f>SUM(R3:T3)</f>
        <v>24</v>
      </c>
      <c r="N32" s="61">
        <f>SUM(U3:W3)</f>
        <v>48</v>
      </c>
      <c r="O32" s="61">
        <f>SUM(X3:Z3)</f>
        <v>86</v>
      </c>
      <c r="P32" s="61">
        <f>SUM(AA3:AC3)</f>
        <v>138</v>
      </c>
      <c r="Q32" s="61">
        <f>SUM(AD3:AF3)</f>
        <v>192</v>
      </c>
      <c r="R32" s="61">
        <f>SUM(AG3:AI3)</f>
        <v>246</v>
      </c>
    </row>
    <row r="33" spans="10:18" x14ac:dyDescent="0.25">
      <c r="J33" s="3"/>
      <c r="K33" s="61"/>
      <c r="L33" s="61"/>
      <c r="M33" s="61"/>
      <c r="N33" s="61"/>
      <c r="O33" s="61"/>
      <c r="P33" s="61"/>
      <c r="Q33" s="61"/>
      <c r="R33" s="61"/>
    </row>
    <row r="34" spans="10:18" x14ac:dyDescent="0.25">
      <c r="J34" s="3" t="s">
        <v>136</v>
      </c>
      <c r="K34" s="61">
        <f>SUM(L4:N4)</f>
        <v>0</v>
      </c>
      <c r="L34" s="61">
        <f>SUM(O4:Q4)</f>
        <v>112.5</v>
      </c>
      <c r="M34" s="61">
        <f>SUM(R4:T4)</f>
        <v>225</v>
      </c>
      <c r="N34" s="61">
        <f>SUM(U4:W4)</f>
        <v>412.5</v>
      </c>
      <c r="O34" s="61">
        <f>SUM(X4:Z4)</f>
        <v>600</v>
      </c>
      <c r="P34" s="61">
        <f>SUM(AA4:AC4)</f>
        <v>750</v>
      </c>
      <c r="Q34" s="61">
        <f>SUM(AD4:AF4)</f>
        <v>937.5</v>
      </c>
      <c r="R34" s="61">
        <f>SUM(AG4:AI4)</f>
        <v>1087.5</v>
      </c>
    </row>
    <row r="35" spans="10:18" x14ac:dyDescent="0.25">
      <c r="J35" s="3"/>
      <c r="K35" s="61"/>
      <c r="L35" s="61"/>
      <c r="M35" s="61"/>
      <c r="N35" s="61"/>
      <c r="O35" s="61"/>
      <c r="P35" s="61"/>
      <c r="Q35" s="61"/>
      <c r="R35" s="61"/>
    </row>
    <row r="36" spans="10:18" x14ac:dyDescent="0.25">
      <c r="J36" s="3" t="s">
        <v>141</v>
      </c>
      <c r="K36" s="61">
        <f>SUM(L5:N5)</f>
        <v>0</v>
      </c>
      <c r="L36" s="61">
        <f>SUM(O5:Q5)</f>
        <v>0</v>
      </c>
      <c r="M36" s="61">
        <f>SUM(R5:T5)</f>
        <v>95.536568780918941</v>
      </c>
      <c r="N36" s="61">
        <f>SUM(U5:W5)</f>
        <v>114.64388253710274</v>
      </c>
      <c r="O36" s="61">
        <f>SUM(X5:Z5)</f>
        <v>114.64388253710274</v>
      </c>
      <c r="P36" s="61">
        <f>SUM(AA5:AC5)</f>
        <v>114.64388253710274</v>
      </c>
      <c r="Q36" s="61">
        <f>SUM(AD5:AF5)</f>
        <v>114.64388253710274</v>
      </c>
      <c r="R36" s="61">
        <f>SUM(AG5:AI5)</f>
        <v>114.64388253710274</v>
      </c>
    </row>
    <row r="37" spans="10:18" x14ac:dyDescent="0.25">
      <c r="J37" s="3"/>
      <c r="K37" s="61"/>
      <c r="L37" s="61"/>
      <c r="M37" s="61"/>
      <c r="N37" s="61"/>
      <c r="O37" s="61"/>
      <c r="P37" s="61"/>
      <c r="Q37" s="61"/>
      <c r="R37" s="61"/>
    </row>
    <row r="38" spans="10:18" ht="16.5" thickBot="1" x14ac:dyDescent="0.3">
      <c r="J38" s="25" t="s">
        <v>142</v>
      </c>
      <c r="K38" s="30">
        <f t="shared" ref="K38:R38" si="4">SUM(K32:K36)</f>
        <v>4</v>
      </c>
      <c r="L38" s="30">
        <f t="shared" si="4"/>
        <v>122.5</v>
      </c>
      <c r="M38" s="30">
        <f t="shared" si="4"/>
        <v>344.53656878091897</v>
      </c>
      <c r="N38" s="30">
        <f t="shared" si="4"/>
        <v>575.14388253710274</v>
      </c>
      <c r="O38" s="30">
        <f t="shared" si="4"/>
        <v>800.64388253710274</v>
      </c>
      <c r="P38" s="30">
        <f t="shared" si="4"/>
        <v>1002.6438825371027</v>
      </c>
      <c r="Q38" s="30">
        <f t="shared" si="4"/>
        <v>1244.1438825371029</v>
      </c>
      <c r="R38" s="30">
        <f t="shared" si="4"/>
        <v>1448.1438825371029</v>
      </c>
    </row>
    <row r="40" spans="10:18" x14ac:dyDescent="0.25">
      <c r="K40" s="61">
        <f>K38+J40</f>
        <v>4</v>
      </c>
      <c r="L40" s="61">
        <f t="shared" ref="L40:R40" si="5">L38+K40</f>
        <v>126.5</v>
      </c>
      <c r="M40" s="61">
        <f t="shared" si="5"/>
        <v>471.03656878091897</v>
      </c>
      <c r="N40" s="61">
        <f t="shared" si="5"/>
        <v>1046.1804513180218</v>
      </c>
      <c r="O40" s="61">
        <f t="shared" si="5"/>
        <v>1846.8243338551247</v>
      </c>
      <c r="P40" s="61">
        <f t="shared" si="5"/>
        <v>2849.4682163922275</v>
      </c>
      <c r="Q40" s="61">
        <f t="shared" si="5"/>
        <v>4093.6120989293304</v>
      </c>
      <c r="R40" s="61">
        <f t="shared" si="5"/>
        <v>5541.7559814664328</v>
      </c>
    </row>
  </sheetData>
  <mergeCells count="4">
    <mergeCell ref="K1:O1"/>
    <mergeCell ref="J29:N29"/>
    <mergeCell ref="A1:B1"/>
    <mergeCell ref="B14:C14"/>
  </mergeCells>
  <pageMargins left="0.7" right="0.7" top="0.75" bottom="0.75" header="0.3" footer="0.3"/>
  <pageSetup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1"/>
  <sheetViews>
    <sheetView tabSelected="1" zoomScale="115" zoomScaleNormal="11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RowHeight="12.75" outlineLevelRow="1" outlineLevelCol="2" x14ac:dyDescent="0.2"/>
  <cols>
    <col min="1" max="4" width="3.25" style="107" customWidth="1" outlineLevel="1"/>
    <col min="5" max="5" width="11.25" style="107" customWidth="1" outlineLevel="1"/>
    <col min="6" max="6" width="7.625" style="107" customWidth="1" outlineLevel="1"/>
    <col min="7" max="8" width="5.75" style="107" customWidth="1" outlineLevel="2"/>
    <col min="9" max="9" width="5.25" style="107" customWidth="1" outlineLevel="2"/>
    <col min="10" max="10" width="6.625" style="107" customWidth="1" outlineLevel="2"/>
    <col min="11" max="12" width="7.5" style="107" customWidth="1" outlineLevel="2"/>
    <col min="13" max="27" width="7.625" style="107" customWidth="1" outlineLevel="1"/>
    <col min="28" max="30" width="8.75" style="107" customWidth="1" outlineLevel="1"/>
    <col min="31" max="31" width="3.625" style="107" customWidth="1"/>
    <col min="32" max="44" width="0" style="107" hidden="1" customWidth="1"/>
    <col min="45" max="47" width="3.125" style="107" customWidth="1"/>
    <col min="48" max="48" width="20" style="107" customWidth="1"/>
    <col min="49" max="50" width="5.75" style="107" bestFit="1" customWidth="1"/>
    <col min="51" max="51" width="6.25" style="107" bestFit="1" customWidth="1"/>
    <col min="52" max="52" width="6.625" style="107" bestFit="1" customWidth="1"/>
    <col min="53" max="56" width="7.5" style="107" bestFit="1" customWidth="1"/>
    <col min="57" max="16384" width="9" style="107"/>
  </cols>
  <sheetData>
    <row r="1" spans="1:56" ht="18.75" x14ac:dyDescent="0.3">
      <c r="B1" s="154" t="s">
        <v>303</v>
      </c>
      <c r="C1" s="154"/>
      <c r="D1" s="154"/>
      <c r="AS1" s="254" t="str">
        <f>A1&amp;B1&amp;C1&amp;D1</f>
        <v>Drill Cuttings Company Model</v>
      </c>
      <c r="AT1" s="255"/>
      <c r="AU1" s="255"/>
      <c r="AV1" s="256"/>
      <c r="AW1" s="257"/>
      <c r="AX1" s="257"/>
      <c r="AY1" s="257"/>
      <c r="AZ1" s="257"/>
      <c r="BA1" s="257"/>
      <c r="BB1" s="257"/>
      <c r="BC1" s="257"/>
      <c r="BD1" s="257"/>
    </row>
    <row r="2" spans="1:56" outlineLevel="1" x14ac:dyDescent="0.2">
      <c r="B2" s="135"/>
      <c r="C2" s="135"/>
      <c r="D2" s="135"/>
      <c r="AS2" s="282"/>
      <c r="AT2" s="283"/>
      <c r="AU2" s="283"/>
      <c r="AW2" s="257" t="s">
        <v>366</v>
      </c>
      <c r="AX2" s="257" t="s">
        <v>367</v>
      </c>
      <c r="AY2" s="257" t="s">
        <v>368</v>
      </c>
      <c r="AZ2" s="257" t="s">
        <v>369</v>
      </c>
      <c r="BA2" s="257" t="s">
        <v>370</v>
      </c>
      <c r="BB2" s="257" t="s">
        <v>371</v>
      </c>
      <c r="BC2" s="257" t="s">
        <v>372</v>
      </c>
      <c r="BD2" s="257" t="s">
        <v>373</v>
      </c>
    </row>
    <row r="3" spans="1:56" outlineLevel="1" x14ac:dyDescent="0.2">
      <c r="AS3" s="258"/>
      <c r="AT3" s="258"/>
      <c r="AU3" s="258"/>
      <c r="AV3" s="256">
        <v>-1</v>
      </c>
      <c r="AW3" s="256">
        <v>2</v>
      </c>
      <c r="AX3" s="256">
        <f>AW3+3</f>
        <v>5</v>
      </c>
      <c r="AY3" s="256">
        <f t="shared" ref="AY3:BD3" si="0">AX3+3</f>
        <v>8</v>
      </c>
      <c r="AZ3" s="256">
        <f t="shared" si="0"/>
        <v>11</v>
      </c>
      <c r="BA3" s="256">
        <f t="shared" si="0"/>
        <v>14</v>
      </c>
      <c r="BB3" s="256">
        <f t="shared" si="0"/>
        <v>17</v>
      </c>
      <c r="BC3" s="256">
        <f t="shared" si="0"/>
        <v>20</v>
      </c>
      <c r="BD3" s="256">
        <f t="shared" si="0"/>
        <v>23</v>
      </c>
    </row>
    <row r="4" spans="1:56" ht="15.75" x14ac:dyDescent="0.25">
      <c r="A4" s="281" t="s">
        <v>376</v>
      </c>
      <c r="B4" s="194"/>
      <c r="C4" s="194"/>
      <c r="D4" s="194"/>
      <c r="E4" s="194"/>
      <c r="F4" s="253" t="s">
        <v>241</v>
      </c>
      <c r="G4" s="143">
        <v>1</v>
      </c>
      <c r="H4" s="143">
        <f>G4+1</f>
        <v>2</v>
      </c>
      <c r="I4" s="143">
        <f t="shared" ref="I4:U4" si="1">H4+1</f>
        <v>3</v>
      </c>
      <c r="J4" s="143">
        <f t="shared" si="1"/>
        <v>4</v>
      </c>
      <c r="K4" s="143">
        <f t="shared" si="1"/>
        <v>5</v>
      </c>
      <c r="L4" s="143">
        <f t="shared" si="1"/>
        <v>6</v>
      </c>
      <c r="M4" s="143">
        <f t="shared" si="1"/>
        <v>7</v>
      </c>
      <c r="N4" s="143">
        <f t="shared" si="1"/>
        <v>8</v>
      </c>
      <c r="O4" s="143">
        <f t="shared" si="1"/>
        <v>9</v>
      </c>
      <c r="P4" s="143">
        <f t="shared" si="1"/>
        <v>10</v>
      </c>
      <c r="Q4" s="143">
        <f t="shared" si="1"/>
        <v>11</v>
      </c>
      <c r="R4" s="143">
        <f t="shared" si="1"/>
        <v>12</v>
      </c>
      <c r="S4" s="143">
        <f t="shared" si="1"/>
        <v>13</v>
      </c>
      <c r="T4" s="143">
        <f t="shared" si="1"/>
        <v>14</v>
      </c>
      <c r="U4" s="143">
        <f t="shared" si="1"/>
        <v>15</v>
      </c>
      <c r="V4" s="143">
        <f t="shared" ref="V4:AD4" si="2">U4+1</f>
        <v>16</v>
      </c>
      <c r="W4" s="143">
        <f t="shared" si="2"/>
        <v>17</v>
      </c>
      <c r="X4" s="143">
        <f t="shared" si="2"/>
        <v>18</v>
      </c>
      <c r="Y4" s="143">
        <f>X4+1</f>
        <v>19</v>
      </c>
      <c r="Z4" s="143">
        <f>Y4+1</f>
        <v>20</v>
      </c>
      <c r="AA4" s="143">
        <f>Z4+1</f>
        <v>21</v>
      </c>
      <c r="AB4" s="143">
        <f t="shared" si="2"/>
        <v>22</v>
      </c>
      <c r="AC4" s="143">
        <f t="shared" si="2"/>
        <v>23</v>
      </c>
      <c r="AD4" s="143">
        <f t="shared" si="2"/>
        <v>24</v>
      </c>
      <c r="AS4" s="260" t="str">
        <f>A4&amp;B4&amp;C4&amp;D4</f>
        <v>Income Statement ($000's)</v>
      </c>
      <c r="AT4" s="260"/>
      <c r="AU4" s="260"/>
      <c r="AV4" s="261"/>
      <c r="AW4" s="262" t="str">
        <f t="shared" ref="AW4:BD4" si="3">AW$2</f>
        <v>1Q:1Y</v>
      </c>
      <c r="AX4" s="262" t="str">
        <f t="shared" si="3"/>
        <v>2Q:1Y</v>
      </c>
      <c r="AY4" s="262" t="str">
        <f t="shared" si="3"/>
        <v>3Q:1Y</v>
      </c>
      <c r="AZ4" s="262" t="str">
        <f t="shared" si="3"/>
        <v>4Q:1Y</v>
      </c>
      <c r="BA4" s="262" t="str">
        <f t="shared" si="3"/>
        <v>1Q:2Y</v>
      </c>
      <c r="BB4" s="262" t="str">
        <f t="shared" si="3"/>
        <v>2Q:2Y</v>
      </c>
      <c r="BC4" s="262" t="str">
        <f t="shared" si="3"/>
        <v>3Q:2Y</v>
      </c>
      <c r="BD4" s="262" t="str">
        <f t="shared" si="3"/>
        <v>4Q:2Y</v>
      </c>
    </row>
    <row r="5" spans="1:56" outlineLevel="1" x14ac:dyDescent="0.2">
      <c r="B5" s="135"/>
      <c r="C5" s="135"/>
      <c r="D5" s="135"/>
      <c r="E5" s="135" t="s">
        <v>233</v>
      </c>
      <c r="J5" s="197">
        <v>10000</v>
      </c>
      <c r="K5" s="197">
        <f>J5</f>
        <v>10000</v>
      </c>
      <c r="L5" s="197">
        <f t="shared" ref="L5:AD5" si="4">K5</f>
        <v>10000</v>
      </c>
      <c r="M5" s="197">
        <f t="shared" si="4"/>
        <v>10000</v>
      </c>
      <c r="N5" s="197">
        <f>M5</f>
        <v>10000</v>
      </c>
      <c r="O5" s="197">
        <f>N5</f>
        <v>10000</v>
      </c>
      <c r="P5" s="197">
        <f t="shared" si="4"/>
        <v>10000</v>
      </c>
      <c r="Q5" s="197">
        <f t="shared" si="4"/>
        <v>10000</v>
      </c>
      <c r="R5" s="197">
        <f t="shared" si="4"/>
        <v>10000</v>
      </c>
      <c r="S5" s="197">
        <f t="shared" si="4"/>
        <v>10000</v>
      </c>
      <c r="T5" s="197">
        <f t="shared" si="4"/>
        <v>10000</v>
      </c>
      <c r="U5" s="197">
        <f t="shared" si="4"/>
        <v>10000</v>
      </c>
      <c r="V5" s="197">
        <f t="shared" ref="V5:AA5" si="5">U5</f>
        <v>10000</v>
      </c>
      <c r="W5" s="197">
        <f t="shared" si="5"/>
        <v>10000</v>
      </c>
      <c r="X5" s="197">
        <f t="shared" si="5"/>
        <v>10000</v>
      </c>
      <c r="Y5" s="197">
        <f t="shared" si="5"/>
        <v>10000</v>
      </c>
      <c r="Z5" s="197">
        <f t="shared" si="5"/>
        <v>10000</v>
      </c>
      <c r="AA5" s="197">
        <f t="shared" si="5"/>
        <v>10000</v>
      </c>
      <c r="AB5" s="197">
        <f t="shared" si="4"/>
        <v>10000</v>
      </c>
      <c r="AC5" s="197">
        <f t="shared" si="4"/>
        <v>10000</v>
      </c>
      <c r="AD5" s="197">
        <f t="shared" si="4"/>
        <v>10000</v>
      </c>
      <c r="AS5" s="263"/>
      <c r="AT5" s="263"/>
      <c r="AU5" s="263"/>
      <c r="AV5" s="264" t="str">
        <f>A5&amp;B5&amp;C5&amp;D5&amp;E5</f>
        <v>Bbls/day</v>
      </c>
      <c r="AW5" s="264">
        <f ca="1">SUM(OFFSET($G5,0,AV$3+1):OFFSET($G5,0,AW$3))/1000</f>
        <v>0</v>
      </c>
      <c r="AX5" s="264">
        <f ca="1">SUM(OFFSET($G5,0,AW$3+1):OFFSET($G5,0,AX$3))/1000</f>
        <v>30</v>
      </c>
      <c r="AY5" s="264">
        <f ca="1">SUM(OFFSET($G5,0,AX$3+1):OFFSET($G5,0,AY$3))/1000</f>
        <v>30</v>
      </c>
      <c r="AZ5" s="264">
        <f ca="1">SUM(OFFSET($G5,0,AY$3+1):OFFSET($G5,0,AZ$3))/1000</f>
        <v>30</v>
      </c>
      <c r="BA5" s="264">
        <f ca="1">SUM(OFFSET($G5,0,AZ$3+1):OFFSET($G5,0,BA$3))/1000</f>
        <v>30</v>
      </c>
      <c r="BB5" s="264">
        <f ca="1">SUM(OFFSET($G5,0,BA$3+1):OFFSET($G5,0,BB$3))/1000</f>
        <v>30</v>
      </c>
      <c r="BC5" s="264">
        <f ca="1">SUM(OFFSET($G5,0,BB$3+1):OFFSET($G5,0,BC$3))/1000</f>
        <v>30</v>
      </c>
      <c r="BD5" s="264">
        <f ca="1">SUM(OFFSET($G5,0,BC$3+1):OFFSET($G5,0,BD$3))/1000</f>
        <v>30</v>
      </c>
    </row>
    <row r="6" spans="1:56" outlineLevel="1" x14ac:dyDescent="0.2">
      <c r="B6" s="135"/>
      <c r="C6" s="135"/>
      <c r="D6" s="135"/>
      <c r="E6" s="135" t="s">
        <v>234</v>
      </c>
      <c r="G6" s="136"/>
      <c r="H6" s="136"/>
      <c r="I6" s="136"/>
      <c r="J6" s="197">
        <v>8</v>
      </c>
      <c r="K6" s="197">
        <v>16</v>
      </c>
      <c r="L6" s="197">
        <v>24</v>
      </c>
      <c r="M6" s="197">
        <v>30</v>
      </c>
      <c r="N6" s="197">
        <v>24</v>
      </c>
      <c r="O6" s="197">
        <f t="shared" ref="O6:AD6" si="6">N6</f>
        <v>24</v>
      </c>
      <c r="P6" s="197">
        <f t="shared" si="6"/>
        <v>24</v>
      </c>
      <c r="Q6" s="197">
        <f t="shared" si="6"/>
        <v>24</v>
      </c>
      <c r="R6" s="197">
        <f t="shared" si="6"/>
        <v>24</v>
      </c>
      <c r="S6" s="197">
        <f t="shared" si="6"/>
        <v>24</v>
      </c>
      <c r="T6" s="197">
        <f t="shared" si="6"/>
        <v>24</v>
      </c>
      <c r="U6" s="197">
        <f t="shared" si="6"/>
        <v>24</v>
      </c>
      <c r="V6" s="197">
        <f t="shared" si="6"/>
        <v>24</v>
      </c>
      <c r="W6" s="197">
        <f t="shared" si="6"/>
        <v>24</v>
      </c>
      <c r="X6" s="197">
        <f t="shared" si="6"/>
        <v>24</v>
      </c>
      <c r="Y6" s="197">
        <f t="shared" si="6"/>
        <v>24</v>
      </c>
      <c r="Z6" s="197">
        <f t="shared" si="6"/>
        <v>24</v>
      </c>
      <c r="AA6" s="197">
        <f t="shared" si="6"/>
        <v>24</v>
      </c>
      <c r="AB6" s="197">
        <f t="shared" si="6"/>
        <v>24</v>
      </c>
      <c r="AC6" s="197">
        <f t="shared" si="6"/>
        <v>24</v>
      </c>
      <c r="AD6" s="197">
        <f t="shared" si="6"/>
        <v>24</v>
      </c>
      <c r="AS6" s="259"/>
      <c r="AT6" s="259"/>
      <c r="AU6" s="259"/>
      <c r="AV6" s="265" t="str">
        <f>A6&amp;B6&amp;C6&amp;D6&amp;E6</f>
        <v>Days/mo</v>
      </c>
      <c r="AW6" s="265">
        <f t="shared" ref="AW6:BD6" ca="1" si="7">OFFSET($G6,0,AW$3)</f>
        <v>0</v>
      </c>
      <c r="AX6" s="265">
        <f t="shared" ca="1" si="7"/>
        <v>24</v>
      </c>
      <c r="AY6" s="265">
        <f t="shared" ca="1" si="7"/>
        <v>24</v>
      </c>
      <c r="AZ6" s="265">
        <f t="shared" ca="1" si="7"/>
        <v>24</v>
      </c>
      <c r="BA6" s="265">
        <f t="shared" ca="1" si="7"/>
        <v>24</v>
      </c>
      <c r="BB6" s="265">
        <f t="shared" ca="1" si="7"/>
        <v>24</v>
      </c>
      <c r="BC6" s="265">
        <f t="shared" ca="1" si="7"/>
        <v>24</v>
      </c>
      <c r="BD6" s="265">
        <f t="shared" ca="1" si="7"/>
        <v>24</v>
      </c>
    </row>
    <row r="7" spans="1:56" outlineLevel="1" x14ac:dyDescent="0.2">
      <c r="B7" s="135"/>
      <c r="C7" s="135"/>
      <c r="D7" s="135"/>
      <c r="E7" s="135" t="s">
        <v>235</v>
      </c>
      <c r="G7" s="136"/>
      <c r="H7" s="136"/>
      <c r="I7" s="136"/>
      <c r="J7" s="111">
        <f t="shared" ref="J7:AD7" si="8">J5*J6</f>
        <v>80000</v>
      </c>
      <c r="K7" s="111">
        <f t="shared" si="8"/>
        <v>160000</v>
      </c>
      <c r="L7" s="111">
        <f t="shared" si="8"/>
        <v>240000</v>
      </c>
      <c r="M7" s="111">
        <f t="shared" si="8"/>
        <v>300000</v>
      </c>
      <c r="N7" s="111">
        <f t="shared" si="8"/>
        <v>240000</v>
      </c>
      <c r="O7" s="111">
        <f t="shared" si="8"/>
        <v>240000</v>
      </c>
      <c r="P7" s="111">
        <f t="shared" si="8"/>
        <v>240000</v>
      </c>
      <c r="Q7" s="111">
        <f t="shared" si="8"/>
        <v>240000</v>
      </c>
      <c r="R7" s="111">
        <f t="shared" si="8"/>
        <v>240000</v>
      </c>
      <c r="S7" s="111">
        <f t="shared" si="8"/>
        <v>240000</v>
      </c>
      <c r="T7" s="111">
        <f t="shared" si="8"/>
        <v>240000</v>
      </c>
      <c r="U7" s="111">
        <f t="shared" si="8"/>
        <v>240000</v>
      </c>
      <c r="V7" s="111">
        <f t="shared" si="8"/>
        <v>240000</v>
      </c>
      <c r="W7" s="111">
        <f t="shared" si="8"/>
        <v>240000</v>
      </c>
      <c r="X7" s="111">
        <f t="shared" si="8"/>
        <v>240000</v>
      </c>
      <c r="Y7" s="111">
        <f t="shared" si="8"/>
        <v>240000</v>
      </c>
      <c r="Z7" s="111">
        <f t="shared" si="8"/>
        <v>240000</v>
      </c>
      <c r="AA7" s="111">
        <f t="shared" si="8"/>
        <v>240000</v>
      </c>
      <c r="AB7" s="111">
        <f t="shared" si="8"/>
        <v>240000</v>
      </c>
      <c r="AC7" s="111">
        <f t="shared" si="8"/>
        <v>240000</v>
      </c>
      <c r="AD7" s="111">
        <f t="shared" si="8"/>
        <v>240000</v>
      </c>
      <c r="AS7" s="256"/>
      <c r="AT7" s="256"/>
      <c r="AU7" s="256"/>
      <c r="AV7" s="256"/>
      <c r="AW7" s="259"/>
      <c r="AX7" s="256"/>
      <c r="AY7" s="256"/>
      <c r="AZ7" s="256"/>
      <c r="BA7" s="256"/>
      <c r="BB7" s="256"/>
      <c r="BC7" s="256"/>
      <c r="BD7" s="256"/>
    </row>
    <row r="8" spans="1:56" outlineLevel="1" x14ac:dyDescent="0.2">
      <c r="B8" s="135"/>
      <c r="C8" s="135"/>
      <c r="D8" s="135"/>
      <c r="E8" s="135" t="s">
        <v>290</v>
      </c>
      <c r="F8" s="195">
        <v>10</v>
      </c>
      <c r="G8" s="136"/>
      <c r="H8" s="136"/>
      <c r="I8" s="136"/>
      <c r="J8" s="137">
        <f>$F8*J$7/1000</f>
        <v>800</v>
      </c>
      <c r="K8" s="137">
        <f t="shared" ref="K8:AD10" si="9">$F8*K$7/1000</f>
        <v>1600</v>
      </c>
      <c r="L8" s="137">
        <f t="shared" si="9"/>
        <v>2400</v>
      </c>
      <c r="M8" s="137">
        <f t="shared" si="9"/>
        <v>3000</v>
      </c>
      <c r="N8" s="137">
        <f t="shared" si="9"/>
        <v>2400</v>
      </c>
      <c r="O8" s="137">
        <f t="shared" si="9"/>
        <v>2400</v>
      </c>
      <c r="P8" s="137">
        <f t="shared" si="9"/>
        <v>2400</v>
      </c>
      <c r="Q8" s="137">
        <f t="shared" si="9"/>
        <v>2400</v>
      </c>
      <c r="R8" s="137">
        <f t="shared" si="9"/>
        <v>2400</v>
      </c>
      <c r="S8" s="137">
        <f t="shared" si="9"/>
        <v>2400</v>
      </c>
      <c r="T8" s="137">
        <f t="shared" si="9"/>
        <v>2400</v>
      </c>
      <c r="U8" s="137">
        <f t="shared" si="9"/>
        <v>2400</v>
      </c>
      <c r="V8" s="137">
        <f t="shared" si="9"/>
        <v>2400</v>
      </c>
      <c r="W8" s="137">
        <f t="shared" si="9"/>
        <v>2400</v>
      </c>
      <c r="X8" s="137">
        <f t="shared" si="9"/>
        <v>2400</v>
      </c>
      <c r="Y8" s="137">
        <f t="shared" si="9"/>
        <v>2400</v>
      </c>
      <c r="Z8" s="137">
        <f t="shared" si="9"/>
        <v>2400</v>
      </c>
      <c r="AA8" s="137">
        <f t="shared" si="9"/>
        <v>2400</v>
      </c>
      <c r="AB8" s="137">
        <f t="shared" si="9"/>
        <v>2400</v>
      </c>
      <c r="AC8" s="137">
        <f t="shared" si="9"/>
        <v>2400</v>
      </c>
      <c r="AD8" s="137">
        <f t="shared" si="9"/>
        <v>2400</v>
      </c>
      <c r="AS8" s="256"/>
      <c r="AT8" s="256"/>
      <c r="AU8" s="256"/>
      <c r="AV8" s="256"/>
      <c r="AW8" s="259"/>
      <c r="AX8" s="256"/>
      <c r="AY8" s="256"/>
      <c r="AZ8" s="256"/>
      <c r="BA8" s="256"/>
      <c r="BB8" s="256"/>
      <c r="BC8" s="256"/>
      <c r="BD8" s="256"/>
    </row>
    <row r="9" spans="1:56" outlineLevel="1" x14ac:dyDescent="0.2">
      <c r="B9" s="135"/>
      <c r="C9" s="135"/>
      <c r="D9" s="135"/>
      <c r="E9" s="135" t="s">
        <v>291</v>
      </c>
      <c r="F9" s="196">
        <v>0.1</v>
      </c>
      <c r="G9" s="136"/>
      <c r="H9" s="136"/>
      <c r="I9" s="136"/>
      <c r="J9" s="137">
        <f>$F9*J$7/1000</f>
        <v>8</v>
      </c>
      <c r="K9" s="137">
        <f t="shared" si="9"/>
        <v>16</v>
      </c>
      <c r="L9" s="137">
        <f t="shared" si="9"/>
        <v>24</v>
      </c>
      <c r="M9" s="137">
        <f t="shared" si="9"/>
        <v>30</v>
      </c>
      <c r="N9" s="137">
        <f t="shared" si="9"/>
        <v>24</v>
      </c>
      <c r="O9" s="137">
        <f t="shared" si="9"/>
        <v>24</v>
      </c>
      <c r="P9" s="137">
        <f t="shared" si="9"/>
        <v>24</v>
      </c>
      <c r="Q9" s="137">
        <f t="shared" si="9"/>
        <v>24</v>
      </c>
      <c r="R9" s="137">
        <f t="shared" si="9"/>
        <v>24</v>
      </c>
      <c r="S9" s="137">
        <f t="shared" si="9"/>
        <v>24</v>
      </c>
      <c r="T9" s="137">
        <f t="shared" si="9"/>
        <v>24</v>
      </c>
      <c r="U9" s="137">
        <f t="shared" si="9"/>
        <v>24</v>
      </c>
      <c r="V9" s="137">
        <f t="shared" si="9"/>
        <v>24</v>
      </c>
      <c r="W9" s="137">
        <f t="shared" si="9"/>
        <v>24</v>
      </c>
      <c r="X9" s="137">
        <f t="shared" si="9"/>
        <v>24</v>
      </c>
      <c r="Y9" s="137">
        <f t="shared" si="9"/>
        <v>24</v>
      </c>
      <c r="Z9" s="137">
        <f t="shared" si="9"/>
        <v>24</v>
      </c>
      <c r="AA9" s="137">
        <f t="shared" si="9"/>
        <v>24</v>
      </c>
      <c r="AB9" s="137">
        <f t="shared" si="9"/>
        <v>24</v>
      </c>
      <c r="AC9" s="137">
        <f t="shared" si="9"/>
        <v>24</v>
      </c>
      <c r="AD9" s="137">
        <f t="shared" si="9"/>
        <v>24</v>
      </c>
      <c r="AS9" s="256"/>
      <c r="AT9" s="256"/>
      <c r="AU9" s="256"/>
      <c r="AV9" s="265" t="str">
        <f>A9&amp;B9&amp;C9&amp;D9&amp;E9</f>
        <v>H'Carbon Sales</v>
      </c>
      <c r="AW9" s="265">
        <f t="shared" ref="AW9:BD9" ca="1" si="10">OFFSET($G9,0,AW$3)/1000</f>
        <v>0</v>
      </c>
      <c r="AX9" s="265">
        <f t="shared" ca="1" si="10"/>
        <v>2.4E-2</v>
      </c>
      <c r="AY9" s="265">
        <f t="shared" ca="1" si="10"/>
        <v>2.4E-2</v>
      </c>
      <c r="AZ9" s="265">
        <f t="shared" ca="1" si="10"/>
        <v>2.4E-2</v>
      </c>
      <c r="BA9" s="265">
        <f t="shared" ca="1" si="10"/>
        <v>2.4E-2</v>
      </c>
      <c r="BB9" s="265">
        <f t="shared" ca="1" si="10"/>
        <v>2.4E-2</v>
      </c>
      <c r="BC9" s="265">
        <f t="shared" ca="1" si="10"/>
        <v>2.4E-2</v>
      </c>
      <c r="BD9" s="265">
        <f t="shared" ca="1" si="10"/>
        <v>2.4E-2</v>
      </c>
    </row>
    <row r="10" spans="1:56" outlineLevel="1" x14ac:dyDescent="0.2">
      <c r="B10" s="135"/>
      <c r="C10" s="135"/>
      <c r="D10" s="135"/>
      <c r="E10" s="135" t="s">
        <v>292</v>
      </c>
      <c r="F10" s="198">
        <v>-2</v>
      </c>
      <c r="G10" s="136"/>
      <c r="H10" s="136"/>
      <c r="I10" s="136"/>
      <c r="J10" s="137">
        <f>$F10*J$7/1000</f>
        <v>-160</v>
      </c>
      <c r="K10" s="137">
        <f t="shared" si="9"/>
        <v>-320</v>
      </c>
      <c r="L10" s="137">
        <f t="shared" si="9"/>
        <v>-480</v>
      </c>
      <c r="M10" s="137">
        <f t="shared" si="9"/>
        <v>-600</v>
      </c>
      <c r="N10" s="137">
        <f t="shared" si="9"/>
        <v>-480</v>
      </c>
      <c r="O10" s="137">
        <f t="shared" si="9"/>
        <v>-480</v>
      </c>
      <c r="P10" s="137">
        <f t="shared" si="9"/>
        <v>-480</v>
      </c>
      <c r="Q10" s="137">
        <f t="shared" si="9"/>
        <v>-480</v>
      </c>
      <c r="R10" s="137">
        <f t="shared" si="9"/>
        <v>-480</v>
      </c>
      <c r="S10" s="137">
        <f t="shared" si="9"/>
        <v>-480</v>
      </c>
      <c r="T10" s="137">
        <f t="shared" si="9"/>
        <v>-480</v>
      </c>
      <c r="U10" s="137">
        <f t="shared" si="9"/>
        <v>-480</v>
      </c>
      <c r="V10" s="137">
        <f t="shared" si="9"/>
        <v>-480</v>
      </c>
      <c r="W10" s="137">
        <f t="shared" si="9"/>
        <v>-480</v>
      </c>
      <c r="X10" s="137">
        <f t="shared" si="9"/>
        <v>-480</v>
      </c>
      <c r="Y10" s="137">
        <f t="shared" si="9"/>
        <v>-480</v>
      </c>
      <c r="Z10" s="137">
        <f t="shared" si="9"/>
        <v>-480</v>
      </c>
      <c r="AA10" s="137">
        <f t="shared" si="9"/>
        <v>-480</v>
      </c>
      <c r="AB10" s="137">
        <f t="shared" si="9"/>
        <v>-480</v>
      </c>
      <c r="AC10" s="137">
        <f t="shared" si="9"/>
        <v>-480</v>
      </c>
      <c r="AD10" s="137">
        <f t="shared" si="9"/>
        <v>-480</v>
      </c>
      <c r="AS10" s="256"/>
      <c r="AT10" s="256"/>
      <c r="AU10" s="256"/>
      <c r="AV10" s="265" t="str">
        <f>A10&amp;B10&amp;C10&amp;E10</f>
        <v>Opex</v>
      </c>
      <c r="AW10" s="265">
        <f t="shared" ref="AW10:BD10" ca="1" si="11">OFFSET($G10,0,AW$3)</f>
        <v>0</v>
      </c>
      <c r="AX10" s="265">
        <f t="shared" ca="1" si="11"/>
        <v>-480</v>
      </c>
      <c r="AY10" s="265">
        <f t="shared" ca="1" si="11"/>
        <v>-480</v>
      </c>
      <c r="AZ10" s="265">
        <f t="shared" ca="1" si="11"/>
        <v>-480</v>
      </c>
      <c r="BA10" s="265">
        <f t="shared" ca="1" si="11"/>
        <v>-480</v>
      </c>
      <c r="BB10" s="265">
        <f t="shared" ca="1" si="11"/>
        <v>-480</v>
      </c>
      <c r="BC10" s="265">
        <f t="shared" ca="1" si="11"/>
        <v>-480</v>
      </c>
      <c r="BD10" s="265">
        <f t="shared" ca="1" si="11"/>
        <v>-480</v>
      </c>
    </row>
    <row r="11" spans="1:56" s="130" customFormat="1" x14ac:dyDescent="0.2">
      <c r="D11" s="147" t="s">
        <v>293</v>
      </c>
      <c r="E11" s="147"/>
      <c r="F11" s="203"/>
      <c r="G11" s="203"/>
      <c r="H11" s="203"/>
      <c r="I11" s="203"/>
      <c r="J11" s="215">
        <f t="shared" ref="J11:AD11" si="12">SUM(J8:J10)</f>
        <v>648</v>
      </c>
      <c r="K11" s="215">
        <f t="shared" si="12"/>
        <v>1296</v>
      </c>
      <c r="L11" s="215">
        <f t="shared" si="12"/>
        <v>1944</v>
      </c>
      <c r="M11" s="215">
        <f t="shared" si="12"/>
        <v>2430</v>
      </c>
      <c r="N11" s="215">
        <f t="shared" si="12"/>
        <v>1944</v>
      </c>
      <c r="O11" s="215">
        <f t="shared" si="12"/>
        <v>1944</v>
      </c>
      <c r="P11" s="215">
        <f t="shared" si="12"/>
        <v>1944</v>
      </c>
      <c r="Q11" s="215">
        <f t="shared" si="12"/>
        <v>1944</v>
      </c>
      <c r="R11" s="215">
        <f t="shared" si="12"/>
        <v>1944</v>
      </c>
      <c r="S11" s="215">
        <f t="shared" si="12"/>
        <v>1944</v>
      </c>
      <c r="T11" s="215">
        <f t="shared" si="12"/>
        <v>1944</v>
      </c>
      <c r="U11" s="215">
        <f t="shared" si="12"/>
        <v>1944</v>
      </c>
      <c r="V11" s="215">
        <f t="shared" si="12"/>
        <v>1944</v>
      </c>
      <c r="W11" s="215">
        <f t="shared" si="12"/>
        <v>1944</v>
      </c>
      <c r="X11" s="215">
        <f t="shared" si="12"/>
        <v>1944</v>
      </c>
      <c r="Y11" s="215">
        <f t="shared" si="12"/>
        <v>1944</v>
      </c>
      <c r="Z11" s="215">
        <f t="shared" si="12"/>
        <v>1944</v>
      </c>
      <c r="AA11" s="215">
        <f t="shared" si="12"/>
        <v>1944</v>
      </c>
      <c r="AB11" s="215">
        <f t="shared" si="12"/>
        <v>1944</v>
      </c>
      <c r="AC11" s="215">
        <f t="shared" si="12"/>
        <v>1944</v>
      </c>
      <c r="AD11" s="215">
        <f t="shared" si="12"/>
        <v>1944</v>
      </c>
      <c r="AS11" s="267"/>
      <c r="AT11" s="325"/>
      <c r="AU11" s="325"/>
      <c r="AV11" s="326" t="str">
        <f>A11&amp;B11&amp;C11&amp;D11&amp;E11</f>
        <v>Site #1: Operating Income</v>
      </c>
      <c r="AW11" s="327">
        <f ca="1">SUM(OFFSET($G11,0,AV$3+1):OFFSET($G11,0,AW$3))</f>
        <v>0</v>
      </c>
      <c r="AX11" s="327">
        <f ca="1">SUM(OFFSET($G11,0,AW$3+1):OFFSET($G11,0,AX$3))</f>
        <v>3888</v>
      </c>
      <c r="AY11" s="327">
        <f ca="1">SUM(OFFSET($G11,0,AX$3+1):OFFSET($G11,0,AY$3))</f>
        <v>6318</v>
      </c>
      <c r="AZ11" s="327">
        <f ca="1">SUM(OFFSET($G11,0,AY$3+1):OFFSET($G11,0,AZ$3))</f>
        <v>5832</v>
      </c>
      <c r="BA11" s="327">
        <f ca="1">SUM(OFFSET($G11,0,AZ$3+1):OFFSET($G11,0,BA$3))</f>
        <v>5832</v>
      </c>
      <c r="BB11" s="327">
        <f ca="1">SUM(OFFSET($G11,0,BA$3+1):OFFSET($G11,0,BB$3))</f>
        <v>5832</v>
      </c>
      <c r="BC11" s="327">
        <f ca="1">SUM(OFFSET($G11,0,BB$3+1):OFFSET($G11,0,BC$3))</f>
        <v>5832</v>
      </c>
      <c r="BD11" s="327">
        <f ca="1">SUM(OFFSET($G11,0,BC$3+1):OFFSET($G11,0,BD$3))</f>
        <v>5832</v>
      </c>
    </row>
    <row r="12" spans="1:56" outlineLevel="1" x14ac:dyDescent="0.2">
      <c r="B12" s="135"/>
      <c r="C12" s="135"/>
      <c r="D12" s="135"/>
      <c r="E12" s="135"/>
      <c r="G12" s="136"/>
      <c r="H12" s="136"/>
      <c r="I12" s="136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S12" s="267"/>
      <c r="AT12" s="321"/>
      <c r="AU12" s="321"/>
      <c r="AV12" s="321"/>
      <c r="AW12" s="321"/>
      <c r="AX12" s="327"/>
      <c r="AY12" s="327"/>
      <c r="AZ12" s="327"/>
      <c r="BA12" s="327"/>
      <c r="BB12" s="327"/>
      <c r="BC12" s="327"/>
      <c r="BD12" s="327"/>
    </row>
    <row r="13" spans="1:56" outlineLevel="1" x14ac:dyDescent="0.2">
      <c r="B13" s="135"/>
      <c r="C13" s="135"/>
      <c r="D13" s="135"/>
      <c r="E13" s="135" t="s">
        <v>233</v>
      </c>
      <c r="I13" s="132"/>
      <c r="J13" s="215"/>
      <c r="K13" s="215"/>
      <c r="L13" s="215"/>
      <c r="M13" s="215"/>
      <c r="N13" s="215"/>
      <c r="O13" s="215"/>
      <c r="P13" s="215"/>
      <c r="Q13" s="215"/>
      <c r="R13" s="215">
        <v>9000</v>
      </c>
      <c r="S13" s="215">
        <f>R13</f>
        <v>9000</v>
      </c>
      <c r="T13" s="215">
        <f t="shared" ref="T13:AD13" si="13">S13</f>
        <v>9000</v>
      </c>
      <c r="U13" s="215">
        <f t="shared" si="13"/>
        <v>9000</v>
      </c>
      <c r="V13" s="215">
        <f t="shared" ref="V13:AA13" si="14">U13</f>
        <v>9000</v>
      </c>
      <c r="W13" s="215">
        <f t="shared" si="14"/>
        <v>9000</v>
      </c>
      <c r="X13" s="215">
        <f t="shared" si="14"/>
        <v>9000</v>
      </c>
      <c r="Y13" s="215">
        <f t="shared" si="14"/>
        <v>9000</v>
      </c>
      <c r="Z13" s="215">
        <f t="shared" si="14"/>
        <v>9000</v>
      </c>
      <c r="AA13" s="215">
        <f t="shared" si="14"/>
        <v>9000</v>
      </c>
      <c r="AB13" s="215">
        <f t="shared" si="13"/>
        <v>9000</v>
      </c>
      <c r="AC13" s="215">
        <f t="shared" si="13"/>
        <v>9000</v>
      </c>
      <c r="AD13" s="215">
        <f t="shared" si="13"/>
        <v>9000</v>
      </c>
      <c r="AS13" s="267"/>
      <c r="AT13" s="321"/>
      <c r="AU13" s="321"/>
      <c r="AV13" s="321" t="str">
        <f t="shared" ref="AV13:AV19" si="15">A13&amp;B13&amp;C13&amp;D13&amp;E13</f>
        <v>Bbls/day</v>
      </c>
      <c r="AW13" s="321"/>
      <c r="AX13" s="327"/>
      <c r="AY13" s="327"/>
      <c r="AZ13" s="327"/>
      <c r="BA13" s="327"/>
      <c r="BB13" s="327"/>
      <c r="BC13" s="327"/>
      <c r="BD13" s="327"/>
    </row>
    <row r="14" spans="1:56" outlineLevel="1" x14ac:dyDescent="0.2">
      <c r="B14" s="135"/>
      <c r="C14" s="135"/>
      <c r="D14" s="135"/>
      <c r="E14" s="135" t="s">
        <v>234</v>
      </c>
      <c r="G14" s="136"/>
      <c r="H14" s="136"/>
      <c r="I14" s="199"/>
      <c r="J14" s="215"/>
      <c r="K14" s="215"/>
      <c r="L14" s="215"/>
      <c r="M14" s="215"/>
      <c r="N14" s="215"/>
      <c r="O14" s="215"/>
      <c r="P14" s="215"/>
      <c r="Q14" s="215"/>
      <c r="R14" s="215">
        <v>8</v>
      </c>
      <c r="S14" s="215">
        <v>16</v>
      </c>
      <c r="T14" s="215">
        <v>24</v>
      </c>
      <c r="U14" s="215">
        <v>24</v>
      </c>
      <c r="V14" s="215">
        <v>24</v>
      </c>
      <c r="W14" s="215">
        <v>24</v>
      </c>
      <c r="X14" s="215">
        <v>24</v>
      </c>
      <c r="Y14" s="215">
        <v>24</v>
      </c>
      <c r="Z14" s="215">
        <v>24</v>
      </c>
      <c r="AA14" s="215">
        <v>24</v>
      </c>
      <c r="AB14" s="215">
        <v>24</v>
      </c>
      <c r="AC14" s="215">
        <v>24</v>
      </c>
      <c r="AD14" s="215">
        <v>24</v>
      </c>
      <c r="AS14" s="267"/>
      <c r="AT14" s="321"/>
      <c r="AU14" s="321"/>
      <c r="AV14" s="321" t="str">
        <f t="shared" si="15"/>
        <v>Days/mo</v>
      </c>
      <c r="AW14" s="321"/>
      <c r="AX14" s="327"/>
      <c r="AY14" s="327"/>
      <c r="AZ14" s="327"/>
      <c r="BA14" s="327"/>
      <c r="BB14" s="327"/>
      <c r="BC14" s="327"/>
      <c r="BD14" s="327"/>
    </row>
    <row r="15" spans="1:56" outlineLevel="1" x14ac:dyDescent="0.2">
      <c r="B15" s="135"/>
      <c r="C15" s="135"/>
      <c r="D15" s="135"/>
      <c r="E15" s="135" t="s">
        <v>235</v>
      </c>
      <c r="G15" s="136"/>
      <c r="H15" s="136"/>
      <c r="I15" s="199"/>
      <c r="J15" s="215"/>
      <c r="K15" s="215"/>
      <c r="L15" s="215"/>
      <c r="M15" s="215"/>
      <c r="N15" s="215"/>
      <c r="O15" s="215"/>
      <c r="P15" s="215"/>
      <c r="Q15" s="215"/>
      <c r="R15" s="215">
        <f t="shared" ref="R15:AD15" si="16">R13*R14</f>
        <v>72000</v>
      </c>
      <c r="S15" s="215">
        <f t="shared" si="16"/>
        <v>144000</v>
      </c>
      <c r="T15" s="215">
        <f t="shared" si="16"/>
        <v>216000</v>
      </c>
      <c r="U15" s="215">
        <f t="shared" si="16"/>
        <v>216000</v>
      </c>
      <c r="V15" s="215">
        <f t="shared" ref="V15:AA15" si="17">V13*V14</f>
        <v>216000</v>
      </c>
      <c r="W15" s="215">
        <f t="shared" si="17"/>
        <v>216000</v>
      </c>
      <c r="X15" s="215">
        <f t="shared" si="17"/>
        <v>216000</v>
      </c>
      <c r="Y15" s="215">
        <f t="shared" si="17"/>
        <v>216000</v>
      </c>
      <c r="Z15" s="215">
        <f t="shared" si="17"/>
        <v>216000</v>
      </c>
      <c r="AA15" s="215">
        <f t="shared" si="17"/>
        <v>216000</v>
      </c>
      <c r="AB15" s="215">
        <f t="shared" si="16"/>
        <v>216000</v>
      </c>
      <c r="AC15" s="215">
        <f t="shared" si="16"/>
        <v>216000</v>
      </c>
      <c r="AD15" s="215">
        <f t="shared" si="16"/>
        <v>216000</v>
      </c>
      <c r="AS15" s="267"/>
      <c r="AT15" s="321"/>
      <c r="AU15" s="321"/>
      <c r="AV15" s="321" t="str">
        <f t="shared" si="15"/>
        <v>Bbls/mo</v>
      </c>
      <c r="AW15" s="321">
        <f ca="1">SUM(OFFSET($G15,0,AV$3+1):OFFSET($G15,0,AW$3))</f>
        <v>0</v>
      </c>
      <c r="AX15" s="327">
        <f ca="1">SUM(OFFSET($G15,0,AW$3+1):OFFSET($G15,0,AX$3))</f>
        <v>0</v>
      </c>
      <c r="AY15" s="327">
        <f ca="1">SUM(OFFSET($G15,0,AX$3+1):OFFSET($G15,0,AY$3))</f>
        <v>0</v>
      </c>
      <c r="AZ15" s="327">
        <f ca="1">SUM(OFFSET($G15,0,AY$3+1):OFFSET($G15,0,AZ$3))</f>
        <v>72000</v>
      </c>
      <c r="BA15" s="327">
        <f ca="1">SUM(OFFSET($G15,0,AZ$3+1):OFFSET($G15,0,BA$3))</f>
        <v>576000</v>
      </c>
      <c r="BB15" s="327">
        <f ca="1">SUM(OFFSET($G15,0,BA$3+1):OFFSET($G15,0,BB$3))</f>
        <v>648000</v>
      </c>
      <c r="BC15" s="327">
        <f ca="1">SUM(OFFSET($G15,0,BB$3+1):OFFSET($G15,0,BC$3))</f>
        <v>648000</v>
      </c>
      <c r="BD15" s="327">
        <f ca="1">SUM(OFFSET($G15,0,BC$3+1):OFFSET($G15,0,BD$3))</f>
        <v>648000</v>
      </c>
    </row>
    <row r="16" spans="1:56" outlineLevel="1" x14ac:dyDescent="0.2">
      <c r="B16" s="135"/>
      <c r="C16" s="135"/>
      <c r="D16" s="135"/>
      <c r="E16" s="135" t="s">
        <v>290</v>
      </c>
      <c r="F16" s="195">
        <v>8</v>
      </c>
      <c r="G16" s="136"/>
      <c r="H16" s="136"/>
      <c r="I16" s="199"/>
      <c r="J16" s="215"/>
      <c r="K16" s="215"/>
      <c r="L16" s="215"/>
      <c r="M16" s="215"/>
      <c r="N16" s="215"/>
      <c r="O16" s="215"/>
      <c r="P16" s="215"/>
      <c r="Q16" s="215"/>
      <c r="R16" s="215">
        <f t="shared" ref="R16:U18" si="18">$F16*R$15/1000</f>
        <v>576</v>
      </c>
      <c r="S16" s="215">
        <f t="shared" si="18"/>
        <v>1152</v>
      </c>
      <c r="T16" s="215">
        <f t="shared" si="18"/>
        <v>1728</v>
      </c>
      <c r="U16" s="215">
        <f t="shared" si="18"/>
        <v>1728</v>
      </c>
      <c r="V16" s="215">
        <f t="shared" ref="V16:AA18" si="19">$F16*V$15/1000</f>
        <v>1728</v>
      </c>
      <c r="W16" s="215">
        <f t="shared" si="19"/>
        <v>1728</v>
      </c>
      <c r="X16" s="215">
        <f t="shared" si="19"/>
        <v>1728</v>
      </c>
      <c r="Y16" s="215">
        <f t="shared" si="19"/>
        <v>1728</v>
      </c>
      <c r="Z16" s="215">
        <f t="shared" si="19"/>
        <v>1728</v>
      </c>
      <c r="AA16" s="215">
        <f t="shared" si="19"/>
        <v>1728</v>
      </c>
      <c r="AB16" s="215">
        <f t="shared" ref="AB16:AD18" si="20">$F16*AB$15/1000</f>
        <v>1728</v>
      </c>
      <c r="AC16" s="215">
        <f t="shared" si="20"/>
        <v>1728</v>
      </c>
      <c r="AD16" s="215">
        <f t="shared" si="20"/>
        <v>1728</v>
      </c>
      <c r="AS16" s="267"/>
      <c r="AT16" s="321"/>
      <c r="AU16" s="321"/>
      <c r="AV16" s="321" t="str">
        <f t="shared" si="15"/>
        <v>Disposal Fee</v>
      </c>
      <c r="AW16" s="321"/>
      <c r="AX16" s="327"/>
      <c r="AY16" s="327"/>
      <c r="AZ16" s="327"/>
      <c r="BA16" s="327"/>
      <c r="BB16" s="327"/>
      <c r="BC16" s="327"/>
      <c r="BD16" s="327"/>
    </row>
    <row r="17" spans="2:56" outlineLevel="1" x14ac:dyDescent="0.2">
      <c r="B17" s="135"/>
      <c r="C17" s="135"/>
      <c r="D17" s="135"/>
      <c r="E17" s="135" t="s">
        <v>291</v>
      </c>
      <c r="F17" s="196">
        <v>0.1</v>
      </c>
      <c r="G17" s="136"/>
      <c r="H17" s="136"/>
      <c r="I17" s="199"/>
      <c r="J17" s="215"/>
      <c r="K17" s="215"/>
      <c r="L17" s="215"/>
      <c r="M17" s="215"/>
      <c r="N17" s="215"/>
      <c r="O17" s="215"/>
      <c r="P17" s="215"/>
      <c r="Q17" s="215"/>
      <c r="R17" s="215">
        <f t="shared" si="18"/>
        <v>7.2</v>
      </c>
      <c r="S17" s="215">
        <f t="shared" si="18"/>
        <v>14.4</v>
      </c>
      <c r="T17" s="215">
        <f t="shared" si="18"/>
        <v>21.6</v>
      </c>
      <c r="U17" s="215">
        <f t="shared" si="18"/>
        <v>21.6</v>
      </c>
      <c r="V17" s="215">
        <f t="shared" si="19"/>
        <v>21.6</v>
      </c>
      <c r="W17" s="215">
        <f t="shared" si="19"/>
        <v>21.6</v>
      </c>
      <c r="X17" s="215">
        <f t="shared" si="19"/>
        <v>21.6</v>
      </c>
      <c r="Y17" s="215">
        <f t="shared" si="19"/>
        <v>21.6</v>
      </c>
      <c r="Z17" s="215">
        <f t="shared" si="19"/>
        <v>21.6</v>
      </c>
      <c r="AA17" s="215">
        <f t="shared" si="19"/>
        <v>21.6</v>
      </c>
      <c r="AB17" s="215">
        <f t="shared" si="20"/>
        <v>21.6</v>
      </c>
      <c r="AC17" s="215">
        <f t="shared" si="20"/>
        <v>21.6</v>
      </c>
      <c r="AD17" s="215">
        <f t="shared" si="20"/>
        <v>21.6</v>
      </c>
      <c r="AS17" s="275"/>
      <c r="AT17" s="321"/>
      <c r="AU17" s="321"/>
      <c r="AV17" s="321" t="str">
        <f t="shared" si="15"/>
        <v>H'Carbon Sales</v>
      </c>
      <c r="AW17" s="321">
        <f t="shared" ref="AW17:BD17" ca="1" si="21">OFFSET($G17,0,AW$3)</f>
        <v>0</v>
      </c>
      <c r="AX17" s="327">
        <f t="shared" ca="1" si="21"/>
        <v>0</v>
      </c>
      <c r="AY17" s="327">
        <f t="shared" ca="1" si="21"/>
        <v>0</v>
      </c>
      <c r="AZ17" s="327">
        <f t="shared" ca="1" si="21"/>
        <v>7.2</v>
      </c>
      <c r="BA17" s="327">
        <f t="shared" ca="1" si="21"/>
        <v>21.6</v>
      </c>
      <c r="BB17" s="327">
        <f t="shared" ca="1" si="21"/>
        <v>21.6</v>
      </c>
      <c r="BC17" s="327">
        <f t="shared" ca="1" si="21"/>
        <v>21.6</v>
      </c>
      <c r="BD17" s="327">
        <f t="shared" ca="1" si="21"/>
        <v>21.6</v>
      </c>
    </row>
    <row r="18" spans="2:56" outlineLevel="1" x14ac:dyDescent="0.2">
      <c r="B18" s="135"/>
      <c r="C18" s="135"/>
      <c r="D18" s="135"/>
      <c r="E18" s="135" t="s">
        <v>292</v>
      </c>
      <c r="F18" s="198">
        <v>-2</v>
      </c>
      <c r="G18" s="136"/>
      <c r="H18" s="136"/>
      <c r="I18" s="136"/>
      <c r="J18" s="215"/>
      <c r="K18" s="215"/>
      <c r="L18" s="215"/>
      <c r="M18" s="215"/>
      <c r="N18" s="215"/>
      <c r="O18" s="215"/>
      <c r="P18" s="215"/>
      <c r="Q18" s="215"/>
      <c r="R18" s="215">
        <f t="shared" si="18"/>
        <v>-144</v>
      </c>
      <c r="S18" s="215">
        <f t="shared" si="18"/>
        <v>-288</v>
      </c>
      <c r="T18" s="215">
        <f t="shared" si="18"/>
        <v>-432</v>
      </c>
      <c r="U18" s="215">
        <f t="shared" si="18"/>
        <v>-432</v>
      </c>
      <c r="V18" s="215">
        <f t="shared" si="19"/>
        <v>-432</v>
      </c>
      <c r="W18" s="215">
        <f t="shared" si="19"/>
        <v>-432</v>
      </c>
      <c r="X18" s="215">
        <f t="shared" si="19"/>
        <v>-432</v>
      </c>
      <c r="Y18" s="215">
        <f t="shared" si="19"/>
        <v>-432</v>
      </c>
      <c r="Z18" s="215">
        <f t="shared" si="19"/>
        <v>-432</v>
      </c>
      <c r="AA18" s="215">
        <f t="shared" si="19"/>
        <v>-432</v>
      </c>
      <c r="AB18" s="215">
        <f t="shared" si="20"/>
        <v>-432</v>
      </c>
      <c r="AC18" s="215">
        <f t="shared" si="20"/>
        <v>-432</v>
      </c>
      <c r="AD18" s="215">
        <f t="shared" si="20"/>
        <v>-432</v>
      </c>
      <c r="AS18" s="267"/>
      <c r="AT18" s="321"/>
      <c r="AU18" s="321"/>
      <c r="AV18" s="321" t="str">
        <f t="shared" si="15"/>
        <v>Opex</v>
      </c>
      <c r="AW18" s="321"/>
      <c r="AX18" s="327"/>
      <c r="AY18" s="327"/>
      <c r="AZ18" s="327"/>
      <c r="BA18" s="327"/>
      <c r="BB18" s="327"/>
      <c r="BC18" s="327"/>
      <c r="BD18" s="327"/>
    </row>
    <row r="19" spans="2:56" s="130" customFormat="1" x14ac:dyDescent="0.2">
      <c r="D19" s="147" t="s">
        <v>294</v>
      </c>
      <c r="E19" s="147"/>
      <c r="F19" s="203"/>
      <c r="G19" s="203"/>
      <c r="H19" s="203"/>
      <c r="I19" s="203"/>
      <c r="J19" s="215"/>
      <c r="K19" s="215"/>
      <c r="L19" s="215"/>
      <c r="M19" s="215"/>
      <c r="N19" s="215"/>
      <c r="O19" s="215"/>
      <c r="P19" s="215"/>
      <c r="Q19" s="215"/>
      <c r="R19" s="215">
        <f t="shared" ref="R19:AD19" si="22">SUM(R16:R18)</f>
        <v>439.20000000000005</v>
      </c>
      <c r="S19" s="215">
        <f t="shared" si="22"/>
        <v>878.40000000000009</v>
      </c>
      <c r="T19" s="215">
        <f t="shared" si="22"/>
        <v>1317.6</v>
      </c>
      <c r="U19" s="215">
        <f t="shared" si="22"/>
        <v>1317.6</v>
      </c>
      <c r="V19" s="215">
        <f t="shared" ref="V19:AA19" si="23">SUM(V16:V18)</f>
        <v>1317.6</v>
      </c>
      <c r="W19" s="215">
        <f t="shared" si="23"/>
        <v>1317.6</v>
      </c>
      <c r="X19" s="215">
        <f t="shared" si="23"/>
        <v>1317.6</v>
      </c>
      <c r="Y19" s="215">
        <f t="shared" si="23"/>
        <v>1317.6</v>
      </c>
      <c r="Z19" s="215">
        <f t="shared" si="23"/>
        <v>1317.6</v>
      </c>
      <c r="AA19" s="215">
        <f t="shared" si="23"/>
        <v>1317.6</v>
      </c>
      <c r="AB19" s="215">
        <f t="shared" si="22"/>
        <v>1317.6</v>
      </c>
      <c r="AC19" s="215">
        <f t="shared" si="22"/>
        <v>1317.6</v>
      </c>
      <c r="AD19" s="215">
        <f t="shared" si="22"/>
        <v>1317.6</v>
      </c>
      <c r="AS19" s="267"/>
      <c r="AT19" s="325"/>
      <c r="AU19" s="325"/>
      <c r="AV19" s="326" t="str">
        <f t="shared" si="15"/>
        <v>Site #2: Operating Income</v>
      </c>
      <c r="AW19" s="327">
        <f ca="1">SUM(OFFSET($G19,0,AV$3+1):OFFSET($G19,0,AW$3))</f>
        <v>0</v>
      </c>
      <c r="AX19" s="327">
        <f ca="1">SUM(OFFSET($G19,0,AW$3+1):OFFSET($G19,0,AX$3))</f>
        <v>0</v>
      </c>
      <c r="AY19" s="327">
        <f ca="1">SUM(OFFSET($G19,0,AX$3+1):OFFSET($G19,0,AY$3))</f>
        <v>0</v>
      </c>
      <c r="AZ19" s="327">
        <f ca="1">SUM(OFFSET($G19,0,AY$3+1):OFFSET($G19,0,AZ$3))</f>
        <v>439.20000000000005</v>
      </c>
      <c r="BA19" s="327">
        <f ca="1">SUM(OFFSET($G19,0,AZ$3+1):OFFSET($G19,0,BA$3))</f>
        <v>3513.6</v>
      </c>
      <c r="BB19" s="327">
        <f ca="1">SUM(OFFSET($G19,0,BA$3+1):OFFSET($G19,0,BB$3))</f>
        <v>3952.7999999999997</v>
      </c>
      <c r="BC19" s="327">
        <f ca="1">SUM(OFFSET($G19,0,BB$3+1):OFFSET($G19,0,BC$3))</f>
        <v>3952.7999999999997</v>
      </c>
      <c r="BD19" s="327">
        <f ca="1">SUM(OFFSET($G19,0,BC$3+1):OFFSET($G19,0,BD$3))</f>
        <v>3952.7999999999997</v>
      </c>
    </row>
    <row r="20" spans="2:56" outlineLevel="1" x14ac:dyDescent="0.2">
      <c r="B20" s="135"/>
      <c r="C20" s="135"/>
      <c r="D20" s="135"/>
      <c r="E20" s="135"/>
      <c r="G20" s="136"/>
      <c r="H20" s="136"/>
      <c r="I20" s="136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S20" s="267"/>
      <c r="AT20" s="321"/>
      <c r="AU20" s="321" t="str">
        <f>A20&amp;B20&amp;C20&amp;D20</f>
        <v/>
      </c>
      <c r="AV20" s="321"/>
      <c r="AW20" s="321">
        <f ca="1">SUM(OFFSET($G20,0,AV$3+1):OFFSET($G20,0,AW$3))</f>
        <v>0</v>
      </c>
      <c r="AX20" s="327">
        <f ca="1">SUM(OFFSET($G20,0,AW$3+1):OFFSET($G20,0,AX$3))</f>
        <v>0</v>
      </c>
      <c r="AY20" s="327">
        <f ca="1">SUM(OFFSET($G20,0,AX$3+1):OFFSET($G20,0,AY$3))</f>
        <v>0</v>
      </c>
      <c r="AZ20" s="327">
        <f ca="1">SUM(OFFSET($G20,0,AY$3+1):OFFSET($G20,0,AZ$3))</f>
        <v>0</v>
      </c>
      <c r="BA20" s="327">
        <f ca="1">SUM(OFFSET($G20,0,AZ$3+1):OFFSET($G20,0,BA$3))</f>
        <v>0</v>
      </c>
      <c r="BB20" s="327">
        <f ca="1">SUM(OFFSET($G20,0,BA$3+1):OFFSET($G20,0,BB$3))</f>
        <v>0</v>
      </c>
      <c r="BC20" s="327">
        <f ca="1">SUM(OFFSET($G20,0,BB$3+1):OFFSET($G20,0,BC$3))</f>
        <v>0</v>
      </c>
      <c r="BD20" s="327">
        <f ca="1">SUM(OFFSET($G20,0,BC$3+1):OFFSET($G20,0,BD$3))</f>
        <v>0</v>
      </c>
    </row>
    <row r="21" spans="2:56" outlineLevel="1" x14ac:dyDescent="0.2">
      <c r="B21" s="135"/>
      <c r="C21" s="135"/>
      <c r="D21" s="135"/>
      <c r="E21" s="135" t="s">
        <v>233</v>
      </c>
      <c r="J21" s="215"/>
      <c r="K21" s="215"/>
      <c r="L21" s="215"/>
      <c r="M21" s="215"/>
      <c r="N21" s="215"/>
      <c r="O21" s="215"/>
      <c r="P21" s="215"/>
      <c r="Q21" s="215"/>
      <c r="R21" s="215"/>
      <c r="S21" s="215">
        <v>8000</v>
      </c>
      <c r="T21" s="215">
        <f t="shared" ref="T21:AD21" si="24">S21</f>
        <v>8000</v>
      </c>
      <c r="U21" s="215">
        <f t="shared" si="24"/>
        <v>8000</v>
      </c>
      <c r="V21" s="215">
        <f t="shared" si="24"/>
        <v>8000</v>
      </c>
      <c r="W21" s="215">
        <f t="shared" si="24"/>
        <v>8000</v>
      </c>
      <c r="X21" s="215">
        <f t="shared" si="24"/>
        <v>8000</v>
      </c>
      <c r="Y21" s="215">
        <f t="shared" si="24"/>
        <v>8000</v>
      </c>
      <c r="Z21" s="215">
        <f t="shared" si="24"/>
        <v>8000</v>
      </c>
      <c r="AA21" s="215">
        <f t="shared" si="24"/>
        <v>8000</v>
      </c>
      <c r="AB21" s="215">
        <f t="shared" si="24"/>
        <v>8000</v>
      </c>
      <c r="AC21" s="215">
        <f t="shared" si="24"/>
        <v>8000</v>
      </c>
      <c r="AD21" s="215">
        <f t="shared" si="24"/>
        <v>8000</v>
      </c>
      <c r="AS21" s="268"/>
      <c r="AT21" s="321"/>
      <c r="AU21" s="321"/>
      <c r="AV21" s="321" t="str">
        <f t="shared" ref="AV21:AV27" si="25">A21&amp;B21&amp;C21&amp;D21&amp;E21</f>
        <v>Bbls/day</v>
      </c>
      <c r="AW21" s="321">
        <f ca="1">SUM(OFFSET($G21,0,AV$3+1):OFFSET($G21,0,AW$3))</f>
        <v>0</v>
      </c>
      <c r="AX21" s="327">
        <f ca="1">SUM(OFFSET($G21,0,AW$3+1):OFFSET($G21,0,AX$3))</f>
        <v>0</v>
      </c>
      <c r="AY21" s="327">
        <f ca="1">SUM(OFFSET($G21,0,AX$3+1):OFFSET($G21,0,AY$3))</f>
        <v>0</v>
      </c>
      <c r="AZ21" s="327">
        <f ca="1">SUM(OFFSET($G21,0,AY$3+1):OFFSET($G21,0,AZ$3))</f>
        <v>0</v>
      </c>
      <c r="BA21" s="327">
        <f ca="1">SUM(OFFSET($G21,0,AZ$3+1):OFFSET($G21,0,BA$3))</f>
        <v>24000</v>
      </c>
      <c r="BB21" s="327">
        <f ca="1">SUM(OFFSET($G21,0,BA$3+1):OFFSET($G21,0,BB$3))</f>
        <v>24000</v>
      </c>
      <c r="BC21" s="327">
        <f ca="1">SUM(OFFSET($G21,0,BB$3+1):OFFSET($G21,0,BC$3))</f>
        <v>24000</v>
      </c>
      <c r="BD21" s="327">
        <f ca="1">SUM(OFFSET($G21,0,BC$3+1):OFFSET($G21,0,BD$3))</f>
        <v>24000</v>
      </c>
    </row>
    <row r="22" spans="2:56" outlineLevel="1" x14ac:dyDescent="0.2">
      <c r="B22" s="135"/>
      <c r="C22" s="135"/>
      <c r="D22" s="135"/>
      <c r="E22" s="135" t="s">
        <v>234</v>
      </c>
      <c r="G22" s="136"/>
      <c r="H22" s="136"/>
      <c r="I22" s="136"/>
      <c r="J22" s="215"/>
      <c r="K22" s="215"/>
      <c r="L22" s="215"/>
      <c r="M22" s="215"/>
      <c r="N22" s="215"/>
      <c r="O22" s="215"/>
      <c r="P22" s="215"/>
      <c r="Q22" s="215"/>
      <c r="R22" s="215"/>
      <c r="S22" s="215">
        <v>8</v>
      </c>
      <c r="T22" s="215">
        <v>16</v>
      </c>
      <c r="U22" s="215">
        <v>24</v>
      </c>
      <c r="V22" s="215">
        <v>24</v>
      </c>
      <c r="W22" s="215">
        <v>24</v>
      </c>
      <c r="X22" s="215">
        <v>24</v>
      </c>
      <c r="Y22" s="215">
        <v>24</v>
      </c>
      <c r="Z22" s="215">
        <v>24</v>
      </c>
      <c r="AA22" s="215">
        <v>24</v>
      </c>
      <c r="AB22" s="215">
        <v>24</v>
      </c>
      <c r="AC22" s="215">
        <v>24</v>
      </c>
      <c r="AD22" s="215">
        <v>24</v>
      </c>
      <c r="AS22" s="268"/>
      <c r="AT22" s="321"/>
      <c r="AU22" s="321"/>
      <c r="AV22" s="321" t="str">
        <f t="shared" si="25"/>
        <v>Days/mo</v>
      </c>
      <c r="AW22" s="321">
        <f ca="1">SUM(OFFSET($G22,0,AV$3+1):OFFSET($G22,0,AW$3))</f>
        <v>0</v>
      </c>
      <c r="AX22" s="327">
        <f ca="1">SUM(OFFSET($G22,0,AW$3+1):OFFSET($G22,0,AX$3))</f>
        <v>0</v>
      </c>
      <c r="AY22" s="327">
        <f ca="1">SUM(OFFSET($G22,0,AX$3+1):OFFSET($G22,0,AY$3))</f>
        <v>0</v>
      </c>
      <c r="AZ22" s="327">
        <f ca="1">SUM(OFFSET($G22,0,AY$3+1):OFFSET($G22,0,AZ$3))</f>
        <v>0</v>
      </c>
      <c r="BA22" s="327">
        <f ca="1">SUM(OFFSET($G22,0,AZ$3+1):OFFSET($G22,0,BA$3))</f>
        <v>48</v>
      </c>
      <c r="BB22" s="327">
        <f ca="1">SUM(OFFSET($G22,0,BA$3+1):OFFSET($G22,0,BB$3))</f>
        <v>72</v>
      </c>
      <c r="BC22" s="327">
        <f ca="1">SUM(OFFSET($G22,0,BB$3+1):OFFSET($G22,0,BC$3))</f>
        <v>72</v>
      </c>
      <c r="BD22" s="327">
        <f ca="1">SUM(OFFSET($G22,0,BC$3+1):OFFSET($G22,0,BD$3))</f>
        <v>72</v>
      </c>
    </row>
    <row r="23" spans="2:56" outlineLevel="1" x14ac:dyDescent="0.2">
      <c r="B23" s="135"/>
      <c r="C23" s="135"/>
      <c r="D23" s="135"/>
      <c r="E23" s="135" t="s">
        <v>235</v>
      </c>
      <c r="G23" s="136"/>
      <c r="H23" s="136"/>
      <c r="I23" s="136"/>
      <c r="J23" s="215"/>
      <c r="K23" s="215"/>
      <c r="L23" s="215"/>
      <c r="M23" s="215"/>
      <c r="N23" s="215"/>
      <c r="O23" s="215"/>
      <c r="P23" s="215"/>
      <c r="Q23" s="215"/>
      <c r="R23" s="215"/>
      <c r="S23" s="215">
        <f t="shared" ref="S23:AD23" si="26">S21*S22</f>
        <v>64000</v>
      </c>
      <c r="T23" s="215">
        <f t="shared" si="26"/>
        <v>128000</v>
      </c>
      <c r="U23" s="215">
        <f t="shared" si="26"/>
        <v>192000</v>
      </c>
      <c r="V23" s="215">
        <f t="shared" ref="V23:AA23" si="27">V21*V22</f>
        <v>192000</v>
      </c>
      <c r="W23" s="215">
        <f t="shared" si="27"/>
        <v>192000</v>
      </c>
      <c r="X23" s="215">
        <f t="shared" si="27"/>
        <v>192000</v>
      </c>
      <c r="Y23" s="215">
        <f t="shared" si="27"/>
        <v>192000</v>
      </c>
      <c r="Z23" s="215">
        <f t="shared" si="27"/>
        <v>192000</v>
      </c>
      <c r="AA23" s="215">
        <f t="shared" si="27"/>
        <v>192000</v>
      </c>
      <c r="AB23" s="215">
        <f t="shared" si="26"/>
        <v>192000</v>
      </c>
      <c r="AC23" s="215">
        <f t="shared" si="26"/>
        <v>192000</v>
      </c>
      <c r="AD23" s="215">
        <f t="shared" si="26"/>
        <v>192000</v>
      </c>
      <c r="AS23" s="267"/>
      <c r="AT23" s="321"/>
      <c r="AU23" s="321" t="str">
        <f>A23&amp;B23&amp;C23&amp;D23</f>
        <v/>
      </c>
      <c r="AV23" s="321" t="str">
        <f t="shared" si="25"/>
        <v>Bbls/mo</v>
      </c>
      <c r="AW23" s="321">
        <f ca="1">SUM(OFFSET($G23,0,AV$3+1):OFFSET($G23,0,AW$3))</f>
        <v>0</v>
      </c>
      <c r="AX23" s="327">
        <f ca="1">SUM(OFFSET($G23,0,AW$3+1):OFFSET($G23,0,AX$3))</f>
        <v>0</v>
      </c>
      <c r="AY23" s="327">
        <f ca="1">SUM(OFFSET($G23,0,AX$3+1):OFFSET($G23,0,AY$3))</f>
        <v>0</v>
      </c>
      <c r="AZ23" s="327">
        <f ca="1">SUM(OFFSET($G23,0,AY$3+1):OFFSET($G23,0,AZ$3))</f>
        <v>0</v>
      </c>
      <c r="BA23" s="327">
        <f ca="1">SUM(OFFSET($G23,0,AZ$3+1):OFFSET($G23,0,BA$3))</f>
        <v>384000</v>
      </c>
      <c r="BB23" s="327">
        <f ca="1">SUM(OFFSET($G23,0,BA$3+1):OFFSET($G23,0,BB$3))</f>
        <v>576000</v>
      </c>
      <c r="BC23" s="327">
        <f ca="1">SUM(OFFSET($G23,0,BB$3+1):OFFSET($G23,0,BC$3))</f>
        <v>576000</v>
      </c>
      <c r="BD23" s="327">
        <f ca="1">SUM(OFFSET($G23,0,BC$3+1):OFFSET($G23,0,BD$3))</f>
        <v>576000</v>
      </c>
    </row>
    <row r="24" spans="2:56" outlineLevel="1" x14ac:dyDescent="0.2">
      <c r="B24" s="135"/>
      <c r="C24" s="135"/>
      <c r="D24" s="135"/>
      <c r="E24" s="135" t="s">
        <v>290</v>
      </c>
      <c r="F24" s="195">
        <v>8</v>
      </c>
      <c r="G24" s="136"/>
      <c r="H24" s="136"/>
      <c r="I24" s="136"/>
      <c r="J24" s="215"/>
      <c r="K24" s="215"/>
      <c r="L24" s="215"/>
      <c r="M24" s="215"/>
      <c r="N24" s="215"/>
      <c r="O24" s="215"/>
      <c r="P24" s="215"/>
      <c r="Q24" s="215"/>
      <c r="R24" s="215"/>
      <c r="S24" s="215">
        <f t="shared" ref="S24:U26" si="28">$F24*S$23/1000</f>
        <v>512</v>
      </c>
      <c r="T24" s="215">
        <f t="shared" si="28"/>
        <v>1024</v>
      </c>
      <c r="U24" s="215">
        <f t="shared" si="28"/>
        <v>1536</v>
      </c>
      <c r="V24" s="215">
        <f t="shared" ref="V24:AA26" si="29">$F24*V$23/1000</f>
        <v>1536</v>
      </c>
      <c r="W24" s="215">
        <f t="shared" si="29"/>
        <v>1536</v>
      </c>
      <c r="X24" s="215">
        <f t="shared" si="29"/>
        <v>1536</v>
      </c>
      <c r="Y24" s="215">
        <f t="shared" si="29"/>
        <v>1536</v>
      </c>
      <c r="Z24" s="215">
        <f t="shared" si="29"/>
        <v>1536</v>
      </c>
      <c r="AA24" s="215">
        <f t="shared" si="29"/>
        <v>1536</v>
      </c>
      <c r="AB24" s="215">
        <f t="shared" ref="AB24:AD26" si="30">$F24*AB$23/1000</f>
        <v>1536</v>
      </c>
      <c r="AC24" s="215">
        <f t="shared" si="30"/>
        <v>1536</v>
      </c>
      <c r="AD24" s="215">
        <f t="shared" si="30"/>
        <v>1536</v>
      </c>
      <c r="AS24" s="268"/>
      <c r="AT24" s="321"/>
      <c r="AU24" s="321"/>
      <c r="AV24" s="321" t="str">
        <f t="shared" si="25"/>
        <v>Disposal Fee</v>
      </c>
      <c r="AW24" s="321">
        <f ca="1">SUM(OFFSET($G24,0,AV$3+1):OFFSET($G24,0,AW$3))</f>
        <v>0</v>
      </c>
      <c r="AX24" s="327">
        <f ca="1">SUM(OFFSET($G24,0,AW$3+1):OFFSET($G24,0,AX$3))</f>
        <v>0</v>
      </c>
      <c r="AY24" s="327">
        <f ca="1">SUM(OFFSET($G24,0,AX$3+1):OFFSET($G24,0,AY$3))</f>
        <v>0</v>
      </c>
      <c r="AZ24" s="327">
        <f ca="1">SUM(OFFSET($G24,0,AY$3+1):OFFSET($G24,0,AZ$3))</f>
        <v>0</v>
      </c>
      <c r="BA24" s="327">
        <f ca="1">SUM(OFFSET($G24,0,AZ$3+1):OFFSET($G24,0,BA$3))</f>
        <v>3072</v>
      </c>
      <c r="BB24" s="327">
        <f ca="1">SUM(OFFSET($G24,0,BA$3+1):OFFSET($G24,0,BB$3))</f>
        <v>4608</v>
      </c>
      <c r="BC24" s="327">
        <f ca="1">SUM(OFFSET($G24,0,BB$3+1):OFFSET($G24,0,BC$3))</f>
        <v>4608</v>
      </c>
      <c r="BD24" s="327">
        <f ca="1">SUM(OFFSET($G24,0,BC$3+1):OFFSET($G24,0,BD$3))</f>
        <v>4608</v>
      </c>
    </row>
    <row r="25" spans="2:56" outlineLevel="1" x14ac:dyDescent="0.2">
      <c r="B25" s="135"/>
      <c r="C25" s="135"/>
      <c r="D25" s="135"/>
      <c r="E25" s="135" t="s">
        <v>291</v>
      </c>
      <c r="F25" s="196">
        <v>0.1</v>
      </c>
      <c r="G25" s="136"/>
      <c r="H25" s="136"/>
      <c r="I25" s="136"/>
      <c r="J25" s="215"/>
      <c r="K25" s="215"/>
      <c r="L25" s="215"/>
      <c r="M25" s="215"/>
      <c r="N25" s="215"/>
      <c r="O25" s="215"/>
      <c r="P25" s="215"/>
      <c r="Q25" s="215"/>
      <c r="R25" s="215"/>
      <c r="S25" s="215">
        <f t="shared" si="28"/>
        <v>6.4</v>
      </c>
      <c r="T25" s="215">
        <f t="shared" si="28"/>
        <v>12.8</v>
      </c>
      <c r="U25" s="215">
        <f t="shared" si="28"/>
        <v>19.2</v>
      </c>
      <c r="V25" s="215">
        <f t="shared" si="29"/>
        <v>19.2</v>
      </c>
      <c r="W25" s="215">
        <f t="shared" si="29"/>
        <v>19.2</v>
      </c>
      <c r="X25" s="215">
        <f t="shared" si="29"/>
        <v>19.2</v>
      </c>
      <c r="Y25" s="215">
        <f t="shared" si="29"/>
        <v>19.2</v>
      </c>
      <c r="Z25" s="215">
        <f t="shared" si="29"/>
        <v>19.2</v>
      </c>
      <c r="AA25" s="215">
        <f t="shared" si="29"/>
        <v>19.2</v>
      </c>
      <c r="AB25" s="215">
        <f t="shared" si="30"/>
        <v>19.2</v>
      </c>
      <c r="AC25" s="215">
        <f t="shared" si="30"/>
        <v>19.2</v>
      </c>
      <c r="AD25" s="215">
        <f t="shared" si="30"/>
        <v>19.2</v>
      </c>
      <c r="AS25" s="273"/>
      <c r="AT25" s="321" t="str">
        <f>A25&amp;B25&amp;C25&amp;D25</f>
        <v/>
      </c>
      <c r="AU25" s="321"/>
      <c r="AV25" s="321" t="str">
        <f t="shared" si="25"/>
        <v>H'Carbon Sales</v>
      </c>
      <c r="AW25" s="321">
        <f ca="1">SUM(OFFSET($G25,0,AV$3+1):OFFSET($G25,0,AW$3))</f>
        <v>0</v>
      </c>
      <c r="AX25" s="327">
        <f ca="1">SUM(OFFSET($G25,0,AW$3+1):OFFSET($G25,0,AX$3))</f>
        <v>0</v>
      </c>
      <c r="AY25" s="327">
        <f ca="1">SUM(OFFSET($G25,0,AX$3+1):OFFSET($G25,0,AY$3))</f>
        <v>0</v>
      </c>
      <c r="AZ25" s="327">
        <f ca="1">SUM(OFFSET($G25,0,AY$3+1):OFFSET($G25,0,AZ$3))</f>
        <v>0</v>
      </c>
      <c r="BA25" s="327">
        <f ca="1">SUM(OFFSET($G25,0,AZ$3+1):OFFSET($G25,0,BA$3))</f>
        <v>38.400000000000006</v>
      </c>
      <c r="BB25" s="327">
        <f ca="1">SUM(OFFSET($G25,0,BA$3+1):OFFSET($G25,0,BB$3))</f>
        <v>57.599999999999994</v>
      </c>
      <c r="BC25" s="327">
        <f ca="1">SUM(OFFSET($G25,0,BB$3+1):OFFSET($G25,0,BC$3))</f>
        <v>57.599999999999994</v>
      </c>
      <c r="BD25" s="327">
        <f ca="1">SUM(OFFSET($G25,0,BC$3+1):OFFSET($G25,0,BD$3))</f>
        <v>57.599999999999994</v>
      </c>
    </row>
    <row r="26" spans="2:56" outlineLevel="1" x14ac:dyDescent="0.2">
      <c r="B26" s="135"/>
      <c r="C26" s="135"/>
      <c r="D26" s="135"/>
      <c r="E26" s="135" t="s">
        <v>292</v>
      </c>
      <c r="F26" s="198">
        <v>-2</v>
      </c>
      <c r="G26" s="136"/>
      <c r="H26" s="136"/>
      <c r="I26" s="136"/>
      <c r="J26" s="215"/>
      <c r="K26" s="215"/>
      <c r="L26" s="215"/>
      <c r="M26" s="215"/>
      <c r="N26" s="215"/>
      <c r="O26" s="215"/>
      <c r="P26" s="215"/>
      <c r="Q26" s="215"/>
      <c r="R26" s="215"/>
      <c r="S26" s="215">
        <f t="shared" si="28"/>
        <v>-128</v>
      </c>
      <c r="T26" s="215">
        <f t="shared" si="28"/>
        <v>-256</v>
      </c>
      <c r="U26" s="215">
        <f t="shared" si="28"/>
        <v>-384</v>
      </c>
      <c r="V26" s="215">
        <f t="shared" si="29"/>
        <v>-384</v>
      </c>
      <c r="W26" s="215">
        <f t="shared" si="29"/>
        <v>-384</v>
      </c>
      <c r="X26" s="215">
        <f t="shared" si="29"/>
        <v>-384</v>
      </c>
      <c r="Y26" s="215">
        <f t="shared" si="29"/>
        <v>-384</v>
      </c>
      <c r="Z26" s="215">
        <f t="shared" si="29"/>
        <v>-384</v>
      </c>
      <c r="AA26" s="215">
        <f t="shared" si="29"/>
        <v>-384</v>
      </c>
      <c r="AB26" s="215">
        <f t="shared" si="30"/>
        <v>-384</v>
      </c>
      <c r="AC26" s="215">
        <f t="shared" si="30"/>
        <v>-384</v>
      </c>
      <c r="AD26" s="215">
        <f t="shared" si="30"/>
        <v>-384</v>
      </c>
      <c r="AS26" s="267"/>
      <c r="AT26" s="321"/>
      <c r="AU26" s="321"/>
      <c r="AV26" s="321" t="str">
        <f t="shared" si="25"/>
        <v>Opex</v>
      </c>
      <c r="AW26" s="321"/>
      <c r="AX26" s="327"/>
      <c r="AY26" s="327"/>
      <c r="AZ26" s="327"/>
      <c r="BA26" s="327"/>
      <c r="BB26" s="327"/>
      <c r="BC26" s="327"/>
      <c r="BD26" s="327"/>
    </row>
    <row r="27" spans="2:56" s="130" customFormat="1" x14ac:dyDescent="0.2">
      <c r="D27" s="147" t="s">
        <v>295</v>
      </c>
      <c r="E27" s="147"/>
      <c r="F27" s="203"/>
      <c r="G27" s="203"/>
      <c r="H27" s="203"/>
      <c r="I27" s="203"/>
      <c r="J27" s="215"/>
      <c r="K27" s="215"/>
      <c r="L27" s="215"/>
      <c r="M27" s="215"/>
      <c r="N27" s="215"/>
      <c r="O27" s="215"/>
      <c r="P27" s="215"/>
      <c r="Q27" s="215"/>
      <c r="R27" s="215"/>
      <c r="S27" s="215">
        <f t="shared" ref="S27:AD27" si="31">SUM(S24:S26)</f>
        <v>390.4</v>
      </c>
      <c r="T27" s="215">
        <f t="shared" si="31"/>
        <v>780.8</v>
      </c>
      <c r="U27" s="215">
        <f t="shared" si="31"/>
        <v>1171.2</v>
      </c>
      <c r="V27" s="215">
        <f t="shared" ref="V27:AA27" si="32">SUM(V24:V26)</f>
        <v>1171.2</v>
      </c>
      <c r="W27" s="215">
        <f t="shared" si="32"/>
        <v>1171.2</v>
      </c>
      <c r="X27" s="215">
        <f t="shared" si="32"/>
        <v>1171.2</v>
      </c>
      <c r="Y27" s="215">
        <f t="shared" si="32"/>
        <v>1171.2</v>
      </c>
      <c r="Z27" s="215">
        <f t="shared" si="32"/>
        <v>1171.2</v>
      </c>
      <c r="AA27" s="215">
        <f t="shared" si="32"/>
        <v>1171.2</v>
      </c>
      <c r="AB27" s="215">
        <f t="shared" si="31"/>
        <v>1171.2</v>
      </c>
      <c r="AC27" s="215">
        <f t="shared" si="31"/>
        <v>1171.2</v>
      </c>
      <c r="AD27" s="215">
        <f t="shared" si="31"/>
        <v>1171.2</v>
      </c>
      <c r="AS27" s="268"/>
      <c r="AT27" s="325"/>
      <c r="AU27" s="325"/>
      <c r="AV27" s="326" t="str">
        <f t="shared" si="25"/>
        <v>Site #3: Operating Income</v>
      </c>
      <c r="AW27" s="327">
        <f ca="1">SUM(OFFSET($G27,0,AV$3+1):OFFSET($G27,0,AW$3))</f>
        <v>0</v>
      </c>
      <c r="AX27" s="327">
        <f ca="1">SUM(OFFSET($G27,0,AW$3+1):OFFSET($G27,0,AX$3))</f>
        <v>0</v>
      </c>
      <c r="AY27" s="327">
        <f ca="1">SUM(OFFSET($G27,0,AX$3+1):OFFSET($G27,0,AY$3))</f>
        <v>0</v>
      </c>
      <c r="AZ27" s="327">
        <f ca="1">SUM(OFFSET($G27,0,AY$3+1):OFFSET($G27,0,AZ$3))</f>
        <v>0</v>
      </c>
      <c r="BA27" s="327">
        <f ca="1">SUM(OFFSET($G27,0,AZ$3+1):OFFSET($G27,0,BA$3))</f>
        <v>2342.3999999999996</v>
      </c>
      <c r="BB27" s="327">
        <f ca="1">SUM(OFFSET($G27,0,BA$3+1):OFFSET($G27,0,BB$3))</f>
        <v>3513.6000000000004</v>
      </c>
      <c r="BC27" s="327">
        <f ca="1">SUM(OFFSET($G27,0,BB$3+1):OFFSET($G27,0,BC$3))</f>
        <v>3513.6000000000004</v>
      </c>
      <c r="BD27" s="327">
        <f ca="1">SUM(OFFSET($G27,0,BC$3+1):OFFSET($G27,0,BD$3))</f>
        <v>3513.6000000000004</v>
      </c>
    </row>
    <row r="28" spans="2:56" outlineLevel="1" x14ac:dyDescent="0.2">
      <c r="B28" s="135"/>
      <c r="C28" s="135"/>
      <c r="D28" s="135"/>
      <c r="E28" s="135"/>
      <c r="G28" s="136"/>
      <c r="H28" s="136"/>
      <c r="I28" s="136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S28" s="267"/>
      <c r="AT28" s="321"/>
      <c r="AU28" s="321"/>
      <c r="AV28" s="321"/>
      <c r="AW28" s="321"/>
      <c r="AX28" s="327"/>
      <c r="AY28" s="327"/>
      <c r="AZ28" s="327"/>
      <c r="BA28" s="327"/>
      <c r="BB28" s="327"/>
      <c r="BC28" s="327"/>
      <c r="BD28" s="327"/>
    </row>
    <row r="29" spans="2:56" outlineLevel="1" x14ac:dyDescent="0.2">
      <c r="B29" s="135"/>
      <c r="C29" s="135"/>
      <c r="D29" s="135"/>
      <c r="E29" s="135" t="s">
        <v>233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>
        <v>7000</v>
      </c>
      <c r="U29" s="215">
        <f t="shared" ref="U29:AD29" si="33">T29</f>
        <v>7000</v>
      </c>
      <c r="V29" s="215">
        <f t="shared" si="33"/>
        <v>7000</v>
      </c>
      <c r="W29" s="215">
        <f t="shared" si="33"/>
        <v>7000</v>
      </c>
      <c r="X29" s="215">
        <f t="shared" si="33"/>
        <v>7000</v>
      </c>
      <c r="Y29" s="215">
        <f t="shared" si="33"/>
        <v>7000</v>
      </c>
      <c r="Z29" s="215">
        <f t="shared" si="33"/>
        <v>7000</v>
      </c>
      <c r="AA29" s="215">
        <f t="shared" si="33"/>
        <v>7000</v>
      </c>
      <c r="AB29" s="215">
        <f t="shared" si="33"/>
        <v>7000</v>
      </c>
      <c r="AC29" s="215">
        <f t="shared" si="33"/>
        <v>7000</v>
      </c>
      <c r="AD29" s="215">
        <f t="shared" si="33"/>
        <v>7000</v>
      </c>
      <c r="AS29" s="268"/>
      <c r="AT29" s="321"/>
      <c r="AU29" s="321"/>
      <c r="AV29" s="321" t="str">
        <f>A29&amp;B29&amp;C29&amp;D29&amp;E29</f>
        <v>Bbls/day</v>
      </c>
      <c r="AW29" s="321">
        <f ca="1">SUM(OFFSET($G29,0,AV$3+1):OFFSET($G29,0,AW$3))</f>
        <v>0</v>
      </c>
      <c r="AX29" s="327">
        <f ca="1">SUM(OFFSET($G29,0,AW$3+1):OFFSET($G29,0,AX$3))</f>
        <v>0</v>
      </c>
      <c r="AY29" s="327">
        <f ca="1">SUM(OFFSET($G29,0,AX$3+1):OFFSET($G29,0,AY$3))</f>
        <v>0</v>
      </c>
      <c r="AZ29" s="327">
        <f ca="1">SUM(OFFSET($G29,0,AY$3+1):OFFSET($G29,0,AZ$3))</f>
        <v>0</v>
      </c>
      <c r="BA29" s="327">
        <f ca="1">SUM(OFFSET($G29,0,AZ$3+1):OFFSET($G29,0,BA$3))</f>
        <v>14000</v>
      </c>
      <c r="BB29" s="327">
        <f ca="1">SUM(OFFSET($G29,0,BA$3+1):OFFSET($G29,0,BB$3))</f>
        <v>21000</v>
      </c>
      <c r="BC29" s="327">
        <f ca="1">SUM(OFFSET($G29,0,BB$3+1):OFFSET($G29,0,BC$3))</f>
        <v>21000</v>
      </c>
      <c r="BD29" s="327">
        <f ca="1">SUM(OFFSET($G29,0,BC$3+1):OFFSET($G29,0,BD$3))</f>
        <v>21000</v>
      </c>
    </row>
    <row r="30" spans="2:56" outlineLevel="1" x14ac:dyDescent="0.2">
      <c r="B30" s="135"/>
      <c r="C30" s="135"/>
      <c r="D30" s="135"/>
      <c r="E30" s="135" t="s">
        <v>234</v>
      </c>
      <c r="G30" s="136"/>
      <c r="H30" s="136"/>
      <c r="I30" s="136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>
        <v>8</v>
      </c>
      <c r="U30" s="215">
        <v>16</v>
      </c>
      <c r="V30" s="215">
        <v>24</v>
      </c>
      <c r="W30" s="215">
        <f>V30</f>
        <v>24</v>
      </c>
      <c r="X30" s="215">
        <f t="shared" ref="X30:AD30" si="34">W30</f>
        <v>24</v>
      </c>
      <c r="Y30" s="215">
        <f t="shared" si="34"/>
        <v>24</v>
      </c>
      <c r="Z30" s="215">
        <f t="shared" si="34"/>
        <v>24</v>
      </c>
      <c r="AA30" s="215">
        <f t="shared" si="34"/>
        <v>24</v>
      </c>
      <c r="AB30" s="215">
        <f t="shared" si="34"/>
        <v>24</v>
      </c>
      <c r="AC30" s="215">
        <f t="shared" si="34"/>
        <v>24</v>
      </c>
      <c r="AD30" s="215">
        <f t="shared" si="34"/>
        <v>24</v>
      </c>
      <c r="AS30" s="274"/>
      <c r="AT30" s="321"/>
      <c r="AU30" s="321"/>
      <c r="AV30" s="321" t="str">
        <f>A30&amp;B30&amp;C30&amp;D30&amp;E30</f>
        <v>Days/mo</v>
      </c>
      <c r="AW30" s="321">
        <f ca="1">SUM(OFFSET($G30,0,AV$3+1):OFFSET($G30,0,AW$3))</f>
        <v>0</v>
      </c>
      <c r="AX30" s="327">
        <f ca="1">SUM(OFFSET($G30,0,AW$3+1):OFFSET($G30,0,AX$3))</f>
        <v>0</v>
      </c>
      <c r="AY30" s="327">
        <f ca="1">SUM(OFFSET($G30,0,AX$3+1):OFFSET($G30,0,AY$3))</f>
        <v>0</v>
      </c>
      <c r="AZ30" s="327">
        <f ca="1">SUM(OFFSET($G30,0,AY$3+1):OFFSET($G30,0,AZ$3))</f>
        <v>0</v>
      </c>
      <c r="BA30" s="327">
        <f ca="1">SUM(OFFSET($G30,0,AZ$3+1):OFFSET($G30,0,BA$3))</f>
        <v>24</v>
      </c>
      <c r="BB30" s="327">
        <f ca="1">SUM(OFFSET($G30,0,BA$3+1):OFFSET($G30,0,BB$3))</f>
        <v>72</v>
      </c>
      <c r="BC30" s="327">
        <f ca="1">SUM(OFFSET($G30,0,BB$3+1):OFFSET($G30,0,BC$3))</f>
        <v>72</v>
      </c>
      <c r="BD30" s="327">
        <f ca="1">SUM(OFFSET($G30,0,BC$3+1):OFFSET($G30,0,BD$3))</f>
        <v>72</v>
      </c>
    </row>
    <row r="31" spans="2:56" outlineLevel="1" x14ac:dyDescent="0.2">
      <c r="B31" s="135"/>
      <c r="C31" s="135"/>
      <c r="D31" s="135"/>
      <c r="E31" s="135" t="s">
        <v>235</v>
      </c>
      <c r="G31" s="136"/>
      <c r="H31" s="136"/>
      <c r="I31" s="136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>
        <f t="shared" ref="T31:AD31" si="35">T29*T30</f>
        <v>56000</v>
      </c>
      <c r="U31" s="215">
        <f t="shared" si="35"/>
        <v>112000</v>
      </c>
      <c r="V31" s="215">
        <f t="shared" ref="V31:AA31" si="36">V29*V30</f>
        <v>168000</v>
      </c>
      <c r="W31" s="215">
        <f t="shared" si="36"/>
        <v>168000</v>
      </c>
      <c r="X31" s="215">
        <f t="shared" si="36"/>
        <v>168000</v>
      </c>
      <c r="Y31" s="215">
        <f t="shared" si="36"/>
        <v>168000</v>
      </c>
      <c r="Z31" s="215">
        <f t="shared" si="36"/>
        <v>168000</v>
      </c>
      <c r="AA31" s="215">
        <f t="shared" si="36"/>
        <v>168000</v>
      </c>
      <c r="AB31" s="215">
        <f t="shared" si="35"/>
        <v>168000</v>
      </c>
      <c r="AC31" s="215">
        <f t="shared" si="35"/>
        <v>168000</v>
      </c>
      <c r="AD31" s="215">
        <f t="shared" si="35"/>
        <v>168000</v>
      </c>
      <c r="AS31" s="267"/>
      <c r="AT31" s="321"/>
      <c r="AU31" s="321"/>
      <c r="AV31" s="321" t="str">
        <f t="shared" ref="AV31:AV42" si="37">A31&amp;B31&amp;C31&amp;D31&amp;E31</f>
        <v>Bbls/mo</v>
      </c>
      <c r="AW31" s="321">
        <f ca="1">SUM(OFFSET($G31,0,AV$3+1):OFFSET($G31,0,AW$3))</f>
        <v>0</v>
      </c>
      <c r="AX31" s="327">
        <f ca="1">SUM(OFFSET($G31,0,AW$3+1):OFFSET($G31,0,AX$3))</f>
        <v>0</v>
      </c>
      <c r="AY31" s="327">
        <f ca="1">SUM(OFFSET($G31,0,AX$3+1):OFFSET($G31,0,AY$3))</f>
        <v>0</v>
      </c>
      <c r="AZ31" s="327">
        <f ca="1">SUM(OFFSET($G31,0,AY$3+1):OFFSET($G31,0,AZ$3))</f>
        <v>0</v>
      </c>
      <c r="BA31" s="327">
        <f ca="1">SUM(OFFSET($G31,0,AZ$3+1):OFFSET($G31,0,BA$3))</f>
        <v>168000</v>
      </c>
      <c r="BB31" s="327">
        <f ca="1">SUM(OFFSET($G31,0,BA$3+1):OFFSET($G31,0,BB$3))</f>
        <v>504000</v>
      </c>
      <c r="BC31" s="327">
        <f ca="1">SUM(OFFSET($G31,0,BB$3+1):OFFSET($G31,0,BC$3))</f>
        <v>504000</v>
      </c>
      <c r="BD31" s="327">
        <f ca="1">SUM(OFFSET($G31,0,BC$3+1):OFFSET($G31,0,BD$3))</f>
        <v>504000</v>
      </c>
    </row>
    <row r="32" spans="2:56" outlineLevel="1" x14ac:dyDescent="0.2">
      <c r="B32" s="135"/>
      <c r="C32" s="135"/>
      <c r="D32" s="135"/>
      <c r="E32" s="135" t="s">
        <v>290</v>
      </c>
      <c r="F32" s="195">
        <v>8</v>
      </c>
      <c r="G32" s="136"/>
      <c r="H32" s="136"/>
      <c r="I32" s="136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>
        <f>$F32*T$31/1000</f>
        <v>448</v>
      </c>
      <c r="U32" s="215">
        <f t="shared" ref="U32:AD34" si="38">$F32*U$31/1000</f>
        <v>896</v>
      </c>
      <c r="V32" s="215">
        <f t="shared" si="38"/>
        <v>1344</v>
      </c>
      <c r="W32" s="215">
        <f t="shared" si="38"/>
        <v>1344</v>
      </c>
      <c r="X32" s="215">
        <f t="shared" si="38"/>
        <v>1344</v>
      </c>
      <c r="Y32" s="215">
        <f t="shared" si="38"/>
        <v>1344</v>
      </c>
      <c r="Z32" s="215">
        <f t="shared" si="38"/>
        <v>1344</v>
      </c>
      <c r="AA32" s="215">
        <f t="shared" si="38"/>
        <v>1344</v>
      </c>
      <c r="AB32" s="215">
        <f t="shared" si="38"/>
        <v>1344</v>
      </c>
      <c r="AC32" s="215">
        <f t="shared" si="38"/>
        <v>1344</v>
      </c>
      <c r="AD32" s="215">
        <f t="shared" si="38"/>
        <v>1344</v>
      </c>
      <c r="AS32" s="268"/>
      <c r="AT32" s="321"/>
      <c r="AU32" s="321"/>
      <c r="AV32" s="321" t="str">
        <f t="shared" si="37"/>
        <v>Disposal Fee</v>
      </c>
      <c r="AW32" s="321">
        <f t="shared" ref="AW32:BD32" ca="1" si="39">OFFSET($G32,0,AW$3)</f>
        <v>0</v>
      </c>
      <c r="AX32" s="327">
        <f t="shared" ca="1" si="39"/>
        <v>0</v>
      </c>
      <c r="AY32" s="327">
        <f t="shared" ca="1" si="39"/>
        <v>0</v>
      </c>
      <c r="AZ32" s="327">
        <f t="shared" ca="1" si="39"/>
        <v>0</v>
      </c>
      <c r="BA32" s="327">
        <f t="shared" ca="1" si="39"/>
        <v>896</v>
      </c>
      <c r="BB32" s="327">
        <f t="shared" ca="1" si="39"/>
        <v>1344</v>
      </c>
      <c r="BC32" s="327">
        <f t="shared" ca="1" si="39"/>
        <v>1344</v>
      </c>
      <c r="BD32" s="327">
        <f t="shared" ca="1" si="39"/>
        <v>1344</v>
      </c>
    </row>
    <row r="33" spans="2:56" outlineLevel="1" x14ac:dyDescent="0.2">
      <c r="B33" s="135"/>
      <c r="C33" s="135"/>
      <c r="D33" s="135"/>
      <c r="E33" s="135" t="s">
        <v>291</v>
      </c>
      <c r="F33" s="196">
        <v>0.1</v>
      </c>
      <c r="G33" s="136"/>
      <c r="H33" s="136"/>
      <c r="I33" s="136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>
        <f>$F33*T$31/1000</f>
        <v>5.6</v>
      </c>
      <c r="U33" s="215">
        <f>$F33*U$31/1000</f>
        <v>11.2</v>
      </c>
      <c r="V33" s="215">
        <f t="shared" si="38"/>
        <v>16.8</v>
      </c>
      <c r="W33" s="215">
        <f t="shared" si="38"/>
        <v>16.8</v>
      </c>
      <c r="X33" s="215">
        <f t="shared" si="38"/>
        <v>16.8</v>
      </c>
      <c r="Y33" s="215">
        <f t="shared" si="38"/>
        <v>16.8</v>
      </c>
      <c r="Z33" s="215">
        <f t="shared" si="38"/>
        <v>16.8</v>
      </c>
      <c r="AA33" s="215">
        <f t="shared" si="38"/>
        <v>16.8</v>
      </c>
      <c r="AB33" s="215">
        <f t="shared" ref="AB33:AD34" si="40">$F33*AB$31/1000</f>
        <v>16.8</v>
      </c>
      <c r="AC33" s="215">
        <f t="shared" si="40"/>
        <v>16.8</v>
      </c>
      <c r="AD33" s="215">
        <f t="shared" si="40"/>
        <v>16.8</v>
      </c>
      <c r="AS33" s="268"/>
      <c r="AT33" s="321"/>
      <c r="AU33" s="321"/>
      <c r="AV33" s="321" t="str">
        <f t="shared" si="37"/>
        <v>H'Carbon Sales</v>
      </c>
      <c r="AW33" s="321">
        <f ca="1">SUM(OFFSET($G33,0,AV$3+1):OFFSET($G33,0,AW$3))</f>
        <v>0</v>
      </c>
      <c r="AX33" s="327">
        <f ca="1">SUM(OFFSET($G33,0,AW$3+1):OFFSET($G33,0,AX$3))</f>
        <v>0</v>
      </c>
      <c r="AY33" s="327">
        <f ca="1">SUM(OFFSET($G33,0,AX$3+1):OFFSET($G33,0,AY$3))</f>
        <v>0</v>
      </c>
      <c r="AZ33" s="327">
        <f ca="1">SUM(OFFSET($G33,0,AY$3+1):OFFSET($G33,0,AZ$3))</f>
        <v>0</v>
      </c>
      <c r="BA33" s="327">
        <f ca="1">SUM(OFFSET($G33,0,AZ$3+1):OFFSET($G33,0,BA$3))</f>
        <v>16.799999999999997</v>
      </c>
      <c r="BB33" s="327">
        <f ca="1">SUM(OFFSET($G33,0,BA$3+1):OFFSET($G33,0,BB$3))</f>
        <v>50.400000000000006</v>
      </c>
      <c r="BC33" s="327">
        <f ca="1">SUM(OFFSET($G33,0,BB$3+1):OFFSET($G33,0,BC$3))</f>
        <v>50.400000000000006</v>
      </c>
      <c r="BD33" s="327">
        <f ca="1">SUM(OFFSET($G33,0,BC$3+1):OFFSET($G33,0,BD$3))</f>
        <v>50.400000000000006</v>
      </c>
    </row>
    <row r="34" spans="2:56" outlineLevel="1" x14ac:dyDescent="0.2">
      <c r="B34" s="135"/>
      <c r="C34" s="135"/>
      <c r="D34" s="135"/>
      <c r="E34" s="135" t="s">
        <v>292</v>
      </c>
      <c r="F34" s="198">
        <v>-2</v>
      </c>
      <c r="G34" s="136"/>
      <c r="H34" s="136"/>
      <c r="I34" s="136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>
        <f>$F34*T$31/1000</f>
        <v>-112</v>
      </c>
      <c r="U34" s="215">
        <f>$F34*U$31/1000</f>
        <v>-224</v>
      </c>
      <c r="V34" s="215">
        <f t="shared" si="38"/>
        <v>-336</v>
      </c>
      <c r="W34" s="215">
        <f t="shared" si="38"/>
        <v>-336</v>
      </c>
      <c r="X34" s="215">
        <f t="shared" si="38"/>
        <v>-336</v>
      </c>
      <c r="Y34" s="215">
        <f t="shared" si="38"/>
        <v>-336</v>
      </c>
      <c r="Z34" s="215">
        <f t="shared" si="38"/>
        <v>-336</v>
      </c>
      <c r="AA34" s="215">
        <f t="shared" si="38"/>
        <v>-336</v>
      </c>
      <c r="AB34" s="215">
        <f t="shared" si="40"/>
        <v>-336</v>
      </c>
      <c r="AC34" s="215">
        <f t="shared" si="40"/>
        <v>-336</v>
      </c>
      <c r="AD34" s="215">
        <f t="shared" si="40"/>
        <v>-336</v>
      </c>
      <c r="AS34" s="268"/>
      <c r="AT34" s="321"/>
      <c r="AU34" s="321"/>
      <c r="AV34" s="321" t="str">
        <f t="shared" si="37"/>
        <v>Opex</v>
      </c>
      <c r="AW34" s="321">
        <f t="shared" ref="AW34:BD34" ca="1" si="41">OFFSET($G34,0,AW$3)</f>
        <v>0</v>
      </c>
      <c r="AX34" s="327">
        <f t="shared" ca="1" si="41"/>
        <v>0</v>
      </c>
      <c r="AY34" s="327">
        <f t="shared" ca="1" si="41"/>
        <v>0</v>
      </c>
      <c r="AZ34" s="327">
        <f t="shared" ca="1" si="41"/>
        <v>0</v>
      </c>
      <c r="BA34" s="327">
        <f t="shared" ca="1" si="41"/>
        <v>-224</v>
      </c>
      <c r="BB34" s="327">
        <f t="shared" ca="1" si="41"/>
        <v>-336</v>
      </c>
      <c r="BC34" s="327">
        <f t="shared" ca="1" si="41"/>
        <v>-336</v>
      </c>
      <c r="BD34" s="327">
        <f t="shared" ca="1" si="41"/>
        <v>-336</v>
      </c>
    </row>
    <row r="35" spans="2:56" s="130" customFormat="1" x14ac:dyDescent="0.2">
      <c r="D35" s="147" t="s">
        <v>296</v>
      </c>
      <c r="E35" s="147"/>
      <c r="F35" s="203"/>
      <c r="G35" s="203"/>
      <c r="H35" s="203"/>
      <c r="I35" s="203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>
        <f t="shared" ref="T35:AD35" si="42">SUM(T32:T34)</f>
        <v>341.6</v>
      </c>
      <c r="U35" s="215">
        <f t="shared" si="42"/>
        <v>683.2</v>
      </c>
      <c r="V35" s="215">
        <f t="shared" ref="V35:AA35" si="43">SUM(V32:V34)</f>
        <v>1024.8</v>
      </c>
      <c r="W35" s="215">
        <f t="shared" si="43"/>
        <v>1024.8</v>
      </c>
      <c r="X35" s="215">
        <f t="shared" si="43"/>
        <v>1024.8</v>
      </c>
      <c r="Y35" s="215">
        <f t="shared" si="43"/>
        <v>1024.8</v>
      </c>
      <c r="Z35" s="215">
        <f t="shared" si="43"/>
        <v>1024.8</v>
      </c>
      <c r="AA35" s="215">
        <f t="shared" si="43"/>
        <v>1024.8</v>
      </c>
      <c r="AB35" s="215">
        <f t="shared" si="42"/>
        <v>1024.8</v>
      </c>
      <c r="AC35" s="215">
        <f t="shared" si="42"/>
        <v>1024.8</v>
      </c>
      <c r="AD35" s="215">
        <f t="shared" si="42"/>
        <v>1024.8</v>
      </c>
      <c r="AS35" s="268"/>
      <c r="AT35" s="325"/>
      <c r="AU35" s="325"/>
      <c r="AV35" s="326" t="str">
        <f t="shared" si="37"/>
        <v>Site #4: Operating Income</v>
      </c>
      <c r="AW35" s="327">
        <f ca="1">SUM(OFFSET($G35,0,AV$3+1):OFFSET($G35,0,AW$3))</f>
        <v>0</v>
      </c>
      <c r="AX35" s="327">
        <f ca="1">SUM(OFFSET($G35,0,AW$3+1):OFFSET($G35,0,AX$3))</f>
        <v>0</v>
      </c>
      <c r="AY35" s="327">
        <f ca="1">SUM(OFFSET($G35,0,AX$3+1):OFFSET($G35,0,AY$3))</f>
        <v>0</v>
      </c>
      <c r="AZ35" s="327">
        <f ca="1">SUM(OFFSET($G35,0,AY$3+1):OFFSET($G35,0,AZ$3))</f>
        <v>0</v>
      </c>
      <c r="BA35" s="327">
        <f ca="1">SUM(OFFSET($G35,0,AZ$3+1):OFFSET($G35,0,BA$3))</f>
        <v>1024.8000000000002</v>
      </c>
      <c r="BB35" s="327">
        <f ca="1">SUM(OFFSET($G35,0,BA$3+1):OFFSET($G35,0,BB$3))</f>
        <v>3074.3999999999996</v>
      </c>
      <c r="BC35" s="327">
        <f ca="1">SUM(OFFSET($G35,0,BB$3+1):OFFSET($G35,0,BC$3))</f>
        <v>3074.3999999999996</v>
      </c>
      <c r="BD35" s="327">
        <f ca="1">SUM(OFFSET($G35,0,BC$3+1):OFFSET($G35,0,BD$3))</f>
        <v>3074.3999999999996</v>
      </c>
    </row>
    <row r="36" spans="2:56" outlineLevel="1" x14ac:dyDescent="0.2">
      <c r="B36" s="135"/>
      <c r="E36" s="135"/>
      <c r="G36" s="136"/>
      <c r="H36" s="136"/>
      <c r="I36" s="136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S36" s="267"/>
      <c r="AT36" s="321"/>
      <c r="AU36" s="284"/>
      <c r="AV36" s="284" t="str">
        <f t="shared" si="37"/>
        <v/>
      </c>
      <c r="AW36" s="321">
        <f ca="1">SUM(OFFSET($G36,0,AV$3+1):OFFSET($G36,0,AW$3))</f>
        <v>0</v>
      </c>
      <c r="AX36" s="327">
        <f ca="1">SUM(OFFSET($G36,0,AW$3+1):OFFSET($G36,0,AX$3))</f>
        <v>0</v>
      </c>
      <c r="AY36" s="327">
        <f ca="1">SUM(OFFSET($G36,0,AX$3+1):OFFSET($G36,0,AY$3))</f>
        <v>0</v>
      </c>
      <c r="AZ36" s="327">
        <f ca="1">SUM(OFFSET($G36,0,AY$3+1):OFFSET($G36,0,AZ$3))</f>
        <v>0</v>
      </c>
      <c r="BA36" s="327">
        <f ca="1">SUM(OFFSET($G36,0,AZ$3+1):OFFSET($G36,0,BA$3))</f>
        <v>0</v>
      </c>
      <c r="BB36" s="327">
        <f ca="1">SUM(OFFSET($G36,0,BA$3+1):OFFSET($G36,0,BB$3))</f>
        <v>0</v>
      </c>
      <c r="BC36" s="327">
        <f ca="1">SUM(OFFSET($G36,0,BB$3+1):OFFSET($G36,0,BC$3))</f>
        <v>0</v>
      </c>
      <c r="BD36" s="327">
        <f ca="1">SUM(OFFSET($G36,0,BC$3+1):OFFSET($G36,0,BD$3))</f>
        <v>0</v>
      </c>
    </row>
    <row r="37" spans="2:56" outlineLevel="1" x14ac:dyDescent="0.2">
      <c r="B37" s="135"/>
      <c r="C37" s="135"/>
      <c r="D37" s="135"/>
      <c r="E37" s="135" t="s">
        <v>233</v>
      </c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>
        <v>7000</v>
      </c>
      <c r="V37" s="215">
        <f t="shared" ref="V37:AD37" si="44">U37</f>
        <v>7000</v>
      </c>
      <c r="W37" s="215">
        <f t="shared" si="44"/>
        <v>7000</v>
      </c>
      <c r="X37" s="215">
        <f t="shared" si="44"/>
        <v>7000</v>
      </c>
      <c r="Y37" s="215">
        <f t="shared" si="44"/>
        <v>7000</v>
      </c>
      <c r="Z37" s="215">
        <f t="shared" si="44"/>
        <v>7000</v>
      </c>
      <c r="AA37" s="215">
        <f t="shared" si="44"/>
        <v>7000</v>
      </c>
      <c r="AB37" s="215">
        <f t="shared" si="44"/>
        <v>7000</v>
      </c>
      <c r="AC37" s="215">
        <f t="shared" si="44"/>
        <v>7000</v>
      </c>
      <c r="AD37" s="215">
        <f t="shared" si="44"/>
        <v>7000</v>
      </c>
      <c r="AS37" s="268"/>
      <c r="AT37" s="321"/>
      <c r="AU37" s="321"/>
      <c r="AV37" s="321" t="str">
        <f t="shared" si="37"/>
        <v>Bbls/day</v>
      </c>
      <c r="AW37" s="321">
        <f t="shared" ref="AW37:BD37" ca="1" si="45">OFFSET($G37,0,AW$3)</f>
        <v>0</v>
      </c>
      <c r="AX37" s="327">
        <f t="shared" ca="1" si="45"/>
        <v>0</v>
      </c>
      <c r="AY37" s="327">
        <f t="shared" ca="1" si="45"/>
        <v>0</v>
      </c>
      <c r="AZ37" s="327">
        <f t="shared" ca="1" si="45"/>
        <v>0</v>
      </c>
      <c r="BA37" s="327">
        <f t="shared" ca="1" si="45"/>
        <v>7000</v>
      </c>
      <c r="BB37" s="327">
        <f t="shared" ca="1" si="45"/>
        <v>7000</v>
      </c>
      <c r="BC37" s="327">
        <f t="shared" ca="1" si="45"/>
        <v>7000</v>
      </c>
      <c r="BD37" s="327">
        <f t="shared" ca="1" si="45"/>
        <v>7000</v>
      </c>
    </row>
    <row r="38" spans="2:56" outlineLevel="1" x14ac:dyDescent="0.2">
      <c r="B38" s="135"/>
      <c r="C38" s="135"/>
      <c r="D38" s="135"/>
      <c r="E38" s="135" t="s">
        <v>234</v>
      </c>
      <c r="G38" s="136"/>
      <c r="H38" s="136"/>
      <c r="I38" s="136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>
        <v>8</v>
      </c>
      <c r="V38" s="215">
        <v>16</v>
      </c>
      <c r="W38" s="215">
        <v>24</v>
      </c>
      <c r="X38" s="215">
        <f>W38</f>
        <v>24</v>
      </c>
      <c r="Y38" s="215">
        <f t="shared" ref="Y38:AD38" si="46">X38</f>
        <v>24</v>
      </c>
      <c r="Z38" s="215">
        <f t="shared" si="46"/>
        <v>24</v>
      </c>
      <c r="AA38" s="215">
        <f t="shared" si="46"/>
        <v>24</v>
      </c>
      <c r="AB38" s="215">
        <f t="shared" si="46"/>
        <v>24</v>
      </c>
      <c r="AC38" s="215">
        <f t="shared" si="46"/>
        <v>24</v>
      </c>
      <c r="AD38" s="215">
        <f t="shared" si="46"/>
        <v>24</v>
      </c>
      <c r="AS38" s="268"/>
      <c r="AT38" s="321"/>
      <c r="AU38" s="321"/>
      <c r="AV38" s="321" t="str">
        <f t="shared" si="37"/>
        <v>Days/mo</v>
      </c>
      <c r="AW38" s="321">
        <f ca="1">SUM(OFFSET($G38,0,AV$3+1):OFFSET($G38,0,AW$3))</f>
        <v>0</v>
      </c>
      <c r="AX38" s="327">
        <f ca="1">SUM(OFFSET($G38,0,AW$3+1):OFFSET($G38,0,AX$3))</f>
        <v>0</v>
      </c>
      <c r="AY38" s="327">
        <f ca="1">SUM(OFFSET($G38,0,AX$3+1):OFFSET($G38,0,AY$3))</f>
        <v>0</v>
      </c>
      <c r="AZ38" s="327">
        <f ca="1">SUM(OFFSET($G38,0,AY$3+1):OFFSET($G38,0,AZ$3))</f>
        <v>0</v>
      </c>
      <c r="BA38" s="327">
        <f ca="1">SUM(OFFSET($G38,0,AZ$3+1):OFFSET($G38,0,BA$3))</f>
        <v>8</v>
      </c>
      <c r="BB38" s="327">
        <f ca="1">SUM(OFFSET($G38,0,BA$3+1):OFFSET($G38,0,BB$3))</f>
        <v>64</v>
      </c>
      <c r="BC38" s="327">
        <f ca="1">SUM(OFFSET($G38,0,BB$3+1):OFFSET($G38,0,BC$3))</f>
        <v>72</v>
      </c>
      <c r="BD38" s="327">
        <f ca="1">SUM(OFFSET($G38,0,BC$3+1):OFFSET($G38,0,BD$3))</f>
        <v>72</v>
      </c>
    </row>
    <row r="39" spans="2:56" outlineLevel="1" x14ac:dyDescent="0.2">
      <c r="B39" s="135"/>
      <c r="C39" s="135"/>
      <c r="D39" s="135"/>
      <c r="E39" s="135" t="s">
        <v>235</v>
      </c>
      <c r="G39" s="136"/>
      <c r="H39" s="136"/>
      <c r="I39" s="136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>
        <f t="shared" ref="U39:AD39" si="47">U37*U38</f>
        <v>56000</v>
      </c>
      <c r="V39" s="215">
        <f t="shared" si="47"/>
        <v>112000</v>
      </c>
      <c r="W39" s="215">
        <f t="shared" si="47"/>
        <v>168000</v>
      </c>
      <c r="X39" s="215">
        <f t="shared" si="47"/>
        <v>168000</v>
      </c>
      <c r="Y39" s="215">
        <f t="shared" si="47"/>
        <v>168000</v>
      </c>
      <c r="Z39" s="215">
        <f t="shared" si="47"/>
        <v>168000</v>
      </c>
      <c r="AA39" s="215">
        <f t="shared" si="47"/>
        <v>168000</v>
      </c>
      <c r="AB39" s="215">
        <f t="shared" si="47"/>
        <v>168000</v>
      </c>
      <c r="AC39" s="215">
        <f t="shared" si="47"/>
        <v>168000</v>
      </c>
      <c r="AD39" s="215">
        <f t="shared" si="47"/>
        <v>168000</v>
      </c>
      <c r="AS39" s="268"/>
      <c r="AT39" s="321"/>
      <c r="AU39" s="321"/>
      <c r="AV39" s="321" t="str">
        <f t="shared" si="37"/>
        <v>Bbls/mo</v>
      </c>
      <c r="AW39" s="321">
        <f t="shared" ref="AW39:BD39" ca="1" si="48">OFFSET($G39,0,AW$3)</f>
        <v>0</v>
      </c>
      <c r="AX39" s="327">
        <f t="shared" ca="1" si="48"/>
        <v>0</v>
      </c>
      <c r="AY39" s="327">
        <f t="shared" ca="1" si="48"/>
        <v>0</v>
      </c>
      <c r="AZ39" s="327">
        <f t="shared" ca="1" si="48"/>
        <v>0</v>
      </c>
      <c r="BA39" s="327">
        <f t="shared" ca="1" si="48"/>
        <v>56000</v>
      </c>
      <c r="BB39" s="327">
        <f t="shared" ca="1" si="48"/>
        <v>168000</v>
      </c>
      <c r="BC39" s="327">
        <f t="shared" ca="1" si="48"/>
        <v>168000</v>
      </c>
      <c r="BD39" s="327">
        <f t="shared" ca="1" si="48"/>
        <v>168000</v>
      </c>
    </row>
    <row r="40" spans="2:56" outlineLevel="1" x14ac:dyDescent="0.2">
      <c r="B40" s="135"/>
      <c r="C40" s="135"/>
      <c r="D40" s="135"/>
      <c r="E40" s="135" t="s">
        <v>290</v>
      </c>
      <c r="F40" s="195">
        <v>8</v>
      </c>
      <c r="G40" s="136"/>
      <c r="H40" s="136"/>
      <c r="I40" s="136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>
        <f t="shared" ref="U40:AD42" si="49">$F40*U$39/1000</f>
        <v>448</v>
      </c>
      <c r="V40" s="215">
        <f t="shared" si="49"/>
        <v>896</v>
      </c>
      <c r="W40" s="215">
        <f t="shared" si="49"/>
        <v>1344</v>
      </c>
      <c r="X40" s="215">
        <f t="shared" si="49"/>
        <v>1344</v>
      </c>
      <c r="Y40" s="215">
        <f t="shared" si="49"/>
        <v>1344</v>
      </c>
      <c r="Z40" s="215">
        <f t="shared" si="49"/>
        <v>1344</v>
      </c>
      <c r="AA40" s="215">
        <f t="shared" si="49"/>
        <v>1344</v>
      </c>
      <c r="AB40" s="215">
        <f t="shared" si="49"/>
        <v>1344</v>
      </c>
      <c r="AC40" s="215">
        <f t="shared" si="49"/>
        <v>1344</v>
      </c>
      <c r="AD40" s="215">
        <f t="shared" si="49"/>
        <v>1344</v>
      </c>
      <c r="AS40" s="268"/>
      <c r="AT40" s="321"/>
      <c r="AU40" s="321"/>
      <c r="AV40" s="321" t="str">
        <f t="shared" si="37"/>
        <v>Disposal Fee</v>
      </c>
      <c r="AW40" s="321">
        <f ca="1">SUM(OFFSET($G40,0,AV$3+1):OFFSET($G40,0,AW$3))</f>
        <v>0</v>
      </c>
      <c r="AX40" s="327">
        <f ca="1">SUM(OFFSET($G40,0,AW$3+1):OFFSET($G40,0,AX$3))</f>
        <v>0</v>
      </c>
      <c r="AY40" s="327">
        <f ca="1">SUM(OFFSET($G40,0,AX$3+1):OFFSET($G40,0,AY$3))</f>
        <v>0</v>
      </c>
      <c r="AZ40" s="327">
        <f ca="1">SUM(OFFSET($G40,0,AY$3+1):OFFSET($G40,0,AZ$3))</f>
        <v>0</v>
      </c>
      <c r="BA40" s="327">
        <f ca="1">SUM(OFFSET($G40,0,AZ$3+1):OFFSET($G40,0,BA$3))</f>
        <v>448</v>
      </c>
      <c r="BB40" s="327">
        <f ca="1">SUM(OFFSET($G40,0,BA$3+1):OFFSET($G40,0,BB$3))</f>
        <v>3584</v>
      </c>
      <c r="BC40" s="327">
        <f ca="1">SUM(OFFSET($G40,0,BB$3+1):OFFSET($G40,0,BC$3))</f>
        <v>4032</v>
      </c>
      <c r="BD40" s="327">
        <f ca="1">SUM(OFFSET($G40,0,BC$3+1):OFFSET($G40,0,BD$3))</f>
        <v>4032</v>
      </c>
    </row>
    <row r="41" spans="2:56" outlineLevel="1" x14ac:dyDescent="0.2">
      <c r="B41" s="135"/>
      <c r="C41" s="135"/>
      <c r="D41" s="135"/>
      <c r="E41" s="135" t="s">
        <v>291</v>
      </c>
      <c r="F41" s="196">
        <v>0.1</v>
      </c>
      <c r="G41" s="136"/>
      <c r="H41" s="136"/>
      <c r="I41" s="136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>
        <f t="shared" si="49"/>
        <v>5.6</v>
      </c>
      <c r="V41" s="215">
        <f t="shared" si="49"/>
        <v>11.2</v>
      </c>
      <c r="W41" s="215">
        <f t="shared" si="49"/>
        <v>16.8</v>
      </c>
      <c r="X41" s="215">
        <f t="shared" si="49"/>
        <v>16.8</v>
      </c>
      <c r="Y41" s="215">
        <f t="shared" si="49"/>
        <v>16.8</v>
      </c>
      <c r="Z41" s="215">
        <f t="shared" si="49"/>
        <v>16.8</v>
      </c>
      <c r="AA41" s="215">
        <f t="shared" si="49"/>
        <v>16.8</v>
      </c>
      <c r="AB41" s="215">
        <f t="shared" si="49"/>
        <v>16.8</v>
      </c>
      <c r="AC41" s="215">
        <f t="shared" si="49"/>
        <v>16.8</v>
      </c>
      <c r="AD41" s="215">
        <f t="shared" si="49"/>
        <v>16.8</v>
      </c>
      <c r="AS41" s="275"/>
      <c r="AT41" s="321"/>
      <c r="AU41" s="321"/>
      <c r="AV41" s="321" t="str">
        <f t="shared" si="37"/>
        <v>H'Carbon Sales</v>
      </c>
      <c r="AW41" s="321">
        <f ca="1">SUM(OFFSET($G41,0,AV$3+1):OFFSET($G41,0,AW$3))</f>
        <v>0</v>
      </c>
      <c r="AX41" s="327">
        <f ca="1">SUM(OFFSET($G41,0,AW$3+1):OFFSET($G41,0,AX$3))</f>
        <v>0</v>
      </c>
      <c r="AY41" s="327">
        <f ca="1">SUM(OFFSET($G41,0,AX$3+1):OFFSET($G41,0,AY$3))</f>
        <v>0</v>
      </c>
      <c r="AZ41" s="327">
        <f ca="1">SUM(OFFSET($G41,0,AY$3+1):OFFSET($G41,0,AZ$3))</f>
        <v>0</v>
      </c>
      <c r="BA41" s="327">
        <f ca="1">SUM(OFFSET($G41,0,AZ$3+1):OFFSET($G41,0,BA$3))</f>
        <v>5.6</v>
      </c>
      <c r="BB41" s="327">
        <f ca="1">SUM(OFFSET($G41,0,BA$3+1):OFFSET($G41,0,BB$3))</f>
        <v>44.8</v>
      </c>
      <c r="BC41" s="327">
        <f ca="1">SUM(OFFSET($G41,0,BB$3+1):OFFSET($G41,0,BC$3))</f>
        <v>50.400000000000006</v>
      </c>
      <c r="BD41" s="327">
        <f ca="1">SUM(OFFSET($G41,0,BC$3+1):OFFSET($G41,0,BD$3))</f>
        <v>50.400000000000006</v>
      </c>
    </row>
    <row r="42" spans="2:56" outlineLevel="1" x14ac:dyDescent="0.2">
      <c r="B42" s="135"/>
      <c r="C42" s="135"/>
      <c r="D42" s="135"/>
      <c r="E42" s="135" t="s">
        <v>292</v>
      </c>
      <c r="F42" s="198">
        <v>-2</v>
      </c>
      <c r="G42" s="136"/>
      <c r="H42" s="136"/>
      <c r="I42" s="136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>
        <f t="shared" si="49"/>
        <v>-112</v>
      </c>
      <c r="V42" s="215">
        <f t="shared" si="49"/>
        <v>-224</v>
      </c>
      <c r="W42" s="215">
        <f t="shared" si="49"/>
        <v>-336</v>
      </c>
      <c r="X42" s="215">
        <f t="shared" si="49"/>
        <v>-336</v>
      </c>
      <c r="Y42" s="215">
        <f t="shared" si="49"/>
        <v>-336</v>
      </c>
      <c r="Z42" s="215">
        <f t="shared" si="49"/>
        <v>-336</v>
      </c>
      <c r="AA42" s="215">
        <f t="shared" si="49"/>
        <v>-336</v>
      </c>
      <c r="AB42" s="215">
        <f t="shared" si="49"/>
        <v>-336</v>
      </c>
      <c r="AC42" s="215">
        <f t="shared" si="49"/>
        <v>-336</v>
      </c>
      <c r="AD42" s="215">
        <f t="shared" si="49"/>
        <v>-336</v>
      </c>
      <c r="AS42" s="268"/>
      <c r="AT42" s="321"/>
      <c r="AU42" s="321" t="str">
        <f>A42&amp;B42&amp;C42&amp;D42</f>
        <v/>
      </c>
      <c r="AV42" s="321" t="str">
        <f t="shared" si="37"/>
        <v>Opex</v>
      </c>
      <c r="AW42" s="321">
        <f ca="1">SUM(OFFSET($G42,0,AV$3+1):OFFSET($G42,0,AW$3))</f>
        <v>0</v>
      </c>
      <c r="AX42" s="327">
        <f ca="1">SUM(OFFSET($G42,0,AW$3+1):OFFSET($G42,0,AX$3))</f>
        <v>0</v>
      </c>
      <c r="AY42" s="327">
        <f ca="1">SUM(OFFSET($G42,0,AX$3+1):OFFSET($G42,0,AY$3))</f>
        <v>0</v>
      </c>
      <c r="AZ42" s="327">
        <f ca="1">SUM(OFFSET($G42,0,AY$3+1):OFFSET($G42,0,AZ$3))</f>
        <v>0</v>
      </c>
      <c r="BA42" s="327">
        <f ca="1">SUM(OFFSET($G42,0,AZ$3+1):OFFSET($G42,0,BA$3))</f>
        <v>-112</v>
      </c>
      <c r="BB42" s="327">
        <f ca="1">SUM(OFFSET($G42,0,BA$3+1):OFFSET($G42,0,BB$3))</f>
        <v>-896</v>
      </c>
      <c r="BC42" s="327">
        <f ca="1">SUM(OFFSET($G42,0,BB$3+1):OFFSET($G42,0,BC$3))</f>
        <v>-1008</v>
      </c>
      <c r="BD42" s="327">
        <f ca="1">SUM(OFFSET($G42,0,BC$3+1):OFFSET($G42,0,BD$3))</f>
        <v>-1008</v>
      </c>
    </row>
    <row r="43" spans="2:56" s="130" customFormat="1" x14ac:dyDescent="0.2">
      <c r="D43" s="147" t="s">
        <v>308</v>
      </c>
      <c r="E43" s="147"/>
      <c r="F43" s="203"/>
      <c r="G43" s="203"/>
      <c r="H43" s="203"/>
      <c r="I43" s="203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>
        <f t="shared" ref="U43:AD43" si="50">SUM(U40:U42)</f>
        <v>341.6</v>
      </c>
      <c r="V43" s="215">
        <f t="shared" si="50"/>
        <v>683.2</v>
      </c>
      <c r="W43" s="215">
        <f t="shared" si="50"/>
        <v>1024.8</v>
      </c>
      <c r="X43" s="215">
        <f t="shared" si="50"/>
        <v>1024.8</v>
      </c>
      <c r="Y43" s="215">
        <f t="shared" si="50"/>
        <v>1024.8</v>
      </c>
      <c r="Z43" s="215">
        <f t="shared" si="50"/>
        <v>1024.8</v>
      </c>
      <c r="AA43" s="215">
        <f t="shared" si="50"/>
        <v>1024.8</v>
      </c>
      <c r="AB43" s="215">
        <f t="shared" si="50"/>
        <v>1024.8</v>
      </c>
      <c r="AC43" s="215">
        <f t="shared" si="50"/>
        <v>1024.8</v>
      </c>
      <c r="AD43" s="215">
        <f t="shared" si="50"/>
        <v>1024.8</v>
      </c>
      <c r="AS43" s="275"/>
      <c r="AT43" s="325"/>
      <c r="AU43" s="325"/>
      <c r="AV43" s="326" t="str">
        <f>A43&amp;B43&amp;C43&amp;D43&amp;E43</f>
        <v>Site #5: Operating Income</v>
      </c>
      <c r="AW43" s="327">
        <f ca="1">SUM(OFFSET($G43,0,AV$3+1):OFFSET($G43,0,AW$3))</f>
        <v>0</v>
      </c>
      <c r="AX43" s="327">
        <f ca="1">SUM(OFFSET($G43,0,AW$3+1):OFFSET($G43,0,AX$3))</f>
        <v>0</v>
      </c>
      <c r="AY43" s="327">
        <f ca="1">SUM(OFFSET($G43,0,AX$3+1):OFFSET($G43,0,AY$3))</f>
        <v>0</v>
      </c>
      <c r="AZ43" s="327">
        <f ca="1">SUM(OFFSET($G43,0,AY$3+1):OFFSET($G43,0,AZ$3))</f>
        <v>0</v>
      </c>
      <c r="BA43" s="327">
        <f ca="1">SUM(OFFSET($G43,0,AZ$3+1):OFFSET($G43,0,BA$3))</f>
        <v>341.6</v>
      </c>
      <c r="BB43" s="327">
        <f ca="1">SUM(OFFSET($G43,0,BA$3+1):OFFSET($G43,0,BB$3))</f>
        <v>2732.8</v>
      </c>
      <c r="BC43" s="327">
        <f ca="1">SUM(OFFSET($G43,0,BB$3+1):OFFSET($G43,0,BC$3))</f>
        <v>3074.3999999999996</v>
      </c>
      <c r="BD43" s="327">
        <f ca="1">SUM(OFFSET($G43,0,BC$3+1):OFFSET($G43,0,BD$3))</f>
        <v>3074.3999999999996</v>
      </c>
    </row>
    <row r="44" spans="2:56" outlineLevel="1" x14ac:dyDescent="0.2">
      <c r="B44" s="135"/>
      <c r="E44" s="135"/>
      <c r="G44" s="136"/>
      <c r="H44" s="136"/>
      <c r="I44" s="136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S44" s="273"/>
      <c r="AT44" s="321" t="str">
        <f>A44&amp;B44&amp;C44&amp;D44</f>
        <v/>
      </c>
      <c r="AU44" s="284"/>
      <c r="AV44" s="284"/>
      <c r="AW44" s="321">
        <f ca="1">SUM(OFFSET($G44,0,AV$3+1):OFFSET($G44,0,AW$3))</f>
        <v>0</v>
      </c>
      <c r="AX44" s="284">
        <f ca="1">SUM(OFFSET($G44,0,AW$3+1):OFFSET($G44,0,AX$3))</f>
        <v>0</v>
      </c>
      <c r="AY44" s="328">
        <f ca="1">SUM(OFFSET($G44,0,AX$3+1):OFFSET($G44,0,AY$3))</f>
        <v>0</v>
      </c>
      <c r="AZ44" s="328">
        <f ca="1">SUM(OFFSET($G44,0,AY$3+1):OFFSET($G44,0,AZ$3))</f>
        <v>0</v>
      </c>
      <c r="BA44" s="328">
        <f ca="1">SUM(OFFSET($G44,0,AZ$3+1):OFFSET($G44,0,BA$3))</f>
        <v>0</v>
      </c>
      <c r="BB44" s="329">
        <f ca="1">SUM(OFFSET($G44,0,BA$3+1):OFFSET($G44,0,BB$3))</f>
        <v>0</v>
      </c>
      <c r="BC44" s="329">
        <f ca="1">SUM(OFFSET($G44,0,BB$3+1):OFFSET($G44,0,BC$3))</f>
        <v>0</v>
      </c>
      <c r="BD44" s="329">
        <f ca="1">SUM(OFFSET($G44,0,BC$3+1):OFFSET($G44,0,BD$3))</f>
        <v>0</v>
      </c>
    </row>
    <row r="45" spans="2:56" ht="13.5" thickBot="1" x14ac:dyDescent="0.25">
      <c r="B45" s="135"/>
      <c r="C45" s="108" t="s">
        <v>297</v>
      </c>
      <c r="D45" s="108"/>
      <c r="E45" s="108"/>
      <c r="F45" s="108"/>
      <c r="G45" s="207">
        <f t="shared" ref="G45:AC45" si="51">G11+G19+G27+G35+G43</f>
        <v>0</v>
      </c>
      <c r="H45" s="207">
        <f t="shared" si="51"/>
        <v>0</v>
      </c>
      <c r="I45" s="207">
        <f t="shared" si="51"/>
        <v>0</v>
      </c>
      <c r="J45" s="207">
        <f t="shared" si="51"/>
        <v>648</v>
      </c>
      <c r="K45" s="207">
        <f t="shared" si="51"/>
        <v>1296</v>
      </c>
      <c r="L45" s="207">
        <f t="shared" si="51"/>
        <v>1944</v>
      </c>
      <c r="M45" s="207">
        <f t="shared" si="51"/>
        <v>2430</v>
      </c>
      <c r="N45" s="207">
        <f t="shared" si="51"/>
        <v>1944</v>
      </c>
      <c r="O45" s="207">
        <f t="shared" si="51"/>
        <v>1944</v>
      </c>
      <c r="P45" s="207">
        <f t="shared" si="51"/>
        <v>1944</v>
      </c>
      <c r="Q45" s="207">
        <f t="shared" si="51"/>
        <v>1944</v>
      </c>
      <c r="R45" s="207">
        <f t="shared" si="51"/>
        <v>2383.1999999999998</v>
      </c>
      <c r="S45" s="207">
        <f t="shared" si="51"/>
        <v>3212.8</v>
      </c>
      <c r="T45" s="207">
        <f t="shared" si="51"/>
        <v>4384</v>
      </c>
      <c r="U45" s="207">
        <f t="shared" si="51"/>
        <v>5457.6</v>
      </c>
      <c r="V45" s="207">
        <f t="shared" si="51"/>
        <v>6140.8</v>
      </c>
      <c r="W45" s="207">
        <f t="shared" si="51"/>
        <v>6482.4000000000005</v>
      </c>
      <c r="X45" s="207">
        <f t="shared" si="51"/>
        <v>6482.4000000000005</v>
      </c>
      <c r="Y45" s="207">
        <f t="shared" si="51"/>
        <v>6482.4000000000005</v>
      </c>
      <c r="Z45" s="207">
        <f t="shared" si="51"/>
        <v>6482.4000000000005</v>
      </c>
      <c r="AA45" s="207">
        <f t="shared" si="51"/>
        <v>6482.4000000000005</v>
      </c>
      <c r="AB45" s="207">
        <f t="shared" si="51"/>
        <v>6482.4000000000005</v>
      </c>
      <c r="AC45" s="207">
        <f t="shared" si="51"/>
        <v>6482.4000000000005</v>
      </c>
      <c r="AD45" s="207">
        <f>AD11+AD19+AD27+AD35+AD43</f>
        <v>6482.4000000000005</v>
      </c>
      <c r="AS45" s="268"/>
      <c r="AT45" s="321"/>
      <c r="AU45" s="309" t="str">
        <f>A45&amp;B45&amp;C45&amp;D45&amp;E45</f>
        <v>Total Operating Income</v>
      </c>
      <c r="AV45" s="309"/>
      <c r="AW45" s="330">
        <f ca="1">SUM(OFFSET($G45,0,AV$3+1):OFFSET($G45,0,AW$3))</f>
        <v>0</v>
      </c>
      <c r="AX45" s="330">
        <f ca="1">SUM(OFFSET($G45,0,AW$3+1):OFFSET($G45,0,AX$3))</f>
        <v>3888</v>
      </c>
      <c r="AY45" s="330">
        <f ca="1">SUM(OFFSET($G45,0,AX$3+1):OFFSET($G45,0,AY$3))</f>
        <v>6318</v>
      </c>
      <c r="AZ45" s="330">
        <f ca="1">SUM(OFFSET($G45,0,AY$3+1):OFFSET($G45,0,AZ$3))</f>
        <v>6271.2</v>
      </c>
      <c r="BA45" s="330">
        <f ca="1">SUM(OFFSET($G45,0,AZ$3+1):OFFSET($G45,0,BA$3))</f>
        <v>13054.400000000001</v>
      </c>
      <c r="BB45" s="330">
        <f ca="1">SUM(OFFSET($G45,0,BA$3+1):OFFSET($G45,0,BB$3))</f>
        <v>19105.600000000002</v>
      </c>
      <c r="BC45" s="330">
        <f ca="1">SUM(OFFSET($G45,0,BB$3+1):OFFSET($G45,0,BC$3))</f>
        <v>19447.2</v>
      </c>
      <c r="BD45" s="330">
        <f ca="1">SUM(OFFSET($G45,0,BC$3+1):OFFSET($G45,0,BD$3))</f>
        <v>19447.2</v>
      </c>
    </row>
    <row r="46" spans="2:56" outlineLevel="1" x14ac:dyDescent="0.2">
      <c r="B46" s="135"/>
      <c r="C46" s="130"/>
      <c r="D46" s="130"/>
      <c r="E46" s="130"/>
      <c r="F46" s="130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S46" s="268"/>
      <c r="AT46" s="321"/>
      <c r="AU46" s="325"/>
      <c r="AV46" s="325" t="str">
        <f t="shared" ref="AV46:AV51" si="52">A46&amp;B46&amp;C46&amp;D46&amp;E46</f>
        <v/>
      </c>
      <c r="AW46" s="325">
        <f ca="1">SUM(OFFSET($G46,0,AV$3+1):OFFSET($G46,0,AW$3))</f>
        <v>0</v>
      </c>
      <c r="AX46" s="325">
        <f ca="1">SUM(OFFSET($G46,0,AW$3+1):OFFSET($G46,0,AX$3))</f>
        <v>0</v>
      </c>
      <c r="AY46" s="331">
        <f ca="1">SUM(OFFSET($G46,0,AX$3+1):OFFSET($G46,0,AY$3))</f>
        <v>0</v>
      </c>
      <c r="AZ46" s="331">
        <f ca="1">SUM(OFFSET($G46,0,AY$3+1):OFFSET($G46,0,AZ$3))</f>
        <v>0</v>
      </c>
      <c r="BA46" s="331">
        <f ca="1">SUM(OFFSET($G46,0,AZ$3+1):OFFSET($G46,0,BA$3))</f>
        <v>0</v>
      </c>
      <c r="BB46" s="331">
        <f ca="1">SUM(OFFSET($G46,0,BA$3+1):OFFSET($G46,0,BB$3))</f>
        <v>0</v>
      </c>
      <c r="BC46" s="331">
        <f ca="1">SUM(OFFSET($G46,0,BB$3+1):OFFSET($G46,0,BC$3))</f>
        <v>0</v>
      </c>
      <c r="BD46" s="331">
        <f ca="1">SUM(OFFSET($G46,0,BC$3+1):OFFSET($G46,0,BD$3))</f>
        <v>0</v>
      </c>
    </row>
    <row r="47" spans="2:56" x14ac:dyDescent="0.2">
      <c r="B47" s="135"/>
      <c r="C47" s="130"/>
      <c r="D47" s="130" t="s">
        <v>311</v>
      </c>
      <c r="E47" s="130"/>
      <c r="F47" s="130"/>
      <c r="G47" s="202"/>
      <c r="H47" s="202"/>
      <c r="I47" s="202"/>
      <c r="J47" s="202">
        <f t="shared" ref="J47:AD47" si="53">IF(J87&gt;0,J87,0)</f>
        <v>518.40000000000009</v>
      </c>
      <c r="K47" s="202">
        <f t="shared" si="53"/>
        <v>796.72499999999991</v>
      </c>
      <c r="L47" s="202">
        <f t="shared" si="53"/>
        <v>972</v>
      </c>
      <c r="M47" s="202">
        <f t="shared" si="53"/>
        <v>1215</v>
      </c>
      <c r="N47" s="202">
        <f t="shared" si="53"/>
        <v>972</v>
      </c>
      <c r="O47" s="202">
        <f t="shared" si="53"/>
        <v>972</v>
      </c>
      <c r="P47" s="202">
        <f t="shared" si="53"/>
        <v>972</v>
      </c>
      <c r="Q47" s="202">
        <f t="shared" si="53"/>
        <v>972</v>
      </c>
      <c r="R47" s="202">
        <f t="shared" si="53"/>
        <v>972</v>
      </c>
      <c r="S47" s="202">
        <f t="shared" si="53"/>
        <v>972</v>
      </c>
      <c r="T47" s="202">
        <f t="shared" si="53"/>
        <v>972</v>
      </c>
      <c r="U47" s="202">
        <f t="shared" si="53"/>
        <v>972</v>
      </c>
      <c r="V47" s="202">
        <f t="shared" si="53"/>
        <v>972</v>
      </c>
      <c r="W47" s="202">
        <f t="shared" si="53"/>
        <v>972</v>
      </c>
      <c r="X47" s="202">
        <f t="shared" si="53"/>
        <v>972</v>
      </c>
      <c r="Y47" s="202">
        <f t="shared" si="53"/>
        <v>972</v>
      </c>
      <c r="Z47" s="202">
        <f t="shared" si="53"/>
        <v>972</v>
      </c>
      <c r="AA47" s="202">
        <f t="shared" si="53"/>
        <v>972</v>
      </c>
      <c r="AB47" s="202">
        <f t="shared" si="53"/>
        <v>972</v>
      </c>
      <c r="AC47" s="202">
        <f t="shared" si="53"/>
        <v>972</v>
      </c>
      <c r="AD47" s="202">
        <f t="shared" si="53"/>
        <v>972</v>
      </c>
      <c r="AS47" s="268"/>
      <c r="AT47" s="321"/>
      <c r="AU47" s="325"/>
      <c r="AV47" s="325" t="str">
        <f t="shared" si="52"/>
        <v>Site #1: Op Inc Share</v>
      </c>
      <c r="AW47" s="308">
        <f ca="1">SUM(OFFSET($G47,0,AV$3+1):OFFSET($G47,0,AW$3))</f>
        <v>0</v>
      </c>
      <c r="AX47" s="308">
        <f ca="1">SUM(OFFSET($G47,0,AW$3+1):OFFSET($G47,0,AX$3))</f>
        <v>2287.125</v>
      </c>
      <c r="AY47" s="308">
        <f ca="1">SUM(OFFSET($G47,0,AX$3+1):OFFSET($G47,0,AY$3))</f>
        <v>3159</v>
      </c>
      <c r="AZ47" s="308">
        <f ca="1">SUM(OFFSET($G47,0,AY$3+1):OFFSET($G47,0,AZ$3))</f>
        <v>2916</v>
      </c>
      <c r="BA47" s="308">
        <f ca="1">SUM(OFFSET($G47,0,AZ$3+1):OFFSET($G47,0,BA$3))</f>
        <v>2916</v>
      </c>
      <c r="BB47" s="308">
        <f ca="1">SUM(OFFSET($G47,0,BA$3+1):OFFSET($G47,0,BB$3))</f>
        <v>2916</v>
      </c>
      <c r="BC47" s="308">
        <f ca="1">SUM(OFFSET($G47,0,BB$3+1):OFFSET($G47,0,BC$3))</f>
        <v>2916</v>
      </c>
      <c r="BD47" s="308">
        <f ca="1">SUM(OFFSET($G47,0,BC$3+1):OFFSET($G47,0,BD$3))</f>
        <v>2916</v>
      </c>
    </row>
    <row r="48" spans="2:56" x14ac:dyDescent="0.2">
      <c r="B48" s="135"/>
      <c r="C48" s="130"/>
      <c r="D48" s="130" t="s">
        <v>312</v>
      </c>
      <c r="E48" s="130"/>
      <c r="F48" s="130"/>
      <c r="G48" s="202"/>
      <c r="H48" s="202"/>
      <c r="I48" s="202"/>
      <c r="J48" s="202">
        <f t="shared" ref="J48:AD48" si="54">IF(J95&gt;0,J95,0)</f>
        <v>0</v>
      </c>
      <c r="K48" s="202">
        <f t="shared" si="54"/>
        <v>0</v>
      </c>
      <c r="L48" s="202">
        <f t="shared" si="54"/>
        <v>0</v>
      </c>
      <c r="M48" s="202">
        <f t="shared" si="54"/>
        <v>0</v>
      </c>
      <c r="N48" s="202">
        <f t="shared" si="54"/>
        <v>0</v>
      </c>
      <c r="O48" s="202">
        <f t="shared" si="54"/>
        <v>0</v>
      </c>
      <c r="P48" s="202">
        <f t="shared" si="54"/>
        <v>0</v>
      </c>
      <c r="Q48" s="202">
        <f t="shared" si="54"/>
        <v>0</v>
      </c>
      <c r="R48" s="202">
        <f t="shared" si="54"/>
        <v>351.36000000000007</v>
      </c>
      <c r="S48" s="202">
        <f t="shared" si="54"/>
        <v>633.69000000000005</v>
      </c>
      <c r="T48" s="202">
        <f t="shared" si="54"/>
        <v>658.8</v>
      </c>
      <c r="U48" s="202">
        <f t="shared" si="54"/>
        <v>658.8</v>
      </c>
      <c r="V48" s="202">
        <f t="shared" si="54"/>
        <v>658.8</v>
      </c>
      <c r="W48" s="202">
        <f t="shared" si="54"/>
        <v>658.8</v>
      </c>
      <c r="X48" s="202">
        <f t="shared" si="54"/>
        <v>658.8</v>
      </c>
      <c r="Y48" s="202">
        <f t="shared" si="54"/>
        <v>658.8</v>
      </c>
      <c r="Z48" s="202">
        <f t="shared" si="54"/>
        <v>658.8</v>
      </c>
      <c r="AA48" s="202">
        <f t="shared" si="54"/>
        <v>658.8</v>
      </c>
      <c r="AB48" s="202">
        <f t="shared" si="54"/>
        <v>658.8</v>
      </c>
      <c r="AC48" s="202">
        <f t="shared" si="54"/>
        <v>658.8</v>
      </c>
      <c r="AD48" s="202">
        <f t="shared" si="54"/>
        <v>658.8</v>
      </c>
      <c r="AS48" s="268"/>
      <c r="AT48" s="321"/>
      <c r="AU48" s="325"/>
      <c r="AV48" s="325" t="str">
        <f t="shared" si="52"/>
        <v>Site #2: Op Inc Share</v>
      </c>
      <c r="AW48" s="308">
        <f ca="1">SUM(OFFSET($G48,0,AV$3+1):OFFSET($G48,0,AW$3))</f>
        <v>0</v>
      </c>
      <c r="AX48" s="308">
        <f ca="1">SUM(OFFSET($G48,0,AW$3+1):OFFSET($G48,0,AX$3))</f>
        <v>0</v>
      </c>
      <c r="AY48" s="308">
        <f ca="1">SUM(OFFSET($G48,0,AX$3+1):OFFSET($G48,0,AY$3))</f>
        <v>0</v>
      </c>
      <c r="AZ48" s="308">
        <f ca="1">SUM(OFFSET($G48,0,AY$3+1):OFFSET($G48,0,AZ$3))</f>
        <v>351.36000000000007</v>
      </c>
      <c r="BA48" s="308">
        <f ca="1">SUM(OFFSET($G48,0,AZ$3+1):OFFSET($G48,0,BA$3))</f>
        <v>1951.29</v>
      </c>
      <c r="BB48" s="308">
        <f ca="1">SUM(OFFSET($G48,0,BA$3+1):OFFSET($G48,0,BB$3))</f>
        <v>1976.3999999999999</v>
      </c>
      <c r="BC48" s="308">
        <f ca="1">SUM(OFFSET($G48,0,BB$3+1):OFFSET($G48,0,BC$3))</f>
        <v>1976.3999999999999</v>
      </c>
      <c r="BD48" s="308">
        <f ca="1">SUM(OFFSET($G48,0,BC$3+1):OFFSET($G48,0,BD$3))</f>
        <v>1976.3999999999999</v>
      </c>
    </row>
    <row r="49" spans="2:56" x14ac:dyDescent="0.2">
      <c r="B49" s="135"/>
      <c r="C49" s="130"/>
      <c r="D49" s="130" t="s">
        <v>313</v>
      </c>
      <c r="E49" s="130"/>
      <c r="F49" s="130"/>
      <c r="G49" s="202"/>
      <c r="H49" s="202"/>
      <c r="I49" s="202"/>
      <c r="J49" s="202">
        <f t="shared" ref="J49:AD49" si="55">IF(J103&gt;0,J103,0)</f>
        <v>0</v>
      </c>
      <c r="K49" s="202">
        <f t="shared" si="55"/>
        <v>0</v>
      </c>
      <c r="L49" s="202">
        <f t="shared" si="55"/>
        <v>0</v>
      </c>
      <c r="M49" s="202">
        <f t="shared" si="55"/>
        <v>0</v>
      </c>
      <c r="N49" s="202">
        <f t="shared" si="55"/>
        <v>0</v>
      </c>
      <c r="O49" s="202">
        <f t="shared" si="55"/>
        <v>0</v>
      </c>
      <c r="P49" s="202">
        <f t="shared" si="55"/>
        <v>0</v>
      </c>
      <c r="Q49" s="202">
        <f t="shared" si="55"/>
        <v>0</v>
      </c>
      <c r="R49" s="202">
        <f t="shared" si="55"/>
        <v>0</v>
      </c>
      <c r="S49" s="202">
        <f t="shared" si="55"/>
        <v>312.32</v>
      </c>
      <c r="T49" s="202">
        <f t="shared" si="55"/>
        <v>599.53</v>
      </c>
      <c r="U49" s="202">
        <f t="shared" si="55"/>
        <v>585.6</v>
      </c>
      <c r="V49" s="202">
        <f t="shared" si="55"/>
        <v>585.6</v>
      </c>
      <c r="W49" s="202">
        <f t="shared" si="55"/>
        <v>585.6</v>
      </c>
      <c r="X49" s="202">
        <f t="shared" si="55"/>
        <v>585.6</v>
      </c>
      <c r="Y49" s="202">
        <f t="shared" si="55"/>
        <v>585.6</v>
      </c>
      <c r="Z49" s="202">
        <f t="shared" si="55"/>
        <v>585.6</v>
      </c>
      <c r="AA49" s="202">
        <f t="shared" si="55"/>
        <v>585.6</v>
      </c>
      <c r="AB49" s="202">
        <f t="shared" si="55"/>
        <v>585.6</v>
      </c>
      <c r="AC49" s="202">
        <f t="shared" si="55"/>
        <v>585.6</v>
      </c>
      <c r="AD49" s="202">
        <f t="shared" si="55"/>
        <v>585.6</v>
      </c>
      <c r="AS49" s="268"/>
      <c r="AT49" s="321"/>
      <c r="AU49" s="325"/>
      <c r="AV49" s="325" t="str">
        <f t="shared" si="52"/>
        <v>Site #3: Op Inc Share</v>
      </c>
      <c r="AW49" s="308">
        <f ca="1">SUM(OFFSET($G49,0,AV$3+1):OFFSET($G49,0,AW$3))</f>
        <v>0</v>
      </c>
      <c r="AX49" s="308">
        <f ca="1">SUM(OFFSET($G49,0,AW$3+1):OFFSET($G49,0,AX$3))</f>
        <v>0</v>
      </c>
      <c r="AY49" s="308">
        <f ca="1">SUM(OFFSET($G49,0,AX$3+1):OFFSET($G49,0,AY$3))</f>
        <v>0</v>
      </c>
      <c r="AZ49" s="308">
        <f ca="1">SUM(OFFSET($G49,0,AY$3+1):OFFSET($G49,0,AZ$3))</f>
        <v>0</v>
      </c>
      <c r="BA49" s="308">
        <f ca="1">SUM(OFFSET($G49,0,AZ$3+1):OFFSET($G49,0,BA$3))</f>
        <v>1497.4499999999998</v>
      </c>
      <c r="BB49" s="308">
        <f ca="1">SUM(OFFSET($G49,0,BA$3+1):OFFSET($G49,0,BB$3))</f>
        <v>1756.8000000000002</v>
      </c>
      <c r="BC49" s="308">
        <f ca="1">SUM(OFFSET($G49,0,BB$3+1):OFFSET($G49,0,BC$3))</f>
        <v>1756.8000000000002</v>
      </c>
      <c r="BD49" s="308">
        <f ca="1">SUM(OFFSET($G49,0,BC$3+1):OFFSET($G49,0,BD$3))</f>
        <v>1756.8000000000002</v>
      </c>
    </row>
    <row r="50" spans="2:56" x14ac:dyDescent="0.2">
      <c r="B50" s="135"/>
      <c r="C50" s="130"/>
      <c r="D50" s="130" t="s">
        <v>314</v>
      </c>
      <c r="E50" s="130"/>
      <c r="F50" s="130"/>
      <c r="G50" s="202"/>
      <c r="H50" s="202"/>
      <c r="I50" s="202"/>
      <c r="J50" s="202">
        <f t="shared" ref="J50:AD50" si="56">IF(J111&gt;0,J111,0)</f>
        <v>0</v>
      </c>
      <c r="K50" s="202">
        <f t="shared" si="56"/>
        <v>0</v>
      </c>
      <c r="L50" s="202">
        <f t="shared" si="56"/>
        <v>0</v>
      </c>
      <c r="M50" s="202">
        <f t="shared" si="56"/>
        <v>0</v>
      </c>
      <c r="N50" s="202">
        <f t="shared" si="56"/>
        <v>0</v>
      </c>
      <c r="O50" s="202">
        <f t="shared" si="56"/>
        <v>0</v>
      </c>
      <c r="P50" s="202">
        <f t="shared" si="56"/>
        <v>0</v>
      </c>
      <c r="Q50" s="202">
        <f t="shared" si="56"/>
        <v>0</v>
      </c>
      <c r="R50" s="202">
        <f t="shared" si="56"/>
        <v>0</v>
      </c>
      <c r="S50" s="202">
        <f t="shared" si="56"/>
        <v>0</v>
      </c>
      <c r="T50" s="202">
        <f t="shared" si="56"/>
        <v>273.28000000000003</v>
      </c>
      <c r="U50" s="202">
        <f t="shared" si="56"/>
        <v>546.56000000000006</v>
      </c>
      <c r="V50" s="202">
        <f t="shared" si="56"/>
        <v>531.21</v>
      </c>
      <c r="W50" s="202">
        <f t="shared" si="56"/>
        <v>512.4</v>
      </c>
      <c r="X50" s="202">
        <f t="shared" si="56"/>
        <v>512.4</v>
      </c>
      <c r="Y50" s="202">
        <f t="shared" si="56"/>
        <v>512.4</v>
      </c>
      <c r="Z50" s="202">
        <f t="shared" si="56"/>
        <v>512.4</v>
      </c>
      <c r="AA50" s="202">
        <f t="shared" si="56"/>
        <v>512.4</v>
      </c>
      <c r="AB50" s="202">
        <f t="shared" si="56"/>
        <v>512.4</v>
      </c>
      <c r="AC50" s="202">
        <f t="shared" si="56"/>
        <v>512.4</v>
      </c>
      <c r="AD50" s="202">
        <f t="shared" si="56"/>
        <v>512.4</v>
      </c>
      <c r="AS50" s="268"/>
      <c r="AT50" s="321"/>
      <c r="AU50" s="325"/>
      <c r="AV50" s="325" t="str">
        <f t="shared" si="52"/>
        <v>Site #4: Op Inc Share</v>
      </c>
      <c r="AW50" s="308">
        <f ca="1">SUM(OFFSET($G50,0,AV$3+1):OFFSET($G50,0,AW$3))</f>
        <v>0</v>
      </c>
      <c r="AX50" s="308">
        <f ca="1">SUM(OFFSET($G50,0,AW$3+1):OFFSET($G50,0,AX$3))</f>
        <v>0</v>
      </c>
      <c r="AY50" s="308">
        <f ca="1">SUM(OFFSET($G50,0,AX$3+1):OFFSET($G50,0,AY$3))</f>
        <v>0</v>
      </c>
      <c r="AZ50" s="308">
        <f ca="1">SUM(OFFSET($G50,0,AY$3+1):OFFSET($G50,0,AZ$3))</f>
        <v>0</v>
      </c>
      <c r="BA50" s="308">
        <f ca="1">SUM(OFFSET($G50,0,AZ$3+1):OFFSET($G50,0,BA$3))</f>
        <v>819.84000000000015</v>
      </c>
      <c r="BB50" s="308">
        <f ca="1">SUM(OFFSET($G50,0,BA$3+1):OFFSET($G50,0,BB$3))</f>
        <v>1556.0100000000002</v>
      </c>
      <c r="BC50" s="308">
        <f ca="1">SUM(OFFSET($G50,0,BB$3+1):OFFSET($G50,0,BC$3))</f>
        <v>1537.1999999999998</v>
      </c>
      <c r="BD50" s="308">
        <f ca="1">SUM(OFFSET($G50,0,BC$3+1):OFFSET($G50,0,BD$3))</f>
        <v>1537.1999999999998</v>
      </c>
    </row>
    <row r="51" spans="2:56" x14ac:dyDescent="0.2">
      <c r="B51" s="135"/>
      <c r="C51" s="130"/>
      <c r="D51" s="130" t="s">
        <v>315</v>
      </c>
      <c r="E51" s="130"/>
      <c r="F51" s="130"/>
      <c r="G51" s="202"/>
      <c r="H51" s="202"/>
      <c r="I51" s="202"/>
      <c r="J51" s="202">
        <f t="shared" ref="J51:AD51" si="57">IF(J119&gt;0,J119,0)</f>
        <v>0</v>
      </c>
      <c r="K51" s="202">
        <f t="shared" si="57"/>
        <v>0</v>
      </c>
      <c r="L51" s="202">
        <f t="shared" si="57"/>
        <v>0</v>
      </c>
      <c r="M51" s="202">
        <f t="shared" si="57"/>
        <v>0</v>
      </c>
      <c r="N51" s="202">
        <f t="shared" si="57"/>
        <v>0</v>
      </c>
      <c r="O51" s="202">
        <f t="shared" si="57"/>
        <v>0</v>
      </c>
      <c r="P51" s="202">
        <f t="shared" si="57"/>
        <v>0</v>
      </c>
      <c r="Q51" s="202">
        <f t="shared" si="57"/>
        <v>0</v>
      </c>
      <c r="R51" s="202">
        <f t="shared" si="57"/>
        <v>0</v>
      </c>
      <c r="S51" s="202">
        <f t="shared" si="57"/>
        <v>0</v>
      </c>
      <c r="T51" s="202">
        <f t="shared" si="57"/>
        <v>0</v>
      </c>
      <c r="U51" s="202">
        <f t="shared" si="57"/>
        <v>273.28000000000003</v>
      </c>
      <c r="V51" s="202">
        <f t="shared" si="57"/>
        <v>546.56000000000006</v>
      </c>
      <c r="W51" s="202">
        <f t="shared" si="57"/>
        <v>531.21</v>
      </c>
      <c r="X51" s="202">
        <f t="shared" si="57"/>
        <v>512.4</v>
      </c>
      <c r="Y51" s="202">
        <f t="shared" si="57"/>
        <v>512.4</v>
      </c>
      <c r="Z51" s="202">
        <f t="shared" si="57"/>
        <v>512.4</v>
      </c>
      <c r="AA51" s="202">
        <f t="shared" si="57"/>
        <v>512.4</v>
      </c>
      <c r="AB51" s="202">
        <f t="shared" si="57"/>
        <v>512.4</v>
      </c>
      <c r="AC51" s="202">
        <f t="shared" si="57"/>
        <v>512.4</v>
      </c>
      <c r="AD51" s="202">
        <f t="shared" si="57"/>
        <v>512.4</v>
      </c>
      <c r="AS51" s="268"/>
      <c r="AT51" s="321"/>
      <c r="AU51" s="325"/>
      <c r="AV51" s="325" t="str">
        <f t="shared" si="52"/>
        <v>Site #5: Op Inc Share</v>
      </c>
      <c r="AW51" s="308">
        <f ca="1">SUM(OFFSET($G51,0,AV$3+1):OFFSET($G51,0,AW$3))</f>
        <v>0</v>
      </c>
      <c r="AX51" s="308">
        <f ca="1">SUM(OFFSET($G51,0,AW$3+1):OFFSET($G51,0,AX$3))</f>
        <v>0</v>
      </c>
      <c r="AY51" s="308">
        <f ca="1">SUM(OFFSET($G51,0,AX$3+1):OFFSET($G51,0,AY$3))</f>
        <v>0</v>
      </c>
      <c r="AZ51" s="308">
        <f ca="1">SUM(OFFSET($G51,0,AY$3+1):OFFSET($G51,0,AZ$3))</f>
        <v>0</v>
      </c>
      <c r="BA51" s="308">
        <f ca="1">SUM(OFFSET($G51,0,AZ$3+1):OFFSET($G51,0,BA$3))</f>
        <v>273.28000000000003</v>
      </c>
      <c r="BB51" s="308">
        <f ca="1">SUM(OFFSET($G51,0,BA$3+1):OFFSET($G51,0,BB$3))</f>
        <v>1590.17</v>
      </c>
      <c r="BC51" s="308">
        <f ca="1">SUM(OFFSET($G51,0,BB$3+1):OFFSET($G51,0,BC$3))</f>
        <v>1537.1999999999998</v>
      </c>
      <c r="BD51" s="308">
        <f ca="1">SUM(OFFSET($G51,0,BC$3+1):OFFSET($G51,0,BD$3))</f>
        <v>1537.1999999999998</v>
      </c>
    </row>
    <row r="52" spans="2:56" ht="13.5" thickBot="1" x14ac:dyDescent="0.25">
      <c r="B52" s="135"/>
      <c r="C52" s="108" t="s">
        <v>335</v>
      </c>
      <c r="D52" s="108"/>
      <c r="E52" s="108"/>
      <c r="F52" s="108"/>
      <c r="G52" s="207"/>
      <c r="H52" s="207"/>
      <c r="I52" s="207"/>
      <c r="J52" s="207">
        <f t="shared" ref="J52:T52" si="58">J47+J48+J49+J50+J51</f>
        <v>518.40000000000009</v>
      </c>
      <c r="K52" s="207">
        <f t="shared" si="58"/>
        <v>796.72499999999991</v>
      </c>
      <c r="L52" s="207">
        <f t="shared" si="58"/>
        <v>972</v>
      </c>
      <c r="M52" s="207">
        <f t="shared" si="58"/>
        <v>1215</v>
      </c>
      <c r="N52" s="207">
        <f t="shared" si="58"/>
        <v>972</v>
      </c>
      <c r="O52" s="207">
        <f t="shared" si="58"/>
        <v>972</v>
      </c>
      <c r="P52" s="207">
        <f t="shared" si="58"/>
        <v>972</v>
      </c>
      <c r="Q52" s="207">
        <f t="shared" si="58"/>
        <v>972</v>
      </c>
      <c r="R52" s="207">
        <f t="shared" si="58"/>
        <v>1323.3600000000001</v>
      </c>
      <c r="S52" s="207">
        <f t="shared" si="58"/>
        <v>1918.01</v>
      </c>
      <c r="T52" s="207">
        <f t="shared" si="58"/>
        <v>2503.61</v>
      </c>
      <c r="U52" s="207">
        <f>U47+U48+U49+U50+U51</f>
        <v>3036.2400000000002</v>
      </c>
      <c r="V52" s="207">
        <f t="shared" ref="V52:AD52" si="59">V47+V48+V49+V50+V51</f>
        <v>3294.17</v>
      </c>
      <c r="W52" s="207">
        <f t="shared" si="59"/>
        <v>3260.01</v>
      </c>
      <c r="X52" s="207">
        <f t="shared" si="59"/>
        <v>3241.2000000000003</v>
      </c>
      <c r="Y52" s="207">
        <f t="shared" si="59"/>
        <v>3241.2000000000003</v>
      </c>
      <c r="Z52" s="207">
        <f t="shared" si="59"/>
        <v>3241.2000000000003</v>
      </c>
      <c r="AA52" s="207">
        <f t="shared" si="59"/>
        <v>3241.2000000000003</v>
      </c>
      <c r="AB52" s="207">
        <f t="shared" si="59"/>
        <v>3241.2000000000003</v>
      </c>
      <c r="AC52" s="207">
        <f t="shared" si="59"/>
        <v>3241.2000000000003</v>
      </c>
      <c r="AD52" s="207">
        <f t="shared" si="59"/>
        <v>3241.2000000000003</v>
      </c>
      <c r="AS52" s="268"/>
      <c r="AT52" s="321"/>
      <c r="AU52" s="309" t="str">
        <f>A52&amp;B52&amp;C52&amp;D52&amp;E52</f>
        <v>Co's Share of Operating Income</v>
      </c>
      <c r="AV52" s="309"/>
      <c r="AW52" s="330">
        <f t="shared" ref="AW52:BD52" ca="1" si="60">AW47+AW48+AW49+AW50+AW51</f>
        <v>0</v>
      </c>
      <c r="AX52" s="330">
        <f t="shared" ca="1" si="60"/>
        <v>2287.125</v>
      </c>
      <c r="AY52" s="330">
        <f t="shared" ca="1" si="60"/>
        <v>3159</v>
      </c>
      <c r="AZ52" s="330">
        <f t="shared" ca="1" si="60"/>
        <v>3267.36</v>
      </c>
      <c r="BA52" s="330">
        <f t="shared" ca="1" si="60"/>
        <v>7457.86</v>
      </c>
      <c r="BB52" s="330">
        <f t="shared" ca="1" si="60"/>
        <v>9795.3799999999992</v>
      </c>
      <c r="BC52" s="330">
        <f t="shared" ca="1" si="60"/>
        <v>9723.5999999999985</v>
      </c>
      <c r="BD52" s="330">
        <f t="shared" ca="1" si="60"/>
        <v>9723.5999999999985</v>
      </c>
    </row>
    <row r="53" spans="2:56" outlineLevel="1" x14ac:dyDescent="0.2">
      <c r="B53" s="135"/>
      <c r="C53" s="130"/>
      <c r="D53" s="130"/>
      <c r="E53" s="130"/>
      <c r="F53" s="130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S53" s="268"/>
      <c r="AT53" s="321"/>
      <c r="AU53" s="325"/>
      <c r="AV53" s="325"/>
      <c r="AW53" s="331"/>
      <c r="AX53" s="331"/>
      <c r="AY53" s="331"/>
      <c r="AZ53" s="331"/>
      <c r="BA53" s="331"/>
      <c r="BB53" s="331"/>
      <c r="BC53" s="331"/>
      <c r="BD53" s="331"/>
    </row>
    <row r="54" spans="2:56" outlineLevel="1" x14ac:dyDescent="0.2">
      <c r="D54" s="131"/>
      <c r="E54" s="131" t="s">
        <v>316</v>
      </c>
      <c r="F54" s="131"/>
      <c r="G54" s="202">
        <v>-75</v>
      </c>
      <c r="H54" s="202">
        <f t="shared" ref="H54:I57" si="61">G54</f>
        <v>-75</v>
      </c>
      <c r="I54" s="202">
        <f t="shared" si="61"/>
        <v>-75</v>
      </c>
      <c r="J54" s="202">
        <v>-85</v>
      </c>
      <c r="K54" s="202">
        <f>J54</f>
        <v>-85</v>
      </c>
      <c r="L54" s="202">
        <f t="shared" ref="L54:AD54" si="62">K54</f>
        <v>-85</v>
      </c>
      <c r="M54" s="202">
        <f t="shared" si="62"/>
        <v>-85</v>
      </c>
      <c r="N54" s="202">
        <f t="shared" si="62"/>
        <v>-85</v>
      </c>
      <c r="O54" s="202">
        <f t="shared" si="62"/>
        <v>-85</v>
      </c>
      <c r="P54" s="202">
        <f t="shared" si="62"/>
        <v>-85</v>
      </c>
      <c r="Q54" s="202">
        <f t="shared" si="62"/>
        <v>-85</v>
      </c>
      <c r="R54" s="202">
        <f t="shared" si="62"/>
        <v>-85</v>
      </c>
      <c r="S54" s="202">
        <f t="shared" si="62"/>
        <v>-85</v>
      </c>
      <c r="T54" s="202">
        <f t="shared" si="62"/>
        <v>-85</v>
      </c>
      <c r="U54" s="202">
        <f t="shared" si="62"/>
        <v>-85</v>
      </c>
      <c r="V54" s="202">
        <f t="shared" si="62"/>
        <v>-85</v>
      </c>
      <c r="W54" s="202">
        <f t="shared" si="62"/>
        <v>-85</v>
      </c>
      <c r="X54" s="202">
        <f t="shared" si="62"/>
        <v>-85</v>
      </c>
      <c r="Y54" s="202">
        <f t="shared" si="62"/>
        <v>-85</v>
      </c>
      <c r="Z54" s="202">
        <f t="shared" si="62"/>
        <v>-85</v>
      </c>
      <c r="AA54" s="202">
        <f t="shared" si="62"/>
        <v>-85</v>
      </c>
      <c r="AB54" s="202">
        <f t="shared" si="62"/>
        <v>-85</v>
      </c>
      <c r="AC54" s="202">
        <f t="shared" si="62"/>
        <v>-85</v>
      </c>
      <c r="AD54" s="202">
        <f t="shared" si="62"/>
        <v>-85</v>
      </c>
      <c r="AS54" s="269"/>
      <c r="AT54" s="284"/>
      <c r="AU54" s="284"/>
      <c r="AV54" s="307" t="str">
        <f t="shared" ref="AV54:AV60" si="63">B54&amp;C54&amp;D54&amp;E54&amp;F54</f>
        <v>Salaries</v>
      </c>
      <c r="AW54" s="308">
        <f ca="1">SUM(OFFSET($G54,0,AV$3+1):OFFSET($G54,0,AW$3))</f>
        <v>-225</v>
      </c>
      <c r="AX54" s="308">
        <f ca="1">SUM(OFFSET($G54,0,AW$3+1):OFFSET($G54,0,AX$3))</f>
        <v>-255</v>
      </c>
      <c r="AY54" s="308">
        <f ca="1">SUM(OFFSET($G54,0,AX$3+1):OFFSET($G54,0,AY$3))</f>
        <v>-255</v>
      </c>
      <c r="AZ54" s="308">
        <f ca="1">SUM(OFFSET($G54,0,AY$3+1):OFFSET($G54,0,AZ$3))</f>
        <v>-255</v>
      </c>
      <c r="BA54" s="308">
        <f ca="1">SUM(OFFSET($G54,0,AZ$3+1):OFFSET($G54,0,BA$3))</f>
        <v>-255</v>
      </c>
      <c r="BB54" s="308">
        <f ca="1">SUM(OFFSET($G54,0,BA$3+1):OFFSET($G54,0,BB$3))</f>
        <v>-255</v>
      </c>
      <c r="BC54" s="308">
        <f ca="1">SUM(OFFSET($G54,0,BB$3+1):OFFSET($G54,0,BC$3))</f>
        <v>-255</v>
      </c>
      <c r="BD54" s="308">
        <f ca="1">SUM(OFFSET($G54,0,BC$3+1):OFFSET($G54,0,BD$3))</f>
        <v>-255</v>
      </c>
    </row>
    <row r="55" spans="2:56" outlineLevel="1" x14ac:dyDescent="0.2">
      <c r="D55" s="131"/>
      <c r="E55" s="131" t="s">
        <v>317</v>
      </c>
      <c r="F55" s="131"/>
      <c r="G55" s="202">
        <v>-25</v>
      </c>
      <c r="H55" s="202">
        <f t="shared" si="61"/>
        <v>-25</v>
      </c>
      <c r="I55" s="202">
        <f t="shared" si="61"/>
        <v>-25</v>
      </c>
      <c r="J55" s="202">
        <f>I55</f>
        <v>-25</v>
      </c>
      <c r="K55" s="202">
        <f>J55</f>
        <v>-25</v>
      </c>
      <c r="L55" s="202">
        <f t="shared" ref="L55:AD55" si="64">K55</f>
        <v>-25</v>
      </c>
      <c r="M55" s="202">
        <f t="shared" si="64"/>
        <v>-25</v>
      </c>
      <c r="N55" s="202">
        <f t="shared" si="64"/>
        <v>-25</v>
      </c>
      <c r="O55" s="202">
        <f t="shared" si="64"/>
        <v>-25</v>
      </c>
      <c r="P55" s="202">
        <f t="shared" si="64"/>
        <v>-25</v>
      </c>
      <c r="Q55" s="202">
        <f t="shared" si="64"/>
        <v>-25</v>
      </c>
      <c r="R55" s="202">
        <f t="shared" si="64"/>
        <v>-25</v>
      </c>
      <c r="S55" s="202">
        <f t="shared" si="64"/>
        <v>-25</v>
      </c>
      <c r="T55" s="202">
        <f t="shared" si="64"/>
        <v>-25</v>
      </c>
      <c r="U55" s="202">
        <f t="shared" si="64"/>
        <v>-25</v>
      </c>
      <c r="V55" s="202">
        <f t="shared" si="64"/>
        <v>-25</v>
      </c>
      <c r="W55" s="202">
        <f t="shared" si="64"/>
        <v>-25</v>
      </c>
      <c r="X55" s="202">
        <f t="shared" si="64"/>
        <v>-25</v>
      </c>
      <c r="Y55" s="202">
        <f t="shared" si="64"/>
        <v>-25</v>
      </c>
      <c r="Z55" s="202">
        <f t="shared" si="64"/>
        <v>-25</v>
      </c>
      <c r="AA55" s="202">
        <f t="shared" si="64"/>
        <v>-25</v>
      </c>
      <c r="AB55" s="202">
        <f t="shared" si="64"/>
        <v>-25</v>
      </c>
      <c r="AC55" s="202">
        <f t="shared" si="64"/>
        <v>-25</v>
      </c>
      <c r="AD55" s="202">
        <f t="shared" si="64"/>
        <v>-25</v>
      </c>
      <c r="AS55" s="268"/>
      <c r="AT55" s="284"/>
      <c r="AU55" s="284"/>
      <c r="AV55" s="307" t="str">
        <f t="shared" si="63"/>
        <v>Travel</v>
      </c>
      <c r="AW55" s="308">
        <f ca="1">SUM(OFFSET($G55,0,AV$3+1):OFFSET($G55,0,AW$3))</f>
        <v>-75</v>
      </c>
      <c r="AX55" s="308">
        <f ca="1">SUM(OFFSET($G55,0,AW$3+1):OFFSET($G55,0,AX$3))</f>
        <v>-75</v>
      </c>
      <c r="AY55" s="308">
        <f ca="1">SUM(OFFSET($G55,0,AX$3+1):OFFSET($G55,0,AY$3))</f>
        <v>-75</v>
      </c>
      <c r="AZ55" s="308">
        <f ca="1">SUM(OFFSET($G55,0,AY$3+1):OFFSET($G55,0,AZ$3))</f>
        <v>-75</v>
      </c>
      <c r="BA55" s="308">
        <f ca="1">SUM(OFFSET($G55,0,AZ$3+1):OFFSET($G55,0,BA$3))</f>
        <v>-75</v>
      </c>
      <c r="BB55" s="308">
        <f ca="1">SUM(OFFSET($G55,0,BA$3+1):OFFSET($G55,0,BB$3))</f>
        <v>-75</v>
      </c>
      <c r="BC55" s="308">
        <f ca="1">SUM(OFFSET($G55,0,BB$3+1):OFFSET($G55,0,BC$3))</f>
        <v>-75</v>
      </c>
      <c r="BD55" s="308">
        <f ca="1">SUM(OFFSET($G55,0,BC$3+1):OFFSET($G55,0,BD$3))</f>
        <v>-75</v>
      </c>
    </row>
    <row r="56" spans="2:56" outlineLevel="1" x14ac:dyDescent="0.2">
      <c r="D56" s="131"/>
      <c r="E56" s="131" t="s">
        <v>318</v>
      </c>
      <c r="F56" s="131"/>
      <c r="G56" s="202">
        <v>-5</v>
      </c>
      <c r="H56" s="202">
        <f t="shared" si="61"/>
        <v>-5</v>
      </c>
      <c r="I56" s="202">
        <f t="shared" si="61"/>
        <v>-5</v>
      </c>
      <c r="J56" s="202">
        <v>-10</v>
      </c>
      <c r="K56" s="202">
        <f>J56</f>
        <v>-10</v>
      </c>
      <c r="L56" s="202">
        <f t="shared" ref="L56:AD58" si="65">K56</f>
        <v>-10</v>
      </c>
      <c r="M56" s="202">
        <f t="shared" si="65"/>
        <v>-10</v>
      </c>
      <c r="N56" s="202">
        <f t="shared" si="65"/>
        <v>-10</v>
      </c>
      <c r="O56" s="202">
        <f t="shared" si="65"/>
        <v>-10</v>
      </c>
      <c r="P56" s="202">
        <f t="shared" si="65"/>
        <v>-10</v>
      </c>
      <c r="Q56" s="202">
        <f t="shared" si="65"/>
        <v>-10</v>
      </c>
      <c r="R56" s="202">
        <v>-15</v>
      </c>
      <c r="S56" s="202">
        <f t="shared" si="65"/>
        <v>-15</v>
      </c>
      <c r="T56" s="202">
        <f t="shared" si="65"/>
        <v>-15</v>
      </c>
      <c r="U56" s="202">
        <f t="shared" si="65"/>
        <v>-15</v>
      </c>
      <c r="V56" s="202">
        <f t="shared" si="65"/>
        <v>-15</v>
      </c>
      <c r="W56" s="202">
        <f t="shared" si="65"/>
        <v>-15</v>
      </c>
      <c r="X56" s="202">
        <f t="shared" si="65"/>
        <v>-15</v>
      </c>
      <c r="Y56" s="202">
        <f t="shared" si="65"/>
        <v>-15</v>
      </c>
      <c r="Z56" s="202">
        <f t="shared" si="65"/>
        <v>-15</v>
      </c>
      <c r="AA56" s="202">
        <f t="shared" si="65"/>
        <v>-15</v>
      </c>
      <c r="AB56" s="202">
        <f t="shared" si="65"/>
        <v>-15</v>
      </c>
      <c r="AC56" s="202">
        <f t="shared" si="65"/>
        <v>-15</v>
      </c>
      <c r="AD56" s="202">
        <f t="shared" si="65"/>
        <v>-15</v>
      </c>
      <c r="AS56" s="268"/>
      <c r="AT56" s="284"/>
      <c r="AU56" s="284"/>
      <c r="AV56" s="307" t="str">
        <f t="shared" si="63"/>
        <v>Office</v>
      </c>
      <c r="AW56" s="308">
        <f ca="1">SUM(OFFSET($G56,0,AV$3+1):OFFSET($G56,0,AW$3))</f>
        <v>-15</v>
      </c>
      <c r="AX56" s="308">
        <f ca="1">SUM(OFFSET($G56,0,AW$3+1):OFFSET($G56,0,AX$3))</f>
        <v>-30</v>
      </c>
      <c r="AY56" s="308">
        <f ca="1">SUM(OFFSET($G56,0,AX$3+1):OFFSET($G56,0,AY$3))</f>
        <v>-30</v>
      </c>
      <c r="AZ56" s="308">
        <f ca="1">SUM(OFFSET($G56,0,AY$3+1):OFFSET($G56,0,AZ$3))</f>
        <v>-35</v>
      </c>
      <c r="BA56" s="308">
        <f ca="1">SUM(OFFSET($G56,0,AZ$3+1):OFFSET($G56,0,BA$3))</f>
        <v>-45</v>
      </c>
      <c r="BB56" s="308">
        <f ca="1">SUM(OFFSET($G56,0,BA$3+1):OFFSET($G56,0,BB$3))</f>
        <v>-45</v>
      </c>
      <c r="BC56" s="308">
        <f ca="1">SUM(OFFSET($G56,0,BB$3+1):OFFSET($G56,0,BC$3))</f>
        <v>-45</v>
      </c>
      <c r="BD56" s="308">
        <f ca="1">SUM(OFFSET($G56,0,BC$3+1):OFFSET($G56,0,BD$3))</f>
        <v>-45</v>
      </c>
    </row>
    <row r="57" spans="2:56" outlineLevel="1" x14ac:dyDescent="0.2">
      <c r="D57" s="131"/>
      <c r="E57" s="131" t="s">
        <v>320</v>
      </c>
      <c r="F57" s="131"/>
      <c r="G57" s="202">
        <v>-3</v>
      </c>
      <c r="H57" s="202">
        <f t="shared" si="61"/>
        <v>-3</v>
      </c>
      <c r="I57" s="202">
        <f t="shared" si="61"/>
        <v>-3</v>
      </c>
      <c r="J57" s="202">
        <v>-6</v>
      </c>
      <c r="K57" s="202">
        <f>J57</f>
        <v>-6</v>
      </c>
      <c r="L57" s="202">
        <f t="shared" si="65"/>
        <v>-6</v>
      </c>
      <c r="M57" s="202">
        <f t="shared" si="65"/>
        <v>-6</v>
      </c>
      <c r="N57" s="202">
        <f t="shared" si="65"/>
        <v>-6</v>
      </c>
      <c r="O57" s="202">
        <f t="shared" si="65"/>
        <v>-6</v>
      </c>
      <c r="P57" s="202">
        <f t="shared" si="65"/>
        <v>-6</v>
      </c>
      <c r="Q57" s="202">
        <f t="shared" si="65"/>
        <v>-6</v>
      </c>
      <c r="R57" s="202">
        <v>-9</v>
      </c>
      <c r="S57" s="202">
        <v>-12</v>
      </c>
      <c r="T57" s="202">
        <v>-15</v>
      </c>
      <c r="U57" s="202">
        <v>-18</v>
      </c>
      <c r="V57" s="202">
        <f t="shared" si="65"/>
        <v>-18</v>
      </c>
      <c r="W57" s="202">
        <f t="shared" si="65"/>
        <v>-18</v>
      </c>
      <c r="X57" s="202">
        <f t="shared" si="65"/>
        <v>-18</v>
      </c>
      <c r="Y57" s="202">
        <f t="shared" si="65"/>
        <v>-18</v>
      </c>
      <c r="Z57" s="202">
        <f t="shared" si="65"/>
        <v>-18</v>
      </c>
      <c r="AA57" s="202">
        <f t="shared" si="65"/>
        <v>-18</v>
      </c>
      <c r="AB57" s="202">
        <f t="shared" si="65"/>
        <v>-18</v>
      </c>
      <c r="AC57" s="202">
        <f t="shared" si="65"/>
        <v>-18</v>
      </c>
      <c r="AD57" s="202">
        <f t="shared" si="65"/>
        <v>-18</v>
      </c>
      <c r="AS57" s="268"/>
      <c r="AT57" s="284"/>
      <c r="AU57" s="284"/>
      <c r="AV57" s="307" t="str">
        <f t="shared" si="63"/>
        <v>Accounting</v>
      </c>
      <c r="AW57" s="308">
        <f ca="1">SUM(OFFSET($G57,0,AV$3+1):OFFSET($G57,0,AW$3))</f>
        <v>-9</v>
      </c>
      <c r="AX57" s="308">
        <f ca="1">SUM(OFFSET($G57,0,AW$3+1):OFFSET($G57,0,AX$3))</f>
        <v>-18</v>
      </c>
      <c r="AY57" s="308">
        <f ca="1">SUM(OFFSET($G57,0,AX$3+1):OFFSET($G57,0,AY$3))</f>
        <v>-18</v>
      </c>
      <c r="AZ57" s="308">
        <f ca="1">SUM(OFFSET($G57,0,AY$3+1):OFFSET($G57,0,AZ$3))</f>
        <v>-21</v>
      </c>
      <c r="BA57" s="308">
        <f ca="1">SUM(OFFSET($G57,0,AZ$3+1):OFFSET($G57,0,BA$3))</f>
        <v>-45</v>
      </c>
      <c r="BB57" s="308">
        <f ca="1">SUM(OFFSET($G57,0,BA$3+1):OFFSET($G57,0,BB$3))</f>
        <v>-54</v>
      </c>
      <c r="BC57" s="308">
        <f ca="1">SUM(OFFSET($G57,0,BB$3+1):OFFSET($G57,0,BC$3))</f>
        <v>-54</v>
      </c>
      <c r="BD57" s="308">
        <f ca="1">SUM(OFFSET($G57,0,BC$3+1):OFFSET($G57,0,BD$3))</f>
        <v>-54</v>
      </c>
    </row>
    <row r="58" spans="2:56" outlineLevel="1" x14ac:dyDescent="0.2">
      <c r="D58" s="131"/>
      <c r="E58" s="131" t="s">
        <v>38</v>
      </c>
      <c r="F58" s="131"/>
      <c r="G58" s="202">
        <v>-10</v>
      </c>
      <c r="H58" s="202">
        <v>-2</v>
      </c>
      <c r="I58" s="202">
        <f>H58</f>
        <v>-2</v>
      </c>
      <c r="J58" s="202">
        <f>I58</f>
        <v>-2</v>
      </c>
      <c r="K58" s="202">
        <f>J58</f>
        <v>-2</v>
      </c>
      <c r="L58" s="202">
        <f t="shared" ref="L58:Q58" si="66">K58</f>
        <v>-2</v>
      </c>
      <c r="M58" s="202">
        <f t="shared" si="66"/>
        <v>-2</v>
      </c>
      <c r="N58" s="202">
        <f t="shared" si="66"/>
        <v>-2</v>
      </c>
      <c r="O58" s="202">
        <f t="shared" si="66"/>
        <v>-2</v>
      </c>
      <c r="P58" s="202">
        <f t="shared" si="66"/>
        <v>-2</v>
      </c>
      <c r="Q58" s="202">
        <f t="shared" si="66"/>
        <v>-2</v>
      </c>
      <c r="R58" s="202">
        <v>-3</v>
      </c>
      <c r="S58" s="202">
        <v>-4</v>
      </c>
      <c r="T58" s="202">
        <v>-5</v>
      </c>
      <c r="U58" s="202">
        <v>-6</v>
      </c>
      <c r="V58" s="202">
        <f>U58</f>
        <v>-6</v>
      </c>
      <c r="W58" s="202">
        <f t="shared" si="65"/>
        <v>-6</v>
      </c>
      <c r="X58" s="202">
        <f t="shared" si="65"/>
        <v>-6</v>
      </c>
      <c r="Y58" s="202">
        <f t="shared" si="65"/>
        <v>-6</v>
      </c>
      <c r="Z58" s="202">
        <f t="shared" si="65"/>
        <v>-6</v>
      </c>
      <c r="AA58" s="202">
        <f t="shared" si="65"/>
        <v>-6</v>
      </c>
      <c r="AB58" s="202">
        <f t="shared" si="65"/>
        <v>-6</v>
      </c>
      <c r="AC58" s="202">
        <f t="shared" si="65"/>
        <v>-6</v>
      </c>
      <c r="AD58" s="202">
        <f t="shared" si="65"/>
        <v>-6</v>
      </c>
      <c r="AS58" s="268"/>
      <c r="AT58" s="284"/>
      <c r="AU58" s="284"/>
      <c r="AV58" s="307" t="str">
        <f t="shared" si="63"/>
        <v>Banking</v>
      </c>
      <c r="AW58" s="308">
        <f ca="1">SUM(OFFSET($G58,0,AV$3+1):OFFSET($G58,0,AW$3))</f>
        <v>-14</v>
      </c>
      <c r="AX58" s="308">
        <f ca="1">SUM(OFFSET($G58,0,AW$3+1):OFFSET($G58,0,AX$3))</f>
        <v>-6</v>
      </c>
      <c r="AY58" s="308">
        <f ca="1">SUM(OFFSET($G58,0,AX$3+1):OFFSET($G58,0,AY$3))</f>
        <v>-6</v>
      </c>
      <c r="AZ58" s="308">
        <f ca="1">SUM(OFFSET($G58,0,AY$3+1):OFFSET($G58,0,AZ$3))</f>
        <v>-7</v>
      </c>
      <c r="BA58" s="308">
        <f ca="1">SUM(OFFSET($G58,0,AZ$3+1):OFFSET($G58,0,BA$3))</f>
        <v>-15</v>
      </c>
      <c r="BB58" s="308">
        <f ca="1">SUM(OFFSET($G58,0,BA$3+1):OFFSET($G58,0,BB$3))</f>
        <v>-18</v>
      </c>
      <c r="BC58" s="308">
        <f ca="1">SUM(OFFSET($G58,0,BB$3+1):OFFSET($G58,0,BC$3))</f>
        <v>-18</v>
      </c>
      <c r="BD58" s="308">
        <f ca="1">SUM(OFFSET($G58,0,BC$3+1):OFFSET($G58,0,BD$3))</f>
        <v>-18</v>
      </c>
    </row>
    <row r="59" spans="2:56" outlineLevel="1" x14ac:dyDescent="0.2">
      <c r="D59" s="131"/>
      <c r="E59" s="131" t="s">
        <v>319</v>
      </c>
      <c r="F59" s="131"/>
      <c r="G59" s="202">
        <v>-100</v>
      </c>
      <c r="H59" s="202">
        <v>-25</v>
      </c>
      <c r="I59" s="202">
        <f>H59</f>
        <v>-25</v>
      </c>
      <c r="J59" s="202">
        <v>-5</v>
      </c>
      <c r="K59" s="202">
        <v>-2</v>
      </c>
      <c r="L59" s="202">
        <f t="shared" ref="L59:AD59" si="67">K59</f>
        <v>-2</v>
      </c>
      <c r="M59" s="202">
        <f t="shared" si="67"/>
        <v>-2</v>
      </c>
      <c r="N59" s="202">
        <v>-5</v>
      </c>
      <c r="O59" s="202">
        <f t="shared" si="67"/>
        <v>-5</v>
      </c>
      <c r="P59" s="202">
        <f t="shared" si="67"/>
        <v>-5</v>
      </c>
      <c r="Q59" s="202">
        <f t="shared" si="67"/>
        <v>-5</v>
      </c>
      <c r="R59" s="202">
        <v>-2</v>
      </c>
      <c r="S59" s="202">
        <f t="shared" si="67"/>
        <v>-2</v>
      </c>
      <c r="T59" s="202">
        <f t="shared" si="67"/>
        <v>-2</v>
      </c>
      <c r="U59" s="202">
        <f t="shared" si="67"/>
        <v>-2</v>
      </c>
      <c r="V59" s="202">
        <f t="shared" si="67"/>
        <v>-2</v>
      </c>
      <c r="W59" s="202">
        <f t="shared" si="67"/>
        <v>-2</v>
      </c>
      <c r="X59" s="202">
        <f t="shared" si="67"/>
        <v>-2</v>
      </c>
      <c r="Y59" s="202">
        <f t="shared" si="67"/>
        <v>-2</v>
      </c>
      <c r="Z59" s="202">
        <f t="shared" si="67"/>
        <v>-2</v>
      </c>
      <c r="AA59" s="202">
        <f t="shared" si="67"/>
        <v>-2</v>
      </c>
      <c r="AB59" s="202">
        <f t="shared" si="67"/>
        <v>-2</v>
      </c>
      <c r="AC59" s="202">
        <f t="shared" si="67"/>
        <v>-2</v>
      </c>
      <c r="AD59" s="202">
        <f t="shared" si="67"/>
        <v>-2</v>
      </c>
      <c r="AS59" s="268"/>
      <c r="AT59" s="284"/>
      <c r="AU59" s="284"/>
      <c r="AV59" s="307" t="str">
        <f t="shared" si="63"/>
        <v>Legal</v>
      </c>
      <c r="AW59" s="308">
        <f ca="1">SUM(OFFSET($G59,0,AV$3+1):OFFSET($G59,0,AW$3))</f>
        <v>-150</v>
      </c>
      <c r="AX59" s="308">
        <f ca="1">SUM(OFFSET($G59,0,AW$3+1):OFFSET($G59,0,AX$3))</f>
        <v>-9</v>
      </c>
      <c r="AY59" s="308">
        <f ca="1">SUM(OFFSET($G59,0,AX$3+1):OFFSET($G59,0,AY$3))</f>
        <v>-12</v>
      </c>
      <c r="AZ59" s="308">
        <f ca="1">SUM(OFFSET($G59,0,AY$3+1):OFFSET($G59,0,AZ$3))</f>
        <v>-12</v>
      </c>
      <c r="BA59" s="308">
        <f ca="1">SUM(OFFSET($G59,0,AZ$3+1):OFFSET($G59,0,BA$3))</f>
        <v>-6</v>
      </c>
      <c r="BB59" s="308">
        <f ca="1">SUM(OFFSET($G59,0,BA$3+1):OFFSET($G59,0,BB$3))</f>
        <v>-6</v>
      </c>
      <c r="BC59" s="308">
        <f ca="1">SUM(OFFSET($G59,0,BB$3+1):OFFSET($G59,0,BC$3))</f>
        <v>-6</v>
      </c>
      <c r="BD59" s="308">
        <f ca="1">SUM(OFFSET($G59,0,BC$3+1):OFFSET($G59,0,BD$3))</f>
        <v>-6</v>
      </c>
    </row>
    <row r="60" spans="2:56" ht="13.5" thickBot="1" x14ac:dyDescent="0.25">
      <c r="D60" s="109" t="s">
        <v>321</v>
      </c>
      <c r="E60" s="109"/>
      <c r="F60" s="109"/>
      <c r="G60" s="209">
        <f t="shared" ref="G60:AD60" si="68">SUM(G54:G59)</f>
        <v>-218</v>
      </c>
      <c r="H60" s="209">
        <f t="shared" si="68"/>
        <v>-135</v>
      </c>
      <c r="I60" s="209">
        <f t="shared" si="68"/>
        <v>-135</v>
      </c>
      <c r="J60" s="209">
        <f t="shared" si="68"/>
        <v>-133</v>
      </c>
      <c r="K60" s="209">
        <f t="shared" si="68"/>
        <v>-130</v>
      </c>
      <c r="L60" s="209">
        <f t="shared" si="68"/>
        <v>-130</v>
      </c>
      <c r="M60" s="209">
        <f t="shared" si="68"/>
        <v>-130</v>
      </c>
      <c r="N60" s="209">
        <f t="shared" si="68"/>
        <v>-133</v>
      </c>
      <c r="O60" s="209">
        <f t="shared" si="68"/>
        <v>-133</v>
      </c>
      <c r="P60" s="209">
        <f t="shared" si="68"/>
        <v>-133</v>
      </c>
      <c r="Q60" s="209">
        <f t="shared" si="68"/>
        <v>-133</v>
      </c>
      <c r="R60" s="209">
        <f t="shared" si="68"/>
        <v>-139</v>
      </c>
      <c r="S60" s="209">
        <f t="shared" si="68"/>
        <v>-143</v>
      </c>
      <c r="T60" s="209">
        <f t="shared" si="68"/>
        <v>-147</v>
      </c>
      <c r="U60" s="209">
        <f t="shared" si="68"/>
        <v>-151</v>
      </c>
      <c r="V60" s="209">
        <f t="shared" si="68"/>
        <v>-151</v>
      </c>
      <c r="W60" s="209">
        <f t="shared" si="68"/>
        <v>-151</v>
      </c>
      <c r="X60" s="209">
        <f t="shared" si="68"/>
        <v>-151</v>
      </c>
      <c r="Y60" s="209">
        <f t="shared" si="68"/>
        <v>-151</v>
      </c>
      <c r="Z60" s="209">
        <f t="shared" si="68"/>
        <v>-151</v>
      </c>
      <c r="AA60" s="209">
        <f t="shared" si="68"/>
        <v>-151</v>
      </c>
      <c r="AB60" s="209">
        <f t="shared" si="68"/>
        <v>-151</v>
      </c>
      <c r="AC60" s="209">
        <f t="shared" si="68"/>
        <v>-151</v>
      </c>
      <c r="AD60" s="209">
        <f t="shared" si="68"/>
        <v>-151</v>
      </c>
      <c r="AS60" s="268"/>
      <c r="AT60" s="284"/>
      <c r="AU60" s="284"/>
      <c r="AV60" s="332" t="str">
        <f t="shared" si="63"/>
        <v>Sales, General &amp; Admin</v>
      </c>
      <c r="AW60" s="333">
        <f ca="1">SUM(OFFSET($G60,0,AV$3+1):OFFSET($G60,0,AW$3))</f>
        <v>-488</v>
      </c>
      <c r="AX60" s="333">
        <f ca="1">SUM(OFFSET($G60,0,AW$3+1):OFFSET($G60,0,AX$3))</f>
        <v>-393</v>
      </c>
      <c r="AY60" s="333">
        <f ca="1">SUM(OFFSET($G60,0,AX$3+1):OFFSET($G60,0,AY$3))</f>
        <v>-396</v>
      </c>
      <c r="AZ60" s="333">
        <f ca="1">SUM(OFFSET($G60,0,AY$3+1):OFFSET($G60,0,AZ$3))</f>
        <v>-405</v>
      </c>
      <c r="BA60" s="333">
        <f ca="1">SUM(OFFSET($G60,0,AZ$3+1):OFFSET($G60,0,BA$3))</f>
        <v>-441</v>
      </c>
      <c r="BB60" s="333">
        <f ca="1">SUM(OFFSET($G60,0,BA$3+1):OFFSET($G60,0,BB$3))</f>
        <v>-453</v>
      </c>
      <c r="BC60" s="333">
        <f ca="1">SUM(OFFSET($G60,0,BB$3+1):OFFSET($G60,0,BC$3))</f>
        <v>-453</v>
      </c>
      <c r="BD60" s="333">
        <f ca="1">SUM(OFFSET($G60,0,BC$3+1):OFFSET($G60,0,BD$3))</f>
        <v>-453</v>
      </c>
    </row>
    <row r="61" spans="2:56" outlineLevel="1" x14ac:dyDescent="0.2">
      <c r="AS61" s="268"/>
      <c r="AT61" s="284"/>
      <c r="AU61" s="284"/>
      <c r="AV61" s="284"/>
      <c r="AW61" s="284"/>
      <c r="AX61" s="284"/>
      <c r="AY61" s="284"/>
      <c r="AZ61" s="284"/>
      <c r="BA61" s="284"/>
      <c r="BB61" s="284"/>
      <c r="BC61" s="284"/>
      <c r="BD61" s="284"/>
    </row>
    <row r="62" spans="2:56" ht="13.5" thickBot="1" x14ac:dyDescent="0.25">
      <c r="C62" s="108" t="s">
        <v>208</v>
      </c>
      <c r="D62" s="108"/>
      <c r="E62" s="108"/>
      <c r="F62" s="108"/>
      <c r="G62" s="210">
        <f>G52+G60</f>
        <v>-218</v>
      </c>
      <c r="H62" s="210">
        <f t="shared" ref="H62:AD62" si="69">H52+H60</f>
        <v>-135</v>
      </c>
      <c r="I62" s="210">
        <f t="shared" si="69"/>
        <v>-135</v>
      </c>
      <c r="J62" s="210">
        <f t="shared" si="69"/>
        <v>385.40000000000009</v>
      </c>
      <c r="K62" s="210">
        <f t="shared" si="69"/>
        <v>666.72499999999991</v>
      </c>
      <c r="L62" s="210">
        <f t="shared" si="69"/>
        <v>842</v>
      </c>
      <c r="M62" s="210">
        <f t="shared" si="69"/>
        <v>1085</v>
      </c>
      <c r="N62" s="210">
        <f t="shared" si="69"/>
        <v>839</v>
      </c>
      <c r="O62" s="210">
        <f t="shared" si="69"/>
        <v>839</v>
      </c>
      <c r="P62" s="210">
        <f t="shared" si="69"/>
        <v>839</v>
      </c>
      <c r="Q62" s="210">
        <f t="shared" si="69"/>
        <v>839</v>
      </c>
      <c r="R62" s="210">
        <f t="shared" si="69"/>
        <v>1184.3600000000001</v>
      </c>
      <c r="S62" s="210">
        <f t="shared" si="69"/>
        <v>1775.01</v>
      </c>
      <c r="T62" s="210">
        <f t="shared" si="69"/>
        <v>2356.61</v>
      </c>
      <c r="U62" s="210">
        <f t="shared" si="69"/>
        <v>2885.2400000000002</v>
      </c>
      <c r="V62" s="210">
        <f t="shared" si="69"/>
        <v>3143.17</v>
      </c>
      <c r="W62" s="210">
        <f t="shared" si="69"/>
        <v>3109.01</v>
      </c>
      <c r="X62" s="210">
        <f t="shared" si="69"/>
        <v>3090.2000000000003</v>
      </c>
      <c r="Y62" s="210">
        <f t="shared" si="69"/>
        <v>3090.2000000000003</v>
      </c>
      <c r="Z62" s="210">
        <f t="shared" si="69"/>
        <v>3090.2000000000003</v>
      </c>
      <c r="AA62" s="210">
        <f t="shared" si="69"/>
        <v>3090.2000000000003</v>
      </c>
      <c r="AB62" s="210">
        <f t="shared" si="69"/>
        <v>3090.2000000000003</v>
      </c>
      <c r="AC62" s="210">
        <f t="shared" si="69"/>
        <v>3090.2000000000003</v>
      </c>
      <c r="AD62" s="210">
        <f t="shared" si="69"/>
        <v>3090.2000000000003</v>
      </c>
      <c r="AS62" s="268"/>
      <c r="AT62" s="284"/>
      <c r="AU62" s="309" t="str">
        <f>A62&amp;B62&amp;C62&amp;D62&amp;E62</f>
        <v>EBITDA</v>
      </c>
      <c r="AV62" s="309"/>
      <c r="AW62" s="310">
        <f t="shared" ref="AW62:BD62" ca="1" si="70">AW52+AW60</f>
        <v>-488</v>
      </c>
      <c r="AX62" s="310">
        <f t="shared" ca="1" si="70"/>
        <v>1894.125</v>
      </c>
      <c r="AY62" s="310">
        <f t="shared" ca="1" si="70"/>
        <v>2763</v>
      </c>
      <c r="AZ62" s="310">
        <f t="shared" ca="1" si="70"/>
        <v>2862.36</v>
      </c>
      <c r="BA62" s="310">
        <f t="shared" ca="1" si="70"/>
        <v>7016.86</v>
      </c>
      <c r="BB62" s="310">
        <f t="shared" ca="1" si="70"/>
        <v>9342.3799999999992</v>
      </c>
      <c r="BC62" s="310">
        <f t="shared" ca="1" si="70"/>
        <v>9270.5999999999985</v>
      </c>
      <c r="BD62" s="310">
        <f t="shared" ca="1" si="70"/>
        <v>9270.5999999999985</v>
      </c>
    </row>
    <row r="63" spans="2:56" outlineLevel="1" x14ac:dyDescent="0.2">
      <c r="AS63" s="268"/>
      <c r="AT63" s="284"/>
      <c r="AU63" s="284"/>
      <c r="AV63" s="284"/>
      <c r="AW63" s="284"/>
      <c r="AX63" s="284"/>
      <c r="AY63" s="284"/>
      <c r="AZ63" s="284"/>
      <c r="BA63" s="284"/>
      <c r="BB63" s="284"/>
      <c r="BC63" s="284"/>
      <c r="BD63" s="284"/>
    </row>
    <row r="64" spans="2:56" outlineLevel="1" x14ac:dyDescent="0.2">
      <c r="E64" s="107" t="s">
        <v>325</v>
      </c>
      <c r="F64" s="211">
        <v>0.04</v>
      </c>
      <c r="G64" s="141">
        <f>SUM(J64:AD64)</f>
        <v>-768.60000000000025</v>
      </c>
      <c r="H64" s="141"/>
      <c r="I64" s="141"/>
      <c r="J64" s="141">
        <f>$F64*-$F$84</f>
        <v>-36.6</v>
      </c>
      <c r="K64" s="141">
        <f>J64</f>
        <v>-36.6</v>
      </c>
      <c r="L64" s="141">
        <f t="shared" ref="L64:V65" si="71">K64</f>
        <v>-36.6</v>
      </c>
      <c r="M64" s="141">
        <f t="shared" si="71"/>
        <v>-36.6</v>
      </c>
      <c r="N64" s="141">
        <f t="shared" si="71"/>
        <v>-36.6</v>
      </c>
      <c r="O64" s="141">
        <f t="shared" si="71"/>
        <v>-36.6</v>
      </c>
      <c r="P64" s="141">
        <f t="shared" si="71"/>
        <v>-36.6</v>
      </c>
      <c r="Q64" s="141">
        <f t="shared" si="71"/>
        <v>-36.6</v>
      </c>
      <c r="R64" s="141">
        <f t="shared" si="71"/>
        <v>-36.6</v>
      </c>
      <c r="S64" s="141">
        <f t="shared" si="71"/>
        <v>-36.6</v>
      </c>
      <c r="T64" s="141">
        <f t="shared" si="71"/>
        <v>-36.6</v>
      </c>
      <c r="U64" s="141">
        <f t="shared" si="71"/>
        <v>-36.6</v>
      </c>
      <c r="V64" s="141">
        <f t="shared" si="71"/>
        <v>-36.6</v>
      </c>
      <c r="W64" s="141">
        <f t="shared" ref="W64:AD64" si="72">V64</f>
        <v>-36.6</v>
      </c>
      <c r="X64" s="141">
        <f t="shared" si="72"/>
        <v>-36.6</v>
      </c>
      <c r="Y64" s="141">
        <f t="shared" si="72"/>
        <v>-36.6</v>
      </c>
      <c r="Z64" s="141">
        <f t="shared" si="72"/>
        <v>-36.6</v>
      </c>
      <c r="AA64" s="141">
        <f t="shared" si="72"/>
        <v>-36.6</v>
      </c>
      <c r="AB64" s="141">
        <f t="shared" si="72"/>
        <v>-36.6</v>
      </c>
      <c r="AC64" s="141">
        <f t="shared" si="72"/>
        <v>-36.6</v>
      </c>
      <c r="AD64" s="141">
        <f t="shared" si="72"/>
        <v>-36.6</v>
      </c>
      <c r="AS64" s="268"/>
      <c r="AT64" s="284"/>
      <c r="AU64" s="284"/>
      <c r="AV64" s="284"/>
      <c r="AW64" s="322"/>
      <c r="AX64" s="322"/>
      <c r="AY64" s="322"/>
      <c r="AZ64" s="322"/>
      <c r="BA64" s="322"/>
      <c r="BB64" s="322"/>
      <c r="BC64" s="322"/>
      <c r="BD64" s="322"/>
    </row>
    <row r="65" spans="1:56" outlineLevel="1" x14ac:dyDescent="0.2">
      <c r="E65" s="107" t="s">
        <v>326</v>
      </c>
      <c r="F65" s="211">
        <v>0.04</v>
      </c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>
        <f>$F65*-$F$92</f>
        <v>-34.800000000000004</v>
      </c>
      <c r="S65" s="141">
        <f t="shared" si="71"/>
        <v>-34.800000000000004</v>
      </c>
      <c r="T65" s="141">
        <f t="shared" ref="T65:V66" si="73">S65</f>
        <v>-34.800000000000004</v>
      </c>
      <c r="U65" s="141">
        <f t="shared" si="73"/>
        <v>-34.800000000000004</v>
      </c>
      <c r="V65" s="141">
        <f t="shared" si="73"/>
        <v>-34.800000000000004</v>
      </c>
      <c r="W65" s="141">
        <f t="shared" ref="W65:AD65" si="74">V65</f>
        <v>-34.800000000000004</v>
      </c>
      <c r="X65" s="141">
        <f t="shared" si="74"/>
        <v>-34.800000000000004</v>
      </c>
      <c r="Y65" s="141">
        <f t="shared" si="74"/>
        <v>-34.800000000000004</v>
      </c>
      <c r="Z65" s="141">
        <f t="shared" si="74"/>
        <v>-34.800000000000004</v>
      </c>
      <c r="AA65" s="141">
        <f t="shared" si="74"/>
        <v>-34.800000000000004</v>
      </c>
      <c r="AB65" s="141">
        <f t="shared" si="74"/>
        <v>-34.800000000000004</v>
      </c>
      <c r="AC65" s="141">
        <f t="shared" si="74"/>
        <v>-34.800000000000004</v>
      </c>
      <c r="AD65" s="141">
        <f t="shared" si="74"/>
        <v>-34.800000000000004</v>
      </c>
      <c r="AS65" s="268"/>
      <c r="AT65" s="284"/>
      <c r="AU65" s="284"/>
      <c r="AV65" s="284"/>
      <c r="AW65" s="322"/>
      <c r="AX65" s="322"/>
      <c r="AY65" s="322"/>
      <c r="AZ65" s="322"/>
      <c r="BA65" s="322"/>
      <c r="BB65" s="322"/>
      <c r="BC65" s="322"/>
      <c r="BD65" s="322"/>
    </row>
    <row r="66" spans="1:56" outlineLevel="1" x14ac:dyDescent="0.2">
      <c r="E66" s="107" t="s">
        <v>327</v>
      </c>
      <c r="F66" s="211">
        <v>0.04</v>
      </c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>
        <f>$F66*-$F$100</f>
        <v>-34.800000000000004</v>
      </c>
      <c r="T66" s="141">
        <f t="shared" si="73"/>
        <v>-34.800000000000004</v>
      </c>
      <c r="U66" s="141">
        <f t="shared" si="73"/>
        <v>-34.800000000000004</v>
      </c>
      <c r="V66" s="141">
        <f t="shared" si="73"/>
        <v>-34.800000000000004</v>
      </c>
      <c r="W66" s="141">
        <f t="shared" ref="W66:AD66" si="75">V66</f>
        <v>-34.800000000000004</v>
      </c>
      <c r="X66" s="141">
        <f t="shared" si="75"/>
        <v>-34.800000000000004</v>
      </c>
      <c r="Y66" s="141">
        <f t="shared" si="75"/>
        <v>-34.800000000000004</v>
      </c>
      <c r="Z66" s="141">
        <f t="shared" si="75"/>
        <v>-34.800000000000004</v>
      </c>
      <c r="AA66" s="141">
        <f t="shared" si="75"/>
        <v>-34.800000000000004</v>
      </c>
      <c r="AB66" s="141">
        <f t="shared" si="75"/>
        <v>-34.800000000000004</v>
      </c>
      <c r="AC66" s="141">
        <f t="shared" si="75"/>
        <v>-34.800000000000004</v>
      </c>
      <c r="AD66" s="141">
        <f t="shared" si="75"/>
        <v>-34.800000000000004</v>
      </c>
      <c r="AS66" s="268"/>
      <c r="AT66" s="284"/>
      <c r="AU66" s="284"/>
      <c r="AV66" s="284"/>
      <c r="AW66" s="322"/>
      <c r="AX66" s="322"/>
      <c r="AY66" s="322"/>
      <c r="AZ66" s="322"/>
      <c r="BA66" s="322"/>
      <c r="BB66" s="322"/>
      <c r="BC66" s="322"/>
      <c r="BD66" s="322"/>
    </row>
    <row r="67" spans="1:56" outlineLevel="1" x14ac:dyDescent="0.2">
      <c r="E67" s="107" t="s">
        <v>328</v>
      </c>
      <c r="F67" s="211">
        <v>0.04</v>
      </c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>
        <f>$F67*-$F$108</f>
        <v>-34.800000000000004</v>
      </c>
      <c r="U67" s="141">
        <f>T67</f>
        <v>-34.800000000000004</v>
      </c>
      <c r="V67" s="141">
        <f>U67</f>
        <v>-34.800000000000004</v>
      </c>
      <c r="W67" s="141">
        <f t="shared" ref="W67:AD67" si="76">V67</f>
        <v>-34.800000000000004</v>
      </c>
      <c r="X67" s="141">
        <f t="shared" si="76"/>
        <v>-34.800000000000004</v>
      </c>
      <c r="Y67" s="141">
        <f t="shared" si="76"/>
        <v>-34.800000000000004</v>
      </c>
      <c r="Z67" s="141">
        <f t="shared" si="76"/>
        <v>-34.800000000000004</v>
      </c>
      <c r="AA67" s="141">
        <f t="shared" si="76"/>
        <v>-34.800000000000004</v>
      </c>
      <c r="AB67" s="141">
        <f t="shared" si="76"/>
        <v>-34.800000000000004</v>
      </c>
      <c r="AC67" s="141">
        <f t="shared" si="76"/>
        <v>-34.800000000000004</v>
      </c>
      <c r="AD67" s="141">
        <f t="shared" si="76"/>
        <v>-34.800000000000004</v>
      </c>
      <c r="AS67" s="268"/>
      <c r="AT67" s="284"/>
      <c r="AU67" s="284"/>
      <c r="AV67" s="284"/>
      <c r="AW67" s="322"/>
      <c r="AX67" s="322"/>
      <c r="AY67" s="322"/>
      <c r="AZ67" s="322"/>
      <c r="BA67" s="322"/>
      <c r="BB67" s="322"/>
      <c r="BC67" s="322"/>
      <c r="BD67" s="322"/>
    </row>
    <row r="68" spans="1:56" outlineLevel="1" x14ac:dyDescent="0.2">
      <c r="E68" s="107" t="s">
        <v>329</v>
      </c>
      <c r="F68" s="211">
        <v>0.04</v>
      </c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>
        <f>$F68*-$F$116</f>
        <v>-34.800000000000004</v>
      </c>
      <c r="V68" s="141">
        <f t="shared" ref="V68:AD68" si="77">U68</f>
        <v>-34.800000000000004</v>
      </c>
      <c r="W68" s="141">
        <f t="shared" si="77"/>
        <v>-34.800000000000004</v>
      </c>
      <c r="X68" s="141">
        <f t="shared" si="77"/>
        <v>-34.800000000000004</v>
      </c>
      <c r="Y68" s="141">
        <f t="shared" si="77"/>
        <v>-34.800000000000004</v>
      </c>
      <c r="Z68" s="141">
        <f t="shared" si="77"/>
        <v>-34.800000000000004</v>
      </c>
      <c r="AA68" s="141">
        <f t="shared" si="77"/>
        <v>-34.800000000000004</v>
      </c>
      <c r="AB68" s="141">
        <f t="shared" si="77"/>
        <v>-34.800000000000004</v>
      </c>
      <c r="AC68" s="141">
        <f t="shared" si="77"/>
        <v>-34.800000000000004</v>
      </c>
      <c r="AD68" s="141">
        <f t="shared" si="77"/>
        <v>-34.800000000000004</v>
      </c>
      <c r="AS68" s="268"/>
      <c r="AT68" s="284"/>
      <c r="AU68" s="284"/>
      <c r="AV68" s="284" t="str">
        <f>A68&amp;B68&amp;C68&amp;D68</f>
        <v/>
      </c>
      <c r="AW68" s="322">
        <f ca="1">SUM(OFFSET($G68,0,AV$3+1):OFFSET($G68,0,AW$3))/1000</f>
        <v>0</v>
      </c>
      <c r="AX68" s="322">
        <f ca="1">SUM(OFFSET($G68,0,AW$3+1):OFFSET($G68,0,AX$3))/1000</f>
        <v>0</v>
      </c>
      <c r="AY68" s="322">
        <f ca="1">SUM(OFFSET($G68,0,AX$3+1):OFFSET($G68,0,AY$3))/1000</f>
        <v>0</v>
      </c>
      <c r="AZ68" s="322">
        <f ca="1">SUM(OFFSET($G68,0,AY$3+1):OFFSET($G68,0,AZ$3))/1000</f>
        <v>0</v>
      </c>
      <c r="BA68" s="322">
        <f ca="1">SUM(OFFSET($G68,0,AZ$3+1):OFFSET($G68,0,BA$3))/1000</f>
        <v>-3.4800000000000005E-2</v>
      </c>
      <c r="BB68" s="322">
        <f ca="1">SUM(OFFSET($G68,0,BA$3+1):OFFSET($G68,0,BB$3))/1000</f>
        <v>-0.10440000000000001</v>
      </c>
      <c r="BC68" s="322">
        <f ca="1">SUM(OFFSET($G68,0,BB$3+1):OFFSET($G68,0,BC$3))/1000</f>
        <v>-0.10440000000000001</v>
      </c>
      <c r="BD68" s="322">
        <f ca="1">SUM(OFFSET($G68,0,BC$3+1):OFFSET($G68,0,BD$3))/1000</f>
        <v>-0.10440000000000001</v>
      </c>
    </row>
    <row r="69" spans="1:56" s="131" customFormat="1" x14ac:dyDescent="0.2">
      <c r="D69" s="131" t="s">
        <v>332</v>
      </c>
      <c r="G69" s="215"/>
      <c r="H69" s="215"/>
      <c r="I69" s="215"/>
      <c r="J69" s="215">
        <f>SUM(J64:J68)</f>
        <v>-36.6</v>
      </c>
      <c r="K69" s="215">
        <f t="shared" ref="K69:AD69" si="78">SUM(K64:K68)</f>
        <v>-36.6</v>
      </c>
      <c r="L69" s="215">
        <f t="shared" si="78"/>
        <v>-36.6</v>
      </c>
      <c r="M69" s="215">
        <f t="shared" si="78"/>
        <v>-36.6</v>
      </c>
      <c r="N69" s="215">
        <f t="shared" si="78"/>
        <v>-36.6</v>
      </c>
      <c r="O69" s="215">
        <f t="shared" si="78"/>
        <v>-36.6</v>
      </c>
      <c r="P69" s="215">
        <f t="shared" si="78"/>
        <v>-36.6</v>
      </c>
      <c r="Q69" s="215">
        <f t="shared" si="78"/>
        <v>-36.6</v>
      </c>
      <c r="R69" s="215">
        <f t="shared" si="78"/>
        <v>-71.400000000000006</v>
      </c>
      <c r="S69" s="215">
        <f t="shared" si="78"/>
        <v>-106.20000000000002</v>
      </c>
      <c r="T69" s="215">
        <f t="shared" si="78"/>
        <v>-141.00000000000003</v>
      </c>
      <c r="U69" s="215">
        <f t="shared" si="78"/>
        <v>-175.80000000000004</v>
      </c>
      <c r="V69" s="215">
        <f t="shared" si="78"/>
        <v>-175.80000000000004</v>
      </c>
      <c r="W69" s="215">
        <f t="shared" si="78"/>
        <v>-175.80000000000004</v>
      </c>
      <c r="X69" s="215">
        <f t="shared" si="78"/>
        <v>-175.80000000000004</v>
      </c>
      <c r="Y69" s="215">
        <f t="shared" si="78"/>
        <v>-175.80000000000004</v>
      </c>
      <c r="Z69" s="215">
        <f t="shared" si="78"/>
        <v>-175.80000000000004</v>
      </c>
      <c r="AA69" s="215">
        <f t="shared" si="78"/>
        <v>-175.80000000000004</v>
      </c>
      <c r="AB69" s="215">
        <f t="shared" si="78"/>
        <v>-175.80000000000004</v>
      </c>
      <c r="AC69" s="215">
        <f t="shared" si="78"/>
        <v>-175.80000000000004</v>
      </c>
      <c r="AD69" s="215">
        <f t="shared" si="78"/>
        <v>-175.80000000000004</v>
      </c>
      <c r="AS69" s="268"/>
      <c r="AT69" s="307"/>
      <c r="AU69" s="307"/>
      <c r="AV69" s="307" t="str">
        <f>A69&amp;B69&amp;C69&amp;D69</f>
        <v>Depreciation</v>
      </c>
      <c r="AW69" s="327">
        <f ca="1">SUM(OFFSET($G69,0,AV$3+1):OFFSET($G69,0,AW$3))</f>
        <v>0</v>
      </c>
      <c r="AX69" s="327">
        <f ca="1">SUM(OFFSET($G69,0,AW$3+1):OFFSET($G69,0,AX$3))</f>
        <v>-109.80000000000001</v>
      </c>
      <c r="AY69" s="327">
        <f ca="1">SUM(OFFSET($G69,0,AX$3+1):OFFSET($G69,0,AY$3))</f>
        <v>-109.80000000000001</v>
      </c>
      <c r="AZ69" s="327">
        <f ca="1">SUM(OFFSET($G69,0,AY$3+1):OFFSET($G69,0,AZ$3))</f>
        <v>-144.60000000000002</v>
      </c>
      <c r="BA69" s="327">
        <f ca="1">SUM(OFFSET($G69,0,AZ$3+1):OFFSET($G69,0,BA$3))</f>
        <v>-423.00000000000011</v>
      </c>
      <c r="BB69" s="327">
        <f ca="1">SUM(OFFSET($G69,0,BA$3+1):OFFSET($G69,0,BB$3))</f>
        <v>-527.40000000000009</v>
      </c>
      <c r="BC69" s="327">
        <f ca="1">SUM(OFFSET($G69,0,BB$3+1):OFFSET($G69,0,BC$3))</f>
        <v>-527.40000000000009</v>
      </c>
      <c r="BD69" s="327">
        <f ca="1">SUM(OFFSET($G69,0,BC$3+1):OFFSET($G69,0,BD$3))</f>
        <v>-527.40000000000009</v>
      </c>
    </row>
    <row r="70" spans="1:56" s="131" customFormat="1" outlineLevel="1" x14ac:dyDescent="0.2"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S70" s="268"/>
      <c r="AT70" s="307" t="str">
        <f>A70&amp;B70&amp;C70&amp;D70</f>
        <v/>
      </c>
      <c r="AU70" s="307"/>
      <c r="AV70" s="307"/>
      <c r="AW70" s="334">
        <f ca="1">SUM(OFFSET($G70,0,AV$3+1):OFFSET($G70,0,AW$3))/1000</f>
        <v>0</v>
      </c>
      <c r="AX70" s="334">
        <f ca="1">SUM(OFFSET($G70,0,AW$3+1):OFFSET($G70,0,AX$3))/1000</f>
        <v>0</v>
      </c>
      <c r="AY70" s="334">
        <f ca="1">SUM(OFFSET($G70,0,AX$3+1):OFFSET($G70,0,AY$3))/1000</f>
        <v>0</v>
      </c>
      <c r="AZ70" s="334">
        <f ca="1">SUM(OFFSET($G70,0,AY$3+1):OFFSET($G70,0,AZ$3))/1000</f>
        <v>0</v>
      </c>
      <c r="BA70" s="334">
        <f ca="1">SUM(OFFSET($G70,0,AZ$3+1):OFFSET($G70,0,BA$3))/1000</f>
        <v>0</v>
      </c>
      <c r="BB70" s="334">
        <f ca="1">SUM(OFFSET($G70,0,BA$3+1):OFFSET($G70,0,BB$3))/1000</f>
        <v>0</v>
      </c>
      <c r="BC70" s="334">
        <f ca="1">SUM(OFFSET($G70,0,BB$3+1):OFFSET($G70,0,BC$3))/1000</f>
        <v>0</v>
      </c>
      <c r="BD70" s="334">
        <f ca="1">SUM(OFFSET($G70,0,BC$3+1):OFFSET($G70,0,BD$3))/1000</f>
        <v>0</v>
      </c>
    </row>
    <row r="71" spans="1:56" s="131" customFormat="1" outlineLevel="1" collapsed="1" x14ac:dyDescent="0.2">
      <c r="C71" s="130" t="s">
        <v>330</v>
      </c>
      <c r="D71" s="130"/>
      <c r="E71" s="130"/>
      <c r="F71" s="130"/>
      <c r="G71" s="214">
        <f>G62+G69</f>
        <v>-218</v>
      </c>
      <c r="H71" s="214">
        <f t="shared" ref="H71:AD71" si="79">H62+H69</f>
        <v>-135</v>
      </c>
      <c r="I71" s="214">
        <f t="shared" si="79"/>
        <v>-135</v>
      </c>
      <c r="J71" s="214">
        <f t="shared" si="79"/>
        <v>348.80000000000007</v>
      </c>
      <c r="K71" s="214">
        <f t="shared" si="79"/>
        <v>630.12499999999989</v>
      </c>
      <c r="L71" s="214">
        <f t="shared" si="79"/>
        <v>805.4</v>
      </c>
      <c r="M71" s="214">
        <f t="shared" si="79"/>
        <v>1048.4000000000001</v>
      </c>
      <c r="N71" s="214">
        <f t="shared" si="79"/>
        <v>802.4</v>
      </c>
      <c r="O71" s="214">
        <f t="shared" si="79"/>
        <v>802.4</v>
      </c>
      <c r="P71" s="214">
        <f t="shared" si="79"/>
        <v>802.4</v>
      </c>
      <c r="Q71" s="214">
        <f t="shared" si="79"/>
        <v>802.4</v>
      </c>
      <c r="R71" s="214">
        <f t="shared" si="79"/>
        <v>1112.96</v>
      </c>
      <c r="S71" s="214">
        <f t="shared" si="79"/>
        <v>1668.81</v>
      </c>
      <c r="T71" s="214">
        <f t="shared" si="79"/>
        <v>2215.61</v>
      </c>
      <c r="U71" s="214">
        <f t="shared" si="79"/>
        <v>2709.44</v>
      </c>
      <c r="V71" s="214">
        <f t="shared" si="79"/>
        <v>2967.37</v>
      </c>
      <c r="W71" s="214">
        <f t="shared" si="79"/>
        <v>2933.21</v>
      </c>
      <c r="X71" s="214">
        <f t="shared" si="79"/>
        <v>2914.4</v>
      </c>
      <c r="Y71" s="214">
        <f t="shared" si="79"/>
        <v>2914.4</v>
      </c>
      <c r="Z71" s="214">
        <f t="shared" si="79"/>
        <v>2914.4</v>
      </c>
      <c r="AA71" s="214">
        <f t="shared" si="79"/>
        <v>2914.4</v>
      </c>
      <c r="AB71" s="214">
        <f t="shared" si="79"/>
        <v>2914.4</v>
      </c>
      <c r="AC71" s="214">
        <f t="shared" si="79"/>
        <v>2914.4</v>
      </c>
      <c r="AD71" s="214">
        <f t="shared" si="79"/>
        <v>2914.4</v>
      </c>
      <c r="AS71" s="268"/>
      <c r="AT71" s="307"/>
      <c r="AU71" s="325"/>
      <c r="AV71" s="325"/>
      <c r="AW71" s="335"/>
      <c r="AX71" s="335"/>
      <c r="AY71" s="335"/>
      <c r="AZ71" s="335"/>
      <c r="BA71" s="335"/>
      <c r="BB71" s="335"/>
      <c r="BC71" s="335"/>
      <c r="BD71" s="335"/>
    </row>
    <row r="72" spans="1:56" s="131" customFormat="1" outlineLevel="1" x14ac:dyDescent="0.2">
      <c r="E72" s="131" t="s">
        <v>323</v>
      </c>
      <c r="G72" s="215">
        <f>F72+G71</f>
        <v>-218</v>
      </c>
      <c r="H72" s="215">
        <f t="shared" ref="H72:AD72" si="80">G72+H71</f>
        <v>-353</v>
      </c>
      <c r="I72" s="215">
        <f t="shared" si="80"/>
        <v>-488</v>
      </c>
      <c r="J72" s="215">
        <f t="shared" si="80"/>
        <v>-139.19999999999993</v>
      </c>
      <c r="K72" s="215">
        <f t="shared" si="80"/>
        <v>490.92499999999995</v>
      </c>
      <c r="L72" s="215">
        <f t="shared" si="80"/>
        <v>1296.3249999999998</v>
      </c>
      <c r="M72" s="215">
        <f t="shared" si="80"/>
        <v>2344.7249999999999</v>
      </c>
      <c r="N72" s="215">
        <f t="shared" si="80"/>
        <v>3147.125</v>
      </c>
      <c r="O72" s="215">
        <f t="shared" si="80"/>
        <v>3949.5250000000001</v>
      </c>
      <c r="P72" s="215">
        <f t="shared" si="80"/>
        <v>4751.9250000000002</v>
      </c>
      <c r="Q72" s="215">
        <f t="shared" si="80"/>
        <v>5554.3249999999998</v>
      </c>
      <c r="R72" s="215">
        <f t="shared" si="80"/>
        <v>6667.2849999999999</v>
      </c>
      <c r="S72" s="215">
        <f t="shared" si="80"/>
        <v>8336.0949999999993</v>
      </c>
      <c r="T72" s="215">
        <f t="shared" si="80"/>
        <v>10551.705</v>
      </c>
      <c r="U72" s="215">
        <f t="shared" si="80"/>
        <v>13261.145</v>
      </c>
      <c r="V72" s="215">
        <f t="shared" si="80"/>
        <v>16228.514999999999</v>
      </c>
      <c r="W72" s="215">
        <f t="shared" si="80"/>
        <v>19161.724999999999</v>
      </c>
      <c r="X72" s="215">
        <f t="shared" si="80"/>
        <v>22076.125</v>
      </c>
      <c r="Y72" s="215">
        <f t="shared" si="80"/>
        <v>24990.525000000001</v>
      </c>
      <c r="Z72" s="215">
        <f t="shared" si="80"/>
        <v>27904.925000000003</v>
      </c>
      <c r="AA72" s="215">
        <f t="shared" si="80"/>
        <v>30819.325000000004</v>
      </c>
      <c r="AB72" s="215">
        <f t="shared" si="80"/>
        <v>33733.725000000006</v>
      </c>
      <c r="AC72" s="215">
        <f t="shared" si="80"/>
        <v>36648.125000000007</v>
      </c>
      <c r="AD72" s="215">
        <f t="shared" si="80"/>
        <v>39562.525000000009</v>
      </c>
      <c r="AS72" s="268"/>
      <c r="AT72" s="307"/>
      <c r="AU72" s="307" t="str">
        <f>A72&amp;B72&amp;C72&amp;D72&amp;E72</f>
        <v>Cum EBITDA</v>
      </c>
      <c r="AV72" s="307"/>
      <c r="AW72" s="327">
        <f ca="1">SUM(OFFSET($G72,0,AV$3+1):OFFSET($G72,0,AW$3))/1000</f>
        <v>-1.0589999999999999</v>
      </c>
      <c r="AX72" s="327">
        <f ca="1">SUM(OFFSET($G72,0,AW$3+1):OFFSET($G72,0,AX$3))/1000</f>
        <v>1.6480499999999998</v>
      </c>
      <c r="AY72" s="327">
        <f ca="1">SUM(OFFSET($G72,0,AX$3+1):OFFSET($G72,0,AY$3))/1000</f>
        <v>9.4413750000000007</v>
      </c>
      <c r="AZ72" s="327">
        <f ca="1">SUM(OFFSET($G72,0,AY$3+1):OFFSET($G72,0,AZ$3))/1000</f>
        <v>16.973534999999998</v>
      </c>
      <c r="BA72" s="327">
        <f ca="1">SUM(OFFSET($G72,0,AZ$3+1):OFFSET($G72,0,BA$3))/1000</f>
        <v>32.148944999999998</v>
      </c>
      <c r="BB72" s="327">
        <f ca="1">SUM(OFFSET($G72,0,BA$3+1):OFFSET($G72,0,BB$3))/1000</f>
        <v>57.466364999999996</v>
      </c>
      <c r="BC72" s="327">
        <f ca="1">SUM(OFFSET($G72,0,BB$3+1):OFFSET($G72,0,BC$3))/1000</f>
        <v>83.714775000000003</v>
      </c>
      <c r="BD72" s="327">
        <f ca="1">SUM(OFFSET($G72,0,BC$3+1):OFFSET($G72,0,BD$3))/1000</f>
        <v>109.94437500000001</v>
      </c>
    </row>
    <row r="73" spans="1:56" s="131" customFormat="1" outlineLevel="1" x14ac:dyDescent="0.2">
      <c r="E73" s="131" t="s">
        <v>322</v>
      </c>
      <c r="G73" s="215">
        <f t="shared" ref="G73:AD73" si="81">IF(AND(F72&lt;0,G72&gt;0),G72,IF(AND(F72&gt;0,G72&gt;0),G62,0))</f>
        <v>0</v>
      </c>
      <c r="H73" s="215">
        <f t="shared" si="81"/>
        <v>0</v>
      </c>
      <c r="I73" s="215">
        <f t="shared" si="81"/>
        <v>0</v>
      </c>
      <c r="J73" s="215">
        <f t="shared" si="81"/>
        <v>0</v>
      </c>
      <c r="K73" s="215">
        <f t="shared" si="81"/>
        <v>490.92499999999995</v>
      </c>
      <c r="L73" s="215">
        <f t="shared" si="81"/>
        <v>842</v>
      </c>
      <c r="M73" s="215">
        <f t="shared" si="81"/>
        <v>1085</v>
      </c>
      <c r="N73" s="215">
        <f t="shared" si="81"/>
        <v>839</v>
      </c>
      <c r="O73" s="215">
        <f t="shared" si="81"/>
        <v>839</v>
      </c>
      <c r="P73" s="215">
        <f t="shared" si="81"/>
        <v>839</v>
      </c>
      <c r="Q73" s="215">
        <f t="shared" si="81"/>
        <v>839</v>
      </c>
      <c r="R73" s="215">
        <f t="shared" si="81"/>
        <v>1184.3600000000001</v>
      </c>
      <c r="S73" s="215">
        <f t="shared" si="81"/>
        <v>1775.01</v>
      </c>
      <c r="T73" s="215">
        <f t="shared" si="81"/>
        <v>2356.61</v>
      </c>
      <c r="U73" s="215">
        <f t="shared" si="81"/>
        <v>2885.2400000000002</v>
      </c>
      <c r="V73" s="215">
        <f t="shared" si="81"/>
        <v>3143.17</v>
      </c>
      <c r="W73" s="215">
        <f t="shared" si="81"/>
        <v>3109.01</v>
      </c>
      <c r="X73" s="215">
        <f t="shared" si="81"/>
        <v>3090.2000000000003</v>
      </c>
      <c r="Y73" s="215">
        <f t="shared" si="81"/>
        <v>3090.2000000000003</v>
      </c>
      <c r="Z73" s="215">
        <f t="shared" si="81"/>
        <v>3090.2000000000003</v>
      </c>
      <c r="AA73" s="215">
        <f t="shared" si="81"/>
        <v>3090.2000000000003</v>
      </c>
      <c r="AB73" s="215">
        <f t="shared" si="81"/>
        <v>3090.2000000000003</v>
      </c>
      <c r="AC73" s="215">
        <f t="shared" si="81"/>
        <v>3090.2000000000003</v>
      </c>
      <c r="AD73" s="215">
        <f t="shared" si="81"/>
        <v>3090.2000000000003</v>
      </c>
      <c r="AS73" s="268"/>
      <c r="AT73" s="307"/>
      <c r="AU73" s="307" t="str">
        <f>A73&amp;B73&amp;C73&amp;D73&amp;E73</f>
        <v>Tax basis</v>
      </c>
      <c r="AV73" s="307"/>
      <c r="AW73" s="327">
        <f ca="1">SUM(OFFSET($G73,0,AV$3+1):OFFSET($G73,0,AW$3))/1000</f>
        <v>0</v>
      </c>
      <c r="AX73" s="327">
        <f ca="1">SUM(OFFSET($G73,0,AW$3+1):OFFSET($G73,0,AX$3))/1000</f>
        <v>1.3329249999999999</v>
      </c>
      <c r="AY73" s="327">
        <f ca="1">SUM(OFFSET($G73,0,AX$3+1):OFFSET($G73,0,AY$3))/1000</f>
        <v>2.7629999999999999</v>
      </c>
      <c r="AZ73" s="327">
        <f ca="1">SUM(OFFSET($G73,0,AY$3+1):OFFSET($G73,0,AZ$3))/1000</f>
        <v>2.8623600000000002</v>
      </c>
      <c r="BA73" s="327">
        <f ca="1">SUM(OFFSET($G73,0,AZ$3+1):OFFSET($G73,0,BA$3))/1000</f>
        <v>7.0168600000000003</v>
      </c>
      <c r="BB73" s="327">
        <f ca="1">SUM(OFFSET($G73,0,BA$3+1):OFFSET($G73,0,BB$3))/1000</f>
        <v>9.3423800000000004</v>
      </c>
      <c r="BC73" s="327">
        <f ca="1">SUM(OFFSET($G73,0,BB$3+1):OFFSET($G73,0,BC$3))/1000</f>
        <v>9.2706</v>
      </c>
      <c r="BD73" s="327">
        <f ca="1">SUM(OFFSET($G73,0,BC$3+1):OFFSET($G73,0,BD$3))/1000</f>
        <v>9.2706</v>
      </c>
    </row>
    <row r="74" spans="1:56" s="131" customFormat="1" x14ac:dyDescent="0.2">
      <c r="D74" s="131" t="s">
        <v>324</v>
      </c>
      <c r="F74" s="204">
        <v>0.35</v>
      </c>
      <c r="G74" s="215">
        <f t="shared" ref="G74:AD74" si="82">-IF(G73&gt;0,$F74*G73,0)</f>
        <v>0</v>
      </c>
      <c r="H74" s="215">
        <f t="shared" si="82"/>
        <v>0</v>
      </c>
      <c r="I74" s="215">
        <f t="shared" si="82"/>
        <v>0</v>
      </c>
      <c r="J74" s="215">
        <f t="shared" si="82"/>
        <v>0</v>
      </c>
      <c r="K74" s="215">
        <f t="shared" si="82"/>
        <v>-171.82374999999996</v>
      </c>
      <c r="L74" s="215">
        <f t="shared" si="82"/>
        <v>-294.7</v>
      </c>
      <c r="M74" s="215">
        <f t="shared" si="82"/>
        <v>-379.75</v>
      </c>
      <c r="N74" s="215">
        <f t="shared" si="82"/>
        <v>-293.64999999999998</v>
      </c>
      <c r="O74" s="215">
        <f t="shared" si="82"/>
        <v>-293.64999999999998</v>
      </c>
      <c r="P74" s="215">
        <f t="shared" si="82"/>
        <v>-293.64999999999998</v>
      </c>
      <c r="Q74" s="215">
        <f t="shared" si="82"/>
        <v>-293.64999999999998</v>
      </c>
      <c r="R74" s="215">
        <f t="shared" si="82"/>
        <v>-414.52600000000001</v>
      </c>
      <c r="S74" s="215">
        <f t="shared" si="82"/>
        <v>-621.25349999999992</v>
      </c>
      <c r="T74" s="215">
        <f t="shared" si="82"/>
        <v>-824.81349999999998</v>
      </c>
      <c r="U74" s="215">
        <f t="shared" si="82"/>
        <v>-1009.8340000000001</v>
      </c>
      <c r="V74" s="215">
        <f t="shared" si="82"/>
        <v>-1100.1095</v>
      </c>
      <c r="W74" s="215">
        <f t="shared" si="82"/>
        <v>-1088.1534999999999</v>
      </c>
      <c r="X74" s="215">
        <f t="shared" si="82"/>
        <v>-1081.57</v>
      </c>
      <c r="Y74" s="215">
        <f t="shared" si="82"/>
        <v>-1081.57</v>
      </c>
      <c r="Z74" s="215">
        <f t="shared" si="82"/>
        <v>-1081.57</v>
      </c>
      <c r="AA74" s="215">
        <f t="shared" si="82"/>
        <v>-1081.57</v>
      </c>
      <c r="AB74" s="215">
        <f t="shared" si="82"/>
        <v>-1081.57</v>
      </c>
      <c r="AC74" s="215">
        <f t="shared" si="82"/>
        <v>-1081.57</v>
      </c>
      <c r="AD74" s="215">
        <f t="shared" si="82"/>
        <v>-1081.57</v>
      </c>
      <c r="AS74" s="268"/>
      <c r="AT74" s="307"/>
      <c r="AU74" s="307"/>
      <c r="AV74" s="307" t="str">
        <f>A74&amp;B74&amp;C74&amp;D74</f>
        <v>Corporate Tax</v>
      </c>
      <c r="AW74" s="327">
        <f ca="1">SUM(OFFSET($G74,0,AV$3+1):OFFSET($G74,0,AW$3))</f>
        <v>0</v>
      </c>
      <c r="AX74" s="327">
        <f ca="1">SUM(OFFSET($G74,0,AW$3+1):OFFSET($G74,0,AX$3))</f>
        <v>-466.52374999999995</v>
      </c>
      <c r="AY74" s="327">
        <f ca="1">SUM(OFFSET($G74,0,AX$3+1):OFFSET($G74,0,AY$3))</f>
        <v>-967.05</v>
      </c>
      <c r="AZ74" s="327">
        <f ca="1">SUM(OFFSET($G74,0,AY$3+1):OFFSET($G74,0,AZ$3))</f>
        <v>-1001.826</v>
      </c>
      <c r="BA74" s="327">
        <f ca="1">SUM(OFFSET($G74,0,AZ$3+1):OFFSET($G74,0,BA$3))</f>
        <v>-2455.9009999999998</v>
      </c>
      <c r="BB74" s="327">
        <f ca="1">SUM(OFFSET($G74,0,BA$3+1):OFFSET($G74,0,BB$3))</f>
        <v>-3269.8329999999996</v>
      </c>
      <c r="BC74" s="327">
        <f ca="1">SUM(OFFSET($G74,0,BB$3+1):OFFSET($G74,0,BC$3))</f>
        <v>-3244.71</v>
      </c>
      <c r="BD74" s="327">
        <f ca="1">SUM(OFFSET($G74,0,BC$3+1):OFFSET($G74,0,BD$3))</f>
        <v>-3244.71</v>
      </c>
    </row>
    <row r="75" spans="1:56" outlineLevel="1" x14ac:dyDescent="0.2">
      <c r="AS75" s="270"/>
      <c r="AT75" s="284"/>
      <c r="AU75" s="284"/>
      <c r="AV75" s="284"/>
      <c r="AW75" s="284"/>
      <c r="AX75" s="284"/>
      <c r="AY75" s="284"/>
      <c r="AZ75" s="284"/>
      <c r="BA75" s="284"/>
      <c r="BB75" s="284"/>
      <c r="BC75" s="284"/>
      <c r="BD75" s="284"/>
    </row>
    <row r="76" spans="1:56" ht="13.5" thickBot="1" x14ac:dyDescent="0.25">
      <c r="B76" s="110" t="s">
        <v>331</v>
      </c>
      <c r="C76" s="212"/>
      <c r="D76" s="212"/>
      <c r="E76" s="212"/>
      <c r="F76" s="212"/>
      <c r="G76" s="213">
        <f>G71+G74</f>
        <v>-218</v>
      </c>
      <c r="H76" s="213">
        <f t="shared" ref="H76:AD76" si="83">H71+H74</f>
        <v>-135</v>
      </c>
      <c r="I76" s="213">
        <f t="shared" si="83"/>
        <v>-135</v>
      </c>
      <c r="J76" s="213">
        <f t="shared" si="83"/>
        <v>348.80000000000007</v>
      </c>
      <c r="K76" s="213">
        <f t="shared" si="83"/>
        <v>458.30124999999992</v>
      </c>
      <c r="L76" s="213">
        <f t="shared" si="83"/>
        <v>510.7</v>
      </c>
      <c r="M76" s="213">
        <f t="shared" si="83"/>
        <v>668.65000000000009</v>
      </c>
      <c r="N76" s="213">
        <f t="shared" si="83"/>
        <v>508.75</v>
      </c>
      <c r="O76" s="213">
        <f t="shared" si="83"/>
        <v>508.75</v>
      </c>
      <c r="P76" s="213">
        <f t="shared" si="83"/>
        <v>508.75</v>
      </c>
      <c r="Q76" s="213">
        <f t="shared" si="83"/>
        <v>508.75</v>
      </c>
      <c r="R76" s="213">
        <f t="shared" si="83"/>
        <v>698.43399999999997</v>
      </c>
      <c r="S76" s="213">
        <f t="shared" si="83"/>
        <v>1047.5565000000001</v>
      </c>
      <c r="T76" s="213">
        <f t="shared" si="83"/>
        <v>1390.7965000000002</v>
      </c>
      <c r="U76" s="213">
        <f t="shared" si="83"/>
        <v>1699.606</v>
      </c>
      <c r="V76" s="213">
        <f t="shared" si="83"/>
        <v>1867.2604999999999</v>
      </c>
      <c r="W76" s="213">
        <f t="shared" si="83"/>
        <v>1845.0565000000001</v>
      </c>
      <c r="X76" s="213">
        <f t="shared" si="83"/>
        <v>1832.8300000000002</v>
      </c>
      <c r="Y76" s="213">
        <f t="shared" si="83"/>
        <v>1832.8300000000002</v>
      </c>
      <c r="Z76" s="213">
        <f t="shared" si="83"/>
        <v>1832.8300000000002</v>
      </c>
      <c r="AA76" s="213">
        <f t="shared" si="83"/>
        <v>1832.8300000000002</v>
      </c>
      <c r="AB76" s="213">
        <f t="shared" si="83"/>
        <v>1832.8300000000002</v>
      </c>
      <c r="AC76" s="213">
        <f t="shared" si="83"/>
        <v>1832.8300000000002</v>
      </c>
      <c r="AD76" s="213">
        <f t="shared" si="83"/>
        <v>1832.8300000000002</v>
      </c>
      <c r="AS76" s="269"/>
      <c r="AT76" s="323" t="str">
        <f>A76&amp;B76&amp;C76&amp;D76</f>
        <v>Net Income</v>
      </c>
      <c r="AU76" s="336"/>
      <c r="AV76" s="336"/>
      <c r="AW76" s="324">
        <f ca="1">AW62+AW69+AW74</f>
        <v>-488</v>
      </c>
      <c r="AX76" s="324">
        <f t="shared" ref="AX76:BD76" ca="1" si="84">AX62+AX69+AX74</f>
        <v>1317.80125</v>
      </c>
      <c r="AY76" s="324">
        <f t="shared" ca="1" si="84"/>
        <v>1686.1499999999999</v>
      </c>
      <c r="AZ76" s="324">
        <f t="shared" ca="1" si="84"/>
        <v>1715.9340000000002</v>
      </c>
      <c r="BA76" s="324">
        <f t="shared" ca="1" si="84"/>
        <v>4137.9589999999998</v>
      </c>
      <c r="BB76" s="324">
        <f t="shared" ca="1" si="84"/>
        <v>5545.1469999999999</v>
      </c>
      <c r="BC76" s="324">
        <f t="shared" ca="1" si="84"/>
        <v>5498.4899999999989</v>
      </c>
      <c r="BD76" s="324">
        <f t="shared" ca="1" si="84"/>
        <v>5498.4899999999989</v>
      </c>
    </row>
    <row r="77" spans="1:56" ht="13.5" thickTop="1" x14ac:dyDescent="0.2">
      <c r="AD77" s="141"/>
      <c r="AS77" s="269"/>
      <c r="AT77" s="269"/>
      <c r="AU77" s="269"/>
      <c r="AV77" s="269"/>
      <c r="AW77" s="269"/>
      <c r="AX77" s="308"/>
      <c r="AY77" s="269"/>
      <c r="AZ77" s="269"/>
      <c r="BA77" s="269"/>
      <c r="BB77" s="269"/>
      <c r="BC77" s="269"/>
      <c r="BD77" s="269"/>
    </row>
    <row r="78" spans="1:56" ht="15.75" x14ac:dyDescent="0.25">
      <c r="A78" s="281" t="s">
        <v>377</v>
      </c>
      <c r="B78" s="194"/>
      <c r="C78" s="194"/>
      <c r="D78" s="194"/>
      <c r="E78" s="194"/>
      <c r="F78" s="222"/>
      <c r="AS78" s="260" t="str">
        <f>A78&amp;B78&amp;C78&amp;D78</f>
        <v>Cash Flow Statement ($000's)</v>
      </c>
      <c r="AT78" s="260"/>
      <c r="AU78" s="260"/>
      <c r="AV78" s="261"/>
      <c r="AW78" s="262" t="str">
        <f>AW4</f>
        <v>1Q:1Y</v>
      </c>
      <c r="AX78" s="262" t="str">
        <f t="shared" ref="AX78:BD78" si="85">AX4</f>
        <v>2Q:1Y</v>
      </c>
      <c r="AY78" s="262" t="str">
        <f t="shared" si="85"/>
        <v>3Q:1Y</v>
      </c>
      <c r="AZ78" s="262" t="str">
        <f t="shared" si="85"/>
        <v>4Q:1Y</v>
      </c>
      <c r="BA78" s="262" t="str">
        <f t="shared" si="85"/>
        <v>1Q:2Y</v>
      </c>
      <c r="BB78" s="262" t="str">
        <f t="shared" si="85"/>
        <v>2Q:2Y</v>
      </c>
      <c r="BC78" s="262" t="str">
        <f t="shared" si="85"/>
        <v>3Q:2Y</v>
      </c>
      <c r="BD78" s="262" t="str">
        <f t="shared" si="85"/>
        <v>4Q:2Y</v>
      </c>
    </row>
    <row r="79" spans="1:56" s="131" customFormat="1" collapsed="1" x14ac:dyDescent="0.2">
      <c r="D79" s="131" t="s">
        <v>331</v>
      </c>
      <c r="G79" s="215">
        <f>G76</f>
        <v>-218</v>
      </c>
      <c r="H79" s="215">
        <f t="shared" ref="H79:AD79" si="86">H76</f>
        <v>-135</v>
      </c>
      <c r="I79" s="215">
        <f t="shared" si="86"/>
        <v>-135</v>
      </c>
      <c r="J79" s="215">
        <f t="shared" si="86"/>
        <v>348.80000000000007</v>
      </c>
      <c r="K79" s="215">
        <f t="shared" si="86"/>
        <v>458.30124999999992</v>
      </c>
      <c r="L79" s="215">
        <f t="shared" si="86"/>
        <v>510.7</v>
      </c>
      <c r="M79" s="215">
        <f t="shared" si="86"/>
        <v>668.65000000000009</v>
      </c>
      <c r="N79" s="215">
        <f t="shared" si="86"/>
        <v>508.75</v>
      </c>
      <c r="O79" s="215">
        <f t="shared" si="86"/>
        <v>508.75</v>
      </c>
      <c r="P79" s="215">
        <f t="shared" si="86"/>
        <v>508.75</v>
      </c>
      <c r="Q79" s="215">
        <f t="shared" si="86"/>
        <v>508.75</v>
      </c>
      <c r="R79" s="215">
        <f t="shared" si="86"/>
        <v>698.43399999999997</v>
      </c>
      <c r="S79" s="215">
        <f t="shared" si="86"/>
        <v>1047.5565000000001</v>
      </c>
      <c r="T79" s="215">
        <f t="shared" si="86"/>
        <v>1390.7965000000002</v>
      </c>
      <c r="U79" s="215">
        <f t="shared" si="86"/>
        <v>1699.606</v>
      </c>
      <c r="V79" s="215">
        <f t="shared" si="86"/>
        <v>1867.2604999999999</v>
      </c>
      <c r="W79" s="215">
        <f t="shared" si="86"/>
        <v>1845.0565000000001</v>
      </c>
      <c r="X79" s="215">
        <f t="shared" si="86"/>
        <v>1832.8300000000002</v>
      </c>
      <c r="Y79" s="215">
        <f t="shared" si="86"/>
        <v>1832.8300000000002</v>
      </c>
      <c r="Z79" s="215">
        <f t="shared" si="86"/>
        <v>1832.8300000000002</v>
      </c>
      <c r="AA79" s="215">
        <f t="shared" si="86"/>
        <v>1832.8300000000002</v>
      </c>
      <c r="AB79" s="215">
        <f t="shared" si="86"/>
        <v>1832.8300000000002</v>
      </c>
      <c r="AC79" s="215">
        <f t="shared" si="86"/>
        <v>1832.8300000000002</v>
      </c>
      <c r="AD79" s="215">
        <f t="shared" si="86"/>
        <v>1832.8300000000002</v>
      </c>
      <c r="AS79" s="269"/>
      <c r="AT79" s="269"/>
      <c r="AU79" s="307"/>
      <c r="AV79" s="307" t="str">
        <f>B79&amp;C79&amp;D79&amp;E79&amp;F79</f>
        <v>Net Income</v>
      </c>
      <c r="AW79" s="308">
        <f ca="1">SUM(OFFSET($G79,0,AV$3+1):OFFSET($G79,0,AW$3))</f>
        <v>-488</v>
      </c>
      <c r="AX79" s="308">
        <f ca="1">SUM(OFFSET($G79,0,AW$3+1):OFFSET($G79,0,AX$3))</f>
        <v>1317.80125</v>
      </c>
      <c r="AY79" s="308">
        <f ca="1">SUM(OFFSET($G79,0,AX$3+1):OFFSET($G79,0,AY$3))</f>
        <v>1686.15</v>
      </c>
      <c r="AZ79" s="308">
        <f ca="1">SUM(OFFSET($G79,0,AY$3+1):OFFSET($G79,0,AZ$3))</f>
        <v>1715.934</v>
      </c>
      <c r="BA79" s="308">
        <f ca="1">SUM(OFFSET($G79,0,AZ$3+1):OFFSET($G79,0,BA$3))</f>
        <v>4137.9589999999998</v>
      </c>
      <c r="BB79" s="308">
        <f ca="1">SUM(OFFSET($G79,0,BA$3+1):OFFSET($G79,0,BB$3))</f>
        <v>5545.1469999999999</v>
      </c>
      <c r="BC79" s="308">
        <f ca="1">SUM(OFFSET($G79,0,BB$3+1):OFFSET($G79,0,BC$3))</f>
        <v>5498.4900000000007</v>
      </c>
      <c r="BD79" s="308">
        <f ca="1">SUM(OFFSET($G79,0,BC$3+1):OFFSET($G79,0,BD$3))</f>
        <v>5498.4900000000007</v>
      </c>
    </row>
    <row r="80" spans="1:56" x14ac:dyDescent="0.2">
      <c r="D80" s="107" t="s">
        <v>332</v>
      </c>
      <c r="G80" s="141">
        <f>-G69</f>
        <v>0</v>
      </c>
      <c r="H80" s="141">
        <f t="shared" ref="H80:AD80" si="87">-H69</f>
        <v>0</v>
      </c>
      <c r="I80" s="141">
        <f t="shared" si="87"/>
        <v>0</v>
      </c>
      <c r="J80" s="141">
        <f t="shared" si="87"/>
        <v>36.6</v>
      </c>
      <c r="K80" s="141">
        <f t="shared" si="87"/>
        <v>36.6</v>
      </c>
      <c r="L80" s="141">
        <f t="shared" si="87"/>
        <v>36.6</v>
      </c>
      <c r="M80" s="141">
        <f t="shared" si="87"/>
        <v>36.6</v>
      </c>
      <c r="N80" s="141">
        <f t="shared" si="87"/>
        <v>36.6</v>
      </c>
      <c r="O80" s="141">
        <f t="shared" si="87"/>
        <v>36.6</v>
      </c>
      <c r="P80" s="141">
        <f t="shared" si="87"/>
        <v>36.6</v>
      </c>
      <c r="Q80" s="141">
        <f t="shared" si="87"/>
        <v>36.6</v>
      </c>
      <c r="R80" s="141">
        <f t="shared" si="87"/>
        <v>71.400000000000006</v>
      </c>
      <c r="S80" s="141">
        <f t="shared" si="87"/>
        <v>106.20000000000002</v>
      </c>
      <c r="T80" s="141">
        <f t="shared" si="87"/>
        <v>141.00000000000003</v>
      </c>
      <c r="U80" s="141">
        <f t="shared" si="87"/>
        <v>175.80000000000004</v>
      </c>
      <c r="V80" s="141">
        <f t="shared" si="87"/>
        <v>175.80000000000004</v>
      </c>
      <c r="W80" s="141">
        <f t="shared" si="87"/>
        <v>175.80000000000004</v>
      </c>
      <c r="X80" s="141">
        <f t="shared" si="87"/>
        <v>175.80000000000004</v>
      </c>
      <c r="Y80" s="141">
        <f t="shared" si="87"/>
        <v>175.80000000000004</v>
      </c>
      <c r="Z80" s="141">
        <f t="shared" si="87"/>
        <v>175.80000000000004</v>
      </c>
      <c r="AA80" s="141">
        <f t="shared" si="87"/>
        <v>175.80000000000004</v>
      </c>
      <c r="AB80" s="141">
        <f t="shared" si="87"/>
        <v>175.80000000000004</v>
      </c>
      <c r="AC80" s="141">
        <f t="shared" si="87"/>
        <v>175.80000000000004</v>
      </c>
      <c r="AD80" s="141">
        <f t="shared" si="87"/>
        <v>175.80000000000004</v>
      </c>
      <c r="AS80" s="269"/>
      <c r="AT80" s="269"/>
      <c r="AU80" s="284"/>
      <c r="AV80" s="284" t="str">
        <f>B80&amp;C80&amp;D80&amp;E80&amp;F80</f>
        <v>Depreciation</v>
      </c>
      <c r="AW80" s="308">
        <f ca="1">SUM(OFFSET($G80,0,AV$3+1):OFFSET($G80,0,AW$3))</f>
        <v>0</v>
      </c>
      <c r="AX80" s="308">
        <f ca="1">SUM(OFFSET($G80,0,AW$3+1):OFFSET($G80,0,AX$3))</f>
        <v>109.80000000000001</v>
      </c>
      <c r="AY80" s="308">
        <f ca="1">SUM(OFFSET($G80,0,AX$3+1):OFFSET($G80,0,AY$3))</f>
        <v>109.80000000000001</v>
      </c>
      <c r="AZ80" s="308">
        <f ca="1">SUM(OFFSET($G80,0,AY$3+1):OFFSET($G80,0,AZ$3))</f>
        <v>144.60000000000002</v>
      </c>
      <c r="BA80" s="308">
        <f ca="1">SUM(OFFSET($G80,0,AZ$3+1):OFFSET($G80,0,BA$3))</f>
        <v>423.00000000000011</v>
      </c>
      <c r="BB80" s="308">
        <f ca="1">SUM(OFFSET($G80,0,BA$3+1):OFFSET($G80,0,BB$3))</f>
        <v>527.40000000000009</v>
      </c>
      <c r="BC80" s="308">
        <f ca="1">SUM(OFFSET($G80,0,BB$3+1):OFFSET($G80,0,BC$3))</f>
        <v>527.40000000000009</v>
      </c>
      <c r="BD80" s="308">
        <f ca="1">SUM(OFFSET($G80,0,BC$3+1):OFFSET($G80,0,BD$3))</f>
        <v>527.40000000000009</v>
      </c>
    </row>
    <row r="81" spans="2:56" s="135" customFormat="1" ht="13.5" thickBot="1" x14ac:dyDescent="0.25">
      <c r="C81" s="108" t="s">
        <v>333</v>
      </c>
      <c r="D81" s="108"/>
      <c r="E81" s="108"/>
      <c r="F81" s="108"/>
      <c r="G81" s="210">
        <f>G79+G80</f>
        <v>-218</v>
      </c>
      <c r="H81" s="210">
        <f t="shared" ref="H81:AD81" si="88">H79+H80</f>
        <v>-135</v>
      </c>
      <c r="I81" s="210">
        <f t="shared" si="88"/>
        <v>-135</v>
      </c>
      <c r="J81" s="210">
        <f t="shared" si="88"/>
        <v>385.40000000000009</v>
      </c>
      <c r="K81" s="210">
        <f t="shared" si="88"/>
        <v>494.90124999999995</v>
      </c>
      <c r="L81" s="210">
        <f t="shared" si="88"/>
        <v>547.29999999999995</v>
      </c>
      <c r="M81" s="210">
        <f t="shared" si="88"/>
        <v>705.25000000000011</v>
      </c>
      <c r="N81" s="210">
        <f t="shared" si="88"/>
        <v>545.35</v>
      </c>
      <c r="O81" s="210">
        <f t="shared" si="88"/>
        <v>545.35</v>
      </c>
      <c r="P81" s="210">
        <f t="shared" si="88"/>
        <v>545.35</v>
      </c>
      <c r="Q81" s="210">
        <f t="shared" si="88"/>
        <v>545.35</v>
      </c>
      <c r="R81" s="210">
        <f t="shared" si="88"/>
        <v>769.83399999999995</v>
      </c>
      <c r="S81" s="210">
        <f t="shared" si="88"/>
        <v>1153.7565000000002</v>
      </c>
      <c r="T81" s="210">
        <f t="shared" si="88"/>
        <v>1531.7965000000002</v>
      </c>
      <c r="U81" s="210">
        <f t="shared" si="88"/>
        <v>1875.4059999999999</v>
      </c>
      <c r="V81" s="210">
        <f t="shared" si="88"/>
        <v>2043.0604999999998</v>
      </c>
      <c r="W81" s="210">
        <f t="shared" si="88"/>
        <v>2020.8565000000001</v>
      </c>
      <c r="X81" s="210">
        <f t="shared" si="88"/>
        <v>2008.63</v>
      </c>
      <c r="Y81" s="210">
        <f t="shared" si="88"/>
        <v>2008.63</v>
      </c>
      <c r="Z81" s="210">
        <f t="shared" si="88"/>
        <v>2008.63</v>
      </c>
      <c r="AA81" s="210">
        <f t="shared" si="88"/>
        <v>2008.63</v>
      </c>
      <c r="AB81" s="210">
        <f t="shared" si="88"/>
        <v>2008.63</v>
      </c>
      <c r="AC81" s="210">
        <f t="shared" si="88"/>
        <v>2008.63</v>
      </c>
      <c r="AD81" s="210">
        <f t="shared" si="88"/>
        <v>2008.63</v>
      </c>
      <c r="AS81" s="269"/>
      <c r="AT81" s="269"/>
      <c r="AU81" s="309" t="str">
        <f>B81&amp;C81&amp;D81&amp;E81&amp;F81</f>
        <v>Operations (Need)/Supply</v>
      </c>
      <c r="AV81" s="309"/>
      <c r="AW81" s="310">
        <f ca="1">AW79+AW80</f>
        <v>-488</v>
      </c>
      <c r="AX81" s="310">
        <f t="shared" ref="AX81:BD81" ca="1" si="89">AX79+AX80</f>
        <v>1427.6012499999999</v>
      </c>
      <c r="AY81" s="310">
        <f t="shared" ca="1" si="89"/>
        <v>1795.95</v>
      </c>
      <c r="AZ81" s="310">
        <f t="shared" ca="1" si="89"/>
        <v>1860.5340000000001</v>
      </c>
      <c r="BA81" s="310">
        <f t="shared" ca="1" si="89"/>
        <v>4560.9589999999998</v>
      </c>
      <c r="BB81" s="310">
        <f t="shared" ca="1" si="89"/>
        <v>6072.5470000000005</v>
      </c>
      <c r="BC81" s="310">
        <f t="shared" ca="1" si="89"/>
        <v>6025.8900000000012</v>
      </c>
      <c r="BD81" s="310">
        <f t="shared" ca="1" si="89"/>
        <v>6025.8900000000012</v>
      </c>
    </row>
    <row r="82" spans="2:56" outlineLevel="1" x14ac:dyDescent="0.2">
      <c r="AS82" s="269"/>
      <c r="AT82" s="269"/>
      <c r="AU82" s="284"/>
      <c r="AV82" s="284"/>
      <c r="AW82" s="269"/>
      <c r="AX82" s="269"/>
      <c r="AY82" s="269"/>
      <c r="AZ82" s="269"/>
      <c r="BA82" s="269"/>
      <c r="BB82" s="269"/>
      <c r="BC82" s="269"/>
      <c r="BD82" s="269"/>
    </row>
    <row r="83" spans="2:56" outlineLevel="1" x14ac:dyDescent="0.2">
      <c r="B83" s="135"/>
      <c r="C83" s="135"/>
      <c r="E83" s="135" t="s">
        <v>238</v>
      </c>
      <c r="F83" s="136">
        <f>SUM(G83:I83)</f>
        <v>1</v>
      </c>
      <c r="G83" s="136">
        <v>0.5</v>
      </c>
      <c r="H83" s="136">
        <v>0.4</v>
      </c>
      <c r="I83" s="136">
        <v>0.1</v>
      </c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AS83" s="269"/>
      <c r="AT83" s="269"/>
      <c r="AU83" s="269"/>
      <c r="AV83" s="269"/>
      <c r="AW83" s="269"/>
      <c r="AX83" s="269"/>
      <c r="AY83" s="269"/>
      <c r="AZ83" s="269"/>
      <c r="BA83" s="269"/>
      <c r="BB83" s="269"/>
      <c r="BC83" s="269"/>
      <c r="BD83" s="269"/>
    </row>
    <row r="84" spans="2:56" x14ac:dyDescent="0.2">
      <c r="D84" s="107" t="s">
        <v>304</v>
      </c>
      <c r="F84" s="137">
        <f>ROUND(DCut_Capex!$G$36,-3)/1000</f>
        <v>915</v>
      </c>
      <c r="G84" s="215">
        <f>-$F84*G83</f>
        <v>-457.5</v>
      </c>
      <c r="H84" s="215">
        <f>-$F84*H83</f>
        <v>-366</v>
      </c>
      <c r="I84" s="215">
        <f>-$F84*I83</f>
        <v>-91.5</v>
      </c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S84" s="269"/>
      <c r="AT84" s="269"/>
      <c r="AU84" s="284"/>
      <c r="AV84" s="268" t="str">
        <f>A84&amp;B84&amp;C84&amp;D84</f>
        <v xml:space="preserve">Site #1: Capex </v>
      </c>
      <c r="AW84" s="308">
        <f ca="1">SUM(OFFSET($G84,0,AV$3+1):OFFSET($G84,0,AW$3))</f>
        <v>-915</v>
      </c>
      <c r="AX84" s="308">
        <f ca="1">SUM(OFFSET($G84,0,AW$3+1):OFFSET($G84,0,AX$3))</f>
        <v>0</v>
      </c>
      <c r="AY84" s="308">
        <f ca="1">SUM(OFFSET($G84,0,AX$3+1):OFFSET($G84,0,AY$3))</f>
        <v>0</v>
      </c>
      <c r="AZ84" s="308">
        <f ca="1">SUM(OFFSET($G84,0,AY$3+1):OFFSET($G84,0,AZ$3))</f>
        <v>0</v>
      </c>
      <c r="BA84" s="308">
        <f ca="1">SUM(OFFSET($G84,0,AZ$3+1):OFFSET($G84,0,BA$3))</f>
        <v>0</v>
      </c>
      <c r="BB84" s="308">
        <f ca="1">SUM(OFFSET($G84,0,BA$3+1):OFFSET($G84,0,BB$3))</f>
        <v>0</v>
      </c>
      <c r="BC84" s="308">
        <f ca="1">SUM(OFFSET($G84,0,BB$3+1):OFFSET($G84,0,BC$3))</f>
        <v>0</v>
      </c>
      <c r="BD84" s="308">
        <f ca="1">SUM(OFFSET($G84,0,BC$3+1):OFFSET($G84,0,BD$3))</f>
        <v>0</v>
      </c>
    </row>
    <row r="85" spans="2:56" s="200" customFormat="1" outlineLevel="1" x14ac:dyDescent="0.2">
      <c r="B85" s="107"/>
      <c r="C85" s="107"/>
      <c r="D85" s="107"/>
      <c r="E85" s="107" t="s">
        <v>236</v>
      </c>
      <c r="F85" s="136">
        <v>0.8</v>
      </c>
      <c r="G85" s="215"/>
      <c r="H85" s="215"/>
      <c r="I85" s="215"/>
      <c r="J85" s="215">
        <f>IF(I89&gt;=0,0,MIN($F85*J11,-I89))</f>
        <v>518.4</v>
      </c>
      <c r="K85" s="215">
        <f>IF(J89&gt;=0,0,MIN($F85*K11,-J89))</f>
        <v>396.59999999999991</v>
      </c>
      <c r="L85" s="215">
        <f>IF(K89&gt;=0,0,MIN($F85*L11,-K89))</f>
        <v>0</v>
      </c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S85" s="269"/>
      <c r="AT85" s="269"/>
      <c r="AU85" s="311"/>
      <c r="AV85" s="269"/>
      <c r="AW85" s="269"/>
      <c r="AX85" s="269"/>
      <c r="AY85" s="269"/>
      <c r="AZ85" s="269"/>
      <c r="BA85" s="269"/>
      <c r="BB85" s="269"/>
      <c r="BC85" s="269"/>
      <c r="BD85" s="269"/>
    </row>
    <row r="86" spans="2:56" outlineLevel="1" x14ac:dyDescent="0.2">
      <c r="E86" s="107" t="s">
        <v>237</v>
      </c>
      <c r="F86" s="136">
        <v>0.5</v>
      </c>
      <c r="G86" s="215"/>
      <c r="H86" s="215"/>
      <c r="I86" s="215"/>
      <c r="J86" s="215">
        <f t="shared" ref="J86:AD86" si="90">MAX(0,$F86*(J11-J85/$F85))</f>
        <v>5.6843418860808015E-14</v>
      </c>
      <c r="K86" s="215">
        <f t="shared" si="90"/>
        <v>400.12500000000006</v>
      </c>
      <c r="L86" s="215">
        <f t="shared" si="90"/>
        <v>972</v>
      </c>
      <c r="M86" s="215">
        <f t="shared" si="90"/>
        <v>1215</v>
      </c>
      <c r="N86" s="215">
        <f t="shared" si="90"/>
        <v>972</v>
      </c>
      <c r="O86" s="215">
        <f t="shared" si="90"/>
        <v>972</v>
      </c>
      <c r="P86" s="215">
        <f t="shared" si="90"/>
        <v>972</v>
      </c>
      <c r="Q86" s="215">
        <f t="shared" si="90"/>
        <v>972</v>
      </c>
      <c r="R86" s="215">
        <f t="shared" si="90"/>
        <v>972</v>
      </c>
      <c r="S86" s="215">
        <f t="shared" si="90"/>
        <v>972</v>
      </c>
      <c r="T86" s="215">
        <f t="shared" si="90"/>
        <v>972</v>
      </c>
      <c r="U86" s="215">
        <f t="shared" si="90"/>
        <v>972</v>
      </c>
      <c r="V86" s="215">
        <f t="shared" si="90"/>
        <v>972</v>
      </c>
      <c r="W86" s="215">
        <f t="shared" si="90"/>
        <v>972</v>
      </c>
      <c r="X86" s="215">
        <f t="shared" si="90"/>
        <v>972</v>
      </c>
      <c r="Y86" s="215">
        <f t="shared" si="90"/>
        <v>972</v>
      </c>
      <c r="Z86" s="215">
        <f t="shared" si="90"/>
        <v>972</v>
      </c>
      <c r="AA86" s="215">
        <f t="shared" si="90"/>
        <v>972</v>
      </c>
      <c r="AB86" s="215">
        <f t="shared" si="90"/>
        <v>972</v>
      </c>
      <c r="AC86" s="215">
        <f t="shared" si="90"/>
        <v>972</v>
      </c>
      <c r="AD86" s="215">
        <f t="shared" si="90"/>
        <v>972</v>
      </c>
      <c r="AS86" s="269"/>
      <c r="AT86" s="269"/>
      <c r="AU86" s="284"/>
      <c r="AV86" s="269"/>
      <c r="AW86" s="269"/>
      <c r="AX86" s="269"/>
      <c r="AY86" s="269"/>
      <c r="AZ86" s="269"/>
      <c r="BA86" s="269"/>
      <c r="BB86" s="269"/>
      <c r="BC86" s="269"/>
      <c r="BD86" s="269"/>
    </row>
    <row r="87" spans="2:56" s="131" customFormat="1" ht="13.5" outlineLevel="1" thickBot="1" x14ac:dyDescent="0.25">
      <c r="D87" s="276" t="s">
        <v>299</v>
      </c>
      <c r="E87" s="276"/>
      <c r="F87" s="148"/>
      <c r="G87" s="215">
        <f t="shared" ref="G87:AD87" si="91">G84+G85+G86</f>
        <v>-457.5</v>
      </c>
      <c r="H87" s="215">
        <f t="shared" si="91"/>
        <v>-366</v>
      </c>
      <c r="I87" s="215">
        <f t="shared" si="91"/>
        <v>-91.5</v>
      </c>
      <c r="J87" s="215">
        <f t="shared" si="91"/>
        <v>518.40000000000009</v>
      </c>
      <c r="K87" s="215">
        <f t="shared" si="91"/>
        <v>796.72499999999991</v>
      </c>
      <c r="L87" s="215">
        <f t="shared" si="91"/>
        <v>972</v>
      </c>
      <c r="M87" s="215">
        <f t="shared" si="91"/>
        <v>1215</v>
      </c>
      <c r="N87" s="215">
        <f t="shared" si="91"/>
        <v>972</v>
      </c>
      <c r="O87" s="215">
        <f t="shared" si="91"/>
        <v>972</v>
      </c>
      <c r="P87" s="215">
        <f t="shared" si="91"/>
        <v>972</v>
      </c>
      <c r="Q87" s="215">
        <f t="shared" si="91"/>
        <v>972</v>
      </c>
      <c r="R87" s="215">
        <f t="shared" si="91"/>
        <v>972</v>
      </c>
      <c r="S87" s="215">
        <f t="shared" si="91"/>
        <v>972</v>
      </c>
      <c r="T87" s="215">
        <f t="shared" si="91"/>
        <v>972</v>
      </c>
      <c r="U87" s="215">
        <f t="shared" si="91"/>
        <v>972</v>
      </c>
      <c r="V87" s="215">
        <f t="shared" si="91"/>
        <v>972</v>
      </c>
      <c r="W87" s="215">
        <f t="shared" si="91"/>
        <v>972</v>
      </c>
      <c r="X87" s="215">
        <f t="shared" si="91"/>
        <v>972</v>
      </c>
      <c r="Y87" s="215">
        <f t="shared" si="91"/>
        <v>972</v>
      </c>
      <c r="Z87" s="215">
        <f t="shared" si="91"/>
        <v>972</v>
      </c>
      <c r="AA87" s="215">
        <f t="shared" si="91"/>
        <v>972</v>
      </c>
      <c r="AB87" s="215">
        <f t="shared" si="91"/>
        <v>972</v>
      </c>
      <c r="AC87" s="215">
        <f t="shared" si="91"/>
        <v>972</v>
      </c>
      <c r="AD87" s="215">
        <f t="shared" si="91"/>
        <v>972</v>
      </c>
      <c r="AS87" s="312" t="str">
        <f>A87&amp;B87&amp;C87&amp;D87</f>
        <v xml:space="preserve">Site #1: Cash Flow </v>
      </c>
      <c r="AT87" s="312"/>
      <c r="AU87" s="307"/>
      <c r="AV87" s="313"/>
      <c r="AW87" s="313">
        <f ca="1">SUM(OFFSET($G87,0,AV$3+1):OFFSET($G87,0,AW$3))/1000</f>
        <v>-0.91500000000000004</v>
      </c>
      <c r="AX87" s="313">
        <f ca="1">SUM(OFFSET($G87,0,AW$3+1):OFFSET($G87,0,AX$3))/1000</f>
        <v>2.2871250000000001</v>
      </c>
      <c r="AY87" s="313">
        <f ca="1">SUM(OFFSET($G87,0,AX$3+1):OFFSET($G87,0,AY$3))/1000</f>
        <v>3.1589999999999998</v>
      </c>
      <c r="AZ87" s="313">
        <f ca="1">SUM(OFFSET($G87,0,AY$3+1):OFFSET($G87,0,AZ$3))/1000</f>
        <v>2.9159999999999999</v>
      </c>
      <c r="BA87" s="313">
        <f ca="1">SUM(OFFSET($G87,0,AZ$3+1):OFFSET($G87,0,BA$3))/1000</f>
        <v>2.9159999999999999</v>
      </c>
      <c r="BB87" s="313">
        <f ca="1">SUM(OFFSET($G87,0,BA$3+1):OFFSET($G87,0,BB$3))/1000</f>
        <v>2.9159999999999999</v>
      </c>
      <c r="BC87" s="313">
        <f ca="1">SUM(OFFSET($G87,0,BB$3+1):OFFSET($G87,0,BC$3))/1000</f>
        <v>2.9159999999999999</v>
      </c>
      <c r="BD87" s="313">
        <f ca="1">SUM(OFFSET($G87,0,BC$3+1):OFFSET($G87,0,BD$3))/1000</f>
        <v>2.9159999999999999</v>
      </c>
    </row>
    <row r="88" spans="2:56" s="131" customFormat="1" ht="13.5" outlineLevel="1" thickTop="1" x14ac:dyDescent="0.2">
      <c r="E88" s="353" t="s">
        <v>298</v>
      </c>
      <c r="F88" s="353"/>
      <c r="G88" s="215">
        <f t="shared" ref="G88:Q88" si="92">F88+G87</f>
        <v>-457.5</v>
      </c>
      <c r="H88" s="215">
        <f>G88+H87</f>
        <v>-823.5</v>
      </c>
      <c r="I88" s="215">
        <f>H88+I87</f>
        <v>-915</v>
      </c>
      <c r="J88" s="215">
        <f>I88+J87</f>
        <v>-396.59999999999991</v>
      </c>
      <c r="K88" s="215">
        <f>J88+K87</f>
        <v>400.125</v>
      </c>
      <c r="L88" s="215">
        <f>K88+L87</f>
        <v>1372.125</v>
      </c>
      <c r="M88" s="215">
        <f t="shared" si="92"/>
        <v>2587.125</v>
      </c>
      <c r="N88" s="215">
        <f t="shared" si="92"/>
        <v>3559.125</v>
      </c>
      <c r="O88" s="215">
        <f t="shared" si="92"/>
        <v>4531.125</v>
      </c>
      <c r="P88" s="215">
        <f t="shared" si="92"/>
        <v>5503.125</v>
      </c>
      <c r="Q88" s="215">
        <f t="shared" si="92"/>
        <v>6475.125</v>
      </c>
      <c r="R88" s="215">
        <f t="shared" ref="R88:AD88" si="93">Q88+R87</f>
        <v>7447.125</v>
      </c>
      <c r="S88" s="215">
        <f t="shared" si="93"/>
        <v>8419.125</v>
      </c>
      <c r="T88" s="215">
        <f t="shared" si="93"/>
        <v>9391.125</v>
      </c>
      <c r="U88" s="215">
        <f t="shared" si="93"/>
        <v>10363.125</v>
      </c>
      <c r="V88" s="215">
        <f t="shared" si="93"/>
        <v>11335.125</v>
      </c>
      <c r="W88" s="215">
        <f t="shared" si="93"/>
        <v>12307.125</v>
      </c>
      <c r="X88" s="215">
        <f t="shared" si="93"/>
        <v>13279.125</v>
      </c>
      <c r="Y88" s="215">
        <f t="shared" si="93"/>
        <v>14251.125</v>
      </c>
      <c r="Z88" s="215">
        <f t="shared" si="93"/>
        <v>15223.125</v>
      </c>
      <c r="AA88" s="215">
        <f t="shared" si="93"/>
        <v>16195.125</v>
      </c>
      <c r="AB88" s="215">
        <f t="shared" si="93"/>
        <v>17167.125</v>
      </c>
      <c r="AC88" s="215">
        <f t="shared" si="93"/>
        <v>18139.125</v>
      </c>
      <c r="AD88" s="215">
        <f t="shared" si="93"/>
        <v>19111.125</v>
      </c>
      <c r="AS88" s="271"/>
      <c r="AT88" s="271"/>
      <c r="AU88" s="307"/>
      <c r="AV88" s="271"/>
      <c r="AW88" s="272"/>
      <c r="AX88" s="272"/>
      <c r="AY88" s="272"/>
      <c r="AZ88" s="272"/>
      <c r="BA88" s="272"/>
      <c r="BB88" s="272"/>
      <c r="BC88" s="272"/>
      <c r="BD88" s="272"/>
    </row>
    <row r="89" spans="2:56" s="131" customFormat="1" outlineLevel="1" x14ac:dyDescent="0.2">
      <c r="E89" s="277" t="s">
        <v>246</v>
      </c>
      <c r="F89" s="276"/>
      <c r="G89" s="215">
        <f>F89+G87</f>
        <v>-457.5</v>
      </c>
      <c r="H89" s="215">
        <f>G89+H87</f>
        <v>-823.5</v>
      </c>
      <c r="I89" s="215">
        <f>H89+I87</f>
        <v>-915</v>
      </c>
      <c r="J89" s="215">
        <f>I89+J87</f>
        <v>-396.59999999999991</v>
      </c>
      <c r="K89" s="215">
        <f>J89+K87</f>
        <v>400.125</v>
      </c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S89" s="271"/>
      <c r="AT89" s="271"/>
      <c r="AU89" s="307"/>
      <c r="AV89" s="271"/>
      <c r="AW89" s="271"/>
      <c r="AX89" s="271"/>
      <c r="AY89" s="271"/>
      <c r="AZ89" s="271"/>
      <c r="BA89" s="271"/>
      <c r="BB89" s="271"/>
      <c r="BC89" s="271"/>
      <c r="BD89" s="271"/>
    </row>
    <row r="90" spans="2:56" s="131" customFormat="1" outlineLevel="1" x14ac:dyDescent="0.2">
      <c r="AS90" s="314" t="s">
        <v>374</v>
      </c>
      <c r="AT90" s="314"/>
      <c r="AU90" s="307"/>
      <c r="AV90" s="314"/>
      <c r="AW90" s="315" t="str">
        <f t="shared" ref="AW90:BD90" si="94">AW$2</f>
        <v>1Q:1Y</v>
      </c>
      <c r="AX90" s="315" t="str">
        <f t="shared" si="94"/>
        <v>2Q:1Y</v>
      </c>
      <c r="AY90" s="315" t="str">
        <f t="shared" si="94"/>
        <v>3Q:1Y</v>
      </c>
      <c r="AZ90" s="315" t="str">
        <f t="shared" si="94"/>
        <v>4Q:1Y</v>
      </c>
      <c r="BA90" s="315" t="str">
        <f t="shared" si="94"/>
        <v>1Q:2Y</v>
      </c>
      <c r="BB90" s="315" t="str">
        <f t="shared" si="94"/>
        <v>2Q:2Y</v>
      </c>
      <c r="BC90" s="315" t="str">
        <f t="shared" si="94"/>
        <v>3Q:2Y</v>
      </c>
      <c r="BD90" s="315" t="str">
        <f t="shared" si="94"/>
        <v>4Q:2Y</v>
      </c>
    </row>
    <row r="91" spans="2:56" outlineLevel="1" x14ac:dyDescent="0.2">
      <c r="E91" s="107" t="s">
        <v>238</v>
      </c>
      <c r="F91" s="136">
        <f>SUM(G91:AA91)</f>
        <v>1</v>
      </c>
      <c r="G91" s="136"/>
      <c r="H91" s="136"/>
      <c r="I91" s="136"/>
      <c r="J91" s="136"/>
      <c r="K91" s="136"/>
      <c r="L91" s="136"/>
      <c r="M91" s="136"/>
      <c r="N91" s="136">
        <v>0.5</v>
      </c>
      <c r="O91" s="136">
        <v>0.4</v>
      </c>
      <c r="P91" s="136">
        <v>0.05</v>
      </c>
      <c r="Q91" s="136">
        <v>0.05</v>
      </c>
      <c r="R91" s="136"/>
      <c r="S91" s="136"/>
      <c r="T91" s="136"/>
      <c r="AS91" s="271"/>
      <c r="AT91" s="271"/>
      <c r="AU91" s="284"/>
      <c r="AV91" s="271"/>
      <c r="AW91" s="271"/>
      <c r="AX91" s="271"/>
      <c r="AY91" s="271"/>
      <c r="AZ91" s="271"/>
      <c r="BA91" s="271"/>
      <c r="BB91" s="271"/>
      <c r="BC91" s="271"/>
      <c r="BD91" s="271"/>
    </row>
    <row r="92" spans="2:56" x14ac:dyDescent="0.2">
      <c r="D92" s="107" t="s">
        <v>306</v>
      </c>
      <c r="F92" s="137">
        <f>ROUND(F84*95%,-1)</f>
        <v>870</v>
      </c>
      <c r="G92" s="137"/>
      <c r="H92" s="137"/>
      <c r="I92" s="137"/>
      <c r="J92" s="137"/>
      <c r="K92" s="137"/>
      <c r="L92" s="137"/>
      <c r="M92" s="137"/>
      <c r="N92" s="215">
        <f>-$F92*N91</f>
        <v>-435</v>
      </c>
      <c r="O92" s="215">
        <f>-$F92*O91</f>
        <v>-348</v>
      </c>
      <c r="P92" s="215">
        <f>-$F92*P91</f>
        <v>-43.5</v>
      </c>
      <c r="Q92" s="215">
        <f>-$F92*Q91</f>
        <v>-43.5</v>
      </c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S92" s="271"/>
      <c r="AT92" s="271"/>
      <c r="AU92" s="284"/>
      <c r="AV92" s="266" t="str">
        <f>A92&amp;B92&amp;C92&amp;D92</f>
        <v xml:space="preserve">Site #2: Capex </v>
      </c>
      <c r="AW92" s="308">
        <f ca="1">SUM(OFFSET($G92,0,AV$3+1):OFFSET($G92,0,AW$3))</f>
        <v>0</v>
      </c>
      <c r="AX92" s="308">
        <f ca="1">SUM(OFFSET($G92,0,AW$3+1):OFFSET($G92,0,AX$3))</f>
        <v>0</v>
      </c>
      <c r="AY92" s="308">
        <f ca="1">SUM(OFFSET($G92,0,AX$3+1):OFFSET($G92,0,AY$3))</f>
        <v>-783</v>
      </c>
      <c r="AZ92" s="308">
        <f ca="1">SUM(OFFSET($G92,0,AY$3+1):OFFSET($G92,0,AZ$3))</f>
        <v>-87</v>
      </c>
      <c r="BA92" s="308">
        <f ca="1">SUM(OFFSET($G92,0,AZ$3+1):OFFSET($G92,0,BA$3))</f>
        <v>0</v>
      </c>
      <c r="BB92" s="308">
        <f ca="1">SUM(OFFSET($G92,0,BA$3+1):OFFSET($G92,0,BB$3))</f>
        <v>0</v>
      </c>
      <c r="BC92" s="308">
        <f ca="1">SUM(OFFSET($G92,0,BB$3+1):OFFSET($G92,0,BC$3))</f>
        <v>0</v>
      </c>
      <c r="BD92" s="308">
        <f ca="1">SUM(OFFSET($G92,0,BC$3+1):OFFSET($G92,0,BD$3))</f>
        <v>0</v>
      </c>
    </row>
    <row r="93" spans="2:56" s="205" customFormat="1" outlineLevel="1" x14ac:dyDescent="0.2">
      <c r="B93" s="131"/>
      <c r="C93" s="131"/>
      <c r="D93" s="131"/>
      <c r="E93" s="131" t="s">
        <v>236</v>
      </c>
      <c r="F93" s="204">
        <v>0.8</v>
      </c>
      <c r="G93" s="148"/>
      <c r="H93" s="148"/>
      <c r="I93" s="148"/>
      <c r="J93" s="148"/>
      <c r="K93" s="148"/>
      <c r="L93" s="148"/>
      <c r="M93" s="148"/>
      <c r="N93" s="215">
        <f t="shared" ref="N93:T93" si="95">IF(M97&gt;=0,0,MIN($F93*N19,-M97))</f>
        <v>0</v>
      </c>
      <c r="O93" s="215">
        <f t="shared" si="95"/>
        <v>0</v>
      </c>
      <c r="P93" s="215">
        <f t="shared" si="95"/>
        <v>0</v>
      </c>
      <c r="Q93" s="215">
        <f t="shared" si="95"/>
        <v>0</v>
      </c>
      <c r="R93" s="215">
        <f t="shared" si="95"/>
        <v>351.36000000000007</v>
      </c>
      <c r="S93" s="215">
        <f t="shared" si="95"/>
        <v>518.63999999999987</v>
      </c>
      <c r="T93" s="215">
        <f t="shared" si="95"/>
        <v>0</v>
      </c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S93" s="271"/>
      <c r="AT93" s="271"/>
      <c r="AU93" s="266" t="str">
        <f>A93&amp;B93&amp;C93&amp;D93</f>
        <v/>
      </c>
      <c r="AV93" s="271"/>
      <c r="AW93" s="266">
        <f ca="1">SUM(OFFSET($G93,0,AV$3+1):OFFSET($G93,0,AW$3))/1000</f>
        <v>0</v>
      </c>
      <c r="AX93" s="266">
        <f ca="1">SUM(OFFSET($G93,0,AW$3+1):OFFSET($G93,0,AX$3))/1000</f>
        <v>0</v>
      </c>
      <c r="AY93" s="266">
        <f ca="1">SUM(OFFSET($G93,0,AX$3+1):OFFSET($G93,0,AY$3))/1000</f>
        <v>0</v>
      </c>
      <c r="AZ93" s="266">
        <f ca="1">SUM(OFFSET($G93,0,AY$3+1):OFFSET($G93,0,AZ$3))/1000</f>
        <v>0.35136000000000006</v>
      </c>
      <c r="BA93" s="266">
        <f ca="1">SUM(OFFSET($G93,0,AZ$3+1):OFFSET($G93,0,BA$3))/1000</f>
        <v>0.51863999999999988</v>
      </c>
      <c r="BB93" s="266">
        <f ca="1">SUM(OFFSET($G93,0,BA$3+1):OFFSET($G93,0,BB$3))/1000</f>
        <v>0</v>
      </c>
      <c r="BC93" s="266">
        <f ca="1">SUM(OFFSET($G93,0,BB$3+1):OFFSET($G93,0,BC$3))/1000</f>
        <v>0</v>
      </c>
      <c r="BD93" s="266">
        <f ca="1">SUM(OFFSET($G93,0,BC$3+1):OFFSET($G93,0,BD$3))/1000</f>
        <v>0</v>
      </c>
    </row>
    <row r="94" spans="2:56" s="131" customFormat="1" outlineLevel="1" x14ac:dyDescent="0.2">
      <c r="E94" s="131" t="s">
        <v>237</v>
      </c>
      <c r="F94" s="204">
        <v>0.5</v>
      </c>
      <c r="G94" s="148"/>
      <c r="H94" s="148"/>
      <c r="I94" s="148"/>
      <c r="J94" s="148"/>
      <c r="K94" s="148"/>
      <c r="L94" s="148"/>
      <c r="M94" s="148"/>
      <c r="N94" s="215">
        <f t="shared" ref="N94:AD94" si="96">MAX(0,$F94*(N19-N93/$F93))</f>
        <v>0</v>
      </c>
      <c r="O94" s="215">
        <f t="shared" si="96"/>
        <v>0</v>
      </c>
      <c r="P94" s="215">
        <f t="shared" si="96"/>
        <v>0</v>
      </c>
      <c r="Q94" s="215">
        <f t="shared" si="96"/>
        <v>0</v>
      </c>
      <c r="R94" s="215">
        <f t="shared" si="96"/>
        <v>0</v>
      </c>
      <c r="S94" s="215">
        <f t="shared" si="96"/>
        <v>115.05000000000013</v>
      </c>
      <c r="T94" s="215">
        <f t="shared" si="96"/>
        <v>658.8</v>
      </c>
      <c r="U94" s="215">
        <f t="shared" si="96"/>
        <v>658.8</v>
      </c>
      <c r="V94" s="215">
        <f t="shared" si="96"/>
        <v>658.8</v>
      </c>
      <c r="W94" s="215">
        <f t="shared" si="96"/>
        <v>658.8</v>
      </c>
      <c r="X94" s="215">
        <f t="shared" si="96"/>
        <v>658.8</v>
      </c>
      <c r="Y94" s="215">
        <f t="shared" si="96"/>
        <v>658.8</v>
      </c>
      <c r="Z94" s="215">
        <f t="shared" si="96"/>
        <v>658.8</v>
      </c>
      <c r="AA94" s="215">
        <f t="shared" si="96"/>
        <v>658.8</v>
      </c>
      <c r="AB94" s="215">
        <f t="shared" si="96"/>
        <v>658.8</v>
      </c>
      <c r="AC94" s="215">
        <f t="shared" si="96"/>
        <v>658.8</v>
      </c>
      <c r="AD94" s="215">
        <f t="shared" si="96"/>
        <v>658.8</v>
      </c>
      <c r="AS94" s="271"/>
      <c r="AT94" s="271"/>
      <c r="AU94" s="266" t="str">
        <f>A94&amp;B94&amp;C94&amp;D94</f>
        <v/>
      </c>
      <c r="AV94" s="271"/>
      <c r="AW94" s="266">
        <f ca="1">SUM(OFFSET($G94,0,AV$3+1):OFFSET($G94,0,AW$3))/1000</f>
        <v>0</v>
      </c>
      <c r="AX94" s="266">
        <f ca="1">SUM(OFFSET($G94,0,AW$3+1):OFFSET($G94,0,AX$3))/1000</f>
        <v>0</v>
      </c>
      <c r="AY94" s="266">
        <f ca="1">SUM(OFFSET($G94,0,AX$3+1):OFFSET($G94,0,AY$3))/1000</f>
        <v>0</v>
      </c>
      <c r="AZ94" s="266">
        <f ca="1">SUM(OFFSET($G94,0,AY$3+1):OFFSET($G94,0,AZ$3))/1000</f>
        <v>0</v>
      </c>
      <c r="BA94" s="266">
        <f ca="1">SUM(OFFSET($G94,0,AZ$3+1):OFFSET($G94,0,BA$3))/1000</f>
        <v>1.4326500000000002</v>
      </c>
      <c r="BB94" s="266">
        <f ca="1">SUM(OFFSET($G94,0,BA$3+1):OFFSET($G94,0,BB$3))/1000</f>
        <v>1.9763999999999999</v>
      </c>
      <c r="BC94" s="266">
        <f ca="1">SUM(OFFSET($G94,0,BB$3+1):OFFSET($G94,0,BC$3))/1000</f>
        <v>1.9763999999999999</v>
      </c>
      <c r="BD94" s="266">
        <f ca="1">SUM(OFFSET($G94,0,BC$3+1):OFFSET($G94,0,BD$3))/1000</f>
        <v>1.9763999999999999</v>
      </c>
    </row>
    <row r="95" spans="2:56" s="131" customFormat="1" ht="13.5" outlineLevel="1" thickBot="1" x14ac:dyDescent="0.25">
      <c r="D95" s="276" t="s">
        <v>300</v>
      </c>
      <c r="E95" s="276"/>
      <c r="F95" s="148"/>
      <c r="G95" s="148"/>
      <c r="H95" s="148"/>
      <c r="I95" s="148"/>
      <c r="J95" s="148"/>
      <c r="K95" s="148"/>
      <c r="L95" s="148"/>
      <c r="M95" s="148"/>
      <c r="N95" s="215">
        <f t="shared" ref="N95:AD95" si="97">N92+N93+N94</f>
        <v>-435</v>
      </c>
      <c r="O95" s="215">
        <f t="shared" si="97"/>
        <v>-348</v>
      </c>
      <c r="P95" s="215">
        <f t="shared" si="97"/>
        <v>-43.5</v>
      </c>
      <c r="Q95" s="215">
        <f t="shared" si="97"/>
        <v>-43.5</v>
      </c>
      <c r="R95" s="215">
        <f t="shared" si="97"/>
        <v>351.36000000000007</v>
      </c>
      <c r="S95" s="215">
        <f t="shared" si="97"/>
        <v>633.69000000000005</v>
      </c>
      <c r="T95" s="215">
        <f t="shared" si="97"/>
        <v>658.8</v>
      </c>
      <c r="U95" s="215">
        <f t="shared" si="97"/>
        <v>658.8</v>
      </c>
      <c r="V95" s="215">
        <f t="shared" si="97"/>
        <v>658.8</v>
      </c>
      <c r="W95" s="215">
        <f t="shared" si="97"/>
        <v>658.8</v>
      </c>
      <c r="X95" s="215">
        <f t="shared" si="97"/>
        <v>658.8</v>
      </c>
      <c r="Y95" s="215">
        <f t="shared" si="97"/>
        <v>658.8</v>
      </c>
      <c r="Z95" s="215">
        <f t="shared" si="97"/>
        <v>658.8</v>
      </c>
      <c r="AA95" s="215">
        <f t="shared" si="97"/>
        <v>658.8</v>
      </c>
      <c r="AB95" s="215">
        <f t="shared" si="97"/>
        <v>658.8</v>
      </c>
      <c r="AC95" s="215">
        <f t="shared" si="97"/>
        <v>658.8</v>
      </c>
      <c r="AD95" s="215">
        <f t="shared" si="97"/>
        <v>658.8</v>
      </c>
      <c r="AS95" s="271"/>
      <c r="AT95" s="316" t="str">
        <f>A95&amp;B95&amp;C95&amp;D95</f>
        <v xml:space="preserve">Site #2: Cash Flow </v>
      </c>
      <c r="AU95" s="317"/>
      <c r="AV95" s="317"/>
      <c r="AW95" s="318">
        <f ca="1">SUM(OFFSET($G95,0,AV$3+1):OFFSET($G95,0,AW$3))/1000</f>
        <v>0</v>
      </c>
      <c r="AX95" s="318">
        <f ca="1">SUM(OFFSET($G95,0,AW$3+1):OFFSET($G95,0,AX$3))/1000</f>
        <v>0</v>
      </c>
      <c r="AY95" s="318">
        <f ca="1">SUM(OFFSET($G95,0,AX$3+1):OFFSET($G95,0,AY$3))/1000</f>
        <v>-0.78300000000000003</v>
      </c>
      <c r="AZ95" s="318">
        <f ca="1">SUM(OFFSET($G95,0,AY$3+1):OFFSET($G95,0,AZ$3))/1000</f>
        <v>0.26436000000000009</v>
      </c>
      <c r="BA95" s="318">
        <f ca="1">SUM(OFFSET($G95,0,AZ$3+1):OFFSET($G95,0,BA$3))/1000</f>
        <v>1.95129</v>
      </c>
      <c r="BB95" s="318">
        <f ca="1">SUM(OFFSET($G95,0,BA$3+1):OFFSET($G95,0,BB$3))/1000</f>
        <v>1.9763999999999999</v>
      </c>
      <c r="BC95" s="318">
        <f ca="1">SUM(OFFSET($G95,0,BB$3+1):OFFSET($G95,0,BC$3))/1000</f>
        <v>1.9763999999999999</v>
      </c>
      <c r="BD95" s="318">
        <f ca="1">SUM(OFFSET($G95,0,BC$3+1):OFFSET($G95,0,BD$3))/1000</f>
        <v>1.9763999999999999</v>
      </c>
    </row>
    <row r="96" spans="2:56" s="131" customFormat="1" outlineLevel="1" x14ac:dyDescent="0.2">
      <c r="E96" s="353" t="s">
        <v>298</v>
      </c>
      <c r="F96" s="353"/>
      <c r="G96" s="148"/>
      <c r="H96" s="148"/>
      <c r="I96" s="148"/>
      <c r="J96" s="148"/>
      <c r="K96" s="148"/>
      <c r="L96" s="148"/>
      <c r="M96" s="148"/>
      <c r="N96" s="215">
        <f t="shared" ref="N96:AD96" si="98">M96+N95</f>
        <v>-435</v>
      </c>
      <c r="O96" s="215">
        <f t="shared" si="98"/>
        <v>-783</v>
      </c>
      <c r="P96" s="215">
        <f t="shared" si="98"/>
        <v>-826.5</v>
      </c>
      <c r="Q96" s="215">
        <f t="shared" si="98"/>
        <v>-870</v>
      </c>
      <c r="R96" s="215">
        <f t="shared" si="98"/>
        <v>-518.63999999999987</v>
      </c>
      <c r="S96" s="215">
        <f t="shared" si="98"/>
        <v>115.05000000000018</v>
      </c>
      <c r="T96" s="215">
        <f t="shared" si="98"/>
        <v>773.85000000000014</v>
      </c>
      <c r="U96" s="215">
        <f t="shared" si="98"/>
        <v>1432.65</v>
      </c>
      <c r="V96" s="215">
        <f t="shared" si="98"/>
        <v>2091.4499999999998</v>
      </c>
      <c r="W96" s="215">
        <f t="shared" si="98"/>
        <v>2750.25</v>
      </c>
      <c r="X96" s="215">
        <f t="shared" si="98"/>
        <v>3409.05</v>
      </c>
      <c r="Y96" s="215">
        <f t="shared" si="98"/>
        <v>4067.8500000000004</v>
      </c>
      <c r="Z96" s="215">
        <f t="shared" si="98"/>
        <v>4726.6500000000005</v>
      </c>
      <c r="AA96" s="215">
        <f t="shared" si="98"/>
        <v>5385.4500000000007</v>
      </c>
      <c r="AB96" s="215">
        <f t="shared" si="98"/>
        <v>6044.2500000000009</v>
      </c>
      <c r="AC96" s="215">
        <f t="shared" si="98"/>
        <v>6703.0500000000011</v>
      </c>
      <c r="AD96" s="215">
        <f t="shared" si="98"/>
        <v>7361.8500000000013</v>
      </c>
      <c r="AS96" s="271"/>
      <c r="AT96" s="271"/>
      <c r="AU96" s="271"/>
      <c r="AV96" s="271"/>
      <c r="AW96" s="271"/>
      <c r="AX96" s="271"/>
      <c r="AY96" s="271"/>
      <c r="AZ96" s="271"/>
      <c r="BA96" s="271"/>
      <c r="BB96" s="271"/>
      <c r="BC96" s="271"/>
      <c r="BD96" s="271"/>
    </row>
    <row r="97" spans="2:56" s="131" customFormat="1" outlineLevel="1" x14ac:dyDescent="0.2">
      <c r="E97" s="277" t="s">
        <v>246</v>
      </c>
      <c r="F97" s="276"/>
      <c r="G97" s="148"/>
      <c r="H97" s="148"/>
      <c r="I97" s="148"/>
      <c r="J97" s="148"/>
      <c r="K97" s="148"/>
      <c r="L97" s="148"/>
      <c r="M97" s="148"/>
      <c r="N97" s="215">
        <f t="shared" ref="N97:S97" si="99">M97+N95</f>
        <v>-435</v>
      </c>
      <c r="O97" s="215">
        <f t="shared" si="99"/>
        <v>-783</v>
      </c>
      <c r="P97" s="215">
        <f t="shared" si="99"/>
        <v>-826.5</v>
      </c>
      <c r="Q97" s="215">
        <f t="shared" si="99"/>
        <v>-870</v>
      </c>
      <c r="R97" s="215">
        <f t="shared" si="99"/>
        <v>-518.63999999999987</v>
      </c>
      <c r="S97" s="215">
        <f t="shared" si="99"/>
        <v>115.05000000000018</v>
      </c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</row>
    <row r="98" spans="2:56" s="131" customFormat="1" outlineLevel="1" x14ac:dyDescent="0.2"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</row>
    <row r="99" spans="2:56" outlineLevel="1" collapsed="1" x14ac:dyDescent="0.2">
      <c r="E99" s="107" t="s">
        <v>238</v>
      </c>
      <c r="F99" s="136">
        <f>SUM(G99:AA99)</f>
        <v>1</v>
      </c>
      <c r="G99" s="136"/>
      <c r="H99" s="136"/>
      <c r="I99" s="136"/>
      <c r="J99" s="136"/>
      <c r="K99" s="136"/>
      <c r="L99" s="136"/>
      <c r="M99" s="136"/>
      <c r="N99" s="136">
        <v>0.5</v>
      </c>
      <c r="O99" s="136">
        <v>0.4</v>
      </c>
      <c r="P99" s="136">
        <v>0.05</v>
      </c>
      <c r="Q99" s="136">
        <v>0.05</v>
      </c>
      <c r="R99" s="136"/>
      <c r="S99" s="136"/>
      <c r="T99" s="136"/>
      <c r="AS99" s="284"/>
      <c r="AT99" s="284"/>
      <c r="AU99" s="284"/>
      <c r="AV99" s="284"/>
      <c r="AW99" s="284"/>
      <c r="AX99" s="284"/>
      <c r="AY99" s="284"/>
      <c r="AZ99" s="284"/>
      <c r="BA99" s="284"/>
      <c r="BB99" s="284"/>
      <c r="BC99" s="284"/>
      <c r="BD99" s="284"/>
    </row>
    <row r="100" spans="2:56" x14ac:dyDescent="0.2">
      <c r="D100" s="107" t="s">
        <v>305</v>
      </c>
      <c r="F100" s="137">
        <f>F92</f>
        <v>870</v>
      </c>
      <c r="G100" s="137"/>
      <c r="H100" s="137"/>
      <c r="I100" s="137"/>
      <c r="J100" s="137"/>
      <c r="K100" s="137"/>
      <c r="L100" s="137"/>
      <c r="M100" s="137"/>
      <c r="N100" s="215">
        <f>-$F100*N99</f>
        <v>-435</v>
      </c>
      <c r="O100" s="215">
        <f>-$F100*O99</f>
        <v>-348</v>
      </c>
      <c r="P100" s="215">
        <f>-$F100*P99</f>
        <v>-43.5</v>
      </c>
      <c r="Q100" s="215">
        <f>-$F100*Q99</f>
        <v>-43.5</v>
      </c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S100" s="284"/>
      <c r="AT100" s="284"/>
      <c r="AU100" s="284"/>
      <c r="AV100" s="266" t="str">
        <f>A100&amp;B100&amp;C100&amp;D100</f>
        <v xml:space="preserve">Site #3: Capex </v>
      </c>
      <c r="AW100" s="308">
        <f ca="1">SUM(OFFSET($G100,0,AV$3+1):OFFSET($G100,0,AW$3))</f>
        <v>0</v>
      </c>
      <c r="AX100" s="308">
        <f ca="1">SUM(OFFSET($G100,0,AW$3+1):OFFSET($G100,0,AX$3))</f>
        <v>0</v>
      </c>
      <c r="AY100" s="308">
        <f ca="1">SUM(OFFSET($G100,0,AX$3+1):OFFSET($G100,0,AY$3))</f>
        <v>-783</v>
      </c>
      <c r="AZ100" s="308">
        <f ca="1">SUM(OFFSET($G100,0,AY$3+1):OFFSET($G100,0,AZ$3))</f>
        <v>-87</v>
      </c>
      <c r="BA100" s="308">
        <f ca="1">SUM(OFFSET($G100,0,AZ$3+1):OFFSET($G100,0,BA$3))</f>
        <v>0</v>
      </c>
      <c r="BB100" s="308">
        <f ca="1">SUM(OFFSET($G100,0,BA$3+1):OFFSET($G100,0,BB$3))</f>
        <v>0</v>
      </c>
      <c r="BC100" s="308">
        <f ca="1">SUM(OFFSET($G100,0,BB$3+1):OFFSET($G100,0,BC$3))</f>
        <v>0</v>
      </c>
      <c r="BD100" s="308">
        <f ca="1">SUM(OFFSET($G100,0,BC$3+1):OFFSET($G100,0,BD$3))</f>
        <v>0</v>
      </c>
    </row>
    <row r="101" spans="2:56" s="205" customFormat="1" outlineLevel="1" x14ac:dyDescent="0.2">
      <c r="B101" s="131"/>
      <c r="C101" s="131"/>
      <c r="D101" s="131"/>
      <c r="E101" s="131" t="s">
        <v>236</v>
      </c>
      <c r="F101" s="204">
        <v>0.8</v>
      </c>
      <c r="G101" s="148"/>
      <c r="H101" s="148"/>
      <c r="I101" s="148"/>
      <c r="J101" s="148"/>
      <c r="K101" s="148"/>
      <c r="L101" s="148"/>
      <c r="M101" s="148"/>
      <c r="N101" s="215">
        <f t="shared" ref="N101:AA101" si="100">IF(M105&gt;=0,0,MIN($F101*N27,-M105))</f>
        <v>0</v>
      </c>
      <c r="O101" s="215">
        <f t="shared" si="100"/>
        <v>0</v>
      </c>
      <c r="P101" s="215">
        <f t="shared" si="100"/>
        <v>0</v>
      </c>
      <c r="Q101" s="215">
        <f t="shared" si="100"/>
        <v>0</v>
      </c>
      <c r="R101" s="215">
        <f t="shared" si="100"/>
        <v>0</v>
      </c>
      <c r="S101" s="215">
        <f t="shared" si="100"/>
        <v>312.32</v>
      </c>
      <c r="T101" s="215">
        <f t="shared" si="100"/>
        <v>557.68000000000006</v>
      </c>
      <c r="U101" s="215">
        <f t="shared" si="100"/>
        <v>0</v>
      </c>
      <c r="V101" s="215">
        <f t="shared" si="100"/>
        <v>0</v>
      </c>
      <c r="W101" s="215">
        <f t="shared" si="100"/>
        <v>0</v>
      </c>
      <c r="X101" s="215">
        <f t="shared" si="100"/>
        <v>0</v>
      </c>
      <c r="Y101" s="215">
        <f t="shared" si="100"/>
        <v>0</v>
      </c>
      <c r="Z101" s="215">
        <f t="shared" si="100"/>
        <v>0</v>
      </c>
      <c r="AA101" s="215">
        <f t="shared" si="100"/>
        <v>0</v>
      </c>
      <c r="AB101" s="215"/>
      <c r="AC101" s="215"/>
      <c r="AD101" s="215"/>
      <c r="AS101" s="319"/>
      <c r="AT101" s="319"/>
      <c r="AU101" s="319"/>
      <c r="AV101" s="319"/>
      <c r="AW101" s="319"/>
      <c r="AX101" s="319"/>
      <c r="AY101" s="319"/>
      <c r="AZ101" s="319"/>
      <c r="BA101" s="319"/>
      <c r="BB101" s="319"/>
      <c r="BC101" s="319"/>
      <c r="BD101" s="319"/>
    </row>
    <row r="102" spans="2:56" s="131" customFormat="1" outlineLevel="1" x14ac:dyDescent="0.2">
      <c r="E102" s="131" t="s">
        <v>237</v>
      </c>
      <c r="F102" s="204">
        <v>0.5</v>
      </c>
      <c r="G102" s="148"/>
      <c r="H102" s="148"/>
      <c r="I102" s="148"/>
      <c r="J102" s="148"/>
      <c r="K102" s="148"/>
      <c r="L102" s="148"/>
      <c r="M102" s="148"/>
      <c r="N102" s="215">
        <f t="shared" ref="N102:AD102" si="101">MAX(0,$F102*(N27-N101/$F101))</f>
        <v>0</v>
      </c>
      <c r="O102" s="215">
        <f t="shared" si="101"/>
        <v>0</v>
      </c>
      <c r="P102" s="215">
        <f t="shared" si="101"/>
        <v>0</v>
      </c>
      <c r="Q102" s="215">
        <f t="shared" si="101"/>
        <v>0</v>
      </c>
      <c r="R102" s="215">
        <f t="shared" si="101"/>
        <v>0</v>
      </c>
      <c r="S102" s="215">
        <f t="shared" si="101"/>
        <v>0</v>
      </c>
      <c r="T102" s="215">
        <f t="shared" si="101"/>
        <v>41.849999999999966</v>
      </c>
      <c r="U102" s="215">
        <f t="shared" si="101"/>
        <v>585.6</v>
      </c>
      <c r="V102" s="215">
        <f t="shared" si="101"/>
        <v>585.6</v>
      </c>
      <c r="W102" s="215">
        <f t="shared" si="101"/>
        <v>585.6</v>
      </c>
      <c r="X102" s="215">
        <f t="shared" si="101"/>
        <v>585.6</v>
      </c>
      <c r="Y102" s="215">
        <f t="shared" si="101"/>
        <v>585.6</v>
      </c>
      <c r="Z102" s="215">
        <f t="shared" si="101"/>
        <v>585.6</v>
      </c>
      <c r="AA102" s="215">
        <f t="shared" si="101"/>
        <v>585.6</v>
      </c>
      <c r="AB102" s="215">
        <f t="shared" si="101"/>
        <v>585.6</v>
      </c>
      <c r="AC102" s="215">
        <f t="shared" si="101"/>
        <v>585.6</v>
      </c>
      <c r="AD102" s="215">
        <f t="shared" si="101"/>
        <v>585.6</v>
      </c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</row>
    <row r="103" spans="2:56" s="131" customFormat="1" outlineLevel="1" x14ac:dyDescent="0.2">
      <c r="D103" s="276" t="s">
        <v>301</v>
      </c>
      <c r="E103" s="276"/>
      <c r="F103" s="148"/>
      <c r="G103" s="148"/>
      <c r="H103" s="148"/>
      <c r="I103" s="148"/>
      <c r="J103" s="148"/>
      <c r="K103" s="148"/>
      <c r="L103" s="148"/>
      <c r="M103" s="148"/>
      <c r="N103" s="215">
        <f t="shared" ref="N103:AD103" si="102">N100+N101+N102</f>
        <v>-435</v>
      </c>
      <c r="O103" s="215">
        <f t="shared" si="102"/>
        <v>-348</v>
      </c>
      <c r="P103" s="215">
        <f t="shared" si="102"/>
        <v>-43.5</v>
      </c>
      <c r="Q103" s="215">
        <f t="shared" si="102"/>
        <v>-43.5</v>
      </c>
      <c r="R103" s="215">
        <f t="shared" si="102"/>
        <v>0</v>
      </c>
      <c r="S103" s="215">
        <f t="shared" si="102"/>
        <v>312.32</v>
      </c>
      <c r="T103" s="215">
        <f t="shared" si="102"/>
        <v>599.53</v>
      </c>
      <c r="U103" s="215">
        <f t="shared" si="102"/>
        <v>585.6</v>
      </c>
      <c r="V103" s="215">
        <f t="shared" si="102"/>
        <v>585.6</v>
      </c>
      <c r="W103" s="215">
        <f t="shared" si="102"/>
        <v>585.6</v>
      </c>
      <c r="X103" s="215">
        <f t="shared" si="102"/>
        <v>585.6</v>
      </c>
      <c r="Y103" s="215">
        <f t="shared" si="102"/>
        <v>585.6</v>
      </c>
      <c r="Z103" s="215">
        <f t="shared" si="102"/>
        <v>585.6</v>
      </c>
      <c r="AA103" s="215">
        <f t="shared" si="102"/>
        <v>585.6</v>
      </c>
      <c r="AB103" s="215">
        <f t="shared" si="102"/>
        <v>585.6</v>
      </c>
      <c r="AC103" s="215">
        <f t="shared" si="102"/>
        <v>585.6</v>
      </c>
      <c r="AD103" s="215">
        <f t="shared" si="102"/>
        <v>585.6</v>
      </c>
      <c r="AS103" s="307"/>
      <c r="AT103" s="307"/>
      <c r="AU103" s="307"/>
      <c r="AV103" s="307"/>
      <c r="AW103" s="307"/>
      <c r="AX103" s="307"/>
      <c r="AY103" s="307"/>
      <c r="AZ103" s="307"/>
      <c r="BA103" s="307"/>
      <c r="BB103" s="307"/>
      <c r="BC103" s="307"/>
      <c r="BD103" s="307"/>
    </row>
    <row r="104" spans="2:56" s="131" customFormat="1" outlineLevel="1" x14ac:dyDescent="0.2">
      <c r="E104" s="353" t="s">
        <v>298</v>
      </c>
      <c r="F104" s="353"/>
      <c r="G104" s="148"/>
      <c r="H104" s="148"/>
      <c r="I104" s="148"/>
      <c r="J104" s="148"/>
      <c r="K104" s="148"/>
      <c r="L104" s="148"/>
      <c r="M104" s="148"/>
      <c r="N104" s="215">
        <f t="shared" ref="N104:AD104" si="103">M104+N103</f>
        <v>-435</v>
      </c>
      <c r="O104" s="215">
        <f t="shared" si="103"/>
        <v>-783</v>
      </c>
      <c r="P104" s="215">
        <f t="shared" si="103"/>
        <v>-826.5</v>
      </c>
      <c r="Q104" s="215">
        <f t="shared" si="103"/>
        <v>-870</v>
      </c>
      <c r="R104" s="215">
        <f t="shared" si="103"/>
        <v>-870</v>
      </c>
      <c r="S104" s="215">
        <f t="shared" si="103"/>
        <v>-557.68000000000006</v>
      </c>
      <c r="T104" s="215">
        <f t="shared" si="103"/>
        <v>41.849999999999909</v>
      </c>
      <c r="U104" s="215">
        <f t="shared" si="103"/>
        <v>627.44999999999993</v>
      </c>
      <c r="V104" s="215">
        <f t="shared" si="103"/>
        <v>1213.05</v>
      </c>
      <c r="W104" s="215">
        <f t="shared" si="103"/>
        <v>1798.65</v>
      </c>
      <c r="X104" s="215">
        <f t="shared" si="103"/>
        <v>2384.25</v>
      </c>
      <c r="Y104" s="215">
        <f t="shared" si="103"/>
        <v>2969.85</v>
      </c>
      <c r="Z104" s="215">
        <f t="shared" si="103"/>
        <v>3555.45</v>
      </c>
      <c r="AA104" s="215">
        <f t="shared" si="103"/>
        <v>4141.05</v>
      </c>
      <c r="AB104" s="215">
        <f t="shared" si="103"/>
        <v>4726.6500000000005</v>
      </c>
      <c r="AC104" s="215">
        <f t="shared" si="103"/>
        <v>5312.2500000000009</v>
      </c>
      <c r="AD104" s="215">
        <f t="shared" si="103"/>
        <v>5897.8500000000013</v>
      </c>
      <c r="AS104" s="307"/>
      <c r="AT104" s="307"/>
      <c r="AU104" s="307"/>
      <c r="AV104" s="307"/>
      <c r="AW104" s="307"/>
      <c r="AX104" s="307"/>
      <c r="AY104" s="307"/>
      <c r="AZ104" s="307"/>
      <c r="BA104" s="307"/>
      <c r="BB104" s="307"/>
      <c r="BC104" s="307"/>
      <c r="BD104" s="307"/>
    </row>
    <row r="105" spans="2:56" s="131" customFormat="1" outlineLevel="1" x14ac:dyDescent="0.2">
      <c r="E105" s="277" t="s">
        <v>246</v>
      </c>
      <c r="F105" s="276"/>
      <c r="G105" s="148"/>
      <c r="H105" s="148"/>
      <c r="I105" s="148"/>
      <c r="J105" s="148"/>
      <c r="K105" s="148"/>
      <c r="L105" s="148"/>
      <c r="M105" s="148"/>
      <c r="N105" s="215">
        <f>M105+N103</f>
        <v>-435</v>
      </c>
      <c r="O105" s="215">
        <f t="shared" ref="O105:T105" si="104">N105+O103</f>
        <v>-783</v>
      </c>
      <c r="P105" s="215">
        <f t="shared" si="104"/>
        <v>-826.5</v>
      </c>
      <c r="Q105" s="215">
        <f t="shared" si="104"/>
        <v>-870</v>
      </c>
      <c r="R105" s="215">
        <f t="shared" si="104"/>
        <v>-870</v>
      </c>
      <c r="S105" s="215">
        <f t="shared" si="104"/>
        <v>-557.68000000000006</v>
      </c>
      <c r="T105" s="215">
        <f t="shared" si="104"/>
        <v>41.849999999999909</v>
      </c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S105" s="307"/>
      <c r="AT105" s="307"/>
      <c r="AU105" s="307"/>
      <c r="AV105" s="307"/>
      <c r="AW105" s="307"/>
      <c r="AX105" s="307"/>
      <c r="AY105" s="307"/>
      <c r="AZ105" s="307"/>
      <c r="BA105" s="307"/>
      <c r="BB105" s="307"/>
      <c r="BC105" s="307"/>
      <c r="BD105" s="307"/>
    </row>
    <row r="106" spans="2:56" s="131" customFormat="1" outlineLevel="1" x14ac:dyDescent="0.2">
      <c r="AS106" s="307"/>
      <c r="AT106" s="307"/>
      <c r="AU106" s="307"/>
      <c r="AV106" s="307"/>
      <c r="AW106" s="307"/>
      <c r="AX106" s="307"/>
      <c r="AY106" s="307"/>
      <c r="AZ106" s="307"/>
      <c r="BA106" s="307"/>
      <c r="BB106" s="307"/>
      <c r="BC106" s="307"/>
      <c r="BD106" s="307"/>
    </row>
    <row r="107" spans="2:56" outlineLevel="1" collapsed="1" x14ac:dyDescent="0.2">
      <c r="E107" s="107" t="s">
        <v>238</v>
      </c>
      <c r="F107" s="136">
        <f>SUM(G107:AA107)</f>
        <v>1</v>
      </c>
      <c r="G107" s="136"/>
      <c r="H107" s="136"/>
      <c r="I107" s="136"/>
      <c r="J107" s="136"/>
      <c r="K107" s="136"/>
      <c r="L107" s="136"/>
      <c r="M107" s="136"/>
      <c r="N107" s="136">
        <v>0.5</v>
      </c>
      <c r="O107" s="136">
        <v>0.4</v>
      </c>
      <c r="P107" s="136">
        <v>0.05</v>
      </c>
      <c r="Q107" s="136">
        <v>0.05</v>
      </c>
      <c r="R107" s="136"/>
      <c r="S107" s="136"/>
      <c r="T107" s="136"/>
      <c r="AS107" s="284"/>
      <c r="AT107" s="284"/>
      <c r="AU107" s="284"/>
      <c r="AV107" s="284"/>
      <c r="AW107" s="284"/>
      <c r="AX107" s="284"/>
      <c r="AY107" s="284"/>
      <c r="AZ107" s="284"/>
      <c r="BA107" s="284"/>
      <c r="BB107" s="284"/>
      <c r="BC107" s="284"/>
      <c r="BD107" s="284"/>
    </row>
    <row r="108" spans="2:56" x14ac:dyDescent="0.2">
      <c r="D108" s="107" t="s">
        <v>307</v>
      </c>
      <c r="F108" s="137">
        <f>F100</f>
        <v>870</v>
      </c>
      <c r="G108" s="137"/>
      <c r="H108" s="137"/>
      <c r="I108" s="137"/>
      <c r="J108" s="137"/>
      <c r="K108" s="137"/>
      <c r="L108" s="137"/>
      <c r="M108" s="137"/>
      <c r="N108" s="215">
        <f>-$F108*N107</f>
        <v>-435</v>
      </c>
      <c r="O108" s="215">
        <f>-$F108*O107</f>
        <v>-348</v>
      </c>
      <c r="P108" s="215">
        <f>-$F108*P107</f>
        <v>-43.5</v>
      </c>
      <c r="Q108" s="215">
        <f>-$F108*Q107</f>
        <v>-43.5</v>
      </c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S108" s="284"/>
      <c r="AT108" s="284"/>
      <c r="AU108" s="284"/>
      <c r="AV108" s="266" t="str">
        <f>A108&amp;B108&amp;C108&amp;D108</f>
        <v xml:space="preserve">Site #4: Capex </v>
      </c>
      <c r="AW108" s="308">
        <f ca="1">SUM(OFFSET($G108,0,AV$3+1):OFFSET($G108,0,AW$3))</f>
        <v>0</v>
      </c>
      <c r="AX108" s="308">
        <f ca="1">SUM(OFFSET($G108,0,AW$3+1):OFFSET($G108,0,AX$3))</f>
        <v>0</v>
      </c>
      <c r="AY108" s="308">
        <f ca="1">SUM(OFFSET($G108,0,AX$3+1):OFFSET($G108,0,AY$3))</f>
        <v>-783</v>
      </c>
      <c r="AZ108" s="308">
        <f ca="1">SUM(OFFSET($G108,0,AY$3+1):OFFSET($G108,0,AZ$3))</f>
        <v>-87</v>
      </c>
      <c r="BA108" s="308">
        <f ca="1">SUM(OFFSET($G108,0,AZ$3+1):OFFSET($G108,0,BA$3))</f>
        <v>0</v>
      </c>
      <c r="BB108" s="308">
        <f ca="1">SUM(OFFSET($G108,0,BA$3+1):OFFSET($G108,0,BB$3))</f>
        <v>0</v>
      </c>
      <c r="BC108" s="308">
        <f ca="1">SUM(OFFSET($G108,0,BB$3+1):OFFSET($G108,0,BC$3))</f>
        <v>0</v>
      </c>
      <c r="BD108" s="308">
        <f ca="1">SUM(OFFSET($G108,0,BC$3+1):OFFSET($G108,0,BD$3))</f>
        <v>0</v>
      </c>
    </row>
    <row r="109" spans="2:56" s="205" customFormat="1" outlineLevel="1" x14ac:dyDescent="0.2">
      <c r="B109" s="131"/>
      <c r="C109" s="131"/>
      <c r="D109" s="131"/>
      <c r="E109" s="131" t="s">
        <v>236</v>
      </c>
      <c r="F109" s="204">
        <v>0.8</v>
      </c>
      <c r="G109" s="148"/>
      <c r="H109" s="148"/>
      <c r="I109" s="148"/>
      <c r="J109" s="148"/>
      <c r="K109" s="148"/>
      <c r="L109" s="148"/>
      <c r="M109" s="148"/>
      <c r="N109" s="215">
        <f t="shared" ref="N109:AD109" si="105">IF(M113&gt;=0,0,MIN($F109*N35,-M113))</f>
        <v>0</v>
      </c>
      <c r="O109" s="215">
        <f t="shared" si="105"/>
        <v>0</v>
      </c>
      <c r="P109" s="215">
        <f t="shared" si="105"/>
        <v>0</v>
      </c>
      <c r="Q109" s="215">
        <f t="shared" si="105"/>
        <v>0</v>
      </c>
      <c r="R109" s="215">
        <f t="shared" si="105"/>
        <v>0</v>
      </c>
      <c r="S109" s="215">
        <f t="shared" si="105"/>
        <v>0</v>
      </c>
      <c r="T109" s="215">
        <f t="shared" si="105"/>
        <v>273.28000000000003</v>
      </c>
      <c r="U109" s="215">
        <f t="shared" si="105"/>
        <v>546.56000000000006</v>
      </c>
      <c r="V109" s="215">
        <f t="shared" si="105"/>
        <v>50.159999999999968</v>
      </c>
      <c r="W109" s="215">
        <f t="shared" si="105"/>
        <v>0</v>
      </c>
      <c r="X109" s="215">
        <f t="shared" si="105"/>
        <v>0</v>
      </c>
      <c r="Y109" s="215">
        <f t="shared" si="105"/>
        <v>0</v>
      </c>
      <c r="Z109" s="215">
        <f t="shared" si="105"/>
        <v>0</v>
      </c>
      <c r="AA109" s="215">
        <f t="shared" si="105"/>
        <v>0</v>
      </c>
      <c r="AB109" s="215">
        <f t="shared" si="105"/>
        <v>0</v>
      </c>
      <c r="AC109" s="215">
        <f t="shared" si="105"/>
        <v>0</v>
      </c>
      <c r="AD109" s="215">
        <f t="shared" si="105"/>
        <v>0</v>
      </c>
      <c r="AS109" s="319"/>
      <c r="AT109" s="319"/>
      <c r="AU109" s="319"/>
      <c r="AV109" s="319"/>
      <c r="AW109" s="319"/>
      <c r="AX109" s="319"/>
      <c r="AY109" s="319"/>
      <c r="AZ109" s="319"/>
      <c r="BA109" s="319"/>
      <c r="BB109" s="319"/>
      <c r="BC109" s="319"/>
      <c r="BD109" s="319"/>
    </row>
    <row r="110" spans="2:56" s="131" customFormat="1" outlineLevel="1" x14ac:dyDescent="0.2">
      <c r="E110" s="131" t="s">
        <v>237</v>
      </c>
      <c r="F110" s="204">
        <v>0.5</v>
      </c>
      <c r="G110" s="148"/>
      <c r="H110" s="148"/>
      <c r="I110" s="148"/>
      <c r="J110" s="148"/>
      <c r="K110" s="148"/>
      <c r="L110" s="148"/>
      <c r="M110" s="148"/>
      <c r="N110" s="215">
        <f t="shared" ref="N110:AD110" si="106">MAX(0,$F110*(N35-N109/$F109))</f>
        <v>0</v>
      </c>
      <c r="O110" s="215">
        <f t="shared" si="106"/>
        <v>0</v>
      </c>
      <c r="P110" s="215">
        <f t="shared" si="106"/>
        <v>0</v>
      </c>
      <c r="Q110" s="215">
        <f t="shared" si="106"/>
        <v>0</v>
      </c>
      <c r="R110" s="215">
        <f t="shared" si="106"/>
        <v>0</v>
      </c>
      <c r="S110" s="215">
        <f t="shared" si="106"/>
        <v>0</v>
      </c>
      <c r="T110" s="215">
        <f t="shared" si="106"/>
        <v>0</v>
      </c>
      <c r="U110" s="215">
        <f t="shared" si="106"/>
        <v>0</v>
      </c>
      <c r="V110" s="215">
        <f t="shared" si="106"/>
        <v>481.05</v>
      </c>
      <c r="W110" s="215">
        <f t="shared" si="106"/>
        <v>512.4</v>
      </c>
      <c r="X110" s="215">
        <f t="shared" si="106"/>
        <v>512.4</v>
      </c>
      <c r="Y110" s="215">
        <f t="shared" si="106"/>
        <v>512.4</v>
      </c>
      <c r="Z110" s="215">
        <f t="shared" si="106"/>
        <v>512.4</v>
      </c>
      <c r="AA110" s="215">
        <f t="shared" si="106"/>
        <v>512.4</v>
      </c>
      <c r="AB110" s="215">
        <f t="shared" si="106"/>
        <v>512.4</v>
      </c>
      <c r="AC110" s="215">
        <f t="shared" si="106"/>
        <v>512.4</v>
      </c>
      <c r="AD110" s="215">
        <f t="shared" si="106"/>
        <v>512.4</v>
      </c>
      <c r="AS110" s="307"/>
      <c r="AT110" s="307"/>
      <c r="AU110" s="307"/>
      <c r="AV110" s="307"/>
      <c r="AW110" s="307"/>
      <c r="AX110" s="307"/>
      <c r="AY110" s="307"/>
      <c r="AZ110" s="307"/>
      <c r="BA110" s="307"/>
      <c r="BB110" s="307"/>
      <c r="BC110" s="307"/>
      <c r="BD110" s="307"/>
    </row>
    <row r="111" spans="2:56" s="131" customFormat="1" outlineLevel="1" x14ac:dyDescent="0.2">
      <c r="D111" s="276" t="s">
        <v>302</v>
      </c>
      <c r="E111" s="276"/>
      <c r="F111" s="148"/>
      <c r="G111" s="148"/>
      <c r="H111" s="148"/>
      <c r="I111" s="148"/>
      <c r="J111" s="148"/>
      <c r="K111" s="148"/>
      <c r="L111" s="148"/>
      <c r="M111" s="148"/>
      <c r="N111" s="215">
        <f t="shared" ref="N111:AD111" si="107">N108+N109+N110</f>
        <v>-435</v>
      </c>
      <c r="O111" s="215">
        <f t="shared" si="107"/>
        <v>-348</v>
      </c>
      <c r="P111" s="215">
        <f t="shared" si="107"/>
        <v>-43.5</v>
      </c>
      <c r="Q111" s="215">
        <f t="shared" si="107"/>
        <v>-43.5</v>
      </c>
      <c r="R111" s="215">
        <f t="shared" si="107"/>
        <v>0</v>
      </c>
      <c r="S111" s="215">
        <f t="shared" si="107"/>
        <v>0</v>
      </c>
      <c r="T111" s="215">
        <f t="shared" si="107"/>
        <v>273.28000000000003</v>
      </c>
      <c r="U111" s="215">
        <f t="shared" si="107"/>
        <v>546.56000000000006</v>
      </c>
      <c r="V111" s="215">
        <f t="shared" si="107"/>
        <v>531.21</v>
      </c>
      <c r="W111" s="215">
        <f t="shared" si="107"/>
        <v>512.4</v>
      </c>
      <c r="X111" s="215">
        <f t="shared" si="107"/>
        <v>512.4</v>
      </c>
      <c r="Y111" s="215">
        <f t="shared" si="107"/>
        <v>512.4</v>
      </c>
      <c r="Z111" s="215">
        <f t="shared" si="107"/>
        <v>512.4</v>
      </c>
      <c r="AA111" s="215">
        <f t="shared" si="107"/>
        <v>512.4</v>
      </c>
      <c r="AB111" s="215">
        <f t="shared" si="107"/>
        <v>512.4</v>
      </c>
      <c r="AC111" s="215">
        <f t="shared" si="107"/>
        <v>512.4</v>
      </c>
      <c r="AD111" s="215">
        <f t="shared" si="107"/>
        <v>512.4</v>
      </c>
      <c r="AS111" s="307"/>
      <c r="AT111" s="307"/>
      <c r="AU111" s="307"/>
      <c r="AV111" s="307"/>
      <c r="AW111" s="307"/>
      <c r="AX111" s="307"/>
      <c r="AY111" s="307"/>
      <c r="AZ111" s="307"/>
      <c r="BA111" s="307"/>
      <c r="BB111" s="307"/>
      <c r="BC111" s="307"/>
      <c r="BD111" s="307"/>
    </row>
    <row r="112" spans="2:56" s="131" customFormat="1" outlineLevel="1" x14ac:dyDescent="0.2">
      <c r="E112" s="353" t="s">
        <v>298</v>
      </c>
      <c r="F112" s="353"/>
      <c r="G112" s="148"/>
      <c r="H112" s="148"/>
      <c r="I112" s="148"/>
      <c r="J112" s="148"/>
      <c r="K112" s="148"/>
      <c r="L112" s="148"/>
      <c r="M112" s="148"/>
      <c r="N112" s="215">
        <f t="shared" ref="N112:AD112" si="108">M112+N111</f>
        <v>-435</v>
      </c>
      <c r="O112" s="215">
        <f t="shared" si="108"/>
        <v>-783</v>
      </c>
      <c r="P112" s="215">
        <f t="shared" si="108"/>
        <v>-826.5</v>
      </c>
      <c r="Q112" s="215">
        <f t="shared" si="108"/>
        <v>-870</v>
      </c>
      <c r="R112" s="215">
        <f t="shared" si="108"/>
        <v>-870</v>
      </c>
      <c r="S112" s="215">
        <f t="shared" si="108"/>
        <v>-870</v>
      </c>
      <c r="T112" s="215">
        <f t="shared" si="108"/>
        <v>-596.72</v>
      </c>
      <c r="U112" s="215">
        <f t="shared" si="108"/>
        <v>-50.159999999999968</v>
      </c>
      <c r="V112" s="215">
        <f t="shared" si="108"/>
        <v>481.05000000000007</v>
      </c>
      <c r="W112" s="215">
        <f t="shared" si="108"/>
        <v>993.45</v>
      </c>
      <c r="X112" s="215">
        <f t="shared" si="108"/>
        <v>1505.85</v>
      </c>
      <c r="Y112" s="215">
        <f t="shared" si="108"/>
        <v>2018.25</v>
      </c>
      <c r="Z112" s="215">
        <f t="shared" si="108"/>
        <v>2530.65</v>
      </c>
      <c r="AA112" s="215">
        <f t="shared" si="108"/>
        <v>3043.05</v>
      </c>
      <c r="AB112" s="215">
        <f t="shared" si="108"/>
        <v>3555.4500000000003</v>
      </c>
      <c r="AC112" s="215">
        <f t="shared" si="108"/>
        <v>4067.8500000000004</v>
      </c>
      <c r="AD112" s="215">
        <f t="shared" si="108"/>
        <v>4580.25</v>
      </c>
      <c r="AS112" s="307"/>
      <c r="AT112" s="307"/>
      <c r="AU112" s="307"/>
      <c r="AV112" s="307"/>
      <c r="AW112" s="307"/>
      <c r="AX112" s="307"/>
      <c r="AY112" s="307"/>
      <c r="AZ112" s="307"/>
      <c r="BA112" s="307"/>
      <c r="BB112" s="307"/>
      <c r="BC112" s="307"/>
      <c r="BD112" s="307"/>
    </row>
    <row r="113" spans="2:56" s="131" customFormat="1" outlineLevel="1" x14ac:dyDescent="0.2">
      <c r="E113" s="277" t="s">
        <v>246</v>
      </c>
      <c r="F113" s="276"/>
      <c r="G113" s="148"/>
      <c r="H113" s="148"/>
      <c r="I113" s="148"/>
      <c r="J113" s="148"/>
      <c r="K113" s="148"/>
      <c r="L113" s="148"/>
      <c r="M113" s="148"/>
      <c r="N113" s="215">
        <f>M113+N111</f>
        <v>-435</v>
      </c>
      <c r="O113" s="215">
        <f>N113+O111</f>
        <v>-783</v>
      </c>
      <c r="P113" s="215">
        <f t="shared" ref="P113:U113" si="109">O113+P111</f>
        <v>-826.5</v>
      </c>
      <c r="Q113" s="215">
        <f t="shared" si="109"/>
        <v>-870</v>
      </c>
      <c r="R113" s="215">
        <f t="shared" si="109"/>
        <v>-870</v>
      </c>
      <c r="S113" s="215">
        <f t="shared" si="109"/>
        <v>-870</v>
      </c>
      <c r="T113" s="215">
        <f t="shared" si="109"/>
        <v>-596.72</v>
      </c>
      <c r="U113" s="215">
        <f t="shared" si="109"/>
        <v>-50.159999999999968</v>
      </c>
      <c r="V113" s="215">
        <f t="shared" ref="V113:AA113" si="110">U113+V111</f>
        <v>481.05000000000007</v>
      </c>
      <c r="W113" s="215">
        <f t="shared" si="110"/>
        <v>993.45</v>
      </c>
      <c r="X113" s="215">
        <f t="shared" si="110"/>
        <v>1505.85</v>
      </c>
      <c r="Y113" s="215">
        <f t="shared" si="110"/>
        <v>2018.25</v>
      </c>
      <c r="Z113" s="215">
        <f t="shared" si="110"/>
        <v>2530.65</v>
      </c>
      <c r="AA113" s="215">
        <f t="shared" si="110"/>
        <v>3043.05</v>
      </c>
      <c r="AB113" s="215"/>
      <c r="AC113" s="215"/>
      <c r="AD113" s="215"/>
      <c r="AS113" s="307"/>
      <c r="AT113" s="307"/>
      <c r="AU113" s="307"/>
      <c r="AV113" s="307"/>
      <c r="AW113" s="307"/>
      <c r="AX113" s="307"/>
      <c r="AY113" s="307"/>
      <c r="AZ113" s="307"/>
      <c r="BA113" s="307"/>
      <c r="BB113" s="307"/>
      <c r="BC113" s="307"/>
      <c r="BD113" s="307"/>
    </row>
    <row r="114" spans="2:56" s="131" customFormat="1" outlineLevel="1" x14ac:dyDescent="0.2"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S114" s="307"/>
      <c r="AT114" s="307"/>
      <c r="AU114" s="307"/>
      <c r="AV114" s="307"/>
      <c r="AW114" s="307"/>
      <c r="AX114" s="307"/>
      <c r="AY114" s="307"/>
      <c r="AZ114" s="307"/>
      <c r="BA114" s="307"/>
      <c r="BB114" s="307"/>
      <c r="BC114" s="307"/>
      <c r="BD114" s="307"/>
    </row>
    <row r="115" spans="2:56" outlineLevel="1" collapsed="1" x14ac:dyDescent="0.2">
      <c r="E115" s="107" t="s">
        <v>238</v>
      </c>
      <c r="F115" s="136">
        <f>SUM(G115:AA115)</f>
        <v>1</v>
      </c>
      <c r="G115" s="136"/>
      <c r="H115" s="136"/>
      <c r="I115" s="136"/>
      <c r="J115" s="136"/>
      <c r="K115" s="136"/>
      <c r="L115" s="136"/>
      <c r="M115" s="136"/>
      <c r="N115" s="216">
        <v>0.5</v>
      </c>
      <c r="O115" s="216">
        <v>0.4</v>
      </c>
      <c r="P115" s="216">
        <v>0.05</v>
      </c>
      <c r="Q115" s="216">
        <v>0.05</v>
      </c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S115" s="284"/>
      <c r="AT115" s="284"/>
      <c r="AU115" s="284"/>
      <c r="AV115" s="284"/>
      <c r="AW115" s="284"/>
      <c r="AX115" s="284"/>
      <c r="AY115" s="284"/>
      <c r="AZ115" s="284"/>
      <c r="BA115" s="284"/>
      <c r="BB115" s="284"/>
      <c r="BC115" s="284"/>
      <c r="BD115" s="284"/>
    </row>
    <row r="116" spans="2:56" x14ac:dyDescent="0.2">
      <c r="D116" s="107" t="s">
        <v>309</v>
      </c>
      <c r="F116" s="137">
        <f>F108</f>
        <v>870</v>
      </c>
      <c r="G116" s="137"/>
      <c r="H116" s="137"/>
      <c r="I116" s="137"/>
      <c r="J116" s="137"/>
      <c r="K116" s="137"/>
      <c r="L116" s="137"/>
      <c r="M116" s="137"/>
      <c r="N116" s="215">
        <f>-$F116*N115</f>
        <v>-435</v>
      </c>
      <c r="O116" s="215">
        <f>-$F116*O115</f>
        <v>-348</v>
      </c>
      <c r="P116" s="215">
        <f>-$F116*P115</f>
        <v>-43.5</v>
      </c>
      <c r="Q116" s="215">
        <f>-$F116*Q115</f>
        <v>-43.5</v>
      </c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S116" s="284"/>
      <c r="AT116" s="284"/>
      <c r="AU116" s="284"/>
      <c r="AV116" s="266" t="str">
        <f>A116&amp;B116&amp;C116&amp;D116</f>
        <v xml:space="preserve">Site #5: Capex </v>
      </c>
      <c r="AW116" s="308">
        <f ca="1">SUM(OFFSET($G116,0,AV$3+1):OFFSET($G116,0,AW$3))</f>
        <v>0</v>
      </c>
      <c r="AX116" s="308">
        <f ca="1">SUM(OFFSET($G116,0,AW$3+1):OFFSET($G116,0,AX$3))</f>
        <v>0</v>
      </c>
      <c r="AY116" s="308">
        <f ca="1">SUM(OFFSET($G116,0,AX$3+1):OFFSET($G116,0,AY$3))</f>
        <v>-783</v>
      </c>
      <c r="AZ116" s="308">
        <f ca="1">SUM(OFFSET($G116,0,AY$3+1):OFFSET($G116,0,AZ$3))</f>
        <v>-87</v>
      </c>
      <c r="BA116" s="308">
        <f ca="1">SUM(OFFSET($G116,0,AZ$3+1):OFFSET($G116,0,BA$3))</f>
        <v>0</v>
      </c>
      <c r="BB116" s="308">
        <f ca="1">SUM(OFFSET($G116,0,BA$3+1):OFFSET($G116,0,BB$3))</f>
        <v>0</v>
      </c>
      <c r="BC116" s="308">
        <f ca="1">SUM(OFFSET($G116,0,BB$3+1):OFFSET($G116,0,BC$3))</f>
        <v>0</v>
      </c>
      <c r="BD116" s="308">
        <f ca="1">SUM(OFFSET($G116,0,BC$3+1):OFFSET($G116,0,BD$3))</f>
        <v>0</v>
      </c>
    </row>
    <row r="117" spans="2:56" s="205" customFormat="1" outlineLevel="1" x14ac:dyDescent="0.2">
      <c r="B117" s="131"/>
      <c r="C117" s="131"/>
      <c r="D117" s="130"/>
      <c r="E117" s="130" t="s">
        <v>236</v>
      </c>
      <c r="F117" s="204">
        <v>0.8</v>
      </c>
      <c r="G117" s="148"/>
      <c r="H117" s="148"/>
      <c r="I117" s="148"/>
      <c r="J117" s="148"/>
      <c r="K117" s="148"/>
      <c r="L117" s="148"/>
      <c r="M117" s="148"/>
      <c r="N117" s="215">
        <f t="shared" ref="N117:T117" si="111">IF(M121&gt;=0,0,MIN($F117*N41,-M121))</f>
        <v>0</v>
      </c>
      <c r="O117" s="215">
        <f t="shared" si="111"/>
        <v>0</v>
      </c>
      <c r="P117" s="215">
        <f t="shared" si="111"/>
        <v>0</v>
      </c>
      <c r="Q117" s="215">
        <f t="shared" si="111"/>
        <v>0</v>
      </c>
      <c r="R117" s="215">
        <f t="shared" si="111"/>
        <v>0</v>
      </c>
      <c r="S117" s="215">
        <f t="shared" si="111"/>
        <v>0</v>
      </c>
      <c r="T117" s="215">
        <f t="shared" si="111"/>
        <v>0</v>
      </c>
      <c r="U117" s="215">
        <f t="shared" ref="U117:AD117" si="112">IF(T121&gt;=0,0,MIN($F117*U43,-T121))</f>
        <v>273.28000000000003</v>
      </c>
      <c r="V117" s="215">
        <f t="shared" si="112"/>
        <v>546.56000000000006</v>
      </c>
      <c r="W117" s="215">
        <f t="shared" si="112"/>
        <v>50.159999999999968</v>
      </c>
      <c r="X117" s="215">
        <f t="shared" si="112"/>
        <v>0</v>
      </c>
      <c r="Y117" s="215">
        <f t="shared" si="112"/>
        <v>0</v>
      </c>
      <c r="Z117" s="215">
        <f t="shared" si="112"/>
        <v>0</v>
      </c>
      <c r="AA117" s="215">
        <f t="shared" si="112"/>
        <v>0</v>
      </c>
      <c r="AB117" s="215">
        <f t="shared" si="112"/>
        <v>0</v>
      </c>
      <c r="AC117" s="215">
        <f t="shared" si="112"/>
        <v>0</v>
      </c>
      <c r="AD117" s="215">
        <f t="shared" si="112"/>
        <v>0</v>
      </c>
      <c r="AS117" s="319"/>
      <c r="AT117" s="319"/>
      <c r="AU117" s="319"/>
      <c r="AV117" s="319"/>
      <c r="AW117" s="319"/>
      <c r="AX117" s="319"/>
      <c r="AY117" s="319"/>
      <c r="AZ117" s="319"/>
      <c r="BA117" s="319"/>
      <c r="BB117" s="319"/>
      <c r="BC117" s="319"/>
      <c r="BD117" s="319"/>
    </row>
    <row r="118" spans="2:56" s="131" customFormat="1" outlineLevel="1" x14ac:dyDescent="0.2">
      <c r="D118" s="130"/>
      <c r="E118" s="130" t="s">
        <v>237</v>
      </c>
      <c r="F118" s="204">
        <v>0.5</v>
      </c>
      <c r="G118" s="148"/>
      <c r="H118" s="148"/>
      <c r="I118" s="148"/>
      <c r="J118" s="148"/>
      <c r="K118" s="148"/>
      <c r="L118" s="148"/>
      <c r="M118" s="148"/>
      <c r="N118" s="215">
        <f t="shared" ref="N118:T118" si="113">MAX(0,$F118*(N41-N117/$F117))</f>
        <v>0</v>
      </c>
      <c r="O118" s="215">
        <f t="shared" si="113"/>
        <v>0</v>
      </c>
      <c r="P118" s="215">
        <f t="shared" si="113"/>
        <v>0</v>
      </c>
      <c r="Q118" s="215">
        <f t="shared" si="113"/>
        <v>0</v>
      </c>
      <c r="R118" s="215">
        <f t="shared" si="113"/>
        <v>0</v>
      </c>
      <c r="S118" s="215">
        <f t="shared" si="113"/>
        <v>0</v>
      </c>
      <c r="T118" s="215">
        <f t="shared" si="113"/>
        <v>0</v>
      </c>
      <c r="U118" s="215">
        <f t="shared" ref="U118:AD118" si="114">MAX(0,$F118*(U43-U117/$F117))</f>
        <v>0</v>
      </c>
      <c r="V118" s="215">
        <f t="shared" si="114"/>
        <v>0</v>
      </c>
      <c r="W118" s="215">
        <f t="shared" si="114"/>
        <v>481.05</v>
      </c>
      <c r="X118" s="215">
        <f t="shared" si="114"/>
        <v>512.4</v>
      </c>
      <c r="Y118" s="215">
        <f t="shared" si="114"/>
        <v>512.4</v>
      </c>
      <c r="Z118" s="215">
        <f t="shared" si="114"/>
        <v>512.4</v>
      </c>
      <c r="AA118" s="215">
        <f t="shared" si="114"/>
        <v>512.4</v>
      </c>
      <c r="AB118" s="215">
        <f t="shared" si="114"/>
        <v>512.4</v>
      </c>
      <c r="AC118" s="215">
        <f t="shared" si="114"/>
        <v>512.4</v>
      </c>
      <c r="AD118" s="215">
        <f t="shared" si="114"/>
        <v>512.4</v>
      </c>
      <c r="AS118" s="307"/>
      <c r="AT118" s="307"/>
      <c r="AU118" s="307"/>
      <c r="AV118" s="307"/>
      <c r="AW118" s="307"/>
      <c r="AX118" s="307"/>
      <c r="AY118" s="307"/>
      <c r="AZ118" s="307"/>
      <c r="BA118" s="307"/>
      <c r="BB118" s="307"/>
      <c r="BC118" s="307"/>
      <c r="BD118" s="307"/>
    </row>
    <row r="119" spans="2:56" s="131" customFormat="1" outlineLevel="1" x14ac:dyDescent="0.2">
      <c r="D119" s="147" t="s">
        <v>310</v>
      </c>
      <c r="E119" s="147"/>
      <c r="F119" s="148"/>
      <c r="G119" s="148"/>
      <c r="H119" s="148"/>
      <c r="I119" s="148"/>
      <c r="J119" s="148"/>
      <c r="K119" s="148"/>
      <c r="L119" s="148"/>
      <c r="M119" s="148"/>
      <c r="N119" s="215">
        <f t="shared" ref="N119:AD119" si="115">N116+N117+N118</f>
        <v>-435</v>
      </c>
      <c r="O119" s="215">
        <f t="shared" si="115"/>
        <v>-348</v>
      </c>
      <c r="P119" s="215">
        <f t="shared" si="115"/>
        <v>-43.5</v>
      </c>
      <c r="Q119" s="215">
        <f t="shared" si="115"/>
        <v>-43.5</v>
      </c>
      <c r="R119" s="215">
        <f t="shared" si="115"/>
        <v>0</v>
      </c>
      <c r="S119" s="215">
        <f t="shared" si="115"/>
        <v>0</v>
      </c>
      <c r="T119" s="215">
        <f t="shared" si="115"/>
        <v>0</v>
      </c>
      <c r="U119" s="215">
        <f t="shared" si="115"/>
        <v>273.28000000000003</v>
      </c>
      <c r="V119" s="215">
        <f t="shared" si="115"/>
        <v>546.56000000000006</v>
      </c>
      <c r="W119" s="215">
        <f t="shared" si="115"/>
        <v>531.21</v>
      </c>
      <c r="X119" s="215">
        <f t="shared" si="115"/>
        <v>512.4</v>
      </c>
      <c r="Y119" s="215">
        <f t="shared" si="115"/>
        <v>512.4</v>
      </c>
      <c r="Z119" s="215">
        <f t="shared" si="115"/>
        <v>512.4</v>
      </c>
      <c r="AA119" s="215">
        <f t="shared" si="115"/>
        <v>512.4</v>
      </c>
      <c r="AB119" s="215">
        <f t="shared" si="115"/>
        <v>512.4</v>
      </c>
      <c r="AC119" s="215">
        <f t="shared" si="115"/>
        <v>512.4</v>
      </c>
      <c r="AD119" s="215">
        <f t="shared" si="115"/>
        <v>512.4</v>
      </c>
      <c r="AS119" s="307"/>
      <c r="AT119" s="307"/>
      <c r="AU119" s="307"/>
      <c r="AV119" s="307"/>
      <c r="AW119" s="307"/>
      <c r="AX119" s="307"/>
      <c r="AY119" s="307"/>
      <c r="AZ119" s="307"/>
      <c r="BA119" s="307"/>
      <c r="BB119" s="307"/>
      <c r="BC119" s="307"/>
      <c r="BD119" s="307"/>
    </row>
    <row r="120" spans="2:56" s="131" customFormat="1" outlineLevel="1" x14ac:dyDescent="0.2">
      <c r="D120" s="130"/>
      <c r="E120" s="354" t="s">
        <v>298</v>
      </c>
      <c r="F120" s="354"/>
      <c r="G120" s="148"/>
      <c r="H120" s="148"/>
      <c r="I120" s="148"/>
      <c r="J120" s="148"/>
      <c r="K120" s="148"/>
      <c r="L120" s="148"/>
      <c r="M120" s="148"/>
      <c r="N120" s="215">
        <f t="shared" ref="N120:AD120" si="116">M120+N119</f>
        <v>-435</v>
      </c>
      <c r="O120" s="215">
        <f t="shared" si="116"/>
        <v>-783</v>
      </c>
      <c r="P120" s="215">
        <f t="shared" si="116"/>
        <v>-826.5</v>
      </c>
      <c r="Q120" s="215">
        <f t="shared" si="116"/>
        <v>-870</v>
      </c>
      <c r="R120" s="215">
        <f t="shared" si="116"/>
        <v>-870</v>
      </c>
      <c r="S120" s="215">
        <f t="shared" si="116"/>
        <v>-870</v>
      </c>
      <c r="T120" s="215">
        <f t="shared" si="116"/>
        <v>-870</v>
      </c>
      <c r="U120" s="215">
        <f t="shared" si="116"/>
        <v>-596.72</v>
      </c>
      <c r="V120" s="215">
        <f t="shared" si="116"/>
        <v>-50.159999999999968</v>
      </c>
      <c r="W120" s="215">
        <f t="shared" si="116"/>
        <v>481.05000000000007</v>
      </c>
      <c r="X120" s="215">
        <f t="shared" si="116"/>
        <v>993.45</v>
      </c>
      <c r="Y120" s="215">
        <f t="shared" si="116"/>
        <v>1505.85</v>
      </c>
      <c r="Z120" s="215">
        <f t="shared" si="116"/>
        <v>2018.25</v>
      </c>
      <c r="AA120" s="215">
        <f t="shared" si="116"/>
        <v>2530.65</v>
      </c>
      <c r="AB120" s="215">
        <f t="shared" si="116"/>
        <v>3043.05</v>
      </c>
      <c r="AC120" s="215">
        <f t="shared" si="116"/>
        <v>3555.4500000000003</v>
      </c>
      <c r="AD120" s="215">
        <f t="shared" si="116"/>
        <v>4067.8500000000004</v>
      </c>
      <c r="AS120" s="307"/>
      <c r="AT120" s="307"/>
      <c r="AU120" s="307"/>
      <c r="AV120" s="307"/>
      <c r="AW120" s="307"/>
      <c r="AX120" s="307"/>
      <c r="AY120" s="307"/>
      <c r="AZ120" s="307"/>
      <c r="BA120" s="307"/>
      <c r="BB120" s="307"/>
      <c r="BC120" s="307"/>
      <c r="BD120" s="307"/>
    </row>
    <row r="121" spans="2:56" s="131" customFormat="1" outlineLevel="1" x14ac:dyDescent="0.2">
      <c r="D121" s="130"/>
      <c r="E121" s="151" t="s">
        <v>246</v>
      </c>
      <c r="F121" s="147"/>
      <c r="G121" s="148"/>
      <c r="H121" s="148"/>
      <c r="I121" s="148"/>
      <c r="J121" s="148"/>
      <c r="K121" s="148"/>
      <c r="L121" s="148"/>
      <c r="M121" s="148"/>
      <c r="N121" s="215">
        <f t="shared" ref="N121:W121" si="117">M121+N119</f>
        <v>-435</v>
      </c>
      <c r="O121" s="215">
        <f t="shared" si="117"/>
        <v>-783</v>
      </c>
      <c r="P121" s="215">
        <f t="shared" si="117"/>
        <v>-826.5</v>
      </c>
      <c r="Q121" s="215">
        <f t="shared" si="117"/>
        <v>-870</v>
      </c>
      <c r="R121" s="215">
        <f t="shared" si="117"/>
        <v>-870</v>
      </c>
      <c r="S121" s="215">
        <f t="shared" si="117"/>
        <v>-870</v>
      </c>
      <c r="T121" s="215">
        <f t="shared" si="117"/>
        <v>-870</v>
      </c>
      <c r="U121" s="215">
        <f t="shared" si="117"/>
        <v>-596.72</v>
      </c>
      <c r="V121" s="215">
        <f t="shared" si="117"/>
        <v>-50.159999999999968</v>
      </c>
      <c r="W121" s="215">
        <f t="shared" si="117"/>
        <v>481.05000000000007</v>
      </c>
      <c r="X121" s="215"/>
      <c r="Y121" s="215"/>
      <c r="Z121" s="215"/>
      <c r="AA121" s="215"/>
      <c r="AB121" s="215"/>
      <c r="AC121" s="215"/>
      <c r="AD121" s="215"/>
      <c r="AS121" s="307"/>
      <c r="AT121" s="307"/>
      <c r="AU121" s="307"/>
      <c r="AV121" s="307"/>
      <c r="AW121" s="307"/>
      <c r="AX121" s="307"/>
      <c r="AY121" s="307"/>
      <c r="AZ121" s="307"/>
      <c r="BA121" s="307"/>
      <c r="BB121" s="307"/>
      <c r="BC121" s="307"/>
      <c r="BD121" s="307"/>
    </row>
    <row r="122" spans="2:56" s="131" customFormat="1" outlineLevel="1" x14ac:dyDescent="0.2">
      <c r="AS122" s="307"/>
      <c r="AT122" s="307"/>
      <c r="AU122" s="307"/>
      <c r="AV122" s="307"/>
      <c r="AW122" s="307"/>
      <c r="AX122" s="307"/>
      <c r="AY122" s="307"/>
      <c r="AZ122" s="307"/>
      <c r="BA122" s="307"/>
      <c r="BB122" s="307"/>
      <c r="BC122" s="307"/>
      <c r="BD122" s="307"/>
    </row>
    <row r="123" spans="2:56" ht="13.5" thickBot="1" x14ac:dyDescent="0.25">
      <c r="C123" s="108" t="s">
        <v>334</v>
      </c>
      <c r="D123" s="108"/>
      <c r="E123" s="108"/>
      <c r="F123" s="201"/>
      <c r="G123" s="210">
        <f t="shared" ref="G123:AA123" si="118">G84+G92+G100+G108+G116</f>
        <v>-457.5</v>
      </c>
      <c r="H123" s="210">
        <f t="shared" si="118"/>
        <v>-366</v>
      </c>
      <c r="I123" s="210">
        <f t="shared" si="118"/>
        <v>-91.5</v>
      </c>
      <c r="J123" s="210">
        <f t="shared" si="118"/>
        <v>0</v>
      </c>
      <c r="K123" s="210">
        <f t="shared" si="118"/>
        <v>0</v>
      </c>
      <c r="L123" s="210">
        <f t="shared" si="118"/>
        <v>0</v>
      </c>
      <c r="M123" s="210">
        <f t="shared" si="118"/>
        <v>0</v>
      </c>
      <c r="N123" s="210">
        <f t="shared" si="118"/>
        <v>-1740</v>
      </c>
      <c r="O123" s="210">
        <f t="shared" si="118"/>
        <v>-1392</v>
      </c>
      <c r="P123" s="210">
        <f t="shared" si="118"/>
        <v>-174</v>
      </c>
      <c r="Q123" s="210">
        <f t="shared" si="118"/>
        <v>-174</v>
      </c>
      <c r="R123" s="210">
        <f t="shared" si="118"/>
        <v>0</v>
      </c>
      <c r="S123" s="210">
        <f t="shared" si="118"/>
        <v>0</v>
      </c>
      <c r="T123" s="210">
        <f t="shared" si="118"/>
        <v>0</v>
      </c>
      <c r="U123" s="210">
        <f t="shared" si="118"/>
        <v>0</v>
      </c>
      <c r="V123" s="210">
        <f t="shared" si="118"/>
        <v>0</v>
      </c>
      <c r="W123" s="210">
        <f t="shared" si="118"/>
        <v>0</v>
      </c>
      <c r="X123" s="210">
        <f t="shared" si="118"/>
        <v>0</v>
      </c>
      <c r="Y123" s="210">
        <f t="shared" si="118"/>
        <v>0</v>
      </c>
      <c r="Z123" s="210">
        <f t="shared" si="118"/>
        <v>0</v>
      </c>
      <c r="AA123" s="210">
        <f t="shared" si="118"/>
        <v>0</v>
      </c>
      <c r="AB123" s="210"/>
      <c r="AC123" s="210"/>
      <c r="AD123" s="210"/>
      <c r="AS123" s="284"/>
      <c r="AT123" s="284"/>
      <c r="AU123" s="309" t="str">
        <f>B123&amp;C123&amp;D123&amp;E123&amp;F123</f>
        <v>Investment (Need)/Supply</v>
      </c>
      <c r="AV123" s="320"/>
      <c r="AW123" s="310">
        <f t="shared" ref="AW123:BD123" ca="1" si="119">AW84+AW92+AW100+AW108+AW116</f>
        <v>-915</v>
      </c>
      <c r="AX123" s="310">
        <f t="shared" ca="1" si="119"/>
        <v>0</v>
      </c>
      <c r="AY123" s="310">
        <f t="shared" ca="1" si="119"/>
        <v>-3132</v>
      </c>
      <c r="AZ123" s="310">
        <f t="shared" ca="1" si="119"/>
        <v>-348</v>
      </c>
      <c r="BA123" s="310">
        <f t="shared" ca="1" si="119"/>
        <v>0</v>
      </c>
      <c r="BB123" s="310">
        <f t="shared" ca="1" si="119"/>
        <v>0</v>
      </c>
      <c r="BC123" s="310">
        <f t="shared" ca="1" si="119"/>
        <v>0</v>
      </c>
      <c r="BD123" s="310">
        <f t="shared" ca="1" si="119"/>
        <v>0</v>
      </c>
    </row>
    <row r="124" spans="2:56" outlineLevel="1" x14ac:dyDescent="0.2">
      <c r="C124" s="217"/>
      <c r="D124" s="217"/>
      <c r="E124" s="217"/>
      <c r="F124" s="218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20"/>
      <c r="T124" s="219"/>
      <c r="U124" s="219"/>
      <c r="V124" s="219"/>
      <c r="W124" s="219"/>
      <c r="X124" s="219"/>
      <c r="Y124" s="219"/>
      <c r="Z124" s="219"/>
      <c r="AA124" s="219"/>
      <c r="AB124" s="137"/>
      <c r="AC124" s="137"/>
      <c r="AD124" s="137"/>
      <c r="AS124" s="284"/>
      <c r="AT124" s="284"/>
      <c r="AU124" s="284"/>
      <c r="AV124" s="284"/>
      <c r="AW124" s="284"/>
      <c r="AX124" s="284"/>
      <c r="AY124" s="284"/>
      <c r="AZ124" s="284"/>
      <c r="BA124" s="284"/>
      <c r="BB124" s="284"/>
      <c r="BC124" s="284"/>
      <c r="BD124" s="284"/>
    </row>
    <row r="125" spans="2:56" s="131" customFormat="1" x14ac:dyDescent="0.2">
      <c r="D125" s="131" t="s">
        <v>336</v>
      </c>
      <c r="F125" s="204">
        <v>0.25</v>
      </c>
      <c r="G125" s="215">
        <v>2000</v>
      </c>
      <c r="H125" s="215"/>
      <c r="I125" s="215"/>
      <c r="J125" s="215"/>
      <c r="K125" s="215"/>
      <c r="L125" s="215"/>
      <c r="M125" s="215"/>
      <c r="N125" s="215">
        <v>2000</v>
      </c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S125" s="307"/>
      <c r="AT125" s="307"/>
      <c r="AU125" s="307"/>
      <c r="AV125" s="268" t="str">
        <f>A125&amp;B125&amp;C125&amp;D125</f>
        <v>Preferred Equity</v>
      </c>
      <c r="AW125" s="308">
        <f ca="1">SUM(OFFSET($G125,0,AV$3+1):OFFSET($G125,0,AW$3))</f>
        <v>2000</v>
      </c>
      <c r="AX125" s="308">
        <f ca="1">SUM(OFFSET($G125,0,AW$3+1):OFFSET($G125,0,AX$3))</f>
        <v>0</v>
      </c>
      <c r="AY125" s="308">
        <f ca="1">SUM(OFFSET($G125,0,AX$3+1):OFFSET($G125,0,AY$3))</f>
        <v>2000</v>
      </c>
      <c r="AZ125" s="308">
        <f ca="1">SUM(OFFSET($G125,0,AY$3+1):OFFSET($G125,0,AZ$3))</f>
        <v>0</v>
      </c>
      <c r="BA125" s="308">
        <f ca="1">SUM(OFFSET($G125,0,AZ$3+1):OFFSET($G125,0,BA$3))</f>
        <v>0</v>
      </c>
      <c r="BB125" s="308">
        <f ca="1">SUM(OFFSET($G125,0,BA$3+1):OFFSET($G125,0,BB$3))</f>
        <v>0</v>
      </c>
      <c r="BC125" s="308">
        <f ca="1">SUM(OFFSET($G125,0,BB$3+1):OFFSET($G125,0,BC$3))</f>
        <v>0</v>
      </c>
      <c r="BD125" s="308">
        <f ca="1">SUM(OFFSET($G125,0,BC$3+1):OFFSET($G125,0,BD$3))</f>
        <v>0</v>
      </c>
    </row>
    <row r="126" spans="2:56" s="131" customFormat="1" outlineLevel="1" x14ac:dyDescent="0.2">
      <c r="D126" s="107" t="s">
        <v>337</v>
      </c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S126" s="307"/>
      <c r="AT126" s="307"/>
      <c r="AU126" s="307"/>
      <c r="AV126" s="268" t="str">
        <f>A126&amp;B126&amp;C126&amp;D126</f>
        <v>Common</v>
      </c>
      <c r="AW126" s="308">
        <f ca="1">SUM(OFFSET($G126,0,AV$3+1):OFFSET($G126,0,AW$3))</f>
        <v>0</v>
      </c>
      <c r="AX126" s="308">
        <f ca="1">SUM(OFFSET($G126,0,AW$3+1):OFFSET($G126,0,AX$3))</f>
        <v>0</v>
      </c>
      <c r="AY126" s="308">
        <f ca="1">SUM(OFFSET($G126,0,AX$3+1):OFFSET($G126,0,AY$3))</f>
        <v>0</v>
      </c>
      <c r="AZ126" s="308">
        <f ca="1">SUM(OFFSET($G126,0,AY$3+1):OFFSET($G126,0,AZ$3))</f>
        <v>0</v>
      </c>
      <c r="BA126" s="308">
        <f ca="1">SUM(OFFSET($G126,0,AZ$3+1):OFFSET($G126,0,BA$3))</f>
        <v>0</v>
      </c>
      <c r="BB126" s="308">
        <f ca="1">SUM(OFFSET($G126,0,BA$3+1):OFFSET($G126,0,BB$3))</f>
        <v>0</v>
      </c>
      <c r="BC126" s="308">
        <f ca="1">SUM(OFFSET($G126,0,BB$3+1):OFFSET($G126,0,BC$3))</f>
        <v>0</v>
      </c>
      <c r="BD126" s="308">
        <f ca="1">SUM(OFFSET($G126,0,BC$3+1):OFFSET($G126,0,BD$3))</f>
        <v>0</v>
      </c>
    </row>
    <row r="127" spans="2:56" outlineLevel="1" x14ac:dyDescent="0.2">
      <c r="D127" s="107" t="s">
        <v>339</v>
      </c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S127" s="284"/>
      <c r="AT127" s="284"/>
      <c r="AU127" s="284"/>
      <c r="AV127" s="268" t="str">
        <f>A127&amp;B127&amp;C127&amp;D127</f>
        <v>Debt</v>
      </c>
      <c r="AW127" s="308">
        <f ca="1">SUM(OFFSET($G127,0,AV$3+1):OFFSET($G127,0,AW$3))</f>
        <v>0</v>
      </c>
      <c r="AX127" s="308">
        <f ca="1">SUM(OFFSET($G127,0,AW$3+1):OFFSET($G127,0,AX$3))</f>
        <v>0</v>
      </c>
      <c r="AY127" s="308">
        <f ca="1">SUM(OFFSET($G127,0,AX$3+1):OFFSET($G127,0,AY$3))</f>
        <v>0</v>
      </c>
      <c r="AZ127" s="308">
        <f ca="1">SUM(OFFSET($G127,0,AY$3+1):OFFSET($G127,0,AZ$3))</f>
        <v>0</v>
      </c>
      <c r="BA127" s="308">
        <f ca="1">SUM(OFFSET($G127,0,AZ$3+1):OFFSET($G127,0,BA$3))</f>
        <v>0</v>
      </c>
      <c r="BB127" s="308">
        <f ca="1">SUM(OFFSET($G127,0,BA$3+1):OFFSET($G127,0,BB$3))</f>
        <v>0</v>
      </c>
      <c r="BC127" s="308">
        <f ca="1">SUM(OFFSET($G127,0,BB$3+1):OFFSET($G127,0,BC$3))</f>
        <v>0</v>
      </c>
      <c r="BD127" s="308">
        <f ca="1">SUM(OFFSET($G127,0,BC$3+1):OFFSET($G127,0,BD$3))</f>
        <v>0</v>
      </c>
    </row>
    <row r="128" spans="2:56" outlineLevel="1" x14ac:dyDescent="0.2">
      <c r="D128" s="107" t="s">
        <v>340</v>
      </c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S128" s="284"/>
      <c r="AT128" s="284"/>
      <c r="AU128" s="284"/>
      <c r="AV128" s="268" t="str">
        <f>A128&amp;B128&amp;C128&amp;D128</f>
        <v>Debt Service</v>
      </c>
      <c r="AW128" s="308">
        <f ca="1">SUM(OFFSET($G128,0,AV$3+1):OFFSET($G128,0,AW$3))</f>
        <v>0</v>
      </c>
      <c r="AX128" s="308">
        <f ca="1">SUM(OFFSET($G128,0,AW$3+1):OFFSET($G128,0,AX$3))</f>
        <v>0</v>
      </c>
      <c r="AY128" s="308">
        <f ca="1">SUM(OFFSET($G128,0,AX$3+1):OFFSET($G128,0,AY$3))</f>
        <v>0</v>
      </c>
      <c r="AZ128" s="308">
        <f ca="1">SUM(OFFSET($G128,0,AY$3+1):OFFSET($G128,0,AZ$3))</f>
        <v>0</v>
      </c>
      <c r="BA128" s="308">
        <f ca="1">SUM(OFFSET($G128,0,AZ$3+1):OFFSET($G128,0,BA$3))</f>
        <v>0</v>
      </c>
      <c r="BB128" s="308">
        <f ca="1">SUM(OFFSET($G128,0,BA$3+1):OFFSET($G128,0,BB$3))</f>
        <v>0</v>
      </c>
      <c r="BC128" s="308">
        <f ca="1">SUM(OFFSET($G128,0,BB$3+1):OFFSET($G128,0,BC$3))</f>
        <v>0</v>
      </c>
      <c r="BD128" s="308">
        <f ca="1">SUM(OFFSET($G128,0,BC$3+1):OFFSET($G128,0,BD$3))</f>
        <v>0</v>
      </c>
    </row>
    <row r="129" spans="1:56" s="135" customFormat="1" ht="13.5" thickBot="1" x14ac:dyDescent="0.25">
      <c r="C129" s="108" t="s">
        <v>338</v>
      </c>
      <c r="D129" s="108"/>
      <c r="E129" s="108"/>
      <c r="F129" s="108"/>
      <c r="G129" s="210">
        <f t="shared" ref="G129:AD129" si="120">G125+G126+G127+G128</f>
        <v>2000</v>
      </c>
      <c r="H129" s="210">
        <f t="shared" si="120"/>
        <v>0</v>
      </c>
      <c r="I129" s="210">
        <f t="shared" si="120"/>
        <v>0</v>
      </c>
      <c r="J129" s="210">
        <f t="shared" si="120"/>
        <v>0</v>
      </c>
      <c r="K129" s="210">
        <f t="shared" si="120"/>
        <v>0</v>
      </c>
      <c r="L129" s="210">
        <f t="shared" si="120"/>
        <v>0</v>
      </c>
      <c r="M129" s="210">
        <f t="shared" si="120"/>
        <v>0</v>
      </c>
      <c r="N129" s="210">
        <f t="shared" si="120"/>
        <v>2000</v>
      </c>
      <c r="O129" s="210">
        <f t="shared" si="120"/>
        <v>0</v>
      </c>
      <c r="P129" s="210">
        <f t="shared" si="120"/>
        <v>0</v>
      </c>
      <c r="Q129" s="210">
        <f t="shared" si="120"/>
        <v>0</v>
      </c>
      <c r="R129" s="210">
        <f t="shared" si="120"/>
        <v>0</v>
      </c>
      <c r="S129" s="210">
        <f t="shared" si="120"/>
        <v>0</v>
      </c>
      <c r="T129" s="210">
        <f t="shared" si="120"/>
        <v>0</v>
      </c>
      <c r="U129" s="210">
        <f t="shared" si="120"/>
        <v>0</v>
      </c>
      <c r="V129" s="210">
        <f t="shared" si="120"/>
        <v>0</v>
      </c>
      <c r="W129" s="210">
        <f t="shared" si="120"/>
        <v>0</v>
      </c>
      <c r="X129" s="210">
        <f t="shared" si="120"/>
        <v>0</v>
      </c>
      <c r="Y129" s="210">
        <f t="shared" si="120"/>
        <v>0</v>
      </c>
      <c r="Z129" s="210">
        <f t="shared" si="120"/>
        <v>0</v>
      </c>
      <c r="AA129" s="210">
        <f t="shared" si="120"/>
        <v>0</v>
      </c>
      <c r="AB129" s="210">
        <f t="shared" si="120"/>
        <v>0</v>
      </c>
      <c r="AC129" s="210">
        <f t="shared" si="120"/>
        <v>0</v>
      </c>
      <c r="AD129" s="210">
        <f t="shared" si="120"/>
        <v>0</v>
      </c>
      <c r="AS129" s="321"/>
      <c r="AT129" s="321"/>
      <c r="AU129" s="309" t="str">
        <f>B129&amp;C129&amp;D129&amp;E129&amp;F129</f>
        <v>Financing (Need)/Supply</v>
      </c>
      <c r="AV129" s="309"/>
      <c r="AW129" s="310">
        <f t="shared" ref="AW129:BD129" ca="1" si="121">AW125+AW126+AW127+AW128</f>
        <v>2000</v>
      </c>
      <c r="AX129" s="310">
        <f t="shared" ca="1" si="121"/>
        <v>0</v>
      </c>
      <c r="AY129" s="310">
        <f t="shared" ca="1" si="121"/>
        <v>2000</v>
      </c>
      <c r="AZ129" s="310">
        <f t="shared" ca="1" si="121"/>
        <v>0</v>
      </c>
      <c r="BA129" s="310">
        <f t="shared" ca="1" si="121"/>
        <v>0</v>
      </c>
      <c r="BB129" s="310">
        <f t="shared" ca="1" si="121"/>
        <v>0</v>
      </c>
      <c r="BC129" s="310">
        <f t="shared" ca="1" si="121"/>
        <v>0</v>
      </c>
      <c r="BD129" s="310">
        <f t="shared" ca="1" si="121"/>
        <v>0</v>
      </c>
    </row>
    <row r="130" spans="1:56" s="131" customFormat="1" outlineLevel="1" collapsed="1" x14ac:dyDescent="0.2">
      <c r="E130" s="131" t="s">
        <v>364</v>
      </c>
      <c r="F130" s="204"/>
      <c r="G130" s="215">
        <f>(100%+$F$125)*G125</f>
        <v>2500</v>
      </c>
      <c r="H130" s="215">
        <f t="shared" ref="H130:P130" si="122">(100%+$F$125)*H125</f>
        <v>0</v>
      </c>
      <c r="I130" s="215">
        <f t="shared" si="122"/>
        <v>0</v>
      </c>
      <c r="J130" s="215">
        <f t="shared" si="122"/>
        <v>0</v>
      </c>
      <c r="K130" s="215">
        <f t="shared" si="122"/>
        <v>0</v>
      </c>
      <c r="L130" s="215">
        <f t="shared" si="122"/>
        <v>0</v>
      </c>
      <c r="M130" s="215">
        <f t="shared" si="122"/>
        <v>0</v>
      </c>
      <c r="N130" s="215">
        <f t="shared" si="122"/>
        <v>2500</v>
      </c>
      <c r="O130" s="215">
        <f t="shared" si="122"/>
        <v>0</v>
      </c>
      <c r="P130" s="215">
        <f t="shared" si="122"/>
        <v>0</v>
      </c>
      <c r="Q130" s="215"/>
      <c r="R130" s="215">
        <f>IF(SUM($G130:Q130)&gt;0,-MIN(MAX(0,R81-500),SUM($G130:Q130)),0)</f>
        <v>-269.83399999999995</v>
      </c>
      <c r="S130" s="215">
        <f>IF(SUM($G130:R130)&gt;0,-MIN(MAX(0,S81-500),SUM($G130:R130)),0)</f>
        <v>-653.75650000000019</v>
      </c>
      <c r="T130" s="215">
        <f>IF(SUM($G130:S130)&gt;0,-MIN(MAX(0,T81-500),SUM($G130:S130)),0)</f>
        <v>-1031.7965000000002</v>
      </c>
      <c r="U130" s="215">
        <f>IF(SUM($G130:T130)&gt;0,-MIN(MAX(0,U81-500),SUM($G130:T130)),0)</f>
        <v>-1375.4059999999999</v>
      </c>
      <c r="V130" s="215">
        <f>IF(SUM($G130:U130)&gt;0,-MIN(MAX(0,V81-500),SUM($G130:U130)),0)</f>
        <v>-1543.0604999999998</v>
      </c>
      <c r="W130" s="215">
        <f>IF(SUM($G130:V130)&gt;0,-MIN(MAX(0,W81-500),SUM($G130:V130)),0)</f>
        <v>-126.14649999999961</v>
      </c>
      <c r="X130" s="215">
        <f>IF(SUM($G130:W130)&gt;0,-MIN(MAX(0,X81-500),SUM($G130:W130)),0)</f>
        <v>0</v>
      </c>
      <c r="Y130" s="215">
        <f>IF(SUM($G130:X130)&gt;0,-MIN(MAX(0,Y81-500),SUM($G130:X130)),0)</f>
        <v>0</v>
      </c>
      <c r="Z130" s="215">
        <f>IF(SUM($G130:Y130)&gt;0,-MIN(MAX(0,Z81-500),SUM($G130:Y130)),0)</f>
        <v>0</v>
      </c>
      <c r="AA130" s="215">
        <f>IF(SUM($G130:Z130)&gt;0,-MIN(MAX(0,AA81-500),SUM($G130:Z130)),0)</f>
        <v>0</v>
      </c>
      <c r="AB130" s="215">
        <f>IF(SUM($G130:AA130)&gt;0,-MIN(MAX(0,AB81-500),SUM($G130:AA130)),0)</f>
        <v>0</v>
      </c>
      <c r="AC130" s="215">
        <f>IF(SUM($G130:AB130)&gt;0,-MIN(MAX(0,AC81-500),SUM($G130:AB130)),0)</f>
        <v>0</v>
      </c>
      <c r="AD130" s="215">
        <f>IF(SUM($G130:AC130)&gt;0,-MIN(MAX(0,AD81-500),SUM($G130:AC130)),0)</f>
        <v>0</v>
      </c>
      <c r="AS130" s="307"/>
      <c r="AT130" s="307"/>
      <c r="AU130" s="307"/>
      <c r="AV130" s="307"/>
      <c r="AW130" s="307"/>
      <c r="AX130" s="307"/>
      <c r="AY130" s="307"/>
      <c r="AZ130" s="307"/>
      <c r="BA130" s="307"/>
      <c r="BB130" s="307"/>
      <c r="BC130" s="307"/>
      <c r="BD130" s="307"/>
    </row>
    <row r="131" spans="1:56" outlineLevel="1" collapsed="1" x14ac:dyDescent="0.2">
      <c r="AS131" s="284"/>
      <c r="AT131" s="284"/>
      <c r="AU131" s="284"/>
      <c r="AV131" s="284"/>
      <c r="AW131" s="284"/>
      <c r="AX131" s="284"/>
      <c r="AY131" s="284"/>
      <c r="AZ131" s="284"/>
      <c r="BA131" s="284"/>
      <c r="BB131" s="284"/>
      <c r="BC131" s="284"/>
      <c r="BD131" s="284"/>
    </row>
    <row r="132" spans="1:56" x14ac:dyDescent="0.2">
      <c r="D132" s="107" t="s">
        <v>341</v>
      </c>
      <c r="G132" s="141">
        <f>F136</f>
        <v>0</v>
      </c>
      <c r="H132" s="141">
        <f>G136</f>
        <v>1324.5</v>
      </c>
      <c r="I132" s="141">
        <f t="shared" ref="I132:AD132" si="123">H136</f>
        <v>823.5</v>
      </c>
      <c r="J132" s="141">
        <f t="shared" si="123"/>
        <v>597</v>
      </c>
      <c r="K132" s="141">
        <f t="shared" si="123"/>
        <v>982.40000000000009</v>
      </c>
      <c r="L132" s="141">
        <f t="shared" si="123"/>
        <v>1477.30125</v>
      </c>
      <c r="M132" s="141">
        <f t="shared" si="123"/>
        <v>2024.6012499999999</v>
      </c>
      <c r="N132" s="141">
        <f t="shared" si="123"/>
        <v>2729.8512500000002</v>
      </c>
      <c r="O132" s="141">
        <f t="shared" si="123"/>
        <v>3535.2012500000001</v>
      </c>
      <c r="P132" s="141">
        <f t="shared" si="123"/>
        <v>2688.55125</v>
      </c>
      <c r="Q132" s="141">
        <f t="shared" si="123"/>
        <v>3059.9012499999999</v>
      </c>
      <c r="R132" s="141">
        <f t="shared" si="123"/>
        <v>3431.2512499999998</v>
      </c>
      <c r="S132" s="141">
        <f t="shared" si="123"/>
        <v>3796.3342500000003</v>
      </c>
      <c r="T132" s="141">
        <f t="shared" si="123"/>
        <v>3969.4559999999997</v>
      </c>
      <c r="U132" s="141">
        <f t="shared" si="123"/>
        <v>3953.557749999999</v>
      </c>
      <c r="V132" s="141">
        <f t="shared" si="123"/>
        <v>3765.8547499999991</v>
      </c>
      <c r="W132" s="141">
        <f t="shared" si="123"/>
        <v>3494.3244999999997</v>
      </c>
      <c r="X132" s="141">
        <f t="shared" si="123"/>
        <v>5325.9612500000003</v>
      </c>
      <c r="Y132" s="141">
        <f t="shared" si="123"/>
        <v>1500</v>
      </c>
      <c r="Z132" s="141">
        <f t="shared" si="123"/>
        <v>1500</v>
      </c>
      <c r="AA132" s="141">
        <f t="shared" si="123"/>
        <v>1500</v>
      </c>
      <c r="AB132" s="141">
        <f t="shared" si="123"/>
        <v>1500</v>
      </c>
      <c r="AC132" s="141">
        <f t="shared" si="123"/>
        <v>1500</v>
      </c>
      <c r="AD132" s="141">
        <f t="shared" si="123"/>
        <v>1500</v>
      </c>
      <c r="AS132" s="284"/>
      <c r="AT132" s="284"/>
      <c r="AU132" s="268"/>
      <c r="AV132" s="268" t="str">
        <f>A132&amp;B132&amp;C132&amp;D132</f>
        <v>Starting Cash</v>
      </c>
      <c r="AW132" s="322">
        <f t="shared" ref="AW132:BD132" si="124">AV136</f>
        <v>0</v>
      </c>
      <c r="AX132" s="322">
        <f t="shared" ca="1" si="124"/>
        <v>597</v>
      </c>
      <c r="AY132" s="322">
        <f t="shared" ca="1" si="124"/>
        <v>2024.6012499999999</v>
      </c>
      <c r="AZ132" s="322">
        <f t="shared" ca="1" si="124"/>
        <v>2688.55125</v>
      </c>
      <c r="BA132" s="322">
        <f t="shared" ca="1" si="124"/>
        <v>3796.3342500000003</v>
      </c>
      <c r="BB132" s="322">
        <f t="shared" ca="1" si="124"/>
        <v>3765.8547499999995</v>
      </c>
      <c r="BC132" s="322">
        <f t="shared" ca="1" si="124"/>
        <v>1500.0000000000009</v>
      </c>
      <c r="BD132" s="322">
        <f t="shared" ca="1" si="124"/>
        <v>1500.0000000000009</v>
      </c>
    </row>
    <row r="133" spans="1:56" x14ac:dyDescent="0.2">
      <c r="D133" s="107" t="s">
        <v>343</v>
      </c>
      <c r="G133" s="141">
        <f t="shared" ref="G133:AD133" si="125">G81+G123+G129</f>
        <v>1324.5</v>
      </c>
      <c r="H133" s="141">
        <f t="shared" si="125"/>
        <v>-501</v>
      </c>
      <c r="I133" s="141">
        <f t="shared" si="125"/>
        <v>-226.5</v>
      </c>
      <c r="J133" s="141">
        <f t="shared" si="125"/>
        <v>385.40000000000009</v>
      </c>
      <c r="K133" s="141">
        <f t="shared" si="125"/>
        <v>494.90124999999995</v>
      </c>
      <c r="L133" s="141">
        <f t="shared" si="125"/>
        <v>547.29999999999995</v>
      </c>
      <c r="M133" s="141">
        <f t="shared" si="125"/>
        <v>705.25000000000011</v>
      </c>
      <c r="N133" s="141">
        <f t="shared" si="125"/>
        <v>805.34999999999991</v>
      </c>
      <c r="O133" s="141">
        <f t="shared" si="125"/>
        <v>-846.65</v>
      </c>
      <c r="P133" s="141">
        <f t="shared" si="125"/>
        <v>371.35</v>
      </c>
      <c r="Q133" s="141">
        <f t="shared" si="125"/>
        <v>371.35</v>
      </c>
      <c r="R133" s="141">
        <f t="shared" si="125"/>
        <v>769.83399999999995</v>
      </c>
      <c r="S133" s="141">
        <f t="shared" si="125"/>
        <v>1153.7565000000002</v>
      </c>
      <c r="T133" s="141">
        <f t="shared" si="125"/>
        <v>1531.7965000000002</v>
      </c>
      <c r="U133" s="141">
        <f t="shared" si="125"/>
        <v>1875.4059999999999</v>
      </c>
      <c r="V133" s="141">
        <f t="shared" si="125"/>
        <v>2043.0604999999998</v>
      </c>
      <c r="W133" s="141">
        <f t="shared" si="125"/>
        <v>2020.8565000000001</v>
      </c>
      <c r="X133" s="141">
        <f t="shared" si="125"/>
        <v>2008.63</v>
      </c>
      <c r="Y133" s="141">
        <f t="shared" si="125"/>
        <v>2008.63</v>
      </c>
      <c r="Z133" s="141">
        <f t="shared" si="125"/>
        <v>2008.63</v>
      </c>
      <c r="AA133" s="141">
        <f t="shared" si="125"/>
        <v>2008.63</v>
      </c>
      <c r="AB133" s="141">
        <f t="shared" si="125"/>
        <v>2008.63</v>
      </c>
      <c r="AC133" s="141">
        <f t="shared" si="125"/>
        <v>2008.63</v>
      </c>
      <c r="AD133" s="141">
        <f t="shared" si="125"/>
        <v>2008.63</v>
      </c>
      <c r="AS133" s="284"/>
      <c r="AT133" s="284"/>
      <c r="AU133" s="284"/>
      <c r="AV133" s="268" t="str">
        <f>A133&amp;B133&amp;C133&amp;D133</f>
        <v>Net Cash In / (Out)</v>
      </c>
      <c r="AW133" s="308">
        <f ca="1">SUM(OFFSET($G133,0,AV$3+1):OFFSET($G133,0,AW$3))</f>
        <v>597</v>
      </c>
      <c r="AX133" s="308">
        <f ca="1">SUM(OFFSET($G133,0,AW$3+1):OFFSET($G133,0,AX$3))</f>
        <v>1427.6012499999999</v>
      </c>
      <c r="AY133" s="308">
        <f ca="1">SUM(OFFSET($G133,0,AX$3+1):OFFSET($G133,0,AY$3))</f>
        <v>663.94999999999993</v>
      </c>
      <c r="AZ133" s="308">
        <f ca="1">SUM(OFFSET($G133,0,AY$3+1):OFFSET($G133,0,AZ$3))</f>
        <v>1512.5340000000001</v>
      </c>
      <c r="BA133" s="308">
        <f ca="1">SUM(OFFSET($G133,0,AZ$3+1):OFFSET($G133,0,BA$3))</f>
        <v>4560.9590000000007</v>
      </c>
      <c r="BB133" s="308">
        <f ca="1">SUM(OFFSET($G133,0,BA$3+1):OFFSET($G133,0,BB$3))</f>
        <v>6072.5470000000005</v>
      </c>
      <c r="BC133" s="308">
        <f ca="1">SUM(OFFSET($G133,0,BB$3+1):OFFSET($G133,0,BC$3))</f>
        <v>6025.89</v>
      </c>
      <c r="BD133" s="308">
        <f ca="1">SUM(OFFSET($G133,0,BC$3+1):OFFSET($G133,0,BD$3))</f>
        <v>6025.89</v>
      </c>
    </row>
    <row r="134" spans="1:56" x14ac:dyDescent="0.2">
      <c r="D134" s="107" t="s">
        <v>360</v>
      </c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>
        <f>R130</f>
        <v>-269.83399999999995</v>
      </c>
      <c r="S134" s="141">
        <f t="shared" ref="S134:AD134" si="126">S130</f>
        <v>-653.75650000000019</v>
      </c>
      <c r="T134" s="141">
        <f t="shared" si="126"/>
        <v>-1031.7965000000002</v>
      </c>
      <c r="U134" s="141">
        <f t="shared" si="126"/>
        <v>-1375.4059999999999</v>
      </c>
      <c r="V134" s="141">
        <f t="shared" si="126"/>
        <v>-1543.0604999999998</v>
      </c>
      <c r="W134" s="141">
        <f t="shared" si="126"/>
        <v>-126.14649999999961</v>
      </c>
      <c r="X134" s="141">
        <f t="shared" si="126"/>
        <v>0</v>
      </c>
      <c r="Y134" s="141">
        <f t="shared" si="126"/>
        <v>0</v>
      </c>
      <c r="Z134" s="141">
        <f t="shared" si="126"/>
        <v>0</v>
      </c>
      <c r="AA134" s="141">
        <f t="shared" si="126"/>
        <v>0</v>
      </c>
      <c r="AB134" s="141">
        <f t="shared" si="126"/>
        <v>0</v>
      </c>
      <c r="AC134" s="141">
        <f t="shared" si="126"/>
        <v>0</v>
      </c>
      <c r="AD134" s="141">
        <f t="shared" si="126"/>
        <v>0</v>
      </c>
      <c r="AS134" s="284"/>
      <c r="AT134" s="284"/>
      <c r="AU134" s="284"/>
      <c r="AV134" s="268" t="str">
        <f>A134&amp;B134&amp;C134&amp;D134</f>
        <v>Prefered Dividends</v>
      </c>
      <c r="AW134" s="322"/>
      <c r="AX134" s="284"/>
      <c r="AY134" s="308">
        <f ca="1">SUM(OFFSET($G134,0,AX$3+1):OFFSET($G134,0,AY$3))</f>
        <v>0</v>
      </c>
      <c r="AZ134" s="308">
        <f ca="1">SUM(OFFSET($G134,0,AY$3+1):OFFSET($G134,0,AZ$3))</f>
        <v>-269.83399999999995</v>
      </c>
      <c r="BA134" s="308">
        <f ca="1">SUM(OFFSET($G134,0,AZ$3+1):OFFSET($G134,0,BA$3))</f>
        <v>-3060.9590000000003</v>
      </c>
      <c r="BB134" s="308">
        <f ca="1">SUM(OFFSET($G134,0,BA$3+1):OFFSET($G134,0,BB$3))</f>
        <v>-1669.2069999999994</v>
      </c>
      <c r="BC134" s="308">
        <f ca="1">SUM(OFFSET($G134,0,BB$3+1):OFFSET($G134,0,BC$3))</f>
        <v>0</v>
      </c>
      <c r="BD134" s="308">
        <f ca="1">SUM(OFFSET($G134,0,BC$3+1):OFFSET($G134,0,BD$3))</f>
        <v>0</v>
      </c>
    </row>
    <row r="135" spans="1:56" x14ac:dyDescent="0.2">
      <c r="D135" s="107" t="s">
        <v>365</v>
      </c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>
        <f t="shared" ref="R135:AD135" si="127">IF(R132+R133&lt;=MinDivCash,0,IF(R130&lt;0,-MIN(-R130,R132+R133-MinDivCash)/2,-(R132+R133-MinDivCash)))</f>
        <v>-134.91699999999997</v>
      </c>
      <c r="S135" s="141">
        <f t="shared" si="127"/>
        <v>-326.87825000000009</v>
      </c>
      <c r="T135" s="141">
        <f t="shared" si="127"/>
        <v>-515.89825000000008</v>
      </c>
      <c r="U135" s="141">
        <f t="shared" si="127"/>
        <v>-687.70299999999997</v>
      </c>
      <c r="V135" s="141">
        <f t="shared" si="127"/>
        <v>-771.53024999999991</v>
      </c>
      <c r="W135" s="141">
        <f t="shared" si="127"/>
        <v>-63.073249999999803</v>
      </c>
      <c r="X135" s="141">
        <f t="shared" si="127"/>
        <v>-5834.5912500000004</v>
      </c>
      <c r="Y135" s="141">
        <f t="shared" si="127"/>
        <v>-2008.63</v>
      </c>
      <c r="Z135" s="141">
        <f t="shared" si="127"/>
        <v>-2008.63</v>
      </c>
      <c r="AA135" s="141">
        <f t="shared" si="127"/>
        <v>-2008.63</v>
      </c>
      <c r="AB135" s="141">
        <f t="shared" si="127"/>
        <v>-2008.63</v>
      </c>
      <c r="AC135" s="141">
        <f t="shared" si="127"/>
        <v>-2008.63</v>
      </c>
      <c r="AD135" s="141">
        <f t="shared" si="127"/>
        <v>-2008.63</v>
      </c>
      <c r="AS135" s="284"/>
      <c r="AT135" s="284"/>
      <c r="AU135" s="284"/>
      <c r="AV135" s="268" t="str">
        <f>A135&amp;B135&amp;C135&amp;D135</f>
        <v>Common Dividends</v>
      </c>
      <c r="AW135" s="322"/>
      <c r="AX135" s="284"/>
      <c r="AY135" s="308">
        <f ca="1">SUM(OFFSET($G135,0,AX$3+1):OFFSET($G135,0,AY$3))</f>
        <v>0</v>
      </c>
      <c r="AZ135" s="308">
        <f ca="1">SUM(OFFSET($G135,0,AY$3+1):OFFSET($G135,0,AZ$3))</f>
        <v>-134.91699999999997</v>
      </c>
      <c r="BA135" s="308">
        <f ca="1">SUM(OFFSET($G135,0,AZ$3+1):OFFSET($G135,0,BA$3))</f>
        <v>-1530.4795000000001</v>
      </c>
      <c r="BB135" s="308">
        <f ca="1">SUM(OFFSET($G135,0,BA$3+1):OFFSET($G135,0,BB$3))</f>
        <v>-6669.1947500000006</v>
      </c>
      <c r="BC135" s="308">
        <f ca="1">SUM(OFFSET($G135,0,BB$3+1):OFFSET($G135,0,BC$3))</f>
        <v>-6025.89</v>
      </c>
      <c r="BD135" s="308">
        <f ca="1">SUM(OFFSET($G135,0,BC$3+1):OFFSET($G135,0,BD$3))</f>
        <v>-6025.89</v>
      </c>
    </row>
    <row r="136" spans="1:56" s="135" customFormat="1" ht="13.5" collapsed="1" thickBot="1" x14ac:dyDescent="0.25">
      <c r="B136" s="110" t="s">
        <v>342</v>
      </c>
      <c r="C136" s="110"/>
      <c r="D136" s="110"/>
      <c r="E136" s="221"/>
      <c r="F136" s="110"/>
      <c r="G136" s="213">
        <f>SUM(G132:G135)</f>
        <v>1324.5</v>
      </c>
      <c r="H136" s="213">
        <f t="shared" ref="H136:AD136" si="128">SUM(H132:H135)</f>
        <v>823.5</v>
      </c>
      <c r="I136" s="213">
        <f t="shared" si="128"/>
        <v>597</v>
      </c>
      <c r="J136" s="213">
        <f t="shared" si="128"/>
        <v>982.40000000000009</v>
      </c>
      <c r="K136" s="213">
        <f t="shared" si="128"/>
        <v>1477.30125</v>
      </c>
      <c r="L136" s="213">
        <f t="shared" si="128"/>
        <v>2024.6012499999999</v>
      </c>
      <c r="M136" s="213">
        <f t="shared" si="128"/>
        <v>2729.8512500000002</v>
      </c>
      <c r="N136" s="213">
        <f t="shared" si="128"/>
        <v>3535.2012500000001</v>
      </c>
      <c r="O136" s="213">
        <f t="shared" si="128"/>
        <v>2688.55125</v>
      </c>
      <c r="P136" s="213">
        <f t="shared" si="128"/>
        <v>3059.9012499999999</v>
      </c>
      <c r="Q136" s="213">
        <f t="shared" si="128"/>
        <v>3431.2512499999998</v>
      </c>
      <c r="R136" s="213">
        <f t="shared" si="128"/>
        <v>3796.3342500000003</v>
      </c>
      <c r="S136" s="213">
        <f t="shared" si="128"/>
        <v>3969.4559999999997</v>
      </c>
      <c r="T136" s="213">
        <f t="shared" si="128"/>
        <v>3953.557749999999</v>
      </c>
      <c r="U136" s="213">
        <f t="shared" si="128"/>
        <v>3765.8547499999991</v>
      </c>
      <c r="V136" s="213">
        <f t="shared" si="128"/>
        <v>3494.3244999999997</v>
      </c>
      <c r="W136" s="213">
        <f t="shared" si="128"/>
        <v>5325.9612500000003</v>
      </c>
      <c r="X136" s="213">
        <f t="shared" si="128"/>
        <v>1500</v>
      </c>
      <c r="Y136" s="213">
        <f t="shared" si="128"/>
        <v>1500</v>
      </c>
      <c r="Z136" s="213">
        <f t="shared" si="128"/>
        <v>1500</v>
      </c>
      <c r="AA136" s="213">
        <f t="shared" si="128"/>
        <v>1500</v>
      </c>
      <c r="AB136" s="213">
        <f t="shared" si="128"/>
        <v>1500</v>
      </c>
      <c r="AC136" s="213">
        <f t="shared" si="128"/>
        <v>1500</v>
      </c>
      <c r="AD136" s="213">
        <f t="shared" si="128"/>
        <v>1500</v>
      </c>
      <c r="AS136" s="321"/>
      <c r="AT136" s="323" t="str">
        <f>B136&amp;C136&amp;D136&amp;E136&amp;F136</f>
        <v>Ending Cash</v>
      </c>
      <c r="AU136" s="323"/>
      <c r="AV136" s="323"/>
      <c r="AW136" s="324">
        <f t="shared" ref="AW136:BD136" ca="1" si="129">SUM(AW132:AW135)</f>
        <v>597</v>
      </c>
      <c r="AX136" s="324">
        <f t="shared" ca="1" si="129"/>
        <v>2024.6012499999999</v>
      </c>
      <c r="AY136" s="324">
        <f t="shared" ca="1" si="129"/>
        <v>2688.55125</v>
      </c>
      <c r="AZ136" s="324">
        <f t="shared" ca="1" si="129"/>
        <v>3796.3342500000003</v>
      </c>
      <c r="BA136" s="324">
        <f t="shared" ca="1" si="129"/>
        <v>3765.8547499999995</v>
      </c>
      <c r="BB136" s="324">
        <f t="shared" ca="1" si="129"/>
        <v>1500.0000000000009</v>
      </c>
      <c r="BC136" s="324">
        <f t="shared" ca="1" si="129"/>
        <v>1500.0000000000009</v>
      </c>
      <c r="BD136" s="324">
        <f t="shared" ca="1" si="129"/>
        <v>1500.0000000000009</v>
      </c>
    </row>
    <row r="137" spans="1:56" ht="13.5" outlineLevel="1" thickTop="1" x14ac:dyDescent="0.2">
      <c r="E137" s="107" t="s">
        <v>344</v>
      </c>
      <c r="F137" s="107">
        <v>1500</v>
      </c>
    </row>
    <row r="139" spans="1:56" ht="15.75" x14ac:dyDescent="0.25">
      <c r="A139" s="194" t="s">
        <v>375</v>
      </c>
      <c r="B139" s="194"/>
      <c r="C139" s="194"/>
      <c r="D139" s="194"/>
      <c r="E139" s="194"/>
      <c r="F139" s="222"/>
      <c r="G139" s="222"/>
      <c r="H139" s="223"/>
      <c r="AS139" s="278" t="s">
        <v>375</v>
      </c>
      <c r="AT139" s="278"/>
      <c r="AU139" s="278"/>
      <c r="AV139" s="279"/>
      <c r="AW139" s="262" t="str">
        <f t="shared" ref="AW139:BD139" si="130">AW$2</f>
        <v>1Q:1Y</v>
      </c>
      <c r="AX139" s="262" t="str">
        <f t="shared" si="130"/>
        <v>2Q:1Y</v>
      </c>
      <c r="AY139" s="262" t="str">
        <f t="shared" si="130"/>
        <v>3Q:1Y</v>
      </c>
      <c r="AZ139" s="262" t="str">
        <f t="shared" si="130"/>
        <v>4Q:1Y</v>
      </c>
      <c r="BA139" s="262" t="str">
        <f t="shared" si="130"/>
        <v>1Q:2Y</v>
      </c>
      <c r="BB139" s="262" t="str">
        <f t="shared" si="130"/>
        <v>2Q:2Y</v>
      </c>
      <c r="BC139" s="262" t="str">
        <f t="shared" si="130"/>
        <v>3Q:2Y</v>
      </c>
      <c r="BD139" s="262" t="str">
        <f t="shared" si="130"/>
        <v>4Q:2Y</v>
      </c>
    </row>
    <row r="140" spans="1:56" x14ac:dyDescent="0.2">
      <c r="A140" s="225"/>
      <c r="B140" s="226" t="s">
        <v>345</v>
      </c>
      <c r="C140" s="227"/>
      <c r="D140" s="227"/>
      <c r="F140" s="227"/>
      <c r="G140" s="227"/>
      <c r="H140" s="225"/>
      <c r="AS140" s="269"/>
      <c r="AT140" s="266" t="str">
        <f>A140&amp;B140&amp;C140&amp;D140</f>
        <v>Assets</v>
      </c>
      <c r="AU140" s="284"/>
      <c r="AV140" s="269"/>
      <c r="AW140" s="266"/>
      <c r="AX140" s="266"/>
      <c r="AY140" s="266"/>
      <c r="AZ140" s="266"/>
      <c r="BA140" s="266"/>
      <c r="BB140" s="266"/>
      <c r="BC140" s="266"/>
      <c r="BD140" s="266"/>
    </row>
    <row r="141" spans="1:56" x14ac:dyDescent="0.2">
      <c r="A141" s="228"/>
      <c r="B141" s="224"/>
      <c r="C141" s="229" t="s">
        <v>346</v>
      </c>
      <c r="D141" s="229"/>
      <c r="F141" s="227"/>
      <c r="G141" s="230">
        <f t="shared" ref="G141:AD141" si="131">G136</f>
        <v>1324.5</v>
      </c>
      <c r="H141" s="230">
        <f t="shared" si="131"/>
        <v>823.5</v>
      </c>
      <c r="I141" s="230">
        <f t="shared" si="131"/>
        <v>597</v>
      </c>
      <c r="J141" s="230">
        <f t="shared" si="131"/>
        <v>982.40000000000009</v>
      </c>
      <c r="K141" s="230">
        <f t="shared" si="131"/>
        <v>1477.30125</v>
      </c>
      <c r="L141" s="230">
        <f t="shared" si="131"/>
        <v>2024.6012499999999</v>
      </c>
      <c r="M141" s="230">
        <f t="shared" si="131"/>
        <v>2729.8512500000002</v>
      </c>
      <c r="N141" s="230">
        <f t="shared" si="131"/>
        <v>3535.2012500000001</v>
      </c>
      <c r="O141" s="230">
        <f t="shared" si="131"/>
        <v>2688.55125</v>
      </c>
      <c r="P141" s="230">
        <f t="shared" si="131"/>
        <v>3059.9012499999999</v>
      </c>
      <c r="Q141" s="230">
        <f t="shared" si="131"/>
        <v>3431.2512499999998</v>
      </c>
      <c r="R141" s="230">
        <f t="shared" si="131"/>
        <v>3796.3342500000003</v>
      </c>
      <c r="S141" s="230">
        <f t="shared" si="131"/>
        <v>3969.4559999999997</v>
      </c>
      <c r="T141" s="230">
        <f t="shared" si="131"/>
        <v>3953.557749999999</v>
      </c>
      <c r="U141" s="230">
        <f t="shared" si="131"/>
        <v>3765.8547499999991</v>
      </c>
      <c r="V141" s="230">
        <f t="shared" si="131"/>
        <v>3494.3244999999997</v>
      </c>
      <c r="W141" s="230">
        <f t="shared" si="131"/>
        <v>5325.9612500000003</v>
      </c>
      <c r="X141" s="230">
        <f t="shared" si="131"/>
        <v>1500</v>
      </c>
      <c r="Y141" s="230">
        <f t="shared" si="131"/>
        <v>1500</v>
      </c>
      <c r="Z141" s="230">
        <f t="shared" si="131"/>
        <v>1500</v>
      </c>
      <c r="AA141" s="230">
        <f t="shared" si="131"/>
        <v>1500</v>
      </c>
      <c r="AB141" s="230">
        <f t="shared" si="131"/>
        <v>1500</v>
      </c>
      <c r="AC141" s="230">
        <f t="shared" si="131"/>
        <v>1500</v>
      </c>
      <c r="AD141" s="230">
        <f t="shared" si="131"/>
        <v>1500</v>
      </c>
      <c r="AS141" s="269"/>
      <c r="AT141" s="284"/>
      <c r="AU141" s="285" t="str">
        <f>A141&amp;B141&amp;C141&amp;D141</f>
        <v>Cash</v>
      </c>
      <c r="AV141" s="285"/>
      <c r="AW141" s="284">
        <f t="shared" ref="AW141:BD145" ca="1" si="132">OFFSET($G141,0,AW$3)</f>
        <v>597</v>
      </c>
      <c r="AX141" s="286">
        <f t="shared" ca="1" si="132"/>
        <v>2024.6012499999999</v>
      </c>
      <c r="AY141" s="287">
        <f t="shared" ca="1" si="132"/>
        <v>2688.55125</v>
      </c>
      <c r="AZ141" s="287">
        <f t="shared" ca="1" si="132"/>
        <v>3796.3342500000003</v>
      </c>
      <c r="BA141" s="287">
        <f t="shared" ca="1" si="132"/>
        <v>3765.8547499999991</v>
      </c>
      <c r="BB141" s="287">
        <f t="shared" ca="1" si="132"/>
        <v>1500</v>
      </c>
      <c r="BC141" s="287">
        <f t="shared" ca="1" si="132"/>
        <v>1500</v>
      </c>
      <c r="BD141" s="287">
        <f t="shared" ca="1" si="132"/>
        <v>1500</v>
      </c>
    </row>
    <row r="142" spans="1:56" outlineLevel="1" x14ac:dyDescent="0.2">
      <c r="A142" s="228"/>
      <c r="B142" s="224"/>
      <c r="C142" s="229" t="s">
        <v>347</v>
      </c>
      <c r="D142" s="229"/>
      <c r="E142" s="229"/>
      <c r="F142" s="227"/>
      <c r="G142" s="230"/>
      <c r="H142" s="230"/>
      <c r="I142" s="230"/>
      <c r="J142" s="230"/>
      <c r="K142" s="230"/>
      <c r="L142" s="230"/>
      <c r="M142" s="230"/>
      <c r="N142" s="230"/>
      <c r="O142" s="230"/>
      <c r="P142" s="230"/>
      <c r="Q142" s="230"/>
      <c r="R142" s="230"/>
      <c r="S142" s="230"/>
      <c r="T142" s="230"/>
      <c r="U142" s="230"/>
      <c r="V142" s="230"/>
      <c r="W142" s="230"/>
      <c r="X142" s="230"/>
      <c r="Y142" s="230"/>
      <c r="Z142" s="230"/>
      <c r="AA142" s="230"/>
      <c r="AB142" s="230"/>
      <c r="AC142" s="230"/>
      <c r="AD142" s="230"/>
      <c r="AS142" s="269"/>
      <c r="AT142" s="284"/>
      <c r="AU142" s="285" t="str">
        <f>A142&amp;B142&amp;C142&amp;D142</f>
        <v>Accounts Receivable</v>
      </c>
      <c r="AV142" s="285"/>
      <c r="AW142" s="286">
        <f t="shared" ca="1" si="132"/>
        <v>0</v>
      </c>
      <c r="AX142" s="286">
        <f t="shared" ca="1" si="132"/>
        <v>0</v>
      </c>
      <c r="AY142" s="287">
        <f t="shared" ca="1" si="132"/>
        <v>0</v>
      </c>
      <c r="AZ142" s="287">
        <f t="shared" ca="1" si="132"/>
        <v>0</v>
      </c>
      <c r="BA142" s="287">
        <f t="shared" ca="1" si="132"/>
        <v>0</v>
      </c>
      <c r="BB142" s="287">
        <f t="shared" ca="1" si="132"/>
        <v>0</v>
      </c>
      <c r="BC142" s="287">
        <f t="shared" ca="1" si="132"/>
        <v>0</v>
      </c>
      <c r="BD142" s="287">
        <f t="shared" ca="1" si="132"/>
        <v>0</v>
      </c>
    </row>
    <row r="143" spans="1:56" x14ac:dyDescent="0.2">
      <c r="A143" s="224"/>
      <c r="B143" s="224"/>
      <c r="C143" s="338"/>
      <c r="D143" s="231" t="s">
        <v>348</v>
      </c>
      <c r="E143" s="231"/>
      <c r="F143" s="232"/>
      <c r="G143" s="233">
        <f t="shared" ref="G143:AD143" si="133">F143-G123</f>
        <v>457.5</v>
      </c>
      <c r="H143" s="233">
        <f t="shared" si="133"/>
        <v>823.5</v>
      </c>
      <c r="I143" s="233">
        <f t="shared" si="133"/>
        <v>915</v>
      </c>
      <c r="J143" s="233">
        <f t="shared" si="133"/>
        <v>915</v>
      </c>
      <c r="K143" s="233">
        <f t="shared" si="133"/>
        <v>915</v>
      </c>
      <c r="L143" s="233">
        <f t="shared" si="133"/>
        <v>915</v>
      </c>
      <c r="M143" s="233">
        <f t="shared" si="133"/>
        <v>915</v>
      </c>
      <c r="N143" s="233">
        <f t="shared" si="133"/>
        <v>2655</v>
      </c>
      <c r="O143" s="233">
        <f t="shared" si="133"/>
        <v>4047</v>
      </c>
      <c r="P143" s="233">
        <f t="shared" si="133"/>
        <v>4221</v>
      </c>
      <c r="Q143" s="233">
        <f t="shared" si="133"/>
        <v>4395</v>
      </c>
      <c r="R143" s="233">
        <f t="shared" si="133"/>
        <v>4395</v>
      </c>
      <c r="S143" s="233">
        <f t="shared" si="133"/>
        <v>4395</v>
      </c>
      <c r="T143" s="233">
        <f t="shared" si="133"/>
        <v>4395</v>
      </c>
      <c r="U143" s="233">
        <f t="shared" si="133"/>
        <v>4395</v>
      </c>
      <c r="V143" s="233">
        <f t="shared" si="133"/>
        <v>4395</v>
      </c>
      <c r="W143" s="233">
        <f t="shared" si="133"/>
        <v>4395</v>
      </c>
      <c r="X143" s="233">
        <f t="shared" si="133"/>
        <v>4395</v>
      </c>
      <c r="Y143" s="233">
        <f t="shared" si="133"/>
        <v>4395</v>
      </c>
      <c r="Z143" s="233">
        <f t="shared" si="133"/>
        <v>4395</v>
      </c>
      <c r="AA143" s="233">
        <f t="shared" si="133"/>
        <v>4395</v>
      </c>
      <c r="AB143" s="233">
        <f t="shared" si="133"/>
        <v>4395</v>
      </c>
      <c r="AC143" s="233">
        <f t="shared" si="133"/>
        <v>4395</v>
      </c>
      <c r="AD143" s="233">
        <f t="shared" si="133"/>
        <v>4395</v>
      </c>
      <c r="AS143" s="269"/>
      <c r="AT143" s="284"/>
      <c r="AU143" s="288"/>
      <c r="AV143" s="288" t="str">
        <f>A143&amp;B143&amp;C143&amp;D143</f>
        <v>Depreciable Assets</v>
      </c>
      <c r="AW143" s="289">
        <f t="shared" ca="1" si="132"/>
        <v>915</v>
      </c>
      <c r="AX143" s="289">
        <f t="shared" ca="1" si="132"/>
        <v>915</v>
      </c>
      <c r="AY143" s="290">
        <f t="shared" ca="1" si="132"/>
        <v>4047</v>
      </c>
      <c r="AZ143" s="290">
        <f t="shared" ca="1" si="132"/>
        <v>4395</v>
      </c>
      <c r="BA143" s="290">
        <f t="shared" ca="1" si="132"/>
        <v>4395</v>
      </c>
      <c r="BB143" s="290">
        <f t="shared" ca="1" si="132"/>
        <v>4395</v>
      </c>
      <c r="BC143" s="290">
        <f t="shared" ca="1" si="132"/>
        <v>4395</v>
      </c>
      <c r="BD143" s="290">
        <f t="shared" ca="1" si="132"/>
        <v>4395</v>
      </c>
    </row>
    <row r="144" spans="1:56" x14ac:dyDescent="0.2">
      <c r="A144" s="228"/>
      <c r="B144" s="224"/>
      <c r="C144" s="339"/>
      <c r="D144" s="234" t="s">
        <v>349</v>
      </c>
      <c r="E144" s="234"/>
      <c r="F144" s="235"/>
      <c r="G144" s="235"/>
      <c r="H144" s="236">
        <f t="shared" ref="H144:AD144" si="134">G144+H69</f>
        <v>0</v>
      </c>
      <c r="I144" s="236">
        <f t="shared" si="134"/>
        <v>0</v>
      </c>
      <c r="J144" s="236">
        <f t="shared" si="134"/>
        <v>-36.6</v>
      </c>
      <c r="K144" s="236">
        <f t="shared" si="134"/>
        <v>-73.2</v>
      </c>
      <c r="L144" s="236">
        <f t="shared" si="134"/>
        <v>-109.80000000000001</v>
      </c>
      <c r="M144" s="236">
        <f t="shared" si="134"/>
        <v>-146.4</v>
      </c>
      <c r="N144" s="236">
        <f t="shared" si="134"/>
        <v>-183</v>
      </c>
      <c r="O144" s="236">
        <f t="shared" si="134"/>
        <v>-219.6</v>
      </c>
      <c r="P144" s="236">
        <f t="shared" si="134"/>
        <v>-256.2</v>
      </c>
      <c r="Q144" s="236">
        <f t="shared" si="134"/>
        <v>-292.8</v>
      </c>
      <c r="R144" s="236">
        <f t="shared" si="134"/>
        <v>-364.20000000000005</v>
      </c>
      <c r="S144" s="236">
        <f t="shared" si="134"/>
        <v>-470.40000000000009</v>
      </c>
      <c r="T144" s="236">
        <f t="shared" si="134"/>
        <v>-611.40000000000009</v>
      </c>
      <c r="U144" s="236">
        <f t="shared" si="134"/>
        <v>-787.20000000000016</v>
      </c>
      <c r="V144" s="236">
        <f t="shared" si="134"/>
        <v>-963.00000000000023</v>
      </c>
      <c r="W144" s="236">
        <f t="shared" si="134"/>
        <v>-1138.8000000000002</v>
      </c>
      <c r="X144" s="236">
        <f t="shared" si="134"/>
        <v>-1314.6000000000001</v>
      </c>
      <c r="Y144" s="236">
        <f t="shared" si="134"/>
        <v>-1490.4</v>
      </c>
      <c r="Z144" s="236">
        <f t="shared" si="134"/>
        <v>-1666.2</v>
      </c>
      <c r="AA144" s="236">
        <f t="shared" si="134"/>
        <v>-1842</v>
      </c>
      <c r="AB144" s="236">
        <f t="shared" si="134"/>
        <v>-2017.8</v>
      </c>
      <c r="AC144" s="236">
        <f t="shared" si="134"/>
        <v>-2193.6</v>
      </c>
      <c r="AD144" s="236">
        <f t="shared" si="134"/>
        <v>-2369.4</v>
      </c>
      <c r="AS144" s="269"/>
      <c r="AT144" s="284"/>
      <c r="AU144" s="337"/>
      <c r="AV144" s="291" t="str">
        <f>A144&amp;B144&amp;C144&amp;D144</f>
        <v>Less accumulated depreciation</v>
      </c>
      <c r="AW144" s="292">
        <f t="shared" ca="1" si="132"/>
        <v>0</v>
      </c>
      <c r="AX144" s="292">
        <f t="shared" ca="1" si="132"/>
        <v>-109.80000000000001</v>
      </c>
      <c r="AY144" s="292">
        <f t="shared" ca="1" si="132"/>
        <v>-219.6</v>
      </c>
      <c r="AZ144" s="293">
        <f t="shared" ca="1" si="132"/>
        <v>-364.20000000000005</v>
      </c>
      <c r="BA144" s="293">
        <f t="shared" ca="1" si="132"/>
        <v>-787.20000000000016</v>
      </c>
      <c r="BB144" s="293">
        <f t="shared" ca="1" si="132"/>
        <v>-1314.6000000000001</v>
      </c>
      <c r="BC144" s="293">
        <f t="shared" ca="1" si="132"/>
        <v>-1842</v>
      </c>
      <c r="BD144" s="293">
        <f t="shared" ca="1" si="132"/>
        <v>-2369.4</v>
      </c>
    </row>
    <row r="145" spans="1:56" x14ac:dyDescent="0.2">
      <c r="A145" s="228"/>
      <c r="B145" s="224"/>
      <c r="C145" s="229" t="s">
        <v>350</v>
      </c>
      <c r="D145" s="229"/>
      <c r="E145" s="229"/>
      <c r="F145" s="227"/>
      <c r="G145" s="237">
        <f>G143+G144</f>
        <v>457.5</v>
      </c>
      <c r="H145" s="237">
        <f>H143+H144</f>
        <v>823.5</v>
      </c>
      <c r="I145" s="237">
        <f>I143+I144</f>
        <v>915</v>
      </c>
      <c r="J145" s="237">
        <f>J143+J144</f>
        <v>878.4</v>
      </c>
      <c r="K145" s="237">
        <f>K143+K144</f>
        <v>841.8</v>
      </c>
      <c r="L145" s="237">
        <f t="shared" ref="L145:V145" si="135">L143+L144</f>
        <v>805.2</v>
      </c>
      <c r="M145" s="237">
        <f t="shared" si="135"/>
        <v>768.6</v>
      </c>
      <c r="N145" s="237">
        <f t="shared" si="135"/>
        <v>2472</v>
      </c>
      <c r="O145" s="237">
        <f t="shared" si="135"/>
        <v>3827.4</v>
      </c>
      <c r="P145" s="237">
        <f t="shared" si="135"/>
        <v>3964.8</v>
      </c>
      <c r="Q145" s="237">
        <f t="shared" si="135"/>
        <v>4102.2</v>
      </c>
      <c r="R145" s="237">
        <f t="shared" si="135"/>
        <v>4030.8</v>
      </c>
      <c r="S145" s="237">
        <f t="shared" si="135"/>
        <v>3924.6</v>
      </c>
      <c r="T145" s="237">
        <f t="shared" si="135"/>
        <v>3783.6</v>
      </c>
      <c r="U145" s="237">
        <f t="shared" si="135"/>
        <v>3607.7999999999997</v>
      </c>
      <c r="V145" s="237">
        <f t="shared" si="135"/>
        <v>3432</v>
      </c>
      <c r="W145" s="237">
        <f t="shared" ref="W145:AD145" si="136">W143+W144</f>
        <v>3256.2</v>
      </c>
      <c r="X145" s="237">
        <f t="shared" si="136"/>
        <v>3080.3999999999996</v>
      </c>
      <c r="Y145" s="237">
        <f t="shared" si="136"/>
        <v>2904.6</v>
      </c>
      <c r="Z145" s="237">
        <f t="shared" si="136"/>
        <v>2728.8</v>
      </c>
      <c r="AA145" s="237">
        <f t="shared" si="136"/>
        <v>2553</v>
      </c>
      <c r="AB145" s="237">
        <f t="shared" si="136"/>
        <v>2377.1999999999998</v>
      </c>
      <c r="AC145" s="237">
        <f t="shared" si="136"/>
        <v>2201.4</v>
      </c>
      <c r="AD145" s="237">
        <f t="shared" si="136"/>
        <v>2025.6</v>
      </c>
      <c r="AS145" s="269"/>
      <c r="AT145" s="284"/>
      <c r="AU145" s="285" t="str">
        <f>A145&amp;B145&amp;C145&amp;D145</f>
        <v>Net Fixed Assets</v>
      </c>
      <c r="AV145" s="285"/>
      <c r="AW145" s="286">
        <f t="shared" ca="1" si="132"/>
        <v>915</v>
      </c>
      <c r="AX145" s="286">
        <f t="shared" ca="1" si="132"/>
        <v>805.2</v>
      </c>
      <c r="AY145" s="294">
        <f t="shared" ca="1" si="132"/>
        <v>3827.4</v>
      </c>
      <c r="AZ145" s="294">
        <f t="shared" ca="1" si="132"/>
        <v>4030.8</v>
      </c>
      <c r="BA145" s="294">
        <f t="shared" ca="1" si="132"/>
        <v>3607.7999999999997</v>
      </c>
      <c r="BB145" s="294">
        <f t="shared" ca="1" si="132"/>
        <v>3080.3999999999996</v>
      </c>
      <c r="BC145" s="294">
        <f t="shared" ca="1" si="132"/>
        <v>2553</v>
      </c>
      <c r="BD145" s="294">
        <f t="shared" ca="1" si="132"/>
        <v>2025.6</v>
      </c>
    </row>
    <row r="146" spans="1:56" ht="13.5" thickBot="1" x14ac:dyDescent="0.25">
      <c r="A146" s="238" t="s">
        <v>351</v>
      </c>
      <c r="B146" s="238"/>
      <c r="C146" s="239"/>
      <c r="D146" s="239"/>
      <c r="E146" s="239"/>
      <c r="F146" s="239"/>
      <c r="G146" s="240">
        <f t="shared" ref="G146:AD146" si="137">G141+G142+G145</f>
        <v>1782</v>
      </c>
      <c r="H146" s="240">
        <f t="shared" si="137"/>
        <v>1647</v>
      </c>
      <c r="I146" s="240">
        <f t="shared" si="137"/>
        <v>1512</v>
      </c>
      <c r="J146" s="240">
        <f t="shared" si="137"/>
        <v>1860.8000000000002</v>
      </c>
      <c r="K146" s="240">
        <f t="shared" si="137"/>
        <v>2319.1012499999997</v>
      </c>
      <c r="L146" s="240">
        <f t="shared" si="137"/>
        <v>2829.80125</v>
      </c>
      <c r="M146" s="240">
        <f t="shared" si="137"/>
        <v>3498.4512500000001</v>
      </c>
      <c r="N146" s="240">
        <f t="shared" si="137"/>
        <v>6007.2012500000001</v>
      </c>
      <c r="O146" s="240">
        <f t="shared" si="137"/>
        <v>6515.9512500000001</v>
      </c>
      <c r="P146" s="240">
        <f t="shared" si="137"/>
        <v>7024.7012500000001</v>
      </c>
      <c r="Q146" s="240">
        <f t="shared" si="137"/>
        <v>7533.4512500000001</v>
      </c>
      <c r="R146" s="240">
        <f t="shared" si="137"/>
        <v>7827.134250000001</v>
      </c>
      <c r="S146" s="240">
        <f t="shared" si="137"/>
        <v>7894.0559999999996</v>
      </c>
      <c r="T146" s="240">
        <f t="shared" si="137"/>
        <v>7737.1577499999985</v>
      </c>
      <c r="U146" s="240">
        <f t="shared" si="137"/>
        <v>7373.6547499999988</v>
      </c>
      <c r="V146" s="240">
        <f t="shared" si="137"/>
        <v>6926.3244999999997</v>
      </c>
      <c r="W146" s="240">
        <f t="shared" si="137"/>
        <v>8582.161250000001</v>
      </c>
      <c r="X146" s="240">
        <f t="shared" si="137"/>
        <v>4580.3999999999996</v>
      </c>
      <c r="Y146" s="240">
        <f t="shared" si="137"/>
        <v>4404.6000000000004</v>
      </c>
      <c r="Z146" s="240">
        <f t="shared" si="137"/>
        <v>4228.8</v>
      </c>
      <c r="AA146" s="240">
        <f t="shared" si="137"/>
        <v>4053</v>
      </c>
      <c r="AB146" s="240">
        <f t="shared" si="137"/>
        <v>3877.2</v>
      </c>
      <c r="AC146" s="240">
        <f t="shared" si="137"/>
        <v>3701.4</v>
      </c>
      <c r="AD146" s="240">
        <f t="shared" si="137"/>
        <v>3525.6</v>
      </c>
      <c r="AT146" s="295" t="str">
        <f>A146&amp;B146&amp;C146&amp;D146</f>
        <v>Total Assets</v>
      </c>
      <c r="AU146" s="296"/>
      <c r="AV146" s="340"/>
      <c r="AW146" s="340">
        <f t="shared" ref="AW146:BD146" ca="1" si="138">AW141+AW142+AW145</f>
        <v>1512</v>
      </c>
      <c r="AX146" s="340">
        <f t="shared" ca="1" si="138"/>
        <v>2829.80125</v>
      </c>
      <c r="AY146" s="297">
        <f t="shared" ca="1" si="138"/>
        <v>6515.9512500000001</v>
      </c>
      <c r="AZ146" s="297">
        <f t="shared" ca="1" si="138"/>
        <v>7827.134250000001</v>
      </c>
      <c r="BA146" s="297">
        <f t="shared" ca="1" si="138"/>
        <v>7373.6547499999988</v>
      </c>
      <c r="BB146" s="297">
        <f t="shared" ca="1" si="138"/>
        <v>4580.3999999999996</v>
      </c>
      <c r="BC146" s="297">
        <f t="shared" ca="1" si="138"/>
        <v>4053</v>
      </c>
      <c r="BD146" s="297">
        <f t="shared" ca="1" si="138"/>
        <v>3525.6</v>
      </c>
    </row>
    <row r="147" spans="1:56" ht="13.5" thickTop="1" x14ac:dyDescent="0.2">
      <c r="A147" s="224"/>
      <c r="B147" s="241"/>
      <c r="C147" s="227"/>
      <c r="D147" s="227"/>
      <c r="E147" s="227"/>
      <c r="F147" s="227"/>
      <c r="G147" s="227"/>
      <c r="H147" s="222"/>
      <c r="I147" s="222"/>
      <c r="J147" s="222"/>
      <c r="K147" s="222"/>
      <c r="AS147" s="269" t="str">
        <f>A147&amp;B147&amp;C147&amp;D147</f>
        <v/>
      </c>
      <c r="AT147" s="298"/>
      <c r="AU147" s="286"/>
      <c r="AV147" s="286"/>
      <c r="AW147" s="286"/>
      <c r="AX147" s="286"/>
      <c r="AY147" s="286"/>
      <c r="AZ147" s="286"/>
      <c r="BA147" s="286"/>
      <c r="BB147" s="286"/>
      <c r="BC147" s="286"/>
      <c r="BD147" s="286"/>
    </row>
    <row r="148" spans="1:56" outlineLevel="1" x14ac:dyDescent="0.2">
      <c r="A148" s="224"/>
      <c r="C148" s="226" t="s">
        <v>352</v>
      </c>
      <c r="D148" s="227"/>
      <c r="E148" s="227"/>
      <c r="F148" s="227"/>
      <c r="G148" s="227"/>
      <c r="H148" s="222"/>
      <c r="I148" s="222"/>
      <c r="J148" s="222"/>
      <c r="K148" s="222"/>
      <c r="AS148" s="269"/>
      <c r="AT148" s="269"/>
      <c r="AU148" s="299" t="str">
        <f>A148&amp;B148&amp;C148&amp;D148</f>
        <v>Liabilities &amp; Equity</v>
      </c>
      <c r="AV148" s="286"/>
      <c r="AW148" s="269"/>
      <c r="AX148" s="269"/>
      <c r="AY148" s="269"/>
      <c r="AZ148" s="269"/>
      <c r="BA148" s="269"/>
      <c r="BB148" s="269"/>
      <c r="BC148" s="269"/>
      <c r="BD148" s="269"/>
    </row>
    <row r="149" spans="1:56" outlineLevel="1" x14ac:dyDescent="0.2">
      <c r="A149" s="224"/>
      <c r="D149" s="229" t="s">
        <v>361</v>
      </c>
      <c r="E149" s="227"/>
      <c r="F149" s="227"/>
      <c r="G149" s="252">
        <v>0</v>
      </c>
      <c r="H149" s="252">
        <v>0</v>
      </c>
      <c r="I149" s="252">
        <v>0</v>
      </c>
      <c r="J149" s="252">
        <v>0</v>
      </c>
      <c r="K149" s="252">
        <v>0</v>
      </c>
      <c r="L149" s="252">
        <v>0</v>
      </c>
      <c r="M149" s="252">
        <v>0</v>
      </c>
      <c r="N149" s="252">
        <v>0</v>
      </c>
      <c r="O149" s="252">
        <v>0</v>
      </c>
      <c r="P149" s="252">
        <v>0</v>
      </c>
      <c r="Q149" s="252">
        <v>0</v>
      </c>
      <c r="R149" s="252">
        <v>0</v>
      </c>
      <c r="S149" s="252">
        <v>0</v>
      </c>
      <c r="T149" s="252">
        <v>0</v>
      </c>
      <c r="U149" s="252">
        <v>0</v>
      </c>
      <c r="V149" s="252">
        <v>0</v>
      </c>
      <c r="W149" s="252">
        <v>0</v>
      </c>
      <c r="X149" s="252">
        <v>0</v>
      </c>
      <c r="Y149" s="252">
        <v>0</v>
      </c>
      <c r="Z149" s="252">
        <v>0</v>
      </c>
      <c r="AA149" s="252">
        <v>0</v>
      </c>
      <c r="AB149" s="252">
        <v>0</v>
      </c>
      <c r="AC149" s="252">
        <v>0</v>
      </c>
      <c r="AD149" s="252">
        <v>0</v>
      </c>
      <c r="AS149" s="269"/>
      <c r="AT149" s="269"/>
      <c r="AU149" s="284"/>
      <c r="AV149" s="269" t="str">
        <f>A149&amp;B149&amp;C149&amp;D149</f>
        <v>Current Liabilities</v>
      </c>
      <c r="AW149" s="300">
        <f t="shared" ref="AW149:BD150" ca="1" si="139">OFFSET($G149,0,AW$3)</f>
        <v>0</v>
      </c>
      <c r="AX149" s="300">
        <f t="shared" ca="1" si="139"/>
        <v>0</v>
      </c>
      <c r="AY149" s="301">
        <f t="shared" ca="1" si="139"/>
        <v>0</v>
      </c>
      <c r="AZ149" s="301">
        <f t="shared" ca="1" si="139"/>
        <v>0</v>
      </c>
      <c r="BA149" s="301">
        <f t="shared" ca="1" si="139"/>
        <v>0</v>
      </c>
      <c r="BB149" s="301">
        <f t="shared" ca="1" si="139"/>
        <v>0</v>
      </c>
      <c r="BC149" s="301">
        <f t="shared" ca="1" si="139"/>
        <v>0</v>
      </c>
      <c r="BD149" s="301">
        <f t="shared" ca="1" si="139"/>
        <v>0</v>
      </c>
    </row>
    <row r="150" spans="1:56" outlineLevel="1" x14ac:dyDescent="0.2">
      <c r="A150" s="224"/>
      <c r="D150" s="229" t="s">
        <v>362</v>
      </c>
      <c r="E150" s="229"/>
      <c r="F150" s="227"/>
      <c r="G150" s="236">
        <v>0</v>
      </c>
      <c r="H150" s="236">
        <v>0</v>
      </c>
      <c r="I150" s="236">
        <v>0</v>
      </c>
      <c r="J150" s="236">
        <v>0</v>
      </c>
      <c r="K150" s="236">
        <v>0</v>
      </c>
      <c r="L150" s="236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6">
        <v>0</v>
      </c>
      <c r="S150" s="236">
        <v>0</v>
      </c>
      <c r="T150" s="236">
        <v>0</v>
      </c>
      <c r="U150" s="236">
        <v>0</v>
      </c>
      <c r="V150" s="236">
        <v>0</v>
      </c>
      <c r="W150" s="236">
        <v>0</v>
      </c>
      <c r="X150" s="236">
        <v>0</v>
      </c>
      <c r="Y150" s="236">
        <v>0</v>
      </c>
      <c r="Z150" s="236">
        <v>0</v>
      </c>
      <c r="AA150" s="236">
        <v>0</v>
      </c>
      <c r="AB150" s="236">
        <v>0</v>
      </c>
      <c r="AC150" s="236">
        <v>0</v>
      </c>
      <c r="AD150" s="236">
        <v>0</v>
      </c>
      <c r="AS150" s="269"/>
      <c r="AT150" s="269"/>
      <c r="AU150" s="269"/>
      <c r="AV150" s="269" t="str">
        <f>A150&amp;B150&amp;C150&amp;D150</f>
        <v>Term Debt</v>
      </c>
      <c r="AW150" s="300">
        <f t="shared" ca="1" si="139"/>
        <v>0</v>
      </c>
      <c r="AX150" s="300">
        <f t="shared" ca="1" si="139"/>
        <v>0</v>
      </c>
      <c r="AY150" s="301">
        <f t="shared" ca="1" si="139"/>
        <v>0</v>
      </c>
      <c r="AZ150" s="301">
        <f t="shared" ca="1" si="139"/>
        <v>0</v>
      </c>
      <c r="BA150" s="301">
        <f t="shared" ca="1" si="139"/>
        <v>0</v>
      </c>
      <c r="BB150" s="301">
        <f t="shared" ca="1" si="139"/>
        <v>0</v>
      </c>
      <c r="BC150" s="301">
        <f t="shared" ca="1" si="139"/>
        <v>0</v>
      </c>
      <c r="BD150" s="301">
        <f t="shared" ca="1" si="139"/>
        <v>0</v>
      </c>
    </row>
    <row r="151" spans="1:56" x14ac:dyDescent="0.2">
      <c r="A151" s="224"/>
      <c r="B151" s="244" t="s">
        <v>353</v>
      </c>
      <c r="C151" s="245"/>
      <c r="D151" s="245"/>
      <c r="E151" s="245"/>
      <c r="F151" s="243"/>
      <c r="G151" s="280">
        <f>G149+G150</f>
        <v>0</v>
      </c>
      <c r="H151" s="280">
        <f t="shared" ref="H151:AD151" si="140">H149+H150</f>
        <v>0</v>
      </c>
      <c r="I151" s="280">
        <f t="shared" si="140"/>
        <v>0</v>
      </c>
      <c r="J151" s="280">
        <f t="shared" si="140"/>
        <v>0</v>
      </c>
      <c r="K151" s="280">
        <f t="shared" si="140"/>
        <v>0</v>
      </c>
      <c r="L151" s="280">
        <f t="shared" si="140"/>
        <v>0</v>
      </c>
      <c r="M151" s="280">
        <f t="shared" si="140"/>
        <v>0</v>
      </c>
      <c r="N151" s="280">
        <f t="shared" si="140"/>
        <v>0</v>
      </c>
      <c r="O151" s="280">
        <f t="shared" si="140"/>
        <v>0</v>
      </c>
      <c r="P151" s="280">
        <f t="shared" si="140"/>
        <v>0</v>
      </c>
      <c r="Q151" s="280">
        <f t="shared" si="140"/>
        <v>0</v>
      </c>
      <c r="R151" s="280">
        <f t="shared" si="140"/>
        <v>0</v>
      </c>
      <c r="S151" s="280">
        <f t="shared" si="140"/>
        <v>0</v>
      </c>
      <c r="T151" s="280">
        <f t="shared" si="140"/>
        <v>0</v>
      </c>
      <c r="U151" s="280">
        <f t="shared" si="140"/>
        <v>0</v>
      </c>
      <c r="V151" s="280">
        <f t="shared" si="140"/>
        <v>0</v>
      </c>
      <c r="W151" s="280">
        <f t="shared" si="140"/>
        <v>0</v>
      </c>
      <c r="X151" s="280">
        <f t="shared" si="140"/>
        <v>0</v>
      </c>
      <c r="Y151" s="280">
        <f t="shared" si="140"/>
        <v>0</v>
      </c>
      <c r="Z151" s="280">
        <f t="shared" si="140"/>
        <v>0</v>
      </c>
      <c r="AA151" s="280">
        <f t="shared" si="140"/>
        <v>0</v>
      </c>
      <c r="AB151" s="280">
        <f t="shared" si="140"/>
        <v>0</v>
      </c>
      <c r="AC151" s="280">
        <f t="shared" si="140"/>
        <v>0</v>
      </c>
      <c r="AD151" s="280">
        <f t="shared" si="140"/>
        <v>0</v>
      </c>
      <c r="AS151" s="269"/>
      <c r="AU151" s="302" t="str">
        <f>A151&amp;B151&amp;C151&amp;D151</f>
        <v>Total Liabilities</v>
      </c>
      <c r="AV151" s="303"/>
      <c r="AW151" s="304">
        <f t="shared" ref="AW151:BD151" ca="1" si="141">AW149+AW150</f>
        <v>0</v>
      </c>
      <c r="AX151" s="304">
        <f t="shared" ca="1" si="141"/>
        <v>0</v>
      </c>
      <c r="AY151" s="304">
        <f t="shared" ca="1" si="141"/>
        <v>0</v>
      </c>
      <c r="AZ151" s="304">
        <f t="shared" ca="1" si="141"/>
        <v>0</v>
      </c>
      <c r="BA151" s="304">
        <f t="shared" ca="1" si="141"/>
        <v>0</v>
      </c>
      <c r="BB151" s="304">
        <f t="shared" ca="1" si="141"/>
        <v>0</v>
      </c>
      <c r="BC151" s="304">
        <f t="shared" ca="1" si="141"/>
        <v>0</v>
      </c>
      <c r="BD151" s="304">
        <f t="shared" ca="1" si="141"/>
        <v>0</v>
      </c>
    </row>
    <row r="152" spans="1:56" x14ac:dyDescent="0.2">
      <c r="A152" s="224"/>
      <c r="C152" s="242" t="s">
        <v>363</v>
      </c>
      <c r="D152" s="227"/>
      <c r="E152" s="227"/>
      <c r="F152" s="224"/>
      <c r="G152" s="224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S152" s="269"/>
      <c r="AT152" s="284"/>
      <c r="AV152" s="299" t="str">
        <f>A152&amp;B152&amp;C152&amp;D152</f>
        <v>Owners' Equity</v>
      </c>
      <c r="AW152" s="286"/>
      <c r="AX152" s="269"/>
      <c r="AY152" s="269"/>
      <c r="AZ152" s="305"/>
      <c r="BA152" s="305"/>
      <c r="BB152" s="305"/>
      <c r="BC152" s="305"/>
      <c r="BD152" s="305"/>
    </row>
    <row r="153" spans="1:56" x14ac:dyDescent="0.2">
      <c r="A153" s="224"/>
      <c r="C153" s="224"/>
      <c r="D153" s="224" t="s">
        <v>354</v>
      </c>
      <c r="E153" s="224"/>
      <c r="F153" s="224"/>
      <c r="G153" s="230">
        <f t="shared" ref="G153:AD153" si="142">F153+G125</f>
        <v>2000</v>
      </c>
      <c r="H153" s="230">
        <f t="shared" si="142"/>
        <v>2000</v>
      </c>
      <c r="I153" s="230">
        <f t="shared" si="142"/>
        <v>2000</v>
      </c>
      <c r="J153" s="230">
        <f t="shared" si="142"/>
        <v>2000</v>
      </c>
      <c r="K153" s="230">
        <f t="shared" si="142"/>
        <v>2000</v>
      </c>
      <c r="L153" s="230">
        <f t="shared" si="142"/>
        <v>2000</v>
      </c>
      <c r="M153" s="230">
        <f t="shared" si="142"/>
        <v>2000</v>
      </c>
      <c r="N153" s="230">
        <f t="shared" si="142"/>
        <v>4000</v>
      </c>
      <c r="O153" s="230">
        <f t="shared" si="142"/>
        <v>4000</v>
      </c>
      <c r="P153" s="230">
        <f t="shared" si="142"/>
        <v>4000</v>
      </c>
      <c r="Q153" s="230">
        <f t="shared" si="142"/>
        <v>4000</v>
      </c>
      <c r="R153" s="230">
        <f t="shared" si="142"/>
        <v>4000</v>
      </c>
      <c r="S153" s="230">
        <f t="shared" si="142"/>
        <v>4000</v>
      </c>
      <c r="T153" s="230">
        <f t="shared" si="142"/>
        <v>4000</v>
      </c>
      <c r="U153" s="230">
        <f t="shared" si="142"/>
        <v>4000</v>
      </c>
      <c r="V153" s="230">
        <f t="shared" si="142"/>
        <v>4000</v>
      </c>
      <c r="W153" s="230">
        <f t="shared" si="142"/>
        <v>4000</v>
      </c>
      <c r="X153" s="230">
        <f t="shared" si="142"/>
        <v>4000</v>
      </c>
      <c r="Y153" s="230">
        <f t="shared" si="142"/>
        <v>4000</v>
      </c>
      <c r="Z153" s="230">
        <f t="shared" si="142"/>
        <v>4000</v>
      </c>
      <c r="AA153" s="230">
        <f t="shared" si="142"/>
        <v>4000</v>
      </c>
      <c r="AB153" s="230">
        <f t="shared" si="142"/>
        <v>4000</v>
      </c>
      <c r="AC153" s="230">
        <f t="shared" si="142"/>
        <v>4000</v>
      </c>
      <c r="AD153" s="230">
        <f t="shared" si="142"/>
        <v>4000</v>
      </c>
      <c r="AS153" s="269"/>
      <c r="AT153" s="284"/>
      <c r="AU153" s="284"/>
      <c r="AV153" s="269" t="str">
        <f>A153&amp;B153&amp;C153&amp;D153</f>
        <v>Equity Investment</v>
      </c>
      <c r="AW153" s="300">
        <f t="shared" ref="AW153:BD156" ca="1" si="143">OFFSET($G153,0,AW$3)</f>
        <v>2000</v>
      </c>
      <c r="AX153" s="300">
        <f t="shared" ca="1" si="143"/>
        <v>2000</v>
      </c>
      <c r="AY153" s="301">
        <f t="shared" ca="1" si="143"/>
        <v>4000</v>
      </c>
      <c r="AZ153" s="301">
        <f t="shared" ca="1" si="143"/>
        <v>4000</v>
      </c>
      <c r="BA153" s="301">
        <f t="shared" ca="1" si="143"/>
        <v>4000</v>
      </c>
      <c r="BB153" s="301">
        <f t="shared" ca="1" si="143"/>
        <v>4000</v>
      </c>
      <c r="BC153" s="301">
        <f t="shared" ca="1" si="143"/>
        <v>4000</v>
      </c>
      <c r="BD153" s="301">
        <f t="shared" ca="1" si="143"/>
        <v>4000</v>
      </c>
    </row>
    <row r="154" spans="1:56" x14ac:dyDescent="0.2">
      <c r="A154" s="247"/>
      <c r="C154" s="228"/>
      <c r="D154" s="248" t="s">
        <v>355</v>
      </c>
      <c r="E154" s="249"/>
      <c r="F154" s="249"/>
      <c r="G154" s="250"/>
      <c r="H154" s="250">
        <f>G154+G155</f>
        <v>-218</v>
      </c>
      <c r="I154" s="250">
        <f>H154+H155</f>
        <v>-353</v>
      </c>
      <c r="J154" s="250">
        <f>I154+I155</f>
        <v>-488</v>
      </c>
      <c r="K154" s="250">
        <f>J154+J155</f>
        <v>-139.19999999999993</v>
      </c>
      <c r="L154" s="250">
        <f t="shared" ref="L154:V154" si="144">K154+K155</f>
        <v>319.10124999999999</v>
      </c>
      <c r="M154" s="250">
        <f t="shared" si="144"/>
        <v>829.80124999999998</v>
      </c>
      <c r="N154" s="250">
        <f t="shared" si="144"/>
        <v>1498.4512500000001</v>
      </c>
      <c r="O154" s="250">
        <f t="shared" si="144"/>
        <v>2007.2012500000001</v>
      </c>
      <c r="P154" s="250">
        <f t="shared" si="144"/>
        <v>2515.9512500000001</v>
      </c>
      <c r="Q154" s="250">
        <f t="shared" si="144"/>
        <v>3024.7012500000001</v>
      </c>
      <c r="R154" s="250">
        <f t="shared" si="144"/>
        <v>3533.4512500000001</v>
      </c>
      <c r="S154" s="250">
        <f t="shared" si="144"/>
        <v>4231.8852500000003</v>
      </c>
      <c r="T154" s="250">
        <f t="shared" si="144"/>
        <v>5279.44175</v>
      </c>
      <c r="U154" s="250">
        <f t="shared" si="144"/>
        <v>6670.2382500000003</v>
      </c>
      <c r="V154" s="250">
        <f t="shared" si="144"/>
        <v>8369.8442500000001</v>
      </c>
      <c r="W154" s="250">
        <f t="shared" ref="W154:AD154" si="145">V154+V155</f>
        <v>10237.10475</v>
      </c>
      <c r="X154" s="250">
        <f t="shared" si="145"/>
        <v>12082.161250000001</v>
      </c>
      <c r="Y154" s="250">
        <f t="shared" si="145"/>
        <v>13914.991250000001</v>
      </c>
      <c r="Z154" s="250">
        <f t="shared" si="145"/>
        <v>15747.821250000001</v>
      </c>
      <c r="AA154" s="250">
        <f t="shared" si="145"/>
        <v>17580.651250000003</v>
      </c>
      <c r="AB154" s="250">
        <f t="shared" si="145"/>
        <v>19413.481250000004</v>
      </c>
      <c r="AC154" s="250">
        <f t="shared" si="145"/>
        <v>21246.311250000006</v>
      </c>
      <c r="AD154" s="250">
        <f t="shared" si="145"/>
        <v>23079.141250000008</v>
      </c>
      <c r="AS154" s="269"/>
      <c r="AT154" s="284"/>
      <c r="AU154" s="284"/>
      <c r="AV154" s="269" t="str">
        <f>A154&amp;B154&amp;C154&amp;D154</f>
        <v>Retained earnings</v>
      </c>
      <c r="AW154" s="300">
        <f t="shared" ca="1" si="143"/>
        <v>-353</v>
      </c>
      <c r="AX154" s="300">
        <f t="shared" ca="1" si="143"/>
        <v>319.10124999999999</v>
      </c>
      <c r="AY154" s="301">
        <f t="shared" ca="1" si="143"/>
        <v>2007.2012500000001</v>
      </c>
      <c r="AZ154" s="301">
        <f t="shared" ca="1" si="143"/>
        <v>3533.4512500000001</v>
      </c>
      <c r="BA154" s="301">
        <f t="shared" ca="1" si="143"/>
        <v>6670.2382500000003</v>
      </c>
      <c r="BB154" s="301">
        <f t="shared" ca="1" si="143"/>
        <v>12082.161250000001</v>
      </c>
      <c r="BC154" s="301">
        <f t="shared" ca="1" si="143"/>
        <v>17580.651250000003</v>
      </c>
      <c r="BD154" s="301">
        <f t="shared" ca="1" si="143"/>
        <v>23079.141250000008</v>
      </c>
    </row>
    <row r="155" spans="1:56" x14ac:dyDescent="0.2">
      <c r="A155" s="247"/>
      <c r="C155" s="228"/>
      <c r="D155" s="248" t="s">
        <v>331</v>
      </c>
      <c r="E155" s="249"/>
      <c r="F155" s="249"/>
      <c r="G155" s="230">
        <f t="shared" ref="G155:AD155" si="146">G76</f>
        <v>-218</v>
      </c>
      <c r="H155" s="230">
        <f t="shared" si="146"/>
        <v>-135</v>
      </c>
      <c r="I155" s="230">
        <f t="shared" si="146"/>
        <v>-135</v>
      </c>
      <c r="J155" s="230">
        <f t="shared" si="146"/>
        <v>348.80000000000007</v>
      </c>
      <c r="K155" s="230">
        <f t="shared" si="146"/>
        <v>458.30124999999992</v>
      </c>
      <c r="L155" s="230">
        <f t="shared" si="146"/>
        <v>510.7</v>
      </c>
      <c r="M155" s="230">
        <f t="shared" si="146"/>
        <v>668.65000000000009</v>
      </c>
      <c r="N155" s="230">
        <f t="shared" si="146"/>
        <v>508.75</v>
      </c>
      <c r="O155" s="230">
        <f t="shared" si="146"/>
        <v>508.75</v>
      </c>
      <c r="P155" s="230">
        <f t="shared" si="146"/>
        <v>508.75</v>
      </c>
      <c r="Q155" s="230">
        <f t="shared" si="146"/>
        <v>508.75</v>
      </c>
      <c r="R155" s="230">
        <f t="shared" si="146"/>
        <v>698.43399999999997</v>
      </c>
      <c r="S155" s="230">
        <f t="shared" si="146"/>
        <v>1047.5565000000001</v>
      </c>
      <c r="T155" s="230">
        <f t="shared" si="146"/>
        <v>1390.7965000000002</v>
      </c>
      <c r="U155" s="230">
        <f t="shared" si="146"/>
        <v>1699.606</v>
      </c>
      <c r="V155" s="230">
        <f t="shared" si="146"/>
        <v>1867.2604999999999</v>
      </c>
      <c r="W155" s="230">
        <f t="shared" si="146"/>
        <v>1845.0565000000001</v>
      </c>
      <c r="X155" s="230">
        <f t="shared" si="146"/>
        <v>1832.8300000000002</v>
      </c>
      <c r="Y155" s="230">
        <f t="shared" si="146"/>
        <v>1832.8300000000002</v>
      </c>
      <c r="Z155" s="230">
        <f t="shared" si="146"/>
        <v>1832.8300000000002</v>
      </c>
      <c r="AA155" s="230">
        <f t="shared" si="146"/>
        <v>1832.8300000000002</v>
      </c>
      <c r="AB155" s="230">
        <f t="shared" si="146"/>
        <v>1832.8300000000002</v>
      </c>
      <c r="AC155" s="230">
        <f t="shared" si="146"/>
        <v>1832.8300000000002</v>
      </c>
      <c r="AD155" s="230">
        <f t="shared" si="146"/>
        <v>1832.8300000000002</v>
      </c>
      <c r="AS155" s="269"/>
      <c r="AT155" s="284"/>
      <c r="AU155" s="284"/>
      <c r="AV155" s="269" t="str">
        <f>A155&amp;B155&amp;C155&amp;D155</f>
        <v>Net Income</v>
      </c>
      <c r="AW155" s="300">
        <f t="shared" ca="1" si="143"/>
        <v>-135</v>
      </c>
      <c r="AX155" s="300">
        <f t="shared" ca="1" si="143"/>
        <v>510.7</v>
      </c>
      <c r="AY155" s="287">
        <f t="shared" ca="1" si="143"/>
        <v>508.75</v>
      </c>
      <c r="AZ155" s="287">
        <f t="shared" ca="1" si="143"/>
        <v>698.43399999999997</v>
      </c>
      <c r="BA155" s="287">
        <f t="shared" ca="1" si="143"/>
        <v>1699.606</v>
      </c>
      <c r="BB155" s="287">
        <f t="shared" ca="1" si="143"/>
        <v>1832.8300000000002</v>
      </c>
      <c r="BC155" s="287">
        <f t="shared" ca="1" si="143"/>
        <v>1832.8300000000002</v>
      </c>
      <c r="BD155" s="287">
        <f t="shared" ca="1" si="143"/>
        <v>1832.8300000000002</v>
      </c>
    </row>
    <row r="156" spans="1:56" x14ac:dyDescent="0.2">
      <c r="A156" s="247"/>
      <c r="C156" s="228"/>
      <c r="D156" s="248" t="s">
        <v>356</v>
      </c>
      <c r="E156" s="249"/>
      <c r="F156" s="247"/>
      <c r="G156" s="247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>
        <f t="shared" ref="R156:AD156" si="147">R134+R135+Q156</f>
        <v>-404.75099999999992</v>
      </c>
      <c r="S156" s="250">
        <f t="shared" si="147"/>
        <v>-1385.3857500000001</v>
      </c>
      <c r="T156" s="250">
        <f t="shared" si="147"/>
        <v>-2933.0805</v>
      </c>
      <c r="U156" s="250">
        <f t="shared" si="147"/>
        <v>-4996.1895000000004</v>
      </c>
      <c r="V156" s="250">
        <f t="shared" si="147"/>
        <v>-7310.7802499999998</v>
      </c>
      <c r="W156" s="250">
        <f t="shared" si="147"/>
        <v>-7499.9999999999991</v>
      </c>
      <c r="X156" s="250">
        <f t="shared" si="147"/>
        <v>-13334.591249999999</v>
      </c>
      <c r="Y156" s="250">
        <f t="shared" si="147"/>
        <v>-15343.221249999999</v>
      </c>
      <c r="Z156" s="250">
        <f t="shared" si="147"/>
        <v>-17351.85125</v>
      </c>
      <c r="AA156" s="250">
        <f t="shared" si="147"/>
        <v>-19360.481250000001</v>
      </c>
      <c r="AB156" s="250">
        <f t="shared" si="147"/>
        <v>-21369.111250000002</v>
      </c>
      <c r="AC156" s="250">
        <f t="shared" si="147"/>
        <v>-23377.741250000003</v>
      </c>
      <c r="AD156" s="250">
        <f t="shared" si="147"/>
        <v>-25386.371250000004</v>
      </c>
      <c r="AS156" s="269"/>
      <c r="AT156" s="284"/>
      <c r="AU156" s="284"/>
      <c r="AV156" s="269" t="str">
        <f>A156&amp;B156&amp;C156&amp;D156</f>
        <v>Dividends / Ret of Capital</v>
      </c>
      <c r="AW156" s="301">
        <f t="shared" ca="1" si="143"/>
        <v>0</v>
      </c>
      <c r="AX156" s="301">
        <f t="shared" ca="1" si="143"/>
        <v>0</v>
      </c>
      <c r="AY156" s="301">
        <f t="shared" ca="1" si="143"/>
        <v>0</v>
      </c>
      <c r="AZ156" s="301">
        <f t="shared" ca="1" si="143"/>
        <v>-404.75099999999992</v>
      </c>
      <c r="BA156" s="301">
        <f t="shared" ca="1" si="143"/>
        <v>-4996.1895000000004</v>
      </c>
      <c r="BB156" s="301">
        <f t="shared" ca="1" si="143"/>
        <v>-13334.591249999999</v>
      </c>
      <c r="BC156" s="301">
        <f t="shared" ca="1" si="143"/>
        <v>-19360.481250000001</v>
      </c>
      <c r="BD156" s="301">
        <f t="shared" ca="1" si="143"/>
        <v>-25386.371250000004</v>
      </c>
    </row>
    <row r="157" spans="1:56" x14ac:dyDescent="0.2">
      <c r="A157" s="224"/>
      <c r="B157" s="244" t="s">
        <v>357</v>
      </c>
      <c r="C157" s="245"/>
      <c r="D157" s="245"/>
      <c r="E157" s="245"/>
      <c r="F157" s="245"/>
      <c r="G157" s="246">
        <f>SUM(G153:G156)</f>
        <v>1782</v>
      </c>
      <c r="H157" s="246">
        <f>SUM(H153:H156)</f>
        <v>1647</v>
      </c>
      <c r="I157" s="246">
        <f>SUM(I153:I156)</f>
        <v>1512</v>
      </c>
      <c r="J157" s="246">
        <f>SUM(J153:J156)</f>
        <v>1860.8000000000002</v>
      </c>
      <c r="K157" s="246">
        <f>SUM(K153:K156)</f>
        <v>2319.1012500000002</v>
      </c>
      <c r="L157" s="246">
        <f t="shared" ref="L157:V157" si="148">SUM(L153:L156)</f>
        <v>2829.80125</v>
      </c>
      <c r="M157" s="246">
        <f t="shared" si="148"/>
        <v>3498.4512500000001</v>
      </c>
      <c r="N157" s="246">
        <f t="shared" si="148"/>
        <v>6007.2012500000001</v>
      </c>
      <c r="O157" s="246">
        <f t="shared" si="148"/>
        <v>6515.9512500000001</v>
      </c>
      <c r="P157" s="246">
        <f t="shared" si="148"/>
        <v>7024.7012500000001</v>
      </c>
      <c r="Q157" s="246">
        <f t="shared" si="148"/>
        <v>7533.4512500000001</v>
      </c>
      <c r="R157" s="246">
        <f t="shared" si="148"/>
        <v>7827.1342499999992</v>
      </c>
      <c r="S157" s="246">
        <f t="shared" si="148"/>
        <v>7894.0559999999996</v>
      </c>
      <c r="T157" s="246">
        <f t="shared" si="148"/>
        <v>7737.1577500000003</v>
      </c>
      <c r="U157" s="246">
        <f t="shared" si="148"/>
        <v>7373.6547499999997</v>
      </c>
      <c r="V157" s="246">
        <f t="shared" si="148"/>
        <v>6926.3245000000006</v>
      </c>
      <c r="W157" s="246">
        <f t="shared" ref="W157:AD157" si="149">SUM(W153:W156)</f>
        <v>8582.161250000001</v>
      </c>
      <c r="X157" s="246">
        <f t="shared" si="149"/>
        <v>4580.4000000000033</v>
      </c>
      <c r="Y157" s="246">
        <f t="shared" si="149"/>
        <v>4404.6000000000022</v>
      </c>
      <c r="Z157" s="246">
        <f t="shared" si="149"/>
        <v>4228.8000000000029</v>
      </c>
      <c r="AA157" s="246">
        <f t="shared" si="149"/>
        <v>4053.0000000000036</v>
      </c>
      <c r="AB157" s="246">
        <f t="shared" si="149"/>
        <v>3877.2000000000044</v>
      </c>
      <c r="AC157" s="246">
        <f t="shared" si="149"/>
        <v>3701.4000000000051</v>
      </c>
      <c r="AD157" s="246">
        <f t="shared" si="149"/>
        <v>3525.6000000000058</v>
      </c>
      <c r="AS157" s="269"/>
      <c r="AT157" s="269"/>
      <c r="AU157" s="306" t="str">
        <f>A157&amp;B157&amp;C157&amp;D157</f>
        <v>Total Owners' Equity</v>
      </c>
      <c r="AV157" s="303"/>
      <c r="AW157" s="304">
        <f ca="1">SUM(AW153:AW156)</f>
        <v>1512</v>
      </c>
      <c r="AX157" s="304">
        <f t="shared" ref="AX157:BD157" ca="1" si="150">SUM(AX153:AX156)</f>
        <v>2829.80125</v>
      </c>
      <c r="AY157" s="304">
        <f t="shared" ca="1" si="150"/>
        <v>6515.9512500000001</v>
      </c>
      <c r="AZ157" s="304">
        <f t="shared" ca="1" si="150"/>
        <v>7827.1342499999992</v>
      </c>
      <c r="BA157" s="304">
        <f t="shared" ca="1" si="150"/>
        <v>7373.6547499999997</v>
      </c>
      <c r="BB157" s="304">
        <f t="shared" ca="1" si="150"/>
        <v>4580.4000000000033</v>
      </c>
      <c r="BC157" s="304">
        <f t="shared" ca="1" si="150"/>
        <v>4053.0000000000036</v>
      </c>
      <c r="BD157" s="304">
        <f t="shared" ca="1" si="150"/>
        <v>3525.6000000000058</v>
      </c>
    </row>
    <row r="158" spans="1:56" ht="13.5" thickBot="1" x14ac:dyDescent="0.25">
      <c r="A158" s="238" t="s">
        <v>358</v>
      </c>
      <c r="B158" s="238"/>
      <c r="C158" s="239"/>
      <c r="D158" s="239"/>
      <c r="E158" s="239"/>
      <c r="F158" s="239"/>
      <c r="G158" s="240">
        <f>G157+G151</f>
        <v>1782</v>
      </c>
      <c r="H158" s="240">
        <f>H157+H151</f>
        <v>1647</v>
      </c>
      <c r="I158" s="240">
        <f>I157+I151</f>
        <v>1512</v>
      </c>
      <c r="J158" s="240">
        <f>J157+J151</f>
        <v>1860.8000000000002</v>
      </c>
      <c r="K158" s="240">
        <f>K157+K151</f>
        <v>2319.1012500000002</v>
      </c>
      <c r="L158" s="240">
        <f t="shared" ref="L158:V158" si="151">L157+L151</f>
        <v>2829.80125</v>
      </c>
      <c r="M158" s="240">
        <f t="shared" si="151"/>
        <v>3498.4512500000001</v>
      </c>
      <c r="N158" s="240">
        <f t="shared" si="151"/>
        <v>6007.2012500000001</v>
      </c>
      <c r="O158" s="240">
        <f t="shared" si="151"/>
        <v>6515.9512500000001</v>
      </c>
      <c r="P158" s="240">
        <f t="shared" si="151"/>
        <v>7024.7012500000001</v>
      </c>
      <c r="Q158" s="240">
        <f t="shared" si="151"/>
        <v>7533.4512500000001</v>
      </c>
      <c r="R158" s="240">
        <f t="shared" si="151"/>
        <v>7827.1342499999992</v>
      </c>
      <c r="S158" s="240">
        <f t="shared" si="151"/>
        <v>7894.0559999999996</v>
      </c>
      <c r="T158" s="240">
        <f t="shared" si="151"/>
        <v>7737.1577500000003</v>
      </c>
      <c r="U158" s="240">
        <f t="shared" si="151"/>
        <v>7373.6547499999997</v>
      </c>
      <c r="V158" s="240">
        <f t="shared" si="151"/>
        <v>6926.3245000000006</v>
      </c>
      <c r="W158" s="240">
        <f t="shared" ref="W158:AD158" si="152">W157+W151</f>
        <v>8582.161250000001</v>
      </c>
      <c r="X158" s="240">
        <f t="shared" si="152"/>
        <v>4580.4000000000033</v>
      </c>
      <c r="Y158" s="240">
        <f t="shared" si="152"/>
        <v>4404.6000000000022</v>
      </c>
      <c r="Z158" s="240">
        <f t="shared" si="152"/>
        <v>4228.8000000000029</v>
      </c>
      <c r="AA158" s="240">
        <f t="shared" si="152"/>
        <v>4053.0000000000036</v>
      </c>
      <c r="AB158" s="240">
        <f t="shared" si="152"/>
        <v>3877.2000000000044</v>
      </c>
      <c r="AC158" s="240">
        <f t="shared" si="152"/>
        <v>3701.4000000000051</v>
      </c>
      <c r="AD158" s="240">
        <f t="shared" si="152"/>
        <v>3525.6000000000058</v>
      </c>
      <c r="AS158" s="269"/>
      <c r="AT158" s="295" t="str">
        <f>A158&amp;B158&amp;C158&amp;D158</f>
        <v>Total Liabilities and Equity</v>
      </c>
      <c r="AU158" s="296"/>
      <c r="AV158" s="296"/>
      <c r="AW158" s="297">
        <f ca="1">AW157+AW151</f>
        <v>1512</v>
      </c>
      <c r="AX158" s="297">
        <f t="shared" ref="AX158:BD158" ca="1" si="153">AX157+AX151</f>
        <v>2829.80125</v>
      </c>
      <c r="AY158" s="297">
        <f t="shared" ca="1" si="153"/>
        <v>6515.9512500000001</v>
      </c>
      <c r="AZ158" s="297">
        <f t="shared" ca="1" si="153"/>
        <v>7827.1342499999992</v>
      </c>
      <c r="BA158" s="297">
        <f t="shared" ca="1" si="153"/>
        <v>7373.6547499999997</v>
      </c>
      <c r="BB158" s="297">
        <f t="shared" ca="1" si="153"/>
        <v>4580.4000000000033</v>
      </c>
      <c r="BC158" s="297">
        <f t="shared" ca="1" si="153"/>
        <v>4053.0000000000036</v>
      </c>
      <c r="BD158" s="297">
        <f t="shared" ca="1" si="153"/>
        <v>3525.6000000000058</v>
      </c>
    </row>
    <row r="159" spans="1:56" ht="13.5" outlineLevel="1" thickTop="1" x14ac:dyDescent="0.2">
      <c r="A159" s="228"/>
      <c r="B159" s="251" t="s">
        <v>359</v>
      </c>
      <c r="C159" s="227"/>
      <c r="D159" s="227"/>
      <c r="E159" s="227"/>
      <c r="F159" s="227"/>
      <c r="G159" s="252">
        <f>G146-G158</f>
        <v>0</v>
      </c>
      <c r="H159" s="252">
        <f>H146-H158</f>
        <v>0</v>
      </c>
      <c r="I159" s="252">
        <f>I146-I158</f>
        <v>0</v>
      </c>
      <c r="J159" s="252">
        <f>J146-J158</f>
        <v>0</v>
      </c>
      <c r="K159" s="252">
        <f>K146-K158</f>
        <v>0</v>
      </c>
      <c r="L159" s="252">
        <f t="shared" ref="L159:V159" si="154">L146-L158</f>
        <v>0</v>
      </c>
      <c r="M159" s="252">
        <f t="shared" si="154"/>
        <v>0</v>
      </c>
      <c r="N159" s="252">
        <f t="shared" si="154"/>
        <v>0</v>
      </c>
      <c r="O159" s="252">
        <f t="shared" si="154"/>
        <v>0</v>
      </c>
      <c r="P159" s="252">
        <f t="shared" si="154"/>
        <v>0</v>
      </c>
      <c r="Q159" s="252">
        <f t="shared" si="154"/>
        <v>0</v>
      </c>
      <c r="R159" s="252">
        <f t="shared" si="154"/>
        <v>0</v>
      </c>
      <c r="S159" s="252">
        <f t="shared" si="154"/>
        <v>0</v>
      </c>
      <c r="T159" s="252">
        <f t="shared" si="154"/>
        <v>0</v>
      </c>
      <c r="U159" s="252">
        <f t="shared" si="154"/>
        <v>0</v>
      </c>
      <c r="V159" s="252">
        <f t="shared" si="154"/>
        <v>0</v>
      </c>
      <c r="W159" s="252">
        <f t="shared" ref="W159:AD159" si="155">W146-W158</f>
        <v>0</v>
      </c>
      <c r="X159" s="252">
        <f t="shared" si="155"/>
        <v>0</v>
      </c>
      <c r="Y159" s="252">
        <f t="shared" si="155"/>
        <v>0</v>
      </c>
      <c r="Z159" s="252">
        <f t="shared" si="155"/>
        <v>0</v>
      </c>
      <c r="AA159" s="252">
        <f t="shared" si="155"/>
        <v>-3.637978807091713E-12</v>
      </c>
      <c r="AB159" s="252">
        <f t="shared" si="155"/>
        <v>-4.5474735088646412E-12</v>
      </c>
      <c r="AC159" s="252">
        <f t="shared" si="155"/>
        <v>-5.0022208597511053E-12</v>
      </c>
      <c r="AD159" s="252">
        <f t="shared" si="155"/>
        <v>-5.9117155615240335E-12</v>
      </c>
      <c r="AT159" s="251" t="str">
        <f>A159&amp;B159&amp;C159&amp;D159</f>
        <v>Error check: does statement balance?</v>
      </c>
      <c r="AV159" s="227"/>
      <c r="AW159" s="252">
        <f t="shared" ref="AW159:BD159" ca="1" si="156">AW146-AW158</f>
        <v>0</v>
      </c>
      <c r="AX159" s="252">
        <f t="shared" ca="1" si="156"/>
        <v>0</v>
      </c>
      <c r="AY159" s="252">
        <f t="shared" ca="1" si="156"/>
        <v>0</v>
      </c>
      <c r="AZ159" s="252">
        <f t="shared" ca="1" si="156"/>
        <v>0</v>
      </c>
      <c r="BA159" s="252">
        <f t="shared" ca="1" si="156"/>
        <v>0</v>
      </c>
      <c r="BB159" s="252">
        <f t="shared" ca="1" si="156"/>
        <v>0</v>
      </c>
      <c r="BC159" s="252">
        <f t="shared" ca="1" si="156"/>
        <v>-3.637978807091713E-12</v>
      </c>
      <c r="BD159" s="252">
        <f t="shared" ca="1" si="156"/>
        <v>-5.9117155615240335E-12</v>
      </c>
    </row>
    <row r="160" spans="1:56" x14ac:dyDescent="0.2">
      <c r="AS160" s="269"/>
      <c r="AT160" s="269"/>
      <c r="AU160" s="269"/>
      <c r="AV160" s="269"/>
      <c r="AW160" s="269"/>
      <c r="AX160" s="269"/>
      <c r="AY160" s="269"/>
      <c r="AZ160" s="269"/>
      <c r="BA160" s="269"/>
      <c r="BB160" s="269"/>
      <c r="BC160" s="269"/>
      <c r="BD160" s="269"/>
    </row>
    <row r="161" spans="45:56" x14ac:dyDescent="0.2">
      <c r="AS161" s="269"/>
      <c r="AT161" s="269"/>
      <c r="AU161" s="269"/>
      <c r="AV161" s="269"/>
      <c r="AW161" s="269"/>
      <c r="AX161" s="269"/>
      <c r="AY161" s="269"/>
      <c r="AZ161" s="269"/>
      <c r="BA161" s="269"/>
      <c r="BB161" s="269"/>
      <c r="BC161" s="269"/>
      <c r="BD161" s="269"/>
    </row>
  </sheetData>
  <mergeCells count="5">
    <mergeCell ref="E96:F96"/>
    <mergeCell ref="E104:F104"/>
    <mergeCell ref="E112:F112"/>
    <mergeCell ref="E120:F120"/>
    <mergeCell ref="E88:F88"/>
  </mergeCells>
  <conditionalFormatting sqref="G159:AD159">
    <cfRule type="cellIs" dxfId="3" priority="5" stopIfTrue="1" operator="greaterThan">
      <formula>0</formula>
    </cfRule>
    <cfRule type="cellIs" dxfId="2" priority="6" stopIfTrue="1" operator="lessThan">
      <formula>0</formula>
    </cfRule>
  </conditionalFormatting>
  <conditionalFormatting sqref="AW159:BD159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opLeftCell="C51" zoomScale="115" zoomScaleNormal="115" workbookViewId="0">
      <selection activeCell="H6" sqref="H6"/>
    </sheetView>
  </sheetViews>
  <sheetFormatPr defaultRowHeight="12.75" outlineLevelRow="2" outlineLevelCol="1" x14ac:dyDescent="0.2"/>
  <cols>
    <col min="1" max="2" width="0" style="107" hidden="1" customWidth="1" outlineLevel="1"/>
    <col min="3" max="3" width="3.5" style="107" customWidth="1" collapsed="1"/>
    <col min="4" max="4" width="16.625" style="107" customWidth="1"/>
    <col min="5" max="5" width="7" style="107" customWidth="1" outlineLevel="1"/>
    <col min="6" max="8" width="7" style="107" customWidth="1"/>
    <col min="9" max="9" width="7.625" style="107" customWidth="1"/>
    <col min="10" max="10" width="8.125" style="107" customWidth="1"/>
    <col min="11" max="17" width="7.625" style="107" customWidth="1"/>
    <col min="18" max="18" width="2.375" style="107" customWidth="1"/>
    <col min="19" max="19" width="18.375" style="107" customWidth="1"/>
    <col min="20" max="16384" width="9" style="107"/>
  </cols>
  <sheetData>
    <row r="1" spans="3:31" ht="18.75" x14ac:dyDescent="0.3">
      <c r="C1" s="154" t="s">
        <v>268</v>
      </c>
      <c r="R1" s="157"/>
      <c r="S1" s="156" t="s">
        <v>266</v>
      </c>
    </row>
    <row r="2" spans="3:31" x14ac:dyDescent="0.2">
      <c r="R2" s="157"/>
    </row>
    <row r="3" spans="3:31" x14ac:dyDescent="0.2">
      <c r="D3" s="142" t="s">
        <v>241</v>
      </c>
      <c r="E3" s="142"/>
      <c r="F3" s="143">
        <v>1</v>
      </c>
      <c r="G3" s="143">
        <v>2</v>
      </c>
      <c r="H3" s="143">
        <v>3</v>
      </c>
      <c r="I3" s="143">
        <v>4</v>
      </c>
      <c r="J3" s="143">
        <v>5</v>
      </c>
      <c r="K3" s="143">
        <v>6</v>
      </c>
      <c r="L3" s="143">
        <v>7</v>
      </c>
      <c r="M3" s="143">
        <v>8</v>
      </c>
      <c r="N3" s="143">
        <v>9</v>
      </c>
      <c r="O3" s="144" t="s">
        <v>270</v>
      </c>
      <c r="P3" s="144" t="s">
        <v>271</v>
      </c>
      <c r="Q3" s="144" t="s">
        <v>273</v>
      </c>
      <c r="R3" s="157"/>
      <c r="S3" s="146" t="str">
        <f>D3</f>
        <v>Month</v>
      </c>
      <c r="T3" s="143">
        <f t="shared" ref="T3:AA3" si="0">F3</f>
        <v>1</v>
      </c>
      <c r="U3" s="143">
        <f t="shared" si="0"/>
        <v>2</v>
      </c>
      <c r="V3" s="143">
        <f t="shared" si="0"/>
        <v>3</v>
      </c>
      <c r="W3" s="143">
        <f t="shared" si="0"/>
        <v>4</v>
      </c>
      <c r="X3" s="143">
        <f t="shared" si="0"/>
        <v>5</v>
      </c>
      <c r="Y3" s="143">
        <f t="shared" si="0"/>
        <v>6</v>
      </c>
      <c r="Z3" s="143">
        <f t="shared" si="0"/>
        <v>7</v>
      </c>
      <c r="AA3" s="143">
        <f t="shared" si="0"/>
        <v>8</v>
      </c>
      <c r="AB3" s="143">
        <f>N3</f>
        <v>9</v>
      </c>
      <c r="AC3" s="143" t="str">
        <f>O3</f>
        <v>10-12</v>
      </c>
      <c r="AD3" s="143" t="str">
        <f>P3</f>
        <v>13-15</v>
      </c>
      <c r="AE3" s="143" t="str">
        <f>Q3</f>
        <v>16-18</v>
      </c>
    </row>
    <row r="4" spans="3:31" ht="13.5" outlineLevel="1" thickBot="1" x14ac:dyDescent="0.25">
      <c r="C4" s="135"/>
      <c r="D4" s="135" t="s">
        <v>233</v>
      </c>
      <c r="I4" s="111">
        <v>10000</v>
      </c>
      <c r="J4" s="111">
        <v>10000</v>
      </c>
      <c r="K4" s="111">
        <v>10000</v>
      </c>
      <c r="L4" s="111">
        <v>10000</v>
      </c>
      <c r="M4" s="111">
        <v>10000</v>
      </c>
      <c r="N4" s="111">
        <v>10000</v>
      </c>
      <c r="O4" s="111">
        <v>10000</v>
      </c>
      <c r="P4" s="111">
        <v>10000</v>
      </c>
      <c r="Q4" s="111">
        <v>10000</v>
      </c>
      <c r="R4" s="157"/>
      <c r="S4" s="145" t="str">
        <f>D49</f>
        <v>#1: Base Case Cum CFlow</v>
      </c>
      <c r="T4" s="140">
        <f t="shared" ref="T4:AA4" si="1">F49</f>
        <v>-400</v>
      </c>
      <c r="U4" s="140">
        <f t="shared" si="1"/>
        <v>-800</v>
      </c>
      <c r="V4" s="140">
        <f t="shared" si="1"/>
        <v>-1000</v>
      </c>
      <c r="W4" s="140">
        <f t="shared" si="1"/>
        <v>-616</v>
      </c>
      <c r="X4" s="140">
        <f t="shared" si="1"/>
        <v>63.125</v>
      </c>
      <c r="Y4" s="140">
        <f t="shared" si="1"/>
        <v>783.125</v>
      </c>
      <c r="Z4" s="140">
        <f t="shared" si="1"/>
        <v>1503.125</v>
      </c>
      <c r="AA4" s="140">
        <f t="shared" si="1"/>
        <v>2223.125</v>
      </c>
      <c r="AB4" s="140">
        <f>N49</f>
        <v>2943.125</v>
      </c>
      <c r="AC4" s="140">
        <f>O49</f>
        <v>5103.125</v>
      </c>
      <c r="AD4" s="140">
        <f>P49</f>
        <v>7263.125</v>
      </c>
      <c r="AE4" s="140">
        <f>Q49</f>
        <v>9423.125</v>
      </c>
    </row>
    <row r="5" spans="3:31" ht="13.5" outlineLevel="1" thickBot="1" x14ac:dyDescent="0.25">
      <c r="C5" s="135"/>
      <c r="D5" s="135" t="s">
        <v>234</v>
      </c>
      <c r="F5" s="136"/>
      <c r="G5" s="136"/>
      <c r="H5" s="136"/>
      <c r="I5" s="111">
        <v>8</v>
      </c>
      <c r="J5" s="111">
        <v>16</v>
      </c>
      <c r="K5" s="111">
        <v>24</v>
      </c>
      <c r="L5" s="111">
        <f>K5</f>
        <v>24</v>
      </c>
      <c r="M5" s="111">
        <f>L5</f>
        <v>24</v>
      </c>
      <c r="N5" s="111">
        <f>M5</f>
        <v>24</v>
      </c>
      <c r="O5" s="111">
        <f>N5*3</f>
        <v>72</v>
      </c>
      <c r="P5" s="111">
        <f>O5</f>
        <v>72</v>
      </c>
      <c r="Q5" s="111">
        <f>P5</f>
        <v>72</v>
      </c>
      <c r="R5" s="157"/>
      <c r="S5" s="145" t="str">
        <f>D55</f>
        <v>#1b: Cumulative Royalty</v>
      </c>
      <c r="T5" s="140">
        <f t="shared" ref="T5:AA5" si="2">F55</f>
        <v>0</v>
      </c>
      <c r="U5" s="140">
        <f t="shared" si="2"/>
        <v>0</v>
      </c>
      <c r="V5" s="140">
        <f t="shared" si="2"/>
        <v>0</v>
      </c>
      <c r="W5" s="140">
        <f t="shared" si="2"/>
        <v>120</v>
      </c>
      <c r="X5" s="140">
        <f t="shared" si="2"/>
        <v>360</v>
      </c>
      <c r="Y5" s="140">
        <f t="shared" si="2"/>
        <v>720</v>
      </c>
      <c r="Z5" s="140">
        <f t="shared" si="2"/>
        <v>1080</v>
      </c>
      <c r="AA5" s="140">
        <f t="shared" si="2"/>
        <v>1440</v>
      </c>
      <c r="AB5" s="140">
        <f>N55</f>
        <v>1800</v>
      </c>
      <c r="AC5" s="140">
        <f>O55</f>
        <v>2880</v>
      </c>
      <c r="AD5" s="140">
        <f>P55</f>
        <v>3960</v>
      </c>
      <c r="AE5" s="140">
        <f>Q55</f>
        <v>5040</v>
      </c>
    </row>
    <row r="6" spans="3:31" outlineLevel="1" x14ac:dyDescent="0.2">
      <c r="C6" s="135"/>
      <c r="D6" s="135" t="s">
        <v>235</v>
      </c>
      <c r="F6" s="136"/>
      <c r="G6" s="136"/>
      <c r="H6" s="136"/>
      <c r="I6" s="111">
        <f t="shared" ref="I6:Q6" si="3">I4*I5</f>
        <v>80000</v>
      </c>
      <c r="J6" s="111">
        <f t="shared" si="3"/>
        <v>160000</v>
      </c>
      <c r="K6" s="111">
        <f t="shared" si="3"/>
        <v>240000</v>
      </c>
      <c r="L6" s="111">
        <f t="shared" si="3"/>
        <v>240000</v>
      </c>
      <c r="M6" s="111">
        <f t="shared" si="3"/>
        <v>240000</v>
      </c>
      <c r="N6" s="111">
        <f t="shared" si="3"/>
        <v>240000</v>
      </c>
      <c r="O6" s="111">
        <f t="shared" si="3"/>
        <v>720000</v>
      </c>
      <c r="P6" s="111">
        <f t="shared" si="3"/>
        <v>720000</v>
      </c>
      <c r="Q6" s="111">
        <f t="shared" si="3"/>
        <v>720000</v>
      </c>
      <c r="R6" s="157"/>
    </row>
    <row r="7" spans="3:31" outlineLevel="1" x14ac:dyDescent="0.2">
      <c r="C7" s="135"/>
      <c r="D7" s="135" t="s">
        <v>274</v>
      </c>
      <c r="E7" s="149">
        <v>8</v>
      </c>
      <c r="F7" s="136"/>
      <c r="G7" s="136"/>
      <c r="H7" s="136"/>
      <c r="I7" s="137">
        <f>$E7*I$6/1000</f>
        <v>640</v>
      </c>
      <c r="J7" s="137">
        <f t="shared" ref="J7:Q9" si="4">$E7*J$6/1000</f>
        <v>1280</v>
      </c>
      <c r="K7" s="137">
        <f t="shared" si="4"/>
        <v>1920</v>
      </c>
      <c r="L7" s="137">
        <f t="shared" si="4"/>
        <v>1920</v>
      </c>
      <c r="M7" s="137">
        <f t="shared" si="4"/>
        <v>1920</v>
      </c>
      <c r="N7" s="137">
        <f t="shared" si="4"/>
        <v>1920</v>
      </c>
      <c r="O7" s="137">
        <f t="shared" si="4"/>
        <v>5760</v>
      </c>
      <c r="P7" s="137">
        <f t="shared" si="4"/>
        <v>5760</v>
      </c>
      <c r="Q7" s="137">
        <f t="shared" si="4"/>
        <v>5760</v>
      </c>
      <c r="R7" s="157"/>
    </row>
    <row r="8" spans="3:31" hidden="1" outlineLevel="2" x14ac:dyDescent="0.2">
      <c r="C8" s="135"/>
      <c r="D8" s="135" t="s">
        <v>275</v>
      </c>
      <c r="E8" s="162">
        <v>0</v>
      </c>
      <c r="F8" s="136"/>
      <c r="G8" s="136"/>
      <c r="H8" s="136"/>
      <c r="I8" s="137">
        <f>$E8*I$6/1000</f>
        <v>0</v>
      </c>
      <c r="J8" s="137">
        <f t="shared" si="4"/>
        <v>0</v>
      </c>
      <c r="K8" s="137">
        <f t="shared" si="4"/>
        <v>0</v>
      </c>
      <c r="L8" s="137">
        <f t="shared" si="4"/>
        <v>0</v>
      </c>
      <c r="M8" s="137">
        <f t="shared" si="4"/>
        <v>0</v>
      </c>
      <c r="N8" s="137">
        <f t="shared" si="4"/>
        <v>0</v>
      </c>
      <c r="O8" s="137">
        <f t="shared" si="4"/>
        <v>0</v>
      </c>
      <c r="P8" s="137">
        <f t="shared" si="4"/>
        <v>0</v>
      </c>
      <c r="Q8" s="137">
        <f t="shared" si="4"/>
        <v>0</v>
      </c>
      <c r="R8" s="157"/>
    </row>
    <row r="9" spans="3:31" outlineLevel="1" collapsed="1" x14ac:dyDescent="0.2">
      <c r="C9" s="135"/>
      <c r="D9" s="135" t="s">
        <v>242</v>
      </c>
      <c r="E9" s="149">
        <v>-2</v>
      </c>
      <c r="F9" s="136"/>
      <c r="G9" s="136"/>
      <c r="H9" s="136"/>
      <c r="I9" s="137">
        <f>$E9*I$6/1000</f>
        <v>-160</v>
      </c>
      <c r="J9" s="137">
        <f t="shared" si="4"/>
        <v>-320</v>
      </c>
      <c r="K9" s="137">
        <f t="shared" si="4"/>
        <v>-480</v>
      </c>
      <c r="L9" s="137">
        <f t="shared" si="4"/>
        <v>-480</v>
      </c>
      <c r="M9" s="137">
        <f t="shared" si="4"/>
        <v>-480</v>
      </c>
      <c r="N9" s="137">
        <f t="shared" si="4"/>
        <v>-480</v>
      </c>
      <c r="O9" s="137">
        <f t="shared" si="4"/>
        <v>-1440</v>
      </c>
      <c r="P9" s="137">
        <f t="shared" si="4"/>
        <v>-1440</v>
      </c>
      <c r="Q9" s="137">
        <f t="shared" si="4"/>
        <v>-1440</v>
      </c>
      <c r="R9" s="157"/>
    </row>
    <row r="10" spans="3:31" ht="13.5" outlineLevel="1" thickBot="1" x14ac:dyDescent="0.25">
      <c r="C10" s="135"/>
      <c r="D10" s="355" t="s">
        <v>239</v>
      </c>
      <c r="E10" s="355"/>
      <c r="F10" s="138"/>
      <c r="G10" s="138"/>
      <c r="H10" s="138"/>
      <c r="I10" s="139">
        <f>SUM(I7:I9)</f>
        <v>480</v>
      </c>
      <c r="J10" s="139">
        <f t="shared" ref="J10:Q10" si="5">SUM(J7:J9)</f>
        <v>960</v>
      </c>
      <c r="K10" s="139">
        <f t="shared" si="5"/>
        <v>1440</v>
      </c>
      <c r="L10" s="139">
        <f t="shared" si="5"/>
        <v>1440</v>
      </c>
      <c r="M10" s="139">
        <f t="shared" si="5"/>
        <v>1440</v>
      </c>
      <c r="N10" s="139">
        <f t="shared" si="5"/>
        <v>1440</v>
      </c>
      <c r="O10" s="139">
        <f t="shared" si="5"/>
        <v>4320</v>
      </c>
      <c r="P10" s="139">
        <f t="shared" si="5"/>
        <v>4320</v>
      </c>
      <c r="Q10" s="139">
        <f t="shared" si="5"/>
        <v>4320</v>
      </c>
      <c r="R10" s="157"/>
    </row>
    <row r="11" spans="3:31" ht="13.5" outlineLevel="1" thickTop="1" x14ac:dyDescent="0.2">
      <c r="C11" s="135"/>
      <c r="D11" s="135"/>
      <c r="F11" s="136"/>
      <c r="G11" s="136"/>
      <c r="H11" s="136"/>
      <c r="I11" s="111"/>
      <c r="J11" s="111"/>
      <c r="K11" s="111"/>
      <c r="L11" s="111"/>
      <c r="M11" s="111"/>
      <c r="N11" s="111"/>
      <c r="O11" s="111"/>
      <c r="P11" s="111"/>
      <c r="Q11" s="111"/>
      <c r="R11" s="157"/>
    </row>
    <row r="12" spans="3:31" outlineLevel="1" x14ac:dyDescent="0.2">
      <c r="C12" s="135" t="s">
        <v>258</v>
      </c>
      <c r="D12" s="135"/>
      <c r="R12" s="157"/>
    </row>
    <row r="13" spans="3:31" hidden="1" outlineLevel="2" x14ac:dyDescent="0.2">
      <c r="R13" s="157"/>
    </row>
    <row r="14" spans="3:31" hidden="1" outlineLevel="2" x14ac:dyDescent="0.2">
      <c r="C14" s="135"/>
      <c r="D14" s="135"/>
      <c r="E14" s="136"/>
      <c r="F14" s="136"/>
      <c r="G14" s="136"/>
      <c r="H14" s="136"/>
      <c r="R14" s="157"/>
    </row>
    <row r="15" spans="3:31" hidden="1" outlineLevel="2" x14ac:dyDescent="0.2">
      <c r="C15" s="135"/>
      <c r="D15" s="135"/>
      <c r="E15" s="136"/>
      <c r="F15" s="136"/>
      <c r="G15" s="136"/>
      <c r="H15" s="136"/>
      <c r="R15" s="157"/>
    </row>
    <row r="16" spans="3:31" hidden="1" outlineLevel="2" x14ac:dyDescent="0.2">
      <c r="C16" s="135"/>
      <c r="D16" s="135"/>
      <c r="E16" s="136"/>
      <c r="F16" s="136"/>
      <c r="G16" s="136"/>
      <c r="H16" s="136"/>
      <c r="R16" s="157"/>
    </row>
    <row r="17" spans="3:18" hidden="1" outlineLevel="2" x14ac:dyDescent="0.2">
      <c r="C17" s="135"/>
      <c r="D17" s="135"/>
      <c r="E17" s="136"/>
      <c r="F17" s="136"/>
      <c r="G17" s="136"/>
      <c r="H17" s="136"/>
      <c r="R17" s="157"/>
    </row>
    <row r="18" spans="3:18" hidden="1" outlineLevel="2" x14ac:dyDescent="0.2">
      <c r="C18" s="135"/>
      <c r="D18" s="135"/>
      <c r="E18" s="136"/>
      <c r="F18" s="136"/>
      <c r="G18" s="136"/>
      <c r="H18" s="136"/>
      <c r="R18" s="157"/>
    </row>
    <row r="19" spans="3:18" hidden="1" outlineLevel="2" x14ac:dyDescent="0.2">
      <c r="C19" s="135"/>
      <c r="D19" s="135"/>
      <c r="E19" s="136"/>
      <c r="F19" s="136"/>
      <c r="G19" s="136"/>
      <c r="H19" s="136"/>
      <c r="R19" s="157"/>
    </row>
    <row r="20" spans="3:18" hidden="1" outlineLevel="2" x14ac:dyDescent="0.2">
      <c r="C20" s="135"/>
      <c r="D20" s="135"/>
      <c r="E20" s="136"/>
      <c r="F20" s="136"/>
      <c r="G20" s="136"/>
      <c r="H20" s="136"/>
      <c r="R20" s="157"/>
    </row>
    <row r="21" spans="3:18" hidden="1" outlineLevel="2" x14ac:dyDescent="0.2">
      <c r="C21" s="135"/>
      <c r="D21" s="135"/>
      <c r="E21" s="136"/>
      <c r="F21" s="136"/>
      <c r="G21" s="136"/>
      <c r="H21" s="136"/>
      <c r="R21" s="157"/>
    </row>
    <row r="22" spans="3:18" hidden="1" outlineLevel="2" x14ac:dyDescent="0.2">
      <c r="C22" s="135"/>
      <c r="D22" s="135"/>
      <c r="E22" s="136"/>
      <c r="F22" s="136"/>
      <c r="G22" s="136"/>
      <c r="H22" s="136"/>
      <c r="R22" s="157"/>
    </row>
    <row r="23" spans="3:18" hidden="1" outlineLevel="2" x14ac:dyDescent="0.2">
      <c r="C23" s="135"/>
      <c r="D23" s="135"/>
      <c r="E23" s="136"/>
      <c r="F23" s="136"/>
      <c r="G23" s="136"/>
      <c r="H23" s="136"/>
      <c r="R23" s="157"/>
    </row>
    <row r="24" spans="3:18" hidden="1" outlineLevel="2" x14ac:dyDescent="0.2">
      <c r="C24" s="135"/>
      <c r="D24" s="135"/>
      <c r="E24" s="136"/>
      <c r="F24" s="136"/>
      <c r="G24" s="136"/>
      <c r="H24" s="136"/>
      <c r="R24" s="157"/>
    </row>
    <row r="25" spans="3:18" hidden="1" outlineLevel="2" x14ac:dyDescent="0.2">
      <c r="C25" s="135"/>
      <c r="D25" s="135"/>
      <c r="E25" s="136"/>
      <c r="F25" s="136"/>
      <c r="G25" s="136"/>
      <c r="H25" s="136"/>
      <c r="R25" s="157"/>
    </row>
    <row r="26" spans="3:18" hidden="1" outlineLevel="2" x14ac:dyDescent="0.2">
      <c r="C26" s="135"/>
      <c r="D26" s="135"/>
      <c r="E26" s="136"/>
      <c r="F26" s="136"/>
      <c r="G26" s="136"/>
      <c r="H26" s="136"/>
      <c r="R26" s="157"/>
    </row>
    <row r="27" spans="3:18" hidden="1" outlineLevel="2" x14ac:dyDescent="0.2">
      <c r="C27" s="135"/>
      <c r="D27" s="135"/>
      <c r="E27" s="136"/>
      <c r="F27" s="136"/>
      <c r="G27" s="136"/>
      <c r="H27" s="136"/>
      <c r="R27" s="157"/>
    </row>
    <row r="28" spans="3:18" hidden="1" outlineLevel="2" x14ac:dyDescent="0.2">
      <c r="C28" s="135"/>
      <c r="D28" s="135"/>
      <c r="E28" s="136"/>
      <c r="F28" s="136"/>
      <c r="G28" s="136"/>
      <c r="H28" s="136"/>
      <c r="R28" s="157"/>
    </row>
    <row r="29" spans="3:18" hidden="1" outlineLevel="2" x14ac:dyDescent="0.2">
      <c r="C29" s="135"/>
      <c r="D29" s="135"/>
      <c r="E29" s="136"/>
      <c r="F29" s="136"/>
      <c r="G29" s="136"/>
      <c r="H29" s="136"/>
      <c r="R29" s="157"/>
    </row>
    <row r="30" spans="3:18" hidden="1" outlineLevel="2" x14ac:dyDescent="0.2">
      <c r="C30" s="135"/>
      <c r="D30" s="135"/>
      <c r="E30" s="136"/>
      <c r="F30" s="136"/>
      <c r="G30" s="136"/>
      <c r="H30" s="136"/>
      <c r="R30" s="157"/>
    </row>
    <row r="31" spans="3:18" hidden="1" outlineLevel="2" x14ac:dyDescent="0.2">
      <c r="C31" s="135"/>
      <c r="D31" s="135"/>
      <c r="E31" s="136"/>
      <c r="F31" s="136"/>
      <c r="G31" s="136"/>
      <c r="H31" s="136"/>
      <c r="R31" s="157"/>
    </row>
    <row r="32" spans="3:18" hidden="1" outlineLevel="2" x14ac:dyDescent="0.2">
      <c r="C32" s="135"/>
      <c r="D32" s="135"/>
      <c r="E32" s="136"/>
      <c r="F32" s="136"/>
      <c r="G32" s="136"/>
      <c r="H32" s="136"/>
      <c r="R32" s="157"/>
    </row>
    <row r="33" spans="3:18" hidden="1" outlineLevel="2" x14ac:dyDescent="0.2">
      <c r="C33" s="135"/>
      <c r="D33" s="135"/>
      <c r="E33" s="136"/>
      <c r="F33" s="136"/>
      <c r="G33" s="136"/>
      <c r="H33" s="136"/>
      <c r="R33" s="157"/>
    </row>
    <row r="34" spans="3:18" hidden="1" outlineLevel="2" x14ac:dyDescent="0.2">
      <c r="C34" s="135"/>
      <c r="D34" s="135"/>
      <c r="E34" s="136"/>
      <c r="F34" s="136"/>
      <c r="G34" s="136"/>
      <c r="H34" s="136"/>
      <c r="R34" s="157"/>
    </row>
    <row r="35" spans="3:18" hidden="1" outlineLevel="2" x14ac:dyDescent="0.2">
      <c r="C35" s="135"/>
      <c r="D35" s="135"/>
      <c r="E35" s="136"/>
      <c r="F35" s="136"/>
      <c r="G35" s="136"/>
      <c r="H35" s="136"/>
      <c r="R35" s="157"/>
    </row>
    <row r="36" spans="3:18" hidden="1" outlineLevel="2" x14ac:dyDescent="0.2">
      <c r="C36" s="135"/>
      <c r="D36" s="135"/>
      <c r="E36" s="136"/>
      <c r="F36" s="136"/>
      <c r="G36" s="136"/>
      <c r="H36" s="136"/>
      <c r="R36" s="157"/>
    </row>
    <row r="37" spans="3:18" hidden="1" outlineLevel="2" x14ac:dyDescent="0.2">
      <c r="C37" s="135"/>
      <c r="D37" s="135"/>
      <c r="E37" s="136"/>
      <c r="F37" s="136"/>
      <c r="G37" s="136"/>
      <c r="H37" s="136"/>
      <c r="R37" s="157"/>
    </row>
    <row r="38" spans="3:18" hidden="1" outlineLevel="2" x14ac:dyDescent="0.2">
      <c r="C38" s="135"/>
      <c r="D38" s="135"/>
      <c r="E38" s="136"/>
      <c r="F38" s="136"/>
      <c r="G38" s="136"/>
      <c r="H38" s="136"/>
      <c r="R38" s="157"/>
    </row>
    <row r="39" spans="3:18" hidden="1" outlineLevel="2" x14ac:dyDescent="0.2">
      <c r="C39" s="135"/>
      <c r="D39" s="135"/>
      <c r="E39" s="136"/>
      <c r="F39" s="136"/>
      <c r="G39" s="136"/>
      <c r="H39" s="136"/>
      <c r="R39" s="157"/>
    </row>
    <row r="40" spans="3:18" hidden="1" outlineLevel="2" x14ac:dyDescent="0.2">
      <c r="C40" s="135"/>
      <c r="D40" s="135"/>
      <c r="E40" s="136"/>
      <c r="F40" s="136"/>
      <c r="G40" s="136"/>
      <c r="H40" s="136"/>
      <c r="R40" s="157"/>
    </row>
    <row r="41" spans="3:18" hidden="1" outlineLevel="2" x14ac:dyDescent="0.2">
      <c r="C41" s="135"/>
      <c r="D41" s="135"/>
      <c r="E41" s="136"/>
      <c r="F41" s="136"/>
      <c r="G41" s="136"/>
      <c r="H41" s="136"/>
      <c r="R41" s="157"/>
    </row>
    <row r="42" spans="3:18" hidden="1" outlineLevel="2" x14ac:dyDescent="0.2">
      <c r="C42" s="135"/>
      <c r="D42" s="135"/>
      <c r="E42" s="136"/>
      <c r="F42" s="136"/>
      <c r="G42" s="136"/>
      <c r="H42" s="136"/>
      <c r="R42" s="157"/>
    </row>
    <row r="43" spans="3:18" hidden="1" outlineLevel="2" x14ac:dyDescent="0.2">
      <c r="C43" s="135"/>
      <c r="D43" s="135" t="s">
        <v>238</v>
      </c>
      <c r="E43" s="136">
        <f>SUM(F43:H43)</f>
        <v>1</v>
      </c>
      <c r="F43" s="136">
        <v>0.4</v>
      </c>
      <c r="G43" s="136">
        <v>0.4</v>
      </c>
      <c r="H43" s="136">
        <v>0.2</v>
      </c>
      <c r="R43" s="157"/>
    </row>
    <row r="44" spans="3:18" outlineLevel="1" collapsed="1" x14ac:dyDescent="0.2">
      <c r="C44" s="135"/>
      <c r="D44" s="135" t="s">
        <v>232</v>
      </c>
      <c r="E44" s="137">
        <f>ROUND(DCut_Capex!$G$36,-3)/1000</f>
        <v>915</v>
      </c>
      <c r="F44" s="137">
        <f>-$E44*F$43</f>
        <v>-366</v>
      </c>
      <c r="G44" s="137">
        <f>-$E44*G$43</f>
        <v>-366</v>
      </c>
      <c r="H44" s="137">
        <f>-$E44*H$43</f>
        <v>-183</v>
      </c>
      <c r="I44" s="137"/>
      <c r="J44" s="137"/>
      <c r="K44" s="137"/>
      <c r="L44" s="137"/>
      <c r="M44" s="137"/>
      <c r="N44" s="137"/>
      <c r="O44" s="137"/>
      <c r="P44" s="137"/>
      <c r="Q44" s="137"/>
      <c r="R44" s="157"/>
    </row>
    <row r="45" spans="3:18" outlineLevel="1" x14ac:dyDescent="0.2">
      <c r="C45" s="135"/>
      <c r="D45" s="135" t="s">
        <v>236</v>
      </c>
      <c r="E45" s="136">
        <v>0.8</v>
      </c>
      <c r="F45" s="137"/>
      <c r="G45" s="137"/>
      <c r="H45" s="137"/>
      <c r="I45" s="137">
        <f>IF(H50&gt;=0,0,MIN($E45*I10,-H50))</f>
        <v>384</v>
      </c>
      <c r="J45" s="137">
        <f>IF(I50&gt;=0,0,MIN($E45*J10,-I50))</f>
        <v>531</v>
      </c>
      <c r="K45" s="137">
        <f>IF(J50&gt;=0,0,MIN($E45*K10,-J50))</f>
        <v>0</v>
      </c>
      <c r="L45" s="137"/>
      <c r="M45" s="137"/>
      <c r="N45" s="137"/>
      <c r="O45" s="137"/>
      <c r="P45" s="137"/>
      <c r="Q45" s="137"/>
      <c r="R45" s="157"/>
    </row>
    <row r="46" spans="3:18" outlineLevel="1" x14ac:dyDescent="0.2">
      <c r="C46" s="135"/>
      <c r="D46" s="135" t="s">
        <v>245</v>
      </c>
      <c r="E46" s="137">
        <f>1000-E44</f>
        <v>85</v>
      </c>
      <c r="F46" s="137">
        <f>-$E46*F43</f>
        <v>-34</v>
      </c>
      <c r="G46" s="137">
        <f>-$E46*G43</f>
        <v>-34</v>
      </c>
      <c r="H46" s="137">
        <f>-$E46*H43</f>
        <v>-17</v>
      </c>
      <c r="I46" s="137"/>
      <c r="J46" s="137"/>
      <c r="K46" s="137"/>
      <c r="L46" s="137"/>
      <c r="M46" s="137"/>
      <c r="N46" s="137"/>
      <c r="O46" s="137"/>
      <c r="P46" s="137"/>
      <c r="Q46" s="137"/>
      <c r="R46" s="157"/>
    </row>
    <row r="47" spans="3:18" outlineLevel="1" x14ac:dyDescent="0.2">
      <c r="C47" s="135"/>
      <c r="D47" s="135" t="s">
        <v>237</v>
      </c>
      <c r="E47" s="136">
        <v>0.5</v>
      </c>
      <c r="F47" s="137"/>
      <c r="G47" s="137"/>
      <c r="H47" s="137"/>
      <c r="I47" s="137">
        <f t="shared" ref="I47:Q47" si="6">MAX(0,$E47*(I$10-I45/$E$45))</f>
        <v>0</v>
      </c>
      <c r="J47" s="137">
        <f t="shared" si="6"/>
        <v>148.125</v>
      </c>
      <c r="K47" s="137">
        <f t="shared" si="6"/>
        <v>720</v>
      </c>
      <c r="L47" s="137">
        <f t="shared" si="6"/>
        <v>720</v>
      </c>
      <c r="M47" s="137">
        <f t="shared" si="6"/>
        <v>720</v>
      </c>
      <c r="N47" s="137">
        <f>MAX(0,$E47*(N$10-N45/$E$45))</f>
        <v>720</v>
      </c>
      <c r="O47" s="137">
        <f>MAX(0,$E47*(O$10-O45/$E$45))</f>
        <v>2160</v>
      </c>
      <c r="P47" s="137">
        <f t="shared" si="6"/>
        <v>2160</v>
      </c>
      <c r="Q47" s="137">
        <f t="shared" si="6"/>
        <v>2160</v>
      </c>
      <c r="R47" s="157"/>
    </row>
    <row r="48" spans="3:18" ht="13.5" thickBot="1" x14ac:dyDescent="0.25">
      <c r="C48" s="135"/>
      <c r="D48" s="355" t="s">
        <v>240</v>
      </c>
      <c r="E48" s="355"/>
      <c r="F48" s="139">
        <f t="shared" ref="F48:Q48" si="7">F44+F46+F45+F47</f>
        <v>-400</v>
      </c>
      <c r="G48" s="139">
        <f t="shared" si="7"/>
        <v>-400</v>
      </c>
      <c r="H48" s="139">
        <f t="shared" si="7"/>
        <v>-200</v>
      </c>
      <c r="I48" s="139">
        <f t="shared" si="7"/>
        <v>384</v>
      </c>
      <c r="J48" s="139">
        <f t="shared" si="7"/>
        <v>679.125</v>
      </c>
      <c r="K48" s="139">
        <f t="shared" si="7"/>
        <v>720</v>
      </c>
      <c r="L48" s="139">
        <f t="shared" si="7"/>
        <v>720</v>
      </c>
      <c r="M48" s="139">
        <f t="shared" si="7"/>
        <v>720</v>
      </c>
      <c r="N48" s="139">
        <f>N44+N46+N45+N47</f>
        <v>720</v>
      </c>
      <c r="O48" s="139">
        <f>O44+O46+O45+O47</f>
        <v>2160</v>
      </c>
      <c r="P48" s="139">
        <f t="shared" si="7"/>
        <v>2160</v>
      </c>
      <c r="Q48" s="139">
        <f t="shared" si="7"/>
        <v>2160</v>
      </c>
      <c r="R48" s="157"/>
    </row>
    <row r="49" spans="3:34" ht="14.25" outlineLevel="1" thickTop="1" thickBot="1" x14ac:dyDescent="0.25">
      <c r="C49" s="135"/>
      <c r="D49" s="356" t="s">
        <v>267</v>
      </c>
      <c r="E49" s="356"/>
      <c r="F49" s="152">
        <f t="shared" ref="F49:Q49" si="8">E49+F48</f>
        <v>-400</v>
      </c>
      <c r="G49" s="152">
        <f t="shared" si="8"/>
        <v>-800</v>
      </c>
      <c r="H49" s="152">
        <f t="shared" si="8"/>
        <v>-1000</v>
      </c>
      <c r="I49" s="152">
        <f t="shared" si="8"/>
        <v>-616</v>
      </c>
      <c r="J49" s="152">
        <f t="shared" si="8"/>
        <v>63.125</v>
      </c>
      <c r="K49" s="152">
        <f>J49+K48</f>
        <v>783.125</v>
      </c>
      <c r="L49" s="152">
        <f t="shared" si="8"/>
        <v>1503.125</v>
      </c>
      <c r="M49" s="152">
        <f t="shared" si="8"/>
        <v>2223.125</v>
      </c>
      <c r="N49" s="152">
        <f>M49+N48</f>
        <v>2943.125</v>
      </c>
      <c r="O49" s="152">
        <f>N49+O48</f>
        <v>5103.125</v>
      </c>
      <c r="P49" s="152">
        <f>O49+P48</f>
        <v>7263.125</v>
      </c>
      <c r="Q49" s="152">
        <f t="shared" si="8"/>
        <v>9423.125</v>
      </c>
      <c r="R49" s="157"/>
    </row>
    <row r="50" spans="3:34" hidden="1" outlineLevel="2" x14ac:dyDescent="0.2">
      <c r="C50" s="135"/>
      <c r="D50" s="151" t="s">
        <v>246</v>
      </c>
      <c r="E50" s="147"/>
      <c r="F50" s="148">
        <f>E50+F48-F46</f>
        <v>-366</v>
      </c>
      <c r="G50" s="148">
        <f>F50+G48-G46</f>
        <v>-732</v>
      </c>
      <c r="H50" s="148">
        <f>G50+H48-H46</f>
        <v>-915</v>
      </c>
      <c r="I50" s="148">
        <f>H50+I48-I46</f>
        <v>-531</v>
      </c>
      <c r="J50" s="148"/>
      <c r="K50" s="148"/>
      <c r="L50" s="148"/>
      <c r="M50" s="148"/>
      <c r="N50" s="148"/>
      <c r="O50" s="148"/>
      <c r="P50" s="148"/>
      <c r="Q50" s="148"/>
      <c r="R50" s="157"/>
    </row>
    <row r="51" spans="3:34" outlineLevel="1" collapsed="1" x14ac:dyDescent="0.2">
      <c r="C51" s="135"/>
      <c r="D51" s="147"/>
      <c r="E51" s="147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57"/>
    </row>
    <row r="52" spans="3:34" x14ac:dyDescent="0.2">
      <c r="C52" s="135" t="s">
        <v>250</v>
      </c>
      <c r="D52" s="135"/>
      <c r="R52" s="157"/>
    </row>
    <row r="53" spans="3:34" x14ac:dyDescent="0.2">
      <c r="C53" s="135"/>
      <c r="D53" s="135" t="s">
        <v>232</v>
      </c>
      <c r="E53" s="111">
        <v>0</v>
      </c>
      <c r="F53" s="141">
        <f>-$E53*F$43</f>
        <v>0</v>
      </c>
      <c r="G53" s="141">
        <f>-$E53*G$43</f>
        <v>0</v>
      </c>
      <c r="H53" s="141">
        <f>-$E53*H$43</f>
        <v>0</v>
      </c>
      <c r="R53" s="157"/>
    </row>
    <row r="54" spans="3:34" x14ac:dyDescent="0.2">
      <c r="C54" s="135"/>
      <c r="D54" s="135" t="s">
        <v>251</v>
      </c>
      <c r="E54" s="150">
        <v>1.5</v>
      </c>
      <c r="F54" s="137">
        <f>F6*$E54/1000</f>
        <v>0</v>
      </c>
      <c r="G54" s="137">
        <f>G6*$E54/1000</f>
        <v>0</v>
      </c>
      <c r="H54" s="137">
        <f>H6*$E54/1000</f>
        <v>0</v>
      </c>
      <c r="I54" s="137">
        <f>I6*$E54/1000</f>
        <v>120</v>
      </c>
      <c r="J54" s="137">
        <f t="shared" ref="J54:Q54" si="9">J6*$E54/1000</f>
        <v>240</v>
      </c>
      <c r="K54" s="137">
        <f t="shared" si="9"/>
        <v>360</v>
      </c>
      <c r="L54" s="137">
        <f t="shared" si="9"/>
        <v>360</v>
      </c>
      <c r="M54" s="137">
        <f t="shared" si="9"/>
        <v>360</v>
      </c>
      <c r="N54" s="137">
        <f t="shared" si="9"/>
        <v>360</v>
      </c>
      <c r="O54" s="137">
        <f t="shared" si="9"/>
        <v>1080</v>
      </c>
      <c r="P54" s="137">
        <f t="shared" si="9"/>
        <v>1080</v>
      </c>
      <c r="Q54" s="137">
        <f t="shared" si="9"/>
        <v>1080</v>
      </c>
      <c r="R54" s="157"/>
    </row>
    <row r="55" spans="3:34" ht="13.5" thickBot="1" x14ac:dyDescent="0.25">
      <c r="C55" s="135"/>
      <c r="D55" s="357" t="s">
        <v>252</v>
      </c>
      <c r="E55" s="357"/>
      <c r="F55" s="140">
        <f t="shared" ref="F55:Q55" si="10">E55+F54</f>
        <v>0</v>
      </c>
      <c r="G55" s="140">
        <f t="shared" si="10"/>
        <v>0</v>
      </c>
      <c r="H55" s="140">
        <f t="shared" si="10"/>
        <v>0</v>
      </c>
      <c r="I55" s="140">
        <f t="shared" si="10"/>
        <v>120</v>
      </c>
      <c r="J55" s="140">
        <f t="shared" si="10"/>
        <v>360</v>
      </c>
      <c r="K55" s="140">
        <f t="shared" si="10"/>
        <v>720</v>
      </c>
      <c r="L55" s="140">
        <f t="shared" si="10"/>
        <v>1080</v>
      </c>
      <c r="M55" s="140">
        <f t="shared" si="10"/>
        <v>1440</v>
      </c>
      <c r="N55" s="140">
        <f t="shared" si="10"/>
        <v>1800</v>
      </c>
      <c r="O55" s="140">
        <f t="shared" si="10"/>
        <v>2880</v>
      </c>
      <c r="P55" s="140">
        <f t="shared" si="10"/>
        <v>3960</v>
      </c>
      <c r="Q55" s="140">
        <f t="shared" si="10"/>
        <v>5040</v>
      </c>
      <c r="R55" s="157"/>
    </row>
    <row r="56" spans="3:34" x14ac:dyDescent="0.2"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</row>
    <row r="57" spans="3:34" ht="18.75" x14ac:dyDescent="0.3">
      <c r="C57" s="154" t="s">
        <v>247</v>
      </c>
      <c r="R57" s="157"/>
      <c r="S57" s="156" t="s">
        <v>265</v>
      </c>
    </row>
    <row r="58" spans="3:34" x14ac:dyDescent="0.2">
      <c r="R58" s="157"/>
    </row>
    <row r="59" spans="3:34" x14ac:dyDescent="0.2">
      <c r="D59" s="142" t="s">
        <v>241</v>
      </c>
      <c r="E59" s="142"/>
      <c r="F59" s="143">
        <v>1</v>
      </c>
      <c r="G59" s="143">
        <v>2</v>
      </c>
      <c r="H59" s="143">
        <v>3</v>
      </c>
      <c r="I59" s="143">
        <v>4</v>
      </c>
      <c r="J59" s="143">
        <v>5</v>
      </c>
      <c r="K59" s="143">
        <v>6</v>
      </c>
      <c r="L59" s="143">
        <v>7</v>
      </c>
      <c r="M59" s="143">
        <v>8</v>
      </c>
      <c r="N59" s="143">
        <v>9</v>
      </c>
      <c r="O59" s="144" t="str">
        <f>O3</f>
        <v>10-12</v>
      </c>
      <c r="P59" s="144" t="str">
        <f>P3</f>
        <v>13-15</v>
      </c>
      <c r="Q59" s="144" t="str">
        <f>Q3</f>
        <v>16-18</v>
      </c>
      <c r="R59" s="157"/>
      <c r="S59" s="146" t="str">
        <f>D61</f>
        <v>Days/mo</v>
      </c>
      <c r="T59" s="143">
        <f t="shared" ref="T59:AB59" si="11">F59</f>
        <v>1</v>
      </c>
      <c r="U59" s="143">
        <f t="shared" si="11"/>
        <v>2</v>
      </c>
      <c r="V59" s="143">
        <f t="shared" si="11"/>
        <v>3</v>
      </c>
      <c r="W59" s="143">
        <f t="shared" si="11"/>
        <v>4</v>
      </c>
      <c r="X59" s="143">
        <f t="shared" si="11"/>
        <v>5</v>
      </c>
      <c r="Y59" s="143">
        <f t="shared" si="11"/>
        <v>6</v>
      </c>
      <c r="Z59" s="143">
        <f t="shared" si="11"/>
        <v>7</v>
      </c>
      <c r="AA59" s="143">
        <f t="shared" si="11"/>
        <v>8</v>
      </c>
      <c r="AB59" s="143">
        <f t="shared" si="11"/>
        <v>9</v>
      </c>
      <c r="AC59" s="143" t="str">
        <f>O59</f>
        <v>10-12</v>
      </c>
      <c r="AD59" s="143" t="str">
        <f>P59</f>
        <v>13-15</v>
      </c>
      <c r="AE59" s="143" t="str">
        <f>Q59</f>
        <v>16-18</v>
      </c>
    </row>
    <row r="60" spans="3:34" ht="13.5" thickBot="1" x14ac:dyDescent="0.25">
      <c r="C60" s="135"/>
      <c r="D60" s="135" t="s">
        <v>233</v>
      </c>
      <c r="L60" s="111">
        <v>6000</v>
      </c>
      <c r="M60" s="111">
        <v>6000</v>
      </c>
      <c r="N60" s="111">
        <v>6000</v>
      </c>
      <c r="O60" s="111">
        <v>6000</v>
      </c>
      <c r="P60" s="111">
        <v>6000</v>
      </c>
      <c r="Q60" s="111">
        <v>6000</v>
      </c>
      <c r="R60" s="157"/>
      <c r="S60" s="153" t="str">
        <f>D75</f>
        <v>#2: Downside Cum CFlow</v>
      </c>
      <c r="T60" s="140">
        <f t="shared" ref="T60:AB60" si="12">F75</f>
        <v>-400</v>
      </c>
      <c r="U60" s="140">
        <f t="shared" si="12"/>
        <v>-700</v>
      </c>
      <c r="V60" s="140">
        <f t="shared" si="12"/>
        <v>-900</v>
      </c>
      <c r="W60" s="140">
        <f t="shared" si="12"/>
        <v>-1100</v>
      </c>
      <c r="X60" s="140">
        <f t="shared" si="12"/>
        <v>-1200</v>
      </c>
      <c r="Y60" s="140">
        <f t="shared" si="12"/>
        <v>-1300</v>
      </c>
      <c r="Z60" s="140">
        <f t="shared" si="12"/>
        <v>-1146.4000000000001</v>
      </c>
      <c r="AA60" s="140">
        <f t="shared" si="12"/>
        <v>-839.2</v>
      </c>
      <c r="AB60" s="140">
        <f t="shared" si="12"/>
        <v>-378.40000000000003</v>
      </c>
      <c r="AC60" s="140">
        <f>O75</f>
        <v>586.0625</v>
      </c>
      <c r="AD60" s="140">
        <f>P75</f>
        <v>1450.0625</v>
      </c>
      <c r="AE60" s="140">
        <f>Q75</f>
        <v>2314.0625</v>
      </c>
    </row>
    <row r="61" spans="3:34" ht="13.5" thickBot="1" x14ac:dyDescent="0.25">
      <c r="C61" s="135"/>
      <c r="D61" s="135" t="s">
        <v>234</v>
      </c>
      <c r="F61" s="136"/>
      <c r="G61" s="136"/>
      <c r="H61" s="136"/>
      <c r="I61" s="136"/>
      <c r="J61" s="136"/>
      <c r="K61" s="136"/>
      <c r="L61" s="111">
        <v>8</v>
      </c>
      <c r="M61" s="111">
        <v>16</v>
      </c>
      <c r="N61" s="111">
        <v>24</v>
      </c>
      <c r="O61" s="111">
        <f>N61*3</f>
        <v>72</v>
      </c>
      <c r="P61" s="111">
        <f>O61</f>
        <v>72</v>
      </c>
      <c r="Q61" s="111">
        <f>P61</f>
        <v>72</v>
      </c>
      <c r="R61" s="157"/>
      <c r="S61" s="153" t="str">
        <f>D81</f>
        <v>#2b: Cumulative Royalty</v>
      </c>
      <c r="T61" s="140">
        <f t="shared" ref="T61:AB61" si="13">F81</f>
        <v>0</v>
      </c>
      <c r="U61" s="140">
        <f t="shared" si="13"/>
        <v>0</v>
      </c>
      <c r="V61" s="140">
        <f t="shared" si="13"/>
        <v>0</v>
      </c>
      <c r="W61" s="140">
        <f t="shared" si="13"/>
        <v>0</v>
      </c>
      <c r="X61" s="140">
        <f t="shared" si="13"/>
        <v>0</v>
      </c>
      <c r="Y61" s="140">
        <f t="shared" si="13"/>
        <v>0</v>
      </c>
      <c r="Z61" s="140">
        <f t="shared" si="13"/>
        <v>48</v>
      </c>
      <c r="AA61" s="140">
        <f t="shared" si="13"/>
        <v>144</v>
      </c>
      <c r="AB61" s="140">
        <f t="shared" si="13"/>
        <v>288</v>
      </c>
      <c r="AC61" s="140">
        <f>O81</f>
        <v>720</v>
      </c>
      <c r="AD61" s="140">
        <f>P81</f>
        <v>1152</v>
      </c>
      <c r="AE61" s="140">
        <f>Q81</f>
        <v>1584</v>
      </c>
    </row>
    <row r="62" spans="3:34" x14ac:dyDescent="0.2">
      <c r="C62" s="135"/>
      <c r="D62" s="135" t="s">
        <v>235</v>
      </c>
      <c r="F62" s="136"/>
      <c r="G62" s="136"/>
      <c r="H62" s="136"/>
      <c r="I62" s="136"/>
      <c r="J62" s="136"/>
      <c r="K62" s="136"/>
      <c r="L62" s="111">
        <f t="shared" ref="L62:Q62" si="14">L60*L61</f>
        <v>48000</v>
      </c>
      <c r="M62" s="111">
        <f t="shared" si="14"/>
        <v>96000</v>
      </c>
      <c r="N62" s="111">
        <f t="shared" si="14"/>
        <v>144000</v>
      </c>
      <c r="O62" s="111">
        <f t="shared" si="14"/>
        <v>432000</v>
      </c>
      <c r="P62" s="111">
        <f t="shared" si="14"/>
        <v>432000</v>
      </c>
      <c r="Q62" s="111">
        <f t="shared" si="14"/>
        <v>432000</v>
      </c>
      <c r="R62" s="157"/>
    </row>
    <row r="63" spans="3:34" x14ac:dyDescent="0.2">
      <c r="C63" s="135"/>
      <c r="D63" s="135" t="s">
        <v>274</v>
      </c>
      <c r="E63" s="149">
        <v>7</v>
      </c>
      <c r="F63" s="136"/>
      <c r="G63" s="136"/>
      <c r="H63" s="136"/>
      <c r="I63" s="136"/>
      <c r="J63" s="136"/>
      <c r="K63" s="136"/>
      <c r="L63" s="137">
        <f>$E63*L$62/1000</f>
        <v>336</v>
      </c>
      <c r="M63" s="137">
        <f t="shared" ref="M63:Q65" si="15">$E63*M$62/1000</f>
        <v>672</v>
      </c>
      <c r="N63" s="137">
        <f t="shared" si="15"/>
        <v>1008</v>
      </c>
      <c r="O63" s="137">
        <f t="shared" si="15"/>
        <v>3024</v>
      </c>
      <c r="P63" s="137">
        <f t="shared" si="15"/>
        <v>3024</v>
      </c>
      <c r="Q63" s="137">
        <f t="shared" si="15"/>
        <v>3024</v>
      </c>
      <c r="R63" s="157"/>
    </row>
    <row r="64" spans="3:34" hidden="1" outlineLevel="1" x14ac:dyDescent="0.2">
      <c r="C64" s="135"/>
      <c r="D64" s="135" t="s">
        <v>275</v>
      </c>
      <c r="E64" s="158">
        <v>0</v>
      </c>
      <c r="F64" s="136"/>
      <c r="G64" s="136"/>
      <c r="H64" s="136"/>
      <c r="I64" s="137"/>
      <c r="J64" s="137"/>
      <c r="K64" s="137"/>
      <c r="L64" s="137">
        <f>$E64*L$62/1000</f>
        <v>0</v>
      </c>
      <c r="M64" s="137">
        <f t="shared" si="15"/>
        <v>0</v>
      </c>
      <c r="N64" s="137">
        <f t="shared" si="15"/>
        <v>0</v>
      </c>
      <c r="O64" s="137">
        <f t="shared" si="15"/>
        <v>0</v>
      </c>
      <c r="P64" s="137">
        <f t="shared" si="15"/>
        <v>0</v>
      </c>
      <c r="Q64" s="137">
        <f t="shared" si="15"/>
        <v>0</v>
      </c>
      <c r="R64" s="157"/>
    </row>
    <row r="65" spans="3:18" collapsed="1" x14ac:dyDescent="0.2">
      <c r="C65" s="135"/>
      <c r="D65" s="135" t="s">
        <v>242</v>
      </c>
      <c r="E65" s="149">
        <v>-3</v>
      </c>
      <c r="F65" s="136"/>
      <c r="G65" s="136"/>
      <c r="H65" s="136"/>
      <c r="I65" s="136"/>
      <c r="J65" s="136"/>
      <c r="K65" s="136"/>
      <c r="L65" s="137">
        <f>$E65*L$62/1000</f>
        <v>-144</v>
      </c>
      <c r="M65" s="137">
        <f t="shared" si="15"/>
        <v>-288</v>
      </c>
      <c r="N65" s="137">
        <f t="shared" si="15"/>
        <v>-432</v>
      </c>
      <c r="O65" s="137">
        <f t="shared" si="15"/>
        <v>-1296</v>
      </c>
      <c r="P65" s="137">
        <f t="shared" si="15"/>
        <v>-1296</v>
      </c>
      <c r="Q65" s="137">
        <f t="shared" si="15"/>
        <v>-1296</v>
      </c>
      <c r="R65" s="157"/>
    </row>
    <row r="66" spans="3:18" ht="13.5" thickBot="1" x14ac:dyDescent="0.25">
      <c r="C66" s="135"/>
      <c r="D66" s="355" t="s">
        <v>239</v>
      </c>
      <c r="E66" s="355"/>
      <c r="F66" s="138"/>
      <c r="G66" s="138"/>
      <c r="H66" s="138"/>
      <c r="I66" s="138"/>
      <c r="J66" s="138"/>
      <c r="K66" s="138"/>
      <c r="L66" s="139">
        <f t="shared" ref="L66:Q66" si="16">SUM(L63:L65)</f>
        <v>192</v>
      </c>
      <c r="M66" s="139">
        <f t="shared" si="16"/>
        <v>384</v>
      </c>
      <c r="N66" s="139">
        <f t="shared" si="16"/>
        <v>576</v>
      </c>
      <c r="O66" s="139">
        <f t="shared" si="16"/>
        <v>1728</v>
      </c>
      <c r="P66" s="139">
        <f t="shared" si="16"/>
        <v>1728</v>
      </c>
      <c r="Q66" s="139">
        <f t="shared" si="16"/>
        <v>1728</v>
      </c>
      <c r="R66" s="157"/>
    </row>
    <row r="67" spans="3:18" ht="13.5" thickTop="1" x14ac:dyDescent="0.2">
      <c r="C67" s="135"/>
      <c r="D67" s="135"/>
      <c r="F67" s="136"/>
      <c r="G67" s="136"/>
      <c r="H67" s="136"/>
      <c r="I67" s="136"/>
      <c r="J67" s="136"/>
      <c r="K67" s="136"/>
      <c r="L67" s="111"/>
      <c r="M67" s="111"/>
      <c r="N67" s="111"/>
      <c r="O67" s="111"/>
      <c r="P67" s="111"/>
      <c r="Q67" s="111"/>
      <c r="R67" s="157"/>
    </row>
    <row r="68" spans="3:18" x14ac:dyDescent="0.2">
      <c r="C68" s="135" t="s">
        <v>259</v>
      </c>
      <c r="D68" s="135"/>
      <c r="K68" s="160">
        <f>SUM(F70:K70)</f>
        <v>-1189.5</v>
      </c>
      <c r="L68" s="160">
        <f>SUM(F72:K72)</f>
        <v>-110.5</v>
      </c>
      <c r="R68" s="157"/>
    </row>
    <row r="69" spans="3:18" x14ac:dyDescent="0.2">
      <c r="C69" s="135"/>
      <c r="D69" s="135" t="s">
        <v>238</v>
      </c>
      <c r="E69" s="136">
        <f>SUM(F69:K69)</f>
        <v>1.3</v>
      </c>
      <c r="F69" s="136">
        <v>0.4</v>
      </c>
      <c r="G69" s="136">
        <v>0.3</v>
      </c>
      <c r="H69" s="136">
        <v>0.2</v>
      </c>
      <c r="I69" s="136">
        <v>0.2</v>
      </c>
      <c r="J69" s="136">
        <v>0.1</v>
      </c>
      <c r="K69" s="136">
        <v>0.1</v>
      </c>
      <c r="R69" s="157"/>
    </row>
    <row r="70" spans="3:18" x14ac:dyDescent="0.2">
      <c r="C70" s="135"/>
      <c r="D70" s="135" t="s">
        <v>232</v>
      </c>
      <c r="E70" s="137">
        <f>ROUND(DCut_Capex!$G$36,-3)/1000</f>
        <v>915</v>
      </c>
      <c r="F70" s="137">
        <f t="shared" ref="F70:K70" si="17">-$E70*F$69</f>
        <v>-366</v>
      </c>
      <c r="G70" s="137">
        <f t="shared" si="17"/>
        <v>-274.5</v>
      </c>
      <c r="H70" s="137">
        <f t="shared" si="17"/>
        <v>-183</v>
      </c>
      <c r="I70" s="137">
        <f t="shared" si="17"/>
        <v>-183</v>
      </c>
      <c r="J70" s="137">
        <f t="shared" si="17"/>
        <v>-91.5</v>
      </c>
      <c r="K70" s="137">
        <f t="shared" si="17"/>
        <v>-91.5</v>
      </c>
      <c r="L70" s="137"/>
      <c r="M70" s="137"/>
      <c r="N70" s="137"/>
      <c r="O70" s="137"/>
      <c r="P70" s="137"/>
      <c r="Q70" s="137"/>
      <c r="R70" s="157"/>
    </row>
    <row r="71" spans="3:18" x14ac:dyDescent="0.2">
      <c r="C71" s="135"/>
      <c r="D71" s="135" t="s">
        <v>236</v>
      </c>
      <c r="E71" s="136">
        <v>0.8</v>
      </c>
      <c r="F71" s="137"/>
      <c r="G71" s="137"/>
      <c r="H71" s="137"/>
      <c r="I71" s="137"/>
      <c r="J71" s="137"/>
      <c r="K71" s="137"/>
      <c r="L71" s="137">
        <f>IF(K76&gt;=0,0,MIN($E71*L66,-K76))</f>
        <v>153.60000000000002</v>
      </c>
      <c r="M71" s="137">
        <f>IF(L76&gt;=0,0,MIN($E71*M66,-L76))</f>
        <v>307.20000000000005</v>
      </c>
      <c r="N71" s="137">
        <f>IF(M76&gt;=0,0,MIN($E71*N66,-M76))</f>
        <v>460.8</v>
      </c>
      <c r="O71" s="137">
        <f>IF(N76&gt;=0,0,MIN($E71*O66,-N76))</f>
        <v>267.90000000000003</v>
      </c>
      <c r="P71" s="137">
        <f>IF(O76&gt;=0,0,MIN($E71*P66,-O76))</f>
        <v>0</v>
      </c>
      <c r="Q71" s="137"/>
      <c r="R71" s="157"/>
    </row>
    <row r="72" spans="3:18" x14ac:dyDescent="0.2">
      <c r="C72" s="135"/>
      <c r="D72" s="135" t="s">
        <v>245</v>
      </c>
      <c r="E72" s="137">
        <f>1000-E70</f>
        <v>85</v>
      </c>
      <c r="F72" s="137">
        <f t="shared" ref="F72:K72" si="18">-$E72*F69</f>
        <v>-34</v>
      </c>
      <c r="G72" s="137">
        <f t="shared" si="18"/>
        <v>-25.5</v>
      </c>
      <c r="H72" s="137">
        <f t="shared" si="18"/>
        <v>-17</v>
      </c>
      <c r="I72" s="137">
        <f t="shared" si="18"/>
        <v>-17</v>
      </c>
      <c r="J72" s="137">
        <f t="shared" si="18"/>
        <v>-8.5</v>
      </c>
      <c r="K72" s="137">
        <f t="shared" si="18"/>
        <v>-8.5</v>
      </c>
      <c r="L72" s="137"/>
      <c r="M72" s="137"/>
      <c r="N72" s="137"/>
      <c r="O72" s="137"/>
      <c r="P72" s="137"/>
      <c r="Q72" s="137"/>
      <c r="R72" s="157"/>
    </row>
    <row r="73" spans="3:18" x14ac:dyDescent="0.2">
      <c r="C73" s="135"/>
      <c r="D73" s="135" t="s">
        <v>237</v>
      </c>
      <c r="E73" s="136">
        <v>0.5</v>
      </c>
      <c r="F73" s="137"/>
      <c r="G73" s="137"/>
      <c r="H73" s="137"/>
      <c r="I73" s="137"/>
      <c r="J73" s="137"/>
      <c r="K73" s="137"/>
      <c r="L73" s="137">
        <f>MAX(0,$E73*(L66-L71/$E$45))</f>
        <v>0</v>
      </c>
      <c r="M73" s="137">
        <f>MAX(0,$E73*(M66-M71/$E$45))</f>
        <v>0</v>
      </c>
      <c r="N73" s="137">
        <f>MAX(0,$E73*(N66-N71/$E$45))</f>
        <v>0</v>
      </c>
      <c r="O73" s="137">
        <f>MAX(0,$E73*(O66-O71/$E71))</f>
        <v>696.5625</v>
      </c>
      <c r="P73" s="137">
        <f>MAX(0,$E73*(P66-P71/$E71))</f>
        <v>864</v>
      </c>
      <c r="Q73" s="137">
        <f>MAX(0,$E73*(Q66-Q71/$E71))</f>
        <v>864</v>
      </c>
      <c r="R73" s="157"/>
    </row>
    <row r="74" spans="3:18" ht="13.5" thickBot="1" x14ac:dyDescent="0.25">
      <c r="C74" s="135"/>
      <c r="D74" s="355" t="s">
        <v>253</v>
      </c>
      <c r="E74" s="355"/>
      <c r="F74" s="139">
        <f t="shared" ref="F74:O74" si="19">F70+F72+F71+F73</f>
        <v>-400</v>
      </c>
      <c r="G74" s="139">
        <f t="shared" si="19"/>
        <v>-300</v>
      </c>
      <c r="H74" s="139">
        <f>H70+H72+H71+H73</f>
        <v>-200</v>
      </c>
      <c r="I74" s="139">
        <f>I70+I72+I71+I73</f>
        <v>-200</v>
      </c>
      <c r="J74" s="139">
        <f>J70+J72+J71+J73</f>
        <v>-100</v>
      </c>
      <c r="K74" s="139">
        <f>K70+K72+K71+K73</f>
        <v>-100</v>
      </c>
      <c r="L74" s="139">
        <f t="shared" si="19"/>
        <v>153.60000000000002</v>
      </c>
      <c r="M74" s="139">
        <f t="shared" si="19"/>
        <v>307.20000000000005</v>
      </c>
      <c r="N74" s="139">
        <f t="shared" si="19"/>
        <v>460.8</v>
      </c>
      <c r="O74" s="139">
        <f t="shared" si="19"/>
        <v>964.46250000000009</v>
      </c>
      <c r="P74" s="139">
        <f>P70+P72+P71+P73</f>
        <v>864</v>
      </c>
      <c r="Q74" s="139">
        <f>Q70+Q72+Q71+Q73</f>
        <v>864</v>
      </c>
      <c r="R74" s="157"/>
    </row>
    <row r="75" spans="3:18" ht="14.25" thickTop="1" thickBot="1" x14ac:dyDescent="0.25">
      <c r="C75" s="135"/>
      <c r="D75" s="356" t="s">
        <v>254</v>
      </c>
      <c r="E75" s="356"/>
      <c r="F75" s="152">
        <f t="shared" ref="F75:Q75" si="20">E75+F74</f>
        <v>-400</v>
      </c>
      <c r="G75" s="152">
        <f t="shared" si="20"/>
        <v>-700</v>
      </c>
      <c r="H75" s="152">
        <f t="shared" si="20"/>
        <v>-900</v>
      </c>
      <c r="I75" s="152">
        <f t="shared" si="20"/>
        <v>-1100</v>
      </c>
      <c r="J75" s="152">
        <f t="shared" si="20"/>
        <v>-1200</v>
      </c>
      <c r="K75" s="152">
        <f t="shared" si="20"/>
        <v>-1300</v>
      </c>
      <c r="L75" s="152">
        <f t="shared" si="20"/>
        <v>-1146.4000000000001</v>
      </c>
      <c r="M75" s="152">
        <f t="shared" si="20"/>
        <v>-839.2</v>
      </c>
      <c r="N75" s="152">
        <f t="shared" si="20"/>
        <v>-378.40000000000003</v>
      </c>
      <c r="O75" s="152">
        <f t="shared" si="20"/>
        <v>586.0625</v>
      </c>
      <c r="P75" s="152">
        <f t="shared" si="20"/>
        <v>1450.0625</v>
      </c>
      <c r="Q75" s="152">
        <f t="shared" si="20"/>
        <v>2314.0625</v>
      </c>
      <c r="R75" s="157"/>
    </row>
    <row r="76" spans="3:18" x14ac:dyDescent="0.2">
      <c r="C76" s="135"/>
      <c r="D76" s="151" t="s">
        <v>246</v>
      </c>
      <c r="E76" s="147"/>
      <c r="F76" s="148">
        <f t="shared" ref="F76:N76" si="21">E76+F74-F72</f>
        <v>-366</v>
      </c>
      <c r="G76" s="148">
        <f t="shared" si="21"/>
        <v>-640.5</v>
      </c>
      <c r="H76" s="148">
        <f t="shared" si="21"/>
        <v>-823.5</v>
      </c>
      <c r="I76" s="148">
        <f t="shared" si="21"/>
        <v>-1006.5</v>
      </c>
      <c r="J76" s="148">
        <f t="shared" si="21"/>
        <v>-1098</v>
      </c>
      <c r="K76" s="148">
        <f t="shared" si="21"/>
        <v>-1189.5</v>
      </c>
      <c r="L76" s="148">
        <f t="shared" si="21"/>
        <v>-1035.9000000000001</v>
      </c>
      <c r="M76" s="148">
        <f t="shared" si="21"/>
        <v>-728.7</v>
      </c>
      <c r="N76" s="148">
        <f t="shared" si="21"/>
        <v>-267.90000000000003</v>
      </c>
      <c r="O76" s="148"/>
      <c r="P76" s="148"/>
      <c r="Q76" s="148"/>
      <c r="R76" s="157"/>
    </row>
    <row r="77" spans="3:18" x14ac:dyDescent="0.2">
      <c r="C77" s="135"/>
      <c r="D77" s="147"/>
      <c r="E77" s="147"/>
      <c r="F77" s="148"/>
      <c r="G77" s="148"/>
      <c r="H77" s="148"/>
      <c r="I77" s="148"/>
      <c r="J77" s="148"/>
      <c r="K77" s="148"/>
      <c r="L77" s="148"/>
      <c r="M77" s="148"/>
      <c r="N77" s="148"/>
      <c r="O77" s="159"/>
      <c r="P77" s="148"/>
      <c r="Q77" s="148"/>
      <c r="R77" s="157"/>
    </row>
    <row r="78" spans="3:18" x14ac:dyDescent="0.2">
      <c r="C78" s="135" t="s">
        <v>255</v>
      </c>
      <c r="D78" s="135"/>
      <c r="O78" s="160"/>
      <c r="R78" s="157"/>
    </row>
    <row r="79" spans="3:18" x14ac:dyDescent="0.2">
      <c r="C79" s="135"/>
      <c r="D79" s="135" t="s">
        <v>232</v>
      </c>
      <c r="E79" s="111">
        <v>0</v>
      </c>
      <c r="F79" s="141">
        <f>-$E79*F$43</f>
        <v>0</v>
      </c>
      <c r="G79" s="141">
        <f>-$E79*G$43</f>
        <v>0</v>
      </c>
      <c r="H79" s="141">
        <f>-$E79*H$43</f>
        <v>0</v>
      </c>
      <c r="I79" s="141">
        <f>-$E79*I$13</f>
        <v>0</v>
      </c>
      <c r="J79" s="141">
        <f>-$E79*J$13</f>
        <v>0</v>
      </c>
      <c r="K79" s="141">
        <f>-$E79*K$13</f>
        <v>0</v>
      </c>
      <c r="R79" s="157"/>
    </row>
    <row r="80" spans="3:18" x14ac:dyDescent="0.2">
      <c r="C80" s="135"/>
      <c r="D80" s="135" t="s">
        <v>256</v>
      </c>
      <c r="E80" s="150">
        <v>1</v>
      </c>
      <c r="F80" s="137">
        <f>F62*$E80/1000</f>
        <v>0</v>
      </c>
      <c r="G80" s="137">
        <f>G62*$E80/1000</f>
        <v>0</v>
      </c>
      <c r="H80" s="137">
        <f>H62*$E80/1000</f>
        <v>0</v>
      </c>
      <c r="I80" s="137">
        <f>I62*$E80/1000</f>
        <v>0</v>
      </c>
      <c r="J80" s="137">
        <f t="shared" ref="J80:Q80" si="22">J62*$E80/1000</f>
        <v>0</v>
      </c>
      <c r="K80" s="137">
        <f t="shared" si="22"/>
        <v>0</v>
      </c>
      <c r="L80" s="137">
        <f t="shared" si="22"/>
        <v>48</v>
      </c>
      <c r="M80" s="137">
        <f t="shared" si="22"/>
        <v>96</v>
      </c>
      <c r="N80" s="137">
        <f t="shared" si="22"/>
        <v>144</v>
      </c>
      <c r="O80" s="137">
        <f t="shared" si="22"/>
        <v>432</v>
      </c>
      <c r="P80" s="137">
        <f t="shared" si="22"/>
        <v>432</v>
      </c>
      <c r="Q80" s="137">
        <f t="shared" si="22"/>
        <v>432</v>
      </c>
      <c r="R80" s="157"/>
    </row>
    <row r="81" spans="3:34" ht="13.5" thickBot="1" x14ac:dyDescent="0.25">
      <c r="C81" s="135"/>
      <c r="D81" s="357" t="s">
        <v>257</v>
      </c>
      <c r="E81" s="357"/>
      <c r="F81" s="140">
        <f t="shared" ref="F81:Q81" si="23">E81+F80</f>
        <v>0</v>
      </c>
      <c r="G81" s="140">
        <f t="shared" si="23"/>
        <v>0</v>
      </c>
      <c r="H81" s="140">
        <f t="shared" si="23"/>
        <v>0</v>
      </c>
      <c r="I81" s="140">
        <f t="shared" si="23"/>
        <v>0</v>
      </c>
      <c r="J81" s="140">
        <f t="shared" si="23"/>
        <v>0</v>
      </c>
      <c r="K81" s="140">
        <f t="shared" si="23"/>
        <v>0</v>
      </c>
      <c r="L81" s="140">
        <f t="shared" si="23"/>
        <v>48</v>
      </c>
      <c r="M81" s="140">
        <f t="shared" si="23"/>
        <v>144</v>
      </c>
      <c r="N81" s="140">
        <f t="shared" si="23"/>
        <v>288</v>
      </c>
      <c r="O81" s="140">
        <f t="shared" si="23"/>
        <v>720</v>
      </c>
      <c r="P81" s="140">
        <f t="shared" si="23"/>
        <v>1152</v>
      </c>
      <c r="Q81" s="140">
        <f t="shared" si="23"/>
        <v>1584</v>
      </c>
      <c r="R81" s="157"/>
    </row>
    <row r="82" spans="3:34" x14ac:dyDescent="0.2"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</row>
    <row r="83" spans="3:34" ht="18.75" x14ac:dyDescent="0.3">
      <c r="C83" s="154" t="s">
        <v>249</v>
      </c>
      <c r="R83" s="157"/>
      <c r="S83" s="156" t="s">
        <v>264</v>
      </c>
    </row>
    <row r="84" spans="3:34" x14ac:dyDescent="0.2">
      <c r="R84" s="157"/>
    </row>
    <row r="85" spans="3:34" x14ac:dyDescent="0.2">
      <c r="D85" s="142" t="s">
        <v>241</v>
      </c>
      <c r="E85" s="142"/>
      <c r="F85" s="143">
        <v>1</v>
      </c>
      <c r="G85" s="143">
        <v>2</v>
      </c>
      <c r="H85" s="143">
        <v>3</v>
      </c>
      <c r="I85" s="143">
        <v>4</v>
      </c>
      <c r="J85" s="143">
        <v>5</v>
      </c>
      <c r="K85" s="143">
        <v>6</v>
      </c>
      <c r="L85" s="143">
        <v>7</v>
      </c>
      <c r="M85" s="143">
        <v>8</v>
      </c>
      <c r="N85" s="143">
        <v>9</v>
      </c>
      <c r="O85" s="144" t="str">
        <f>O59</f>
        <v>10-12</v>
      </c>
      <c r="P85" s="144" t="str">
        <f>P59</f>
        <v>13-15</v>
      </c>
      <c r="Q85" s="144" t="str">
        <f>Q59</f>
        <v>16-18</v>
      </c>
      <c r="R85" s="157"/>
      <c r="S85" s="146" t="str">
        <f>D85</f>
        <v>Month</v>
      </c>
      <c r="T85" s="143">
        <f t="shared" ref="T85:AA85" si="24">F85</f>
        <v>1</v>
      </c>
      <c r="U85" s="143">
        <f t="shared" si="24"/>
        <v>2</v>
      </c>
      <c r="V85" s="143">
        <f t="shared" si="24"/>
        <v>3</v>
      </c>
      <c r="W85" s="143">
        <f t="shared" si="24"/>
        <v>4</v>
      </c>
      <c r="X85" s="143">
        <f t="shared" si="24"/>
        <v>5</v>
      </c>
      <c r="Y85" s="143">
        <f t="shared" si="24"/>
        <v>6</v>
      </c>
      <c r="Z85" s="143">
        <f t="shared" si="24"/>
        <v>7</v>
      </c>
      <c r="AA85" s="143">
        <f t="shared" si="24"/>
        <v>8</v>
      </c>
      <c r="AB85" s="143">
        <f>N85</f>
        <v>9</v>
      </c>
      <c r="AC85" s="143" t="str">
        <f>O85</f>
        <v>10-12</v>
      </c>
      <c r="AD85" s="143" t="str">
        <f>P85</f>
        <v>13-15</v>
      </c>
      <c r="AE85" s="143" t="str">
        <f>Q85</f>
        <v>16-18</v>
      </c>
    </row>
    <row r="86" spans="3:34" ht="13.5" thickBot="1" x14ac:dyDescent="0.25">
      <c r="C86" s="135"/>
      <c r="D86" s="135" t="s">
        <v>233</v>
      </c>
      <c r="I86" s="111">
        <v>10000</v>
      </c>
      <c r="J86" s="111">
        <v>10000</v>
      </c>
      <c r="K86" s="111">
        <v>10000</v>
      </c>
      <c r="L86" s="111">
        <v>10000</v>
      </c>
      <c r="M86" s="111">
        <v>10000</v>
      </c>
      <c r="N86" s="111">
        <v>10000</v>
      </c>
      <c r="O86" s="111">
        <v>10000</v>
      </c>
      <c r="P86" s="111">
        <v>10000</v>
      </c>
      <c r="Q86" s="111">
        <v>10000</v>
      </c>
      <c r="R86" s="157"/>
      <c r="S86" s="155" t="str">
        <f>D101</f>
        <v>#3: Upside Case Cum CFlow</v>
      </c>
      <c r="T86" s="140">
        <f t="shared" ref="T86:AA86" si="25">F101</f>
        <v>-380</v>
      </c>
      <c r="U86" s="140">
        <f t="shared" si="25"/>
        <v>-760</v>
      </c>
      <c r="V86" s="140">
        <f t="shared" si="25"/>
        <v>-950</v>
      </c>
      <c r="W86" s="140">
        <f t="shared" si="25"/>
        <v>-190</v>
      </c>
      <c r="X86" s="140">
        <f t="shared" si="25"/>
        <v>800.96875</v>
      </c>
      <c r="Y86" s="140">
        <f t="shared" si="25"/>
        <v>2225.96875</v>
      </c>
      <c r="Z86" s="140">
        <f t="shared" si="25"/>
        <v>3650.96875</v>
      </c>
      <c r="AA86" s="140">
        <f t="shared" si="25"/>
        <v>5075.96875</v>
      </c>
      <c r="AB86" s="140">
        <f>N101</f>
        <v>6500.96875</v>
      </c>
      <c r="AC86" s="140">
        <f>O101</f>
        <v>10775.96875</v>
      </c>
      <c r="AD86" s="140">
        <f>P101</f>
        <v>15050.96875</v>
      </c>
      <c r="AE86" s="140">
        <f>Q101</f>
        <v>19325.96875</v>
      </c>
    </row>
    <row r="87" spans="3:34" ht="13.5" thickBot="1" x14ac:dyDescent="0.25">
      <c r="C87" s="135"/>
      <c r="D87" s="135" t="s">
        <v>234</v>
      </c>
      <c r="F87" s="136"/>
      <c r="G87" s="136"/>
      <c r="H87" s="136"/>
      <c r="I87" s="111">
        <v>10</v>
      </c>
      <c r="J87" s="111">
        <v>20</v>
      </c>
      <c r="K87" s="111">
        <v>30</v>
      </c>
      <c r="L87" s="111">
        <f>K87</f>
        <v>30</v>
      </c>
      <c r="M87" s="111">
        <f>L87</f>
        <v>30</v>
      </c>
      <c r="N87" s="111">
        <f>M87</f>
        <v>30</v>
      </c>
      <c r="O87" s="111">
        <f>N87*3</f>
        <v>90</v>
      </c>
      <c r="P87" s="111">
        <f>O87</f>
        <v>90</v>
      </c>
      <c r="Q87" s="111">
        <f>P87</f>
        <v>90</v>
      </c>
      <c r="R87" s="157"/>
      <c r="S87" s="155" t="str">
        <f>D107</f>
        <v>#3b: Cumulative Royalty</v>
      </c>
      <c r="T87" s="140">
        <f t="shared" ref="T87:AA87" si="26">F107</f>
        <v>0</v>
      </c>
      <c r="U87" s="140">
        <f t="shared" si="26"/>
        <v>0</v>
      </c>
      <c r="V87" s="140">
        <f t="shared" si="26"/>
        <v>0</v>
      </c>
      <c r="W87" s="140">
        <f t="shared" si="26"/>
        <v>200</v>
      </c>
      <c r="X87" s="140">
        <f t="shared" si="26"/>
        <v>600</v>
      </c>
      <c r="Y87" s="140">
        <f t="shared" si="26"/>
        <v>1200</v>
      </c>
      <c r="Z87" s="140">
        <f t="shared" si="26"/>
        <v>1800</v>
      </c>
      <c r="AA87" s="140">
        <f t="shared" si="26"/>
        <v>2400</v>
      </c>
      <c r="AB87" s="140">
        <f>N107</f>
        <v>3000</v>
      </c>
      <c r="AC87" s="140">
        <f>O107</f>
        <v>4800</v>
      </c>
      <c r="AD87" s="140">
        <f>P107</f>
        <v>6600</v>
      </c>
      <c r="AE87" s="140">
        <f>Q107</f>
        <v>8400</v>
      </c>
    </row>
    <row r="88" spans="3:34" x14ac:dyDescent="0.2">
      <c r="C88" s="135"/>
      <c r="D88" s="135" t="s">
        <v>235</v>
      </c>
      <c r="F88" s="136"/>
      <c r="G88" s="136"/>
      <c r="H88" s="136"/>
      <c r="I88" s="111">
        <f>I86*I87</f>
        <v>100000</v>
      </c>
      <c r="J88" s="111">
        <f t="shared" ref="J88:Q88" si="27">J86*J87</f>
        <v>200000</v>
      </c>
      <c r="K88" s="111">
        <f t="shared" si="27"/>
        <v>300000</v>
      </c>
      <c r="L88" s="111">
        <f t="shared" si="27"/>
        <v>300000</v>
      </c>
      <c r="M88" s="111">
        <f t="shared" si="27"/>
        <v>300000</v>
      </c>
      <c r="N88" s="111">
        <f t="shared" si="27"/>
        <v>300000</v>
      </c>
      <c r="O88" s="111">
        <f t="shared" si="27"/>
        <v>900000</v>
      </c>
      <c r="P88" s="111">
        <f t="shared" si="27"/>
        <v>900000</v>
      </c>
      <c r="Q88" s="111">
        <f t="shared" si="27"/>
        <v>900000</v>
      </c>
      <c r="R88" s="157"/>
    </row>
    <row r="89" spans="3:34" x14ac:dyDescent="0.2">
      <c r="C89" s="135"/>
      <c r="D89" s="135" t="s">
        <v>274</v>
      </c>
      <c r="E89" s="149">
        <v>10</v>
      </c>
      <c r="F89" s="136"/>
      <c r="G89" s="136"/>
      <c r="H89" s="136"/>
      <c r="I89" s="137">
        <f>$E89*I$88/1000</f>
        <v>1000</v>
      </c>
      <c r="J89" s="137">
        <f t="shared" ref="J89:Q91" si="28">$E89*J$88/1000</f>
        <v>2000</v>
      </c>
      <c r="K89" s="137">
        <f t="shared" si="28"/>
        <v>3000</v>
      </c>
      <c r="L89" s="137">
        <f t="shared" si="28"/>
        <v>3000</v>
      </c>
      <c r="M89" s="137">
        <f t="shared" si="28"/>
        <v>3000</v>
      </c>
      <c r="N89" s="137">
        <f t="shared" si="28"/>
        <v>3000</v>
      </c>
      <c r="O89" s="137">
        <f t="shared" si="28"/>
        <v>9000</v>
      </c>
      <c r="P89" s="137">
        <f t="shared" si="28"/>
        <v>9000</v>
      </c>
      <c r="Q89" s="137">
        <f t="shared" si="28"/>
        <v>9000</v>
      </c>
      <c r="R89" s="157"/>
    </row>
    <row r="90" spans="3:34" outlineLevel="1" x14ac:dyDescent="0.2">
      <c r="C90" s="135"/>
      <c r="D90" s="135" t="s">
        <v>275</v>
      </c>
      <c r="E90" s="158">
        <v>1</v>
      </c>
      <c r="F90" s="136"/>
      <c r="G90" s="136"/>
      <c r="H90" s="136"/>
      <c r="I90" s="137">
        <f>$E90*I$88/1000</f>
        <v>100</v>
      </c>
      <c r="J90" s="137">
        <f t="shared" si="28"/>
        <v>200</v>
      </c>
      <c r="K90" s="137">
        <f t="shared" si="28"/>
        <v>300</v>
      </c>
      <c r="L90" s="137">
        <f t="shared" si="28"/>
        <v>300</v>
      </c>
      <c r="M90" s="137">
        <f t="shared" si="28"/>
        <v>300</v>
      </c>
      <c r="N90" s="137">
        <f t="shared" si="28"/>
        <v>300</v>
      </c>
      <c r="O90" s="137">
        <f t="shared" si="28"/>
        <v>900</v>
      </c>
      <c r="P90" s="137">
        <f t="shared" si="28"/>
        <v>900</v>
      </c>
      <c r="Q90" s="137">
        <f t="shared" si="28"/>
        <v>900</v>
      </c>
      <c r="R90" s="157"/>
    </row>
    <row r="91" spans="3:34" x14ac:dyDescent="0.2">
      <c r="C91" s="135"/>
      <c r="D91" s="135" t="s">
        <v>242</v>
      </c>
      <c r="E91" s="158">
        <v>-1.5</v>
      </c>
      <c r="F91" s="136"/>
      <c r="G91" s="136"/>
      <c r="H91" s="136"/>
      <c r="I91" s="137">
        <f>$E91*I$88/1000</f>
        <v>-150</v>
      </c>
      <c r="J91" s="137">
        <f t="shared" si="28"/>
        <v>-300</v>
      </c>
      <c r="K91" s="137">
        <f t="shared" si="28"/>
        <v>-450</v>
      </c>
      <c r="L91" s="137">
        <f t="shared" si="28"/>
        <v>-450</v>
      </c>
      <c r="M91" s="137">
        <f t="shared" si="28"/>
        <v>-450</v>
      </c>
      <c r="N91" s="137">
        <f t="shared" si="28"/>
        <v>-450</v>
      </c>
      <c r="O91" s="137">
        <f t="shared" si="28"/>
        <v>-1350</v>
      </c>
      <c r="P91" s="137">
        <f t="shared" si="28"/>
        <v>-1350</v>
      </c>
      <c r="Q91" s="137">
        <f t="shared" si="28"/>
        <v>-1350</v>
      </c>
      <c r="R91" s="157"/>
    </row>
    <row r="92" spans="3:34" ht="13.5" thickBot="1" x14ac:dyDescent="0.25">
      <c r="C92" s="135"/>
      <c r="D92" s="355" t="s">
        <v>239</v>
      </c>
      <c r="E92" s="355"/>
      <c r="F92" s="138"/>
      <c r="G92" s="138"/>
      <c r="H92" s="138"/>
      <c r="I92" s="139">
        <f>SUM(I89:I91)</f>
        <v>950</v>
      </c>
      <c r="J92" s="139">
        <f t="shared" ref="J92:Q92" si="29">SUM(J89:J91)</f>
        <v>1900</v>
      </c>
      <c r="K92" s="139">
        <f t="shared" si="29"/>
        <v>2850</v>
      </c>
      <c r="L92" s="139">
        <f t="shared" si="29"/>
        <v>2850</v>
      </c>
      <c r="M92" s="139">
        <f t="shared" si="29"/>
        <v>2850</v>
      </c>
      <c r="N92" s="139">
        <f t="shared" si="29"/>
        <v>2850</v>
      </c>
      <c r="O92" s="139">
        <f t="shared" si="29"/>
        <v>8550</v>
      </c>
      <c r="P92" s="139">
        <f t="shared" si="29"/>
        <v>8550</v>
      </c>
      <c r="Q92" s="139">
        <f t="shared" si="29"/>
        <v>8550</v>
      </c>
      <c r="R92" s="157"/>
    </row>
    <row r="93" spans="3:34" ht="13.5" thickTop="1" x14ac:dyDescent="0.2">
      <c r="C93" s="135"/>
      <c r="D93" s="135"/>
      <c r="F93" s="136"/>
      <c r="G93" s="136"/>
      <c r="H93" s="136"/>
      <c r="I93" s="111"/>
      <c r="J93" s="111"/>
      <c r="K93" s="111"/>
      <c r="L93" s="111"/>
      <c r="M93" s="111"/>
      <c r="N93" s="111"/>
      <c r="O93" s="111"/>
      <c r="P93" s="111"/>
      <c r="Q93" s="111"/>
      <c r="R93" s="157"/>
    </row>
    <row r="94" spans="3:34" x14ac:dyDescent="0.2">
      <c r="C94" s="135" t="s">
        <v>260</v>
      </c>
      <c r="D94" s="135"/>
      <c r="R94" s="157"/>
    </row>
    <row r="95" spans="3:34" x14ac:dyDescent="0.2">
      <c r="C95" s="135"/>
      <c r="D95" s="135" t="s">
        <v>238</v>
      </c>
      <c r="E95" s="136">
        <f>SUM(F95:H95)</f>
        <v>0.95</v>
      </c>
      <c r="F95" s="136">
        <v>0.38</v>
      </c>
      <c r="G95" s="136">
        <v>0.38</v>
      </c>
      <c r="H95" s="136">
        <v>0.19</v>
      </c>
      <c r="R95" s="157"/>
    </row>
    <row r="96" spans="3:34" x14ac:dyDescent="0.2">
      <c r="C96" s="135"/>
      <c r="D96" s="135" t="s">
        <v>232</v>
      </c>
      <c r="E96" s="137">
        <f>ROUND(DCut_Capex!$G$36,-3)/1000</f>
        <v>915</v>
      </c>
      <c r="F96" s="137">
        <f>-$E96*F$95</f>
        <v>-347.7</v>
      </c>
      <c r="G96" s="137">
        <f>-$E96*G$95</f>
        <v>-347.7</v>
      </c>
      <c r="H96" s="137">
        <f>-$E96*H$95</f>
        <v>-173.85</v>
      </c>
      <c r="I96" s="137"/>
      <c r="J96" s="137"/>
      <c r="K96" s="137"/>
      <c r="L96" s="137"/>
      <c r="M96" s="137"/>
      <c r="N96" s="137"/>
      <c r="O96" s="137"/>
      <c r="P96" s="137"/>
      <c r="Q96" s="137"/>
      <c r="R96" s="157"/>
    </row>
    <row r="97" spans="3:34" x14ac:dyDescent="0.2">
      <c r="C97" s="135"/>
      <c r="D97" s="135" t="s">
        <v>236</v>
      </c>
      <c r="E97" s="136">
        <v>0.8</v>
      </c>
      <c r="F97" s="137"/>
      <c r="G97" s="137"/>
      <c r="H97" s="137"/>
      <c r="I97" s="137">
        <f>IF(H102&gt;=0,0,MIN($E97*I92,-H102))</f>
        <v>760</v>
      </c>
      <c r="J97" s="137">
        <f>IF(I102&gt;=0,0,MIN($E97*J92,-I102))</f>
        <v>109.25000000000011</v>
      </c>
      <c r="K97" s="137">
        <f>IF(J102&gt;=0,0,MIN($E97*K92,-J102))</f>
        <v>0</v>
      </c>
      <c r="L97" s="137"/>
      <c r="M97" s="137"/>
      <c r="N97" s="137"/>
      <c r="O97" s="137"/>
      <c r="P97" s="137"/>
      <c r="Q97" s="137"/>
      <c r="R97" s="157"/>
    </row>
    <row r="98" spans="3:34" x14ac:dyDescent="0.2">
      <c r="C98" s="135"/>
      <c r="D98" s="135" t="s">
        <v>245</v>
      </c>
      <c r="E98" s="137">
        <f>1000-E96</f>
        <v>85</v>
      </c>
      <c r="F98" s="137">
        <f>-$E98*F95</f>
        <v>-32.299999999999997</v>
      </c>
      <c r="G98" s="137">
        <f>-$E98*G95</f>
        <v>-32.299999999999997</v>
      </c>
      <c r="H98" s="137">
        <f>-$E98*H95</f>
        <v>-16.149999999999999</v>
      </c>
      <c r="I98" s="137"/>
      <c r="J98" s="137"/>
      <c r="K98" s="137"/>
      <c r="L98" s="137"/>
      <c r="M98" s="137"/>
      <c r="N98" s="137"/>
      <c r="O98" s="137"/>
      <c r="P98" s="137"/>
      <c r="Q98" s="137"/>
      <c r="R98" s="157"/>
    </row>
    <row r="99" spans="3:34" x14ac:dyDescent="0.2">
      <c r="C99" s="135"/>
      <c r="D99" s="135" t="s">
        <v>237</v>
      </c>
      <c r="E99" s="136">
        <v>0.5</v>
      </c>
      <c r="F99" s="137"/>
      <c r="G99" s="137"/>
      <c r="H99" s="137"/>
      <c r="I99" s="137">
        <f t="shared" ref="I99:N99" si="30">MAX(0,$E99*(I92-I97/$E97))</f>
        <v>0</v>
      </c>
      <c r="J99" s="137">
        <f t="shared" si="30"/>
        <v>881.71874999999989</v>
      </c>
      <c r="K99" s="137">
        <f t="shared" si="30"/>
        <v>1425</v>
      </c>
      <c r="L99" s="137">
        <f t="shared" si="30"/>
        <v>1425</v>
      </c>
      <c r="M99" s="137">
        <f t="shared" si="30"/>
        <v>1425</v>
      </c>
      <c r="N99" s="137">
        <f t="shared" si="30"/>
        <v>1425</v>
      </c>
      <c r="O99" s="137">
        <f>MAX(0,$E99*(O92-O97/$E97))</f>
        <v>4275</v>
      </c>
      <c r="P99" s="137">
        <f>MAX(0,$E99*(P92-P97/$E97))</f>
        <v>4275</v>
      </c>
      <c r="Q99" s="137">
        <f>MAX(0,$E99*(Q92-Q97/$E97))</f>
        <v>4275</v>
      </c>
      <c r="R99" s="157"/>
    </row>
    <row r="100" spans="3:34" ht="13.5" thickBot="1" x14ac:dyDescent="0.25">
      <c r="C100" s="135"/>
      <c r="D100" s="355" t="s">
        <v>248</v>
      </c>
      <c r="E100" s="355"/>
      <c r="F100" s="139">
        <f t="shared" ref="F100:Q100" si="31">F96+F98+F97+F99</f>
        <v>-380</v>
      </c>
      <c r="G100" s="139">
        <f t="shared" si="31"/>
        <v>-380</v>
      </c>
      <c r="H100" s="139">
        <f t="shared" si="31"/>
        <v>-190</v>
      </c>
      <c r="I100" s="139">
        <f t="shared" si="31"/>
        <v>760</v>
      </c>
      <c r="J100" s="139">
        <f t="shared" si="31"/>
        <v>990.96875</v>
      </c>
      <c r="K100" s="139">
        <f t="shared" si="31"/>
        <v>1425</v>
      </c>
      <c r="L100" s="139">
        <f t="shared" si="31"/>
        <v>1425</v>
      </c>
      <c r="M100" s="139">
        <f t="shared" si="31"/>
        <v>1425</v>
      </c>
      <c r="N100" s="139">
        <f t="shared" si="31"/>
        <v>1425</v>
      </c>
      <c r="O100" s="139">
        <f t="shared" si="31"/>
        <v>4275</v>
      </c>
      <c r="P100" s="139">
        <f t="shared" si="31"/>
        <v>4275</v>
      </c>
      <c r="Q100" s="139">
        <f t="shared" si="31"/>
        <v>4275</v>
      </c>
      <c r="R100" s="157"/>
    </row>
    <row r="101" spans="3:34" ht="14.25" thickTop="1" thickBot="1" x14ac:dyDescent="0.25">
      <c r="C101" s="135"/>
      <c r="D101" s="356" t="s">
        <v>269</v>
      </c>
      <c r="E101" s="356"/>
      <c r="F101" s="152">
        <f t="shared" ref="F101:Q101" si="32">E101+F100</f>
        <v>-380</v>
      </c>
      <c r="G101" s="152">
        <f t="shared" si="32"/>
        <v>-760</v>
      </c>
      <c r="H101" s="152">
        <f t="shared" si="32"/>
        <v>-950</v>
      </c>
      <c r="I101" s="152">
        <f t="shared" si="32"/>
        <v>-190</v>
      </c>
      <c r="J101" s="152">
        <f t="shared" si="32"/>
        <v>800.96875</v>
      </c>
      <c r="K101" s="152">
        <f t="shared" si="32"/>
        <v>2225.96875</v>
      </c>
      <c r="L101" s="152">
        <f t="shared" si="32"/>
        <v>3650.96875</v>
      </c>
      <c r="M101" s="152">
        <f t="shared" si="32"/>
        <v>5075.96875</v>
      </c>
      <c r="N101" s="152">
        <f t="shared" si="32"/>
        <v>6500.96875</v>
      </c>
      <c r="O101" s="152">
        <f t="shared" si="32"/>
        <v>10775.96875</v>
      </c>
      <c r="P101" s="152">
        <f t="shared" si="32"/>
        <v>15050.96875</v>
      </c>
      <c r="Q101" s="152">
        <f t="shared" si="32"/>
        <v>19325.96875</v>
      </c>
      <c r="R101" s="157"/>
    </row>
    <row r="102" spans="3:34" x14ac:dyDescent="0.2">
      <c r="C102" s="135"/>
      <c r="D102" s="151" t="s">
        <v>246</v>
      </c>
      <c r="E102" s="147"/>
      <c r="F102" s="148">
        <f>E102+F100-F98</f>
        <v>-347.7</v>
      </c>
      <c r="G102" s="148">
        <f>F102+G100-G98</f>
        <v>-695.40000000000009</v>
      </c>
      <c r="H102" s="148">
        <f>G102+H100-H98</f>
        <v>-869.25000000000011</v>
      </c>
      <c r="I102" s="148">
        <f>H102+I100-I98</f>
        <v>-109.25000000000011</v>
      </c>
      <c r="J102" s="148"/>
      <c r="K102" s="148"/>
      <c r="L102" s="148"/>
      <c r="M102" s="148"/>
      <c r="N102" s="148"/>
      <c r="O102" s="148"/>
      <c r="P102" s="148"/>
      <c r="Q102" s="148"/>
      <c r="R102" s="157"/>
    </row>
    <row r="103" spans="3:34" x14ac:dyDescent="0.2">
      <c r="C103" s="135"/>
      <c r="D103" s="147"/>
      <c r="E103" s="147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57"/>
    </row>
    <row r="104" spans="3:34" x14ac:dyDescent="0.2">
      <c r="C104" s="135" t="s">
        <v>261</v>
      </c>
      <c r="D104" s="135"/>
      <c r="R104" s="157"/>
    </row>
    <row r="105" spans="3:34" x14ac:dyDescent="0.2">
      <c r="C105" s="135"/>
      <c r="D105" s="135" t="s">
        <v>232</v>
      </c>
      <c r="E105" s="111">
        <v>0</v>
      </c>
      <c r="F105" s="141">
        <f>-$E105*F$43</f>
        <v>0</v>
      </c>
      <c r="G105" s="141">
        <f>-$E105*G$43</f>
        <v>0</v>
      </c>
      <c r="H105" s="141">
        <f>-$E105*H$43</f>
        <v>0</v>
      </c>
      <c r="R105" s="157"/>
    </row>
    <row r="106" spans="3:34" x14ac:dyDescent="0.2">
      <c r="C106" s="135"/>
      <c r="D106" s="135" t="s">
        <v>262</v>
      </c>
      <c r="E106" s="150">
        <v>2</v>
      </c>
      <c r="F106" s="137">
        <f>F88*$E106/1000</f>
        <v>0</v>
      </c>
      <c r="G106" s="137">
        <f>G88*$E106/1000</f>
        <v>0</v>
      </c>
      <c r="H106" s="137">
        <f>H88*$E106/1000</f>
        <v>0</v>
      </c>
      <c r="I106" s="137">
        <f>I88*$E106/1000</f>
        <v>200</v>
      </c>
      <c r="J106" s="137">
        <f t="shared" ref="J106:Q106" si="33">J88*$E106/1000</f>
        <v>400</v>
      </c>
      <c r="K106" s="137">
        <f t="shared" si="33"/>
        <v>600</v>
      </c>
      <c r="L106" s="137">
        <f t="shared" si="33"/>
        <v>600</v>
      </c>
      <c r="M106" s="137">
        <f t="shared" si="33"/>
        <v>600</v>
      </c>
      <c r="N106" s="137">
        <f t="shared" si="33"/>
        <v>600</v>
      </c>
      <c r="O106" s="137">
        <f t="shared" si="33"/>
        <v>1800</v>
      </c>
      <c r="P106" s="137">
        <f t="shared" si="33"/>
        <v>1800</v>
      </c>
      <c r="Q106" s="137">
        <f t="shared" si="33"/>
        <v>1800</v>
      </c>
      <c r="R106" s="157"/>
    </row>
    <row r="107" spans="3:34" ht="13.5" thickBot="1" x14ac:dyDescent="0.25">
      <c r="C107" s="135"/>
      <c r="D107" s="357" t="s">
        <v>263</v>
      </c>
      <c r="E107" s="357"/>
      <c r="F107" s="140">
        <f t="shared" ref="F107:Q107" si="34">E107+F106</f>
        <v>0</v>
      </c>
      <c r="G107" s="140">
        <f t="shared" si="34"/>
        <v>0</v>
      </c>
      <c r="H107" s="140">
        <f t="shared" si="34"/>
        <v>0</v>
      </c>
      <c r="I107" s="140">
        <f t="shared" si="34"/>
        <v>200</v>
      </c>
      <c r="J107" s="140">
        <f t="shared" si="34"/>
        <v>600</v>
      </c>
      <c r="K107" s="140">
        <f t="shared" si="34"/>
        <v>1200</v>
      </c>
      <c r="L107" s="140">
        <f t="shared" si="34"/>
        <v>1800</v>
      </c>
      <c r="M107" s="140">
        <f t="shared" si="34"/>
        <v>2400</v>
      </c>
      <c r="N107" s="140">
        <f t="shared" si="34"/>
        <v>3000</v>
      </c>
      <c r="O107" s="140">
        <f t="shared" si="34"/>
        <v>4800</v>
      </c>
      <c r="P107" s="140">
        <f t="shared" si="34"/>
        <v>6600</v>
      </c>
      <c r="Q107" s="140">
        <f t="shared" si="34"/>
        <v>8400</v>
      </c>
      <c r="R107" s="157"/>
    </row>
    <row r="108" spans="3:34" x14ac:dyDescent="0.2"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</row>
    <row r="109" spans="3:34" ht="18.75" x14ac:dyDescent="0.3">
      <c r="S109" s="154" t="s">
        <v>272</v>
      </c>
    </row>
    <row r="111" spans="3:34" x14ac:dyDescent="0.2">
      <c r="S111" s="142" t="s">
        <v>241</v>
      </c>
      <c r="T111" s="143">
        <f>T85</f>
        <v>1</v>
      </c>
      <c r="U111" s="143">
        <v>2</v>
      </c>
      <c r="V111" s="143">
        <v>3</v>
      </c>
      <c r="W111" s="143">
        <v>4</v>
      </c>
      <c r="X111" s="143">
        <v>5</v>
      </c>
      <c r="Y111" s="143">
        <v>6</v>
      </c>
      <c r="Z111" s="143">
        <v>7</v>
      </c>
      <c r="AA111" s="143">
        <v>8</v>
      </c>
      <c r="AB111" s="143">
        <v>9</v>
      </c>
      <c r="AC111" s="144" t="str">
        <f>O85</f>
        <v>10-12</v>
      </c>
      <c r="AD111" s="144" t="str">
        <f>P85</f>
        <v>13-15</v>
      </c>
      <c r="AE111" s="144" t="str">
        <f>Q85</f>
        <v>16-18</v>
      </c>
    </row>
    <row r="112" spans="3:34" x14ac:dyDescent="0.2">
      <c r="S112" s="161" t="str">
        <f>D49</f>
        <v>#1: Base Case Cum CFlow</v>
      </c>
      <c r="T112" s="148">
        <f>T4</f>
        <v>-400</v>
      </c>
      <c r="U112" s="148">
        <f t="shared" ref="U112:AE112" si="35">U4</f>
        <v>-800</v>
      </c>
      <c r="V112" s="148">
        <f t="shared" si="35"/>
        <v>-1000</v>
      </c>
      <c r="W112" s="148">
        <f t="shared" si="35"/>
        <v>-616</v>
      </c>
      <c r="X112" s="148">
        <f t="shared" si="35"/>
        <v>63.125</v>
      </c>
      <c r="Y112" s="148">
        <f t="shared" si="35"/>
        <v>783.125</v>
      </c>
      <c r="Z112" s="148">
        <f t="shared" si="35"/>
        <v>1503.125</v>
      </c>
      <c r="AA112" s="148">
        <f t="shared" si="35"/>
        <v>2223.125</v>
      </c>
      <c r="AB112" s="148">
        <f t="shared" si="35"/>
        <v>2943.125</v>
      </c>
      <c r="AC112" s="148">
        <f t="shared" si="35"/>
        <v>5103.125</v>
      </c>
      <c r="AD112" s="148">
        <f t="shared" si="35"/>
        <v>7263.125</v>
      </c>
      <c r="AE112" s="148">
        <f t="shared" si="35"/>
        <v>9423.125</v>
      </c>
    </row>
    <row r="113" spans="19:31" x14ac:dyDescent="0.2">
      <c r="S113" s="161" t="str">
        <f>D75</f>
        <v>#2: Downside Cum CFlow</v>
      </c>
      <c r="T113" s="148">
        <f>T60</f>
        <v>-400</v>
      </c>
      <c r="U113" s="148">
        <f t="shared" ref="U113:AE113" si="36">U60</f>
        <v>-700</v>
      </c>
      <c r="V113" s="148">
        <f t="shared" si="36"/>
        <v>-900</v>
      </c>
      <c r="W113" s="148">
        <f t="shared" si="36"/>
        <v>-1100</v>
      </c>
      <c r="X113" s="148">
        <f t="shared" si="36"/>
        <v>-1200</v>
      </c>
      <c r="Y113" s="148">
        <f t="shared" si="36"/>
        <v>-1300</v>
      </c>
      <c r="Z113" s="148">
        <f t="shared" si="36"/>
        <v>-1146.4000000000001</v>
      </c>
      <c r="AA113" s="148">
        <f t="shared" si="36"/>
        <v>-839.2</v>
      </c>
      <c r="AB113" s="148">
        <f t="shared" si="36"/>
        <v>-378.40000000000003</v>
      </c>
      <c r="AC113" s="148">
        <f t="shared" si="36"/>
        <v>586.0625</v>
      </c>
      <c r="AD113" s="148">
        <f t="shared" si="36"/>
        <v>1450.0625</v>
      </c>
      <c r="AE113" s="148">
        <f t="shared" si="36"/>
        <v>2314.0625</v>
      </c>
    </row>
    <row r="114" spans="19:31" x14ac:dyDescent="0.2">
      <c r="S114" s="161" t="str">
        <f>D101</f>
        <v>#3: Upside Case Cum CFlow</v>
      </c>
      <c r="T114" s="148">
        <f>T86</f>
        <v>-380</v>
      </c>
      <c r="U114" s="148">
        <f t="shared" ref="U114:AE114" si="37">U86</f>
        <v>-760</v>
      </c>
      <c r="V114" s="148">
        <f t="shared" si="37"/>
        <v>-950</v>
      </c>
      <c r="W114" s="148">
        <f t="shared" si="37"/>
        <v>-190</v>
      </c>
      <c r="X114" s="148">
        <f t="shared" si="37"/>
        <v>800.96875</v>
      </c>
      <c r="Y114" s="148">
        <f t="shared" si="37"/>
        <v>2225.96875</v>
      </c>
      <c r="Z114" s="148">
        <f t="shared" si="37"/>
        <v>3650.96875</v>
      </c>
      <c r="AA114" s="148">
        <f t="shared" si="37"/>
        <v>5075.96875</v>
      </c>
      <c r="AB114" s="148">
        <f t="shared" si="37"/>
        <v>6500.96875</v>
      </c>
      <c r="AC114" s="148">
        <f t="shared" si="37"/>
        <v>10775.96875</v>
      </c>
      <c r="AD114" s="148">
        <f t="shared" si="37"/>
        <v>15050.96875</v>
      </c>
      <c r="AE114" s="148">
        <f t="shared" si="37"/>
        <v>19325.96875</v>
      </c>
    </row>
  </sheetData>
  <mergeCells count="12">
    <mergeCell ref="D92:E92"/>
    <mergeCell ref="D100:E100"/>
    <mergeCell ref="D101:E101"/>
    <mergeCell ref="D107:E107"/>
    <mergeCell ref="D74:E74"/>
    <mergeCell ref="D75:E75"/>
    <mergeCell ref="D81:E81"/>
    <mergeCell ref="D10:E10"/>
    <mergeCell ref="D49:E49"/>
    <mergeCell ref="D55:E55"/>
    <mergeCell ref="D48:E48"/>
    <mergeCell ref="D66:E6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75" outlineLevelCol="1" x14ac:dyDescent="0.2"/>
  <cols>
    <col min="1" max="1" width="3.875" style="134" bestFit="1" customWidth="1"/>
    <col min="2" max="2" width="28" style="132" bestFit="1" customWidth="1"/>
    <col min="3" max="3" width="9.625" style="132" bestFit="1" customWidth="1" outlineLevel="1"/>
    <col min="4" max="4" width="3.375" style="132" bestFit="1" customWidth="1"/>
    <col min="5" max="6" width="8.625" style="132" bestFit="1" customWidth="1"/>
    <col min="7" max="7" width="9.375" style="132" bestFit="1" customWidth="1"/>
    <col min="8" max="8" width="3.5" style="132" customWidth="1"/>
    <col min="9" max="9" width="13.25" style="132" bestFit="1" customWidth="1"/>
    <col min="10" max="13" width="8" style="132" customWidth="1"/>
    <col min="14" max="14" width="8.625" style="132" customWidth="1"/>
    <col min="15" max="15" width="4.5" style="132" customWidth="1"/>
    <col min="16" max="16" width="13.125" style="132" bestFit="1" customWidth="1"/>
    <col min="17" max="16384" width="9" style="132"/>
  </cols>
  <sheetData>
    <row r="1" spans="1:15" s="166" customFormat="1" ht="15.75" x14ac:dyDescent="0.25">
      <c r="A1" s="164" t="s">
        <v>226</v>
      </c>
      <c r="B1" s="164"/>
      <c r="C1" s="164"/>
      <c r="D1" s="165"/>
      <c r="E1" s="165"/>
    </row>
    <row r="2" spans="1:15" ht="15" x14ac:dyDescent="0.25">
      <c r="A2" s="167" t="s">
        <v>95</v>
      </c>
      <c r="B2" s="168" t="s">
        <v>91</v>
      </c>
      <c r="C2" s="168" t="s">
        <v>94</v>
      </c>
      <c r="D2" s="168" t="s">
        <v>92</v>
      </c>
      <c r="E2" s="168" t="s">
        <v>8</v>
      </c>
      <c r="F2" s="168" t="s">
        <v>89</v>
      </c>
      <c r="G2" s="169"/>
      <c r="H2" s="169"/>
      <c r="I2" s="170" t="s">
        <v>164</v>
      </c>
      <c r="J2" s="168" t="s">
        <v>165</v>
      </c>
      <c r="K2" s="168" t="s">
        <v>166</v>
      </c>
      <c r="L2" s="168" t="s">
        <v>167</v>
      </c>
      <c r="M2" s="168" t="s">
        <v>168</v>
      </c>
      <c r="N2" s="171" t="s">
        <v>89</v>
      </c>
    </row>
    <row r="3" spans="1:15" x14ac:dyDescent="0.2">
      <c r="A3" s="134">
        <v>1.01</v>
      </c>
      <c r="B3" s="132" t="s">
        <v>93</v>
      </c>
      <c r="D3" s="133">
        <v>1</v>
      </c>
      <c r="E3" s="172">
        <v>60000</v>
      </c>
      <c r="F3" s="163"/>
      <c r="I3" s="132" t="s">
        <v>169</v>
      </c>
      <c r="K3" s="173">
        <f>ROUND(40%*$G$36,-2)</f>
        <v>365900</v>
      </c>
      <c r="L3" s="173">
        <f>ROUND(40%*$G$36,-2)</f>
        <v>365900</v>
      </c>
      <c r="M3" s="173">
        <f>ROUND(20%*$G$36,-2)</f>
        <v>183000</v>
      </c>
      <c r="N3" s="174">
        <f>SUM(J3:M3)</f>
        <v>914800</v>
      </c>
    </row>
    <row r="4" spans="1:15" x14ac:dyDescent="0.2">
      <c r="A4" s="134">
        <v>1.02</v>
      </c>
      <c r="B4" s="132" t="s">
        <v>286</v>
      </c>
      <c r="D4" s="133">
        <v>1</v>
      </c>
      <c r="E4" s="172">
        <v>7000</v>
      </c>
      <c r="F4" s="163"/>
      <c r="I4" s="132" t="s">
        <v>170</v>
      </c>
      <c r="K4" s="173">
        <v>65000</v>
      </c>
      <c r="N4" s="174">
        <f>SUM(J4:M4)</f>
        <v>65000</v>
      </c>
    </row>
    <row r="5" spans="1:15" x14ac:dyDescent="0.2">
      <c r="A5" s="134">
        <v>1.03</v>
      </c>
      <c r="B5" s="132" t="s">
        <v>277</v>
      </c>
      <c r="D5" s="133">
        <v>1</v>
      </c>
      <c r="E5" s="172">
        <v>25000</v>
      </c>
      <c r="F5" s="163"/>
      <c r="I5" s="132" t="s">
        <v>194</v>
      </c>
      <c r="J5" s="173">
        <v>29400</v>
      </c>
      <c r="K5" s="173">
        <v>35000</v>
      </c>
      <c r="L5" s="173">
        <v>35000</v>
      </c>
      <c r="M5" s="173">
        <v>35000</v>
      </c>
      <c r="N5" s="174">
        <f>SUM(J5:M5)</f>
        <v>134400</v>
      </c>
    </row>
    <row r="6" spans="1:15" x14ac:dyDescent="0.2">
      <c r="A6" s="134">
        <v>1.04</v>
      </c>
      <c r="B6" s="132" t="s">
        <v>278</v>
      </c>
      <c r="D6" s="133">
        <v>1</v>
      </c>
      <c r="E6" s="172">
        <v>30000</v>
      </c>
      <c r="F6" s="163"/>
      <c r="I6" s="132" t="s">
        <v>196</v>
      </c>
      <c r="J6" s="173">
        <v>7600</v>
      </c>
      <c r="K6" s="173">
        <v>7600</v>
      </c>
      <c r="L6" s="173">
        <v>7600</v>
      </c>
      <c r="M6" s="173">
        <v>7600</v>
      </c>
      <c r="N6" s="174">
        <f>SUM(J6:M6)</f>
        <v>30400</v>
      </c>
      <c r="O6" s="173"/>
    </row>
    <row r="7" spans="1:15" ht="16.5" thickBot="1" x14ac:dyDescent="0.3">
      <c r="A7" s="134">
        <v>1.05</v>
      </c>
      <c r="B7" s="132" t="s">
        <v>227</v>
      </c>
      <c r="D7" s="88">
        <v>1</v>
      </c>
      <c r="E7" s="172">
        <v>60000</v>
      </c>
      <c r="F7" s="163">
        <f t="shared" ref="F7:F14" si="0">D7*E7</f>
        <v>60000</v>
      </c>
      <c r="I7" s="175" t="s">
        <v>89</v>
      </c>
      <c r="J7" s="176">
        <f>SUM(J3:J6)</f>
        <v>37000</v>
      </c>
      <c r="K7" s="176">
        <f>SUM(K3:K6)</f>
        <v>473500</v>
      </c>
      <c r="L7" s="176">
        <f>SUM(L3:L6)</f>
        <v>408500</v>
      </c>
      <c r="M7" s="176">
        <f>SUM(M3:M6)</f>
        <v>225600</v>
      </c>
      <c r="N7" s="177">
        <f>SUM(N3:N6)</f>
        <v>1144600</v>
      </c>
    </row>
    <row r="8" spans="1:15" x14ac:dyDescent="0.2">
      <c r="A8" s="134">
        <v>1.06</v>
      </c>
      <c r="B8" s="132" t="s">
        <v>90</v>
      </c>
      <c r="D8" s="133">
        <v>1</v>
      </c>
      <c r="E8" s="163">
        <v>17850</v>
      </c>
      <c r="F8" s="173">
        <f t="shared" si="0"/>
        <v>17850</v>
      </c>
      <c r="I8" s="358" t="s">
        <v>195</v>
      </c>
      <c r="J8" s="358"/>
      <c r="K8" s="358"/>
      <c r="L8" s="358"/>
      <c r="M8" s="358"/>
      <c r="N8" s="358"/>
    </row>
    <row r="9" spans="1:15" x14ac:dyDescent="0.2">
      <c r="A9" s="134">
        <v>1.07</v>
      </c>
      <c r="B9" s="132" t="s">
        <v>192</v>
      </c>
      <c r="C9" s="178" t="s">
        <v>193</v>
      </c>
      <c r="D9" s="133">
        <v>2</v>
      </c>
      <c r="E9" s="163">
        <v>7500</v>
      </c>
      <c r="F9" s="173">
        <f t="shared" si="0"/>
        <v>15000</v>
      </c>
    </row>
    <row r="10" spans="1:15" x14ac:dyDescent="0.2">
      <c r="A10" s="134">
        <v>1.08</v>
      </c>
      <c r="B10" s="132" t="s">
        <v>222</v>
      </c>
      <c r="D10" s="133">
        <v>2</v>
      </c>
      <c r="E10" s="163">
        <v>28600</v>
      </c>
      <c r="F10" s="173">
        <f t="shared" si="0"/>
        <v>57200</v>
      </c>
    </row>
    <row r="11" spans="1:15" x14ac:dyDescent="0.2">
      <c r="A11" s="134">
        <v>1.0900000000000001</v>
      </c>
      <c r="B11" s="132" t="s">
        <v>287</v>
      </c>
      <c r="D11" s="133">
        <v>1</v>
      </c>
      <c r="E11" s="163">
        <v>30000</v>
      </c>
      <c r="F11" s="173">
        <f t="shared" si="0"/>
        <v>30000</v>
      </c>
    </row>
    <row r="12" spans="1:15" ht="15.75" x14ac:dyDescent="0.25">
      <c r="A12" s="134">
        <v>1.1000000000000001</v>
      </c>
      <c r="B12" s="132" t="s">
        <v>230</v>
      </c>
      <c r="C12" s="132" t="s">
        <v>229</v>
      </c>
      <c r="D12" s="88">
        <v>1</v>
      </c>
      <c r="E12" s="163">
        <f>68400</f>
        <v>68400</v>
      </c>
      <c r="F12" s="173">
        <f t="shared" si="0"/>
        <v>68400</v>
      </c>
    </row>
    <row r="13" spans="1:15" ht="15.75" x14ac:dyDescent="0.25">
      <c r="A13" s="134">
        <v>1.1100000000000001</v>
      </c>
      <c r="B13" s="132" t="s">
        <v>228</v>
      </c>
      <c r="D13" s="88">
        <v>1</v>
      </c>
      <c r="E13" s="163">
        <v>20000</v>
      </c>
      <c r="F13" s="173">
        <f t="shared" si="0"/>
        <v>20000</v>
      </c>
    </row>
    <row r="14" spans="1:15" x14ac:dyDescent="0.2">
      <c r="A14" s="134">
        <v>1.1200000000000001</v>
      </c>
      <c r="B14" s="132" t="s">
        <v>243</v>
      </c>
      <c r="D14" s="133">
        <v>1</v>
      </c>
      <c r="E14" s="173">
        <v>140000</v>
      </c>
      <c r="F14" s="173">
        <f t="shared" si="0"/>
        <v>140000</v>
      </c>
    </row>
    <row r="15" spans="1:15" x14ac:dyDescent="0.2">
      <c r="A15" s="134">
        <v>1.1299999999999999</v>
      </c>
      <c r="B15" s="132" t="s">
        <v>289</v>
      </c>
      <c r="D15" s="133">
        <v>4</v>
      </c>
      <c r="E15" s="163">
        <v>18000</v>
      </c>
      <c r="F15" s="163">
        <f t="shared" ref="F15:F22" si="1">D15*E15</f>
        <v>72000</v>
      </c>
    </row>
    <row r="16" spans="1:15" ht="15.75" x14ac:dyDescent="0.25">
      <c r="A16" s="134">
        <v>1.1499999999999999</v>
      </c>
      <c r="B16" s="132" t="s">
        <v>280</v>
      </c>
      <c r="D16" s="88">
        <v>1</v>
      </c>
      <c r="E16" s="172">
        <v>35000</v>
      </c>
      <c r="F16" s="163">
        <f>D16*E16</f>
        <v>35000</v>
      </c>
    </row>
    <row r="17" spans="1:10" x14ac:dyDescent="0.2">
      <c r="A17" s="134">
        <v>1.1599999999999999</v>
      </c>
      <c r="B17" s="132" t="s">
        <v>276</v>
      </c>
      <c r="D17" s="133">
        <v>5</v>
      </c>
      <c r="E17" s="172">
        <v>2000</v>
      </c>
      <c r="F17" s="163">
        <f t="shared" si="1"/>
        <v>10000</v>
      </c>
    </row>
    <row r="18" spans="1:10" x14ac:dyDescent="0.2">
      <c r="A18" s="134">
        <v>1.17</v>
      </c>
      <c r="B18" s="132" t="s">
        <v>288</v>
      </c>
      <c r="C18" s="132" t="s">
        <v>100</v>
      </c>
      <c r="D18" s="133">
        <v>2</v>
      </c>
      <c r="E18" s="163">
        <v>6000</v>
      </c>
      <c r="F18" s="173">
        <f t="shared" si="1"/>
        <v>12000</v>
      </c>
    </row>
    <row r="19" spans="1:10" x14ac:dyDescent="0.2">
      <c r="A19" s="134">
        <v>1.18</v>
      </c>
      <c r="B19" s="132" t="s">
        <v>96</v>
      </c>
      <c r="C19" s="132" t="s">
        <v>97</v>
      </c>
      <c r="D19" s="133">
        <v>4</v>
      </c>
      <c r="E19" s="163">
        <v>1500</v>
      </c>
      <c r="F19" s="173">
        <f t="shared" si="1"/>
        <v>6000</v>
      </c>
    </row>
    <row r="20" spans="1:10" x14ac:dyDescent="0.2">
      <c r="A20" s="134">
        <v>1.19</v>
      </c>
      <c r="B20" s="132" t="s">
        <v>98</v>
      </c>
      <c r="D20" s="133">
        <v>1</v>
      </c>
      <c r="E20" s="163">
        <v>20000</v>
      </c>
      <c r="F20" s="173">
        <f t="shared" si="1"/>
        <v>20000</v>
      </c>
    </row>
    <row r="21" spans="1:10" x14ac:dyDescent="0.2">
      <c r="A21" s="134">
        <v>1.2</v>
      </c>
      <c r="B21" s="132" t="s">
        <v>223</v>
      </c>
      <c r="C21" s="132" t="s">
        <v>99</v>
      </c>
      <c r="D21" s="133">
        <v>1</v>
      </c>
      <c r="E21" s="163">
        <v>40000</v>
      </c>
      <c r="F21" s="173">
        <f t="shared" si="1"/>
        <v>40000</v>
      </c>
    </row>
    <row r="22" spans="1:10" x14ac:dyDescent="0.2">
      <c r="A22" s="134">
        <v>1.21</v>
      </c>
      <c r="B22" s="132" t="s">
        <v>224</v>
      </c>
      <c r="D22" s="133">
        <v>1</v>
      </c>
      <c r="E22" s="163">
        <v>22000</v>
      </c>
      <c r="F22" s="173">
        <f t="shared" si="1"/>
        <v>22000</v>
      </c>
    </row>
    <row r="23" spans="1:10" ht="13.5" thickBot="1" x14ac:dyDescent="0.25">
      <c r="A23" s="179">
        <v>1.22</v>
      </c>
      <c r="B23" s="175" t="s">
        <v>104</v>
      </c>
      <c r="C23" s="180"/>
      <c r="D23" s="180"/>
      <c r="E23" s="181"/>
      <c r="F23" s="181"/>
      <c r="G23" s="176">
        <f>SUM(F3:F22)</f>
        <v>625450</v>
      </c>
      <c r="I23" s="182"/>
      <c r="J23" s="182"/>
    </row>
    <row r="24" spans="1:10" x14ac:dyDescent="0.2">
      <c r="A24" s="132"/>
      <c r="B24" s="182"/>
      <c r="C24" s="182"/>
      <c r="D24" s="182"/>
      <c r="E24" s="183"/>
      <c r="F24" s="184"/>
      <c r="G24" s="182"/>
      <c r="H24" s="182"/>
    </row>
    <row r="25" spans="1:10" x14ac:dyDescent="0.2">
      <c r="A25" s="134">
        <v>2.0099999999999998</v>
      </c>
      <c r="B25" s="132" t="s">
        <v>282</v>
      </c>
      <c r="C25" s="185"/>
      <c r="D25" s="133">
        <v>1</v>
      </c>
      <c r="E25" s="163">
        <v>100000</v>
      </c>
      <c r="F25" s="173">
        <f t="shared" ref="F25:F31" si="2">D25*E25</f>
        <v>100000</v>
      </c>
    </row>
    <row r="26" spans="1:10" x14ac:dyDescent="0.2">
      <c r="A26" s="134">
        <v>2.02</v>
      </c>
      <c r="B26" s="132" t="s">
        <v>283</v>
      </c>
      <c r="C26" s="185"/>
      <c r="D26" s="133">
        <v>1</v>
      </c>
      <c r="E26" s="163">
        <v>20000</v>
      </c>
      <c r="F26" s="173">
        <f t="shared" si="2"/>
        <v>20000</v>
      </c>
    </row>
    <row r="27" spans="1:10" x14ac:dyDescent="0.2">
      <c r="A27" s="134">
        <v>2.0299999999999998</v>
      </c>
      <c r="B27" s="132" t="s">
        <v>279</v>
      </c>
      <c r="D27" s="133">
        <v>1</v>
      </c>
      <c r="E27" s="163">
        <v>25000</v>
      </c>
      <c r="F27" s="173"/>
    </row>
    <row r="28" spans="1:10" x14ac:dyDescent="0.2">
      <c r="A28" s="134">
        <v>2.04</v>
      </c>
      <c r="B28" s="132" t="s">
        <v>284</v>
      </c>
      <c r="D28" s="133">
        <v>1</v>
      </c>
      <c r="E28" s="163">
        <v>30000</v>
      </c>
      <c r="F28" s="173"/>
    </row>
    <row r="29" spans="1:10" s="182" customFormat="1" x14ac:dyDescent="0.2">
      <c r="A29" s="134">
        <v>2.0499999999999998</v>
      </c>
      <c r="B29" s="132" t="s">
        <v>281</v>
      </c>
      <c r="C29" s="132" t="s">
        <v>285</v>
      </c>
      <c r="D29" s="186">
        <v>4</v>
      </c>
      <c r="E29" s="172">
        <v>15000</v>
      </c>
      <c r="F29" s="163"/>
      <c r="G29" s="132"/>
      <c r="H29" s="132"/>
      <c r="I29" s="132"/>
      <c r="J29" s="132"/>
    </row>
    <row r="30" spans="1:10" x14ac:dyDescent="0.2">
      <c r="A30" s="134">
        <v>2.06</v>
      </c>
      <c r="B30" s="132" t="s">
        <v>4</v>
      </c>
      <c r="D30" s="133">
        <v>1</v>
      </c>
      <c r="E30" s="163">
        <v>5000</v>
      </c>
      <c r="F30" s="173">
        <f t="shared" si="2"/>
        <v>5000</v>
      </c>
    </row>
    <row r="31" spans="1:10" x14ac:dyDescent="0.2">
      <c r="A31" s="134">
        <v>2.0699999999999998</v>
      </c>
      <c r="B31" s="132" t="s">
        <v>225</v>
      </c>
      <c r="D31" s="133">
        <v>1</v>
      </c>
      <c r="E31" s="163">
        <v>45000</v>
      </c>
      <c r="F31" s="173">
        <f t="shared" si="2"/>
        <v>45000</v>
      </c>
    </row>
    <row r="32" spans="1:10" ht="13.5" thickBot="1" x14ac:dyDescent="0.25">
      <c r="A32" s="179">
        <v>2.09</v>
      </c>
      <c r="B32" s="175" t="s">
        <v>191</v>
      </c>
      <c r="C32" s="180"/>
      <c r="D32" s="180"/>
      <c r="E32" s="181"/>
      <c r="F32" s="181"/>
      <c r="G32" s="176">
        <f>SUM(F25:F31)</f>
        <v>170000</v>
      </c>
    </row>
    <row r="33" spans="1:7" x14ac:dyDescent="0.2">
      <c r="A33" s="132"/>
      <c r="B33" s="187"/>
      <c r="C33" s="188"/>
      <c r="D33" s="188"/>
      <c r="E33" s="189"/>
      <c r="F33" s="189"/>
      <c r="G33" s="190"/>
    </row>
    <row r="34" spans="1:7" x14ac:dyDescent="0.2">
      <c r="A34" s="134">
        <v>3.01</v>
      </c>
      <c r="B34" s="132" t="s">
        <v>231</v>
      </c>
      <c r="C34" s="191"/>
      <c r="D34" s="133"/>
      <c r="F34" s="173">
        <f>G32+G23</f>
        <v>795450</v>
      </c>
    </row>
    <row r="35" spans="1:7" x14ac:dyDescent="0.2">
      <c r="A35" s="134">
        <v>3.02</v>
      </c>
      <c r="B35" s="132" t="s">
        <v>244</v>
      </c>
      <c r="C35" s="191">
        <v>0.15</v>
      </c>
      <c r="D35" s="133">
        <v>1</v>
      </c>
      <c r="F35" s="163">
        <f>C35*F34</f>
        <v>119317.5</v>
      </c>
    </row>
    <row r="36" spans="1:7" ht="13.5" thickBot="1" x14ac:dyDescent="0.25">
      <c r="A36" s="179">
        <v>3.03</v>
      </c>
      <c r="B36" s="192" t="s">
        <v>105</v>
      </c>
      <c r="C36" s="192"/>
      <c r="D36" s="192"/>
      <c r="E36" s="192"/>
      <c r="F36" s="192"/>
      <c r="G36" s="193">
        <f>F35+F34</f>
        <v>914767.5</v>
      </c>
    </row>
    <row r="37" spans="1:7" ht="13.5" thickTop="1" x14ac:dyDescent="0.2"/>
    <row r="38" spans="1:7" x14ac:dyDescent="0.2">
      <c r="F38" s="173"/>
    </row>
  </sheetData>
  <mergeCells count="1">
    <mergeCell ref="I8:N8"/>
  </mergeCells>
  <pageMargins left="0.5" right="0.5" top="0.5" bottom="0.5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Flows</vt:lpstr>
      <vt:lpstr>Opex</vt:lpstr>
      <vt:lpstr>EBITDA</vt:lpstr>
      <vt:lpstr>DC_Company</vt:lpstr>
      <vt:lpstr>DC_Pro-Forma</vt:lpstr>
      <vt:lpstr>DCut_Capex</vt:lpstr>
      <vt:lpstr>Asphalt_API</vt:lpstr>
      <vt:lpstr>bbls_mo</vt:lpstr>
      <vt:lpstr>days_mo</vt:lpstr>
      <vt:lpstr>Diesel_cost</vt:lpstr>
      <vt:lpstr>Driver_Wage</vt:lpstr>
      <vt:lpstr>Foreman_wage</vt:lpstr>
      <vt:lpstr>Hours_day</vt:lpstr>
      <vt:lpstr>HQ_Wage</vt:lpstr>
      <vt:lpstr>kWhr</vt:lpstr>
      <vt:lpstr>LRA_Oil_content</vt:lpstr>
      <vt:lpstr>Mgr_wage</vt:lpstr>
      <vt:lpstr>MinDivCash</vt:lpstr>
      <vt:lpstr>Oil_Recovery_Ratio</vt:lpstr>
      <vt:lpstr>Oper_wage</vt:lpstr>
      <vt:lpstr>DCut_Capex!Print_Area</vt:lpstr>
      <vt:lpstr>EBITDA!Print_Area</vt:lpstr>
      <vt:lpstr>Flows!Print_Area</vt:lpstr>
      <vt:lpstr>Water_Yrd</vt:lpstr>
    </vt:vector>
  </TitlesOfParts>
  <Company>Ionic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Balboa</dc:creator>
  <cp:lastModifiedBy>Tim Peara</cp:lastModifiedBy>
  <cp:lastPrinted>2015-02-11T08:45:53Z</cp:lastPrinted>
  <dcterms:created xsi:type="dcterms:W3CDTF">2014-09-30T21:46:18Z</dcterms:created>
  <dcterms:modified xsi:type="dcterms:W3CDTF">2016-01-09T21:56:05Z</dcterms:modified>
</cp:coreProperties>
</file>