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luuttami/Desktop/"/>
    </mc:Choice>
  </mc:AlternateContent>
  <xr:revisionPtr revIDLastSave="0" documentId="13_ncr:1_{87F19DA7-1A5C-554E-B58D-6A92D2F7A670}" xr6:coauthVersionLast="45" xr6:coauthVersionMax="45" xr10:uidLastSave="{00000000-0000-0000-0000-000000000000}"/>
  <bookViews>
    <workbookView xWindow="0" yWindow="460" windowWidth="28800" windowHeight="16440" activeTab="1" xr2:uid="{08829D58-14E0-1047-9945-3B14695E96CD}"/>
  </bookViews>
  <sheets>
    <sheet name="Data" sheetId="1" r:id="rId1"/>
    <sheet name="Model Preparation" sheetId="18" r:id="rId2"/>
    <sheet name="Linear Regression with Dummies" sheetId="6" r:id="rId3"/>
    <sheet name="Demand Forecast (Apr - Sep)" sheetId="4" r:id="rId4"/>
    <sheet name="Est. Daily Demand (Apr)" sheetId="9" r:id="rId5"/>
    <sheet name="Daily Production Model (Apr)" sheetId="17" r:id="rId6"/>
  </sheets>
  <definedNames>
    <definedName name="solver_adj" localSheetId="5" hidden="1">'Daily Production Model (Apr)'!$N$45:$AE$47,'Daily Production Model (Apr)'!$N$78:$AE$78</definedName>
    <definedName name="solver_adj" localSheetId="4" hidden="1">'Est. Daily Demand (Apr)'!$F$2:$F$31</definedName>
    <definedName name="solver_cvg" localSheetId="5" hidden="1">0.0001</definedName>
    <definedName name="solver_cvg" localSheetId="4" hidden="1">0.0001</definedName>
    <definedName name="solver_drv" localSheetId="5" hidden="1">1</definedName>
    <definedName name="solver_drv" localSheetId="4" hidden="1">1</definedName>
    <definedName name="solver_eng" localSheetId="5" hidden="1">2</definedName>
    <definedName name="solver_eng" localSheetId="4" hidden="1">2</definedName>
    <definedName name="solver_itr" localSheetId="5" hidden="1">2147483647</definedName>
    <definedName name="solver_itr" localSheetId="4" hidden="1">2147483647</definedName>
    <definedName name="solver_lhs1" localSheetId="5" hidden="1">'Daily Production Model (Apr)'!$N$48:$AE$48</definedName>
    <definedName name="solver_lhs2" localSheetId="5" hidden="1">'Daily Production Model (Apr)'!$N$52:$AE$52</definedName>
    <definedName name="solver_lhs3" localSheetId="5" hidden="1">'Daily Production Model (Apr)'!$N$57:$AE$57</definedName>
    <definedName name="solver_lhs4" localSheetId="5" hidden="1">'Daily Production Model (Apr)'!$N$71:$AE$71</definedName>
    <definedName name="solver_lhs5" localSheetId="5" hidden="1">'Daily Production Model (Apr)'!$N$78:$AE$78</definedName>
    <definedName name="solver_lhs6" localSheetId="5" hidden="1">'Daily Production Model (Apr)'!$N$80</definedName>
    <definedName name="solver_lin" localSheetId="5" hidden="1">1</definedName>
    <definedName name="solver_lin" localSheetId="4" hidden="1">1</definedName>
    <definedName name="solver_mip" localSheetId="5" hidden="1">2147483647</definedName>
    <definedName name="solver_mip" localSheetId="4" hidden="1">2147483647</definedName>
    <definedName name="solver_mni" localSheetId="5" hidden="1">30</definedName>
    <definedName name="solver_mni" localSheetId="4" hidden="1">30</definedName>
    <definedName name="solver_mrt" localSheetId="5" hidden="1">0.075</definedName>
    <definedName name="solver_mrt" localSheetId="4" hidden="1">0.075</definedName>
    <definedName name="solver_msl" localSheetId="5" hidden="1">2</definedName>
    <definedName name="solver_msl" localSheetId="4" hidden="1">2</definedName>
    <definedName name="solver_neg" localSheetId="5" hidden="1">1</definedName>
    <definedName name="solver_neg" localSheetId="4" hidden="1">1</definedName>
    <definedName name="solver_nod" localSheetId="5" hidden="1">2147483647</definedName>
    <definedName name="solver_nod" localSheetId="4" hidden="1">2147483647</definedName>
    <definedName name="solver_num" localSheetId="5" hidden="1">6</definedName>
    <definedName name="solver_num" localSheetId="4" hidden="1">0</definedName>
    <definedName name="solver_opt" localSheetId="5" hidden="1">'Daily Production Model (Apr)'!$A$41</definedName>
    <definedName name="solver_opt" localSheetId="4" hidden="1">'Est. Daily Demand (Apr)'!$G$32</definedName>
    <definedName name="solver_pre" localSheetId="5" hidden="1">0.000001</definedName>
    <definedName name="solver_pre" localSheetId="4" hidden="1">0.000001</definedName>
    <definedName name="solver_rbv" localSheetId="5" hidden="1">1</definedName>
    <definedName name="solver_rbv" localSheetId="4" hidden="1">1</definedName>
    <definedName name="solver_rel1" localSheetId="5" hidden="1">2</definedName>
    <definedName name="solver_rel2" localSheetId="5" hidden="1">1</definedName>
    <definedName name="solver_rel3" localSheetId="5" hidden="1">1</definedName>
    <definedName name="solver_rel4" localSheetId="5" hidden="1">1</definedName>
    <definedName name="solver_rel5" localSheetId="5" hidden="1">5</definedName>
    <definedName name="solver_rel6" localSheetId="5" hidden="1">1</definedName>
    <definedName name="solver_rhs1" localSheetId="5" hidden="1">'Daily Production Model (Apr)'!$N$50:$AE$50</definedName>
    <definedName name="solver_rhs2" localSheetId="5" hidden="1">'Daily Production Model (Apr)'!$N$54:$AE$54</definedName>
    <definedName name="solver_rhs3" localSheetId="5" hidden="1">'Daily Production Model (Apr)'!$N$59:$AE$59</definedName>
    <definedName name="solver_rhs4" localSheetId="5" hidden="1">'Daily Production Model (Apr)'!$N$75:$AE$75</definedName>
    <definedName name="solver_rhs5" localSheetId="5" hidden="1">binary</definedName>
    <definedName name="solver_rhs6" localSheetId="5" hidden="1">'Daily Production Model (Apr)'!$P$80</definedName>
    <definedName name="solver_rlx" localSheetId="5" hidden="1">2</definedName>
    <definedName name="solver_rlx" localSheetId="4" hidden="1">1</definedName>
    <definedName name="solver_rsd" localSheetId="5" hidden="1">0</definedName>
    <definedName name="solver_rsd" localSheetId="4" hidden="1">0</definedName>
    <definedName name="solver_scl" localSheetId="5" hidden="1">1</definedName>
    <definedName name="solver_scl" localSheetId="4" hidden="1">2</definedName>
    <definedName name="solver_sho" localSheetId="5" hidden="1">2</definedName>
    <definedName name="solver_sho" localSheetId="4" hidden="1">2</definedName>
    <definedName name="solver_ssz" localSheetId="5" hidden="1">100</definedName>
    <definedName name="solver_ssz" localSheetId="4" hidden="1">100</definedName>
    <definedName name="solver_tim" localSheetId="5" hidden="1">2147483647</definedName>
    <definedName name="solver_tim" localSheetId="4" hidden="1">2147483647</definedName>
    <definedName name="solver_tol" localSheetId="5" hidden="1">0.01</definedName>
    <definedName name="solver_tol" localSheetId="4" hidden="1">0.01</definedName>
    <definedName name="solver_typ" localSheetId="5" hidden="1">1</definedName>
    <definedName name="solver_typ" localSheetId="4" hidden="1">3</definedName>
    <definedName name="solver_val" localSheetId="5" hidden="1">0</definedName>
    <definedName name="solver_val" localSheetId="4" hidden="1">9667062</definedName>
    <definedName name="solver_ver" localSheetId="5" hidden="1">2</definedName>
    <definedName name="solver_ver" localSheetId="4"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4" i="17" l="1"/>
  <c r="AL24" i="17"/>
  <c r="O22" i="17"/>
  <c r="P22" i="17"/>
  <c r="Q22" i="17"/>
  <c r="R22" i="17"/>
  <c r="S22" i="17"/>
  <c r="T22" i="17"/>
  <c r="U22" i="17"/>
  <c r="V22" i="17"/>
  <c r="W22" i="17"/>
  <c r="X22" i="17"/>
  <c r="Y22" i="17"/>
  <c r="Z22" i="17"/>
  <c r="AA22" i="17"/>
  <c r="AB22" i="17"/>
  <c r="AC22" i="17"/>
  <c r="AD22" i="17"/>
  <c r="AE22" i="17"/>
  <c r="N22" i="17"/>
  <c r="O15" i="17"/>
  <c r="P15" i="17"/>
  <c r="Q15" i="17"/>
  <c r="R15" i="17"/>
  <c r="S15" i="17"/>
  <c r="T15" i="17"/>
  <c r="U15" i="17"/>
  <c r="V15" i="17"/>
  <c r="W15" i="17"/>
  <c r="X15" i="17"/>
  <c r="Y15" i="17"/>
  <c r="Z15" i="17"/>
  <c r="AA15" i="17"/>
  <c r="AB15" i="17"/>
  <c r="AC15" i="17"/>
  <c r="AD15" i="17"/>
  <c r="AE15" i="17"/>
  <c r="O16" i="17"/>
  <c r="P16" i="17"/>
  <c r="Q16" i="17"/>
  <c r="R16" i="17"/>
  <c r="S16" i="17"/>
  <c r="T16" i="17"/>
  <c r="U16" i="17"/>
  <c r="V16" i="17"/>
  <c r="W16" i="17"/>
  <c r="X16" i="17"/>
  <c r="Y16" i="17"/>
  <c r="Z16" i="17"/>
  <c r="AA16" i="17"/>
  <c r="AB16" i="17"/>
  <c r="AC16" i="17"/>
  <c r="AD16" i="17"/>
  <c r="AE16" i="17"/>
  <c r="O17" i="17"/>
  <c r="P17" i="17"/>
  <c r="Q17" i="17"/>
  <c r="R17" i="17"/>
  <c r="S17" i="17"/>
  <c r="T17" i="17"/>
  <c r="U17" i="17"/>
  <c r="V17" i="17"/>
  <c r="W17" i="17"/>
  <c r="X17" i="17"/>
  <c r="Y17" i="17"/>
  <c r="Z17" i="17"/>
  <c r="AA17" i="17"/>
  <c r="AB17" i="17"/>
  <c r="AC17" i="17"/>
  <c r="AD17" i="17"/>
  <c r="AE17" i="17"/>
  <c r="N16" i="17"/>
  <c r="N17" i="17"/>
  <c r="N15" i="17"/>
  <c r="L108" i="18"/>
  <c r="L106" i="18"/>
  <c r="L105" i="18"/>
  <c r="B82" i="18"/>
  <c r="B81" i="18"/>
  <c r="N6" i="17" l="1"/>
  <c r="L107" i="18"/>
  <c r="L109" i="18" s="1"/>
  <c r="B83" i="18" s="1"/>
  <c r="AL67" i="17"/>
  <c r="AL66" i="17"/>
  <c r="N59" i="17"/>
  <c r="O6" i="17"/>
  <c r="P6" i="17"/>
  <c r="Q6" i="17"/>
  <c r="R6" i="17"/>
  <c r="S6" i="17"/>
  <c r="T6" i="17"/>
  <c r="U6" i="17"/>
  <c r="V6" i="17"/>
  <c r="W6" i="17"/>
  <c r="X6" i="17"/>
  <c r="Y6" i="17"/>
  <c r="Z6" i="17"/>
  <c r="AA6" i="17"/>
  <c r="AB6" i="17"/>
  <c r="AC6" i="17"/>
  <c r="AD6" i="17"/>
  <c r="AE6" i="17"/>
  <c r="O8" i="17"/>
  <c r="P8" i="17"/>
  <c r="Q8" i="17"/>
  <c r="R8" i="17"/>
  <c r="S8" i="17"/>
  <c r="T8" i="17"/>
  <c r="U8" i="17"/>
  <c r="V8" i="17"/>
  <c r="W8" i="17"/>
  <c r="X8" i="17"/>
  <c r="Y8" i="17"/>
  <c r="Z8" i="17"/>
  <c r="AA8" i="17"/>
  <c r="AB8" i="17"/>
  <c r="AC8" i="17"/>
  <c r="AD8" i="17"/>
  <c r="AE8" i="17"/>
  <c r="N8" i="17"/>
  <c r="AL21" i="17"/>
  <c r="AL22" i="17"/>
  <c r="AL23" i="17" l="1"/>
  <c r="AH72" i="17"/>
  <c r="V66" i="17" s="1"/>
  <c r="V70" i="17" s="1"/>
  <c r="AL68" i="17"/>
  <c r="Z66" i="17"/>
  <c r="W66" i="17"/>
  <c r="T66" i="17"/>
  <c r="T67" i="17" s="1"/>
  <c r="T71" i="17" s="1"/>
  <c r="T73" i="17" s="1"/>
  <c r="Q66" i="17"/>
  <c r="Q70" i="17" s="1"/>
  <c r="AH73" i="17"/>
  <c r="AL25" i="17"/>
  <c r="AA23" i="17" s="1"/>
  <c r="AA7" i="17" s="1"/>
  <c r="C2" i="9"/>
  <c r="AE75" i="17"/>
  <c r="AD75" i="17"/>
  <c r="AC75" i="17"/>
  <c r="AB75" i="17"/>
  <c r="AA75" i="17"/>
  <c r="Z75" i="17"/>
  <c r="Y75" i="17"/>
  <c r="X75" i="17"/>
  <c r="W75" i="17"/>
  <c r="V75" i="17"/>
  <c r="U75" i="17"/>
  <c r="T75" i="17"/>
  <c r="S75" i="17"/>
  <c r="R75" i="17"/>
  <c r="Q75" i="17"/>
  <c r="P75" i="17"/>
  <c r="O75" i="17"/>
  <c r="N75" i="17"/>
  <c r="M75" i="17"/>
  <c r="L75" i="17"/>
  <c r="K75" i="17"/>
  <c r="J75" i="17"/>
  <c r="I75" i="17"/>
  <c r="H75" i="17"/>
  <c r="G75" i="17"/>
  <c r="F75" i="17"/>
  <c r="E75" i="17"/>
  <c r="D75" i="17"/>
  <c r="C75" i="17"/>
  <c r="B75" i="17"/>
  <c r="Z70" i="17"/>
  <c r="W67" i="17"/>
  <c r="W71" i="17" s="1"/>
  <c r="W73" i="17" s="1"/>
  <c r="M66" i="17"/>
  <c r="M70" i="17" s="1"/>
  <c r="L66" i="17"/>
  <c r="L67" i="17" s="1"/>
  <c r="L71" i="17" s="1"/>
  <c r="L73" i="17" s="1"/>
  <c r="K66" i="17"/>
  <c r="K67" i="17" s="1"/>
  <c r="K71" i="17" s="1"/>
  <c r="K73" i="17" s="1"/>
  <c r="J66" i="17"/>
  <c r="J70" i="17" s="1"/>
  <c r="I66" i="17"/>
  <c r="I70" i="17" s="1"/>
  <c r="H66" i="17"/>
  <c r="H67" i="17" s="1"/>
  <c r="H71" i="17" s="1"/>
  <c r="H73" i="17" s="1"/>
  <c r="G66" i="17"/>
  <c r="G67" i="17" s="1"/>
  <c r="G71" i="17" s="1"/>
  <c r="G73" i="17" s="1"/>
  <c r="F66" i="17"/>
  <c r="F70" i="17" s="1"/>
  <c r="E66" i="17"/>
  <c r="E70" i="17" s="1"/>
  <c r="D66" i="17"/>
  <c r="D67" i="17" s="1"/>
  <c r="D71" i="17" s="1"/>
  <c r="D73" i="17" s="1"/>
  <c r="C66" i="17"/>
  <c r="C67" i="17" s="1"/>
  <c r="C71" i="17" s="1"/>
  <c r="C73" i="17" s="1"/>
  <c r="B66" i="17"/>
  <c r="B70" i="17" s="1"/>
  <c r="AE61" i="17"/>
  <c r="AD61" i="17"/>
  <c r="AC61" i="17"/>
  <c r="AB61" i="17"/>
  <c r="AA61" i="17"/>
  <c r="Z61" i="17"/>
  <c r="Y61" i="17"/>
  <c r="X61" i="17"/>
  <c r="W61" i="17"/>
  <c r="V61" i="17"/>
  <c r="U61" i="17"/>
  <c r="T61" i="17"/>
  <c r="S61" i="17"/>
  <c r="R61" i="17"/>
  <c r="Q61" i="17"/>
  <c r="P61" i="17"/>
  <c r="O61" i="17"/>
  <c r="N61" i="17"/>
  <c r="M61" i="17"/>
  <c r="L61" i="17"/>
  <c r="K61" i="17"/>
  <c r="J61" i="17"/>
  <c r="I61" i="17"/>
  <c r="H61" i="17"/>
  <c r="G61" i="17"/>
  <c r="F61" i="17"/>
  <c r="E61" i="17"/>
  <c r="D61" i="17"/>
  <c r="C61" i="17"/>
  <c r="B61" i="17"/>
  <c r="AE59" i="17"/>
  <c r="AD59" i="17"/>
  <c r="AC59" i="17"/>
  <c r="AB59" i="17"/>
  <c r="AA59" i="17"/>
  <c r="Z59" i="17"/>
  <c r="Y59" i="17"/>
  <c r="X59" i="17"/>
  <c r="W59" i="17"/>
  <c r="V59" i="17"/>
  <c r="U59" i="17"/>
  <c r="T59" i="17"/>
  <c r="S59" i="17"/>
  <c r="R59" i="17"/>
  <c r="Q59" i="17"/>
  <c r="P59" i="17"/>
  <c r="O59" i="17"/>
  <c r="M59" i="17"/>
  <c r="L59" i="17"/>
  <c r="K59" i="17"/>
  <c r="J59" i="17"/>
  <c r="I59" i="17"/>
  <c r="H59" i="17"/>
  <c r="G59" i="17"/>
  <c r="F59" i="17"/>
  <c r="E59" i="17"/>
  <c r="D59" i="17"/>
  <c r="C59" i="17"/>
  <c r="B59" i="17"/>
  <c r="AE57" i="17"/>
  <c r="AD57" i="17"/>
  <c r="AC57" i="17"/>
  <c r="AB57" i="17"/>
  <c r="AA57" i="17"/>
  <c r="Z57" i="17"/>
  <c r="Y57" i="17"/>
  <c r="X57" i="17"/>
  <c r="W57" i="17"/>
  <c r="V57" i="17"/>
  <c r="U57" i="17"/>
  <c r="T57" i="17"/>
  <c r="S57" i="17"/>
  <c r="R57" i="17"/>
  <c r="Q57" i="17"/>
  <c r="P57" i="17"/>
  <c r="O57" i="17"/>
  <c r="N57" i="17"/>
  <c r="M57" i="17"/>
  <c r="L57" i="17"/>
  <c r="K57" i="17"/>
  <c r="J57" i="17"/>
  <c r="I57" i="17"/>
  <c r="H57" i="17"/>
  <c r="G57" i="17"/>
  <c r="F57" i="17"/>
  <c r="E57" i="17"/>
  <c r="D57" i="17"/>
  <c r="C57" i="17"/>
  <c r="B57" i="17"/>
  <c r="AE54" i="17"/>
  <c r="AE55" i="17" s="1"/>
  <c r="AD54" i="17"/>
  <c r="AD55" i="17" s="1"/>
  <c r="AC54" i="17"/>
  <c r="AC55" i="17" s="1"/>
  <c r="AB54" i="17"/>
  <c r="AB55" i="17" s="1"/>
  <c r="AA54" i="17"/>
  <c r="AA55" i="17" s="1"/>
  <c r="Z54" i="17"/>
  <c r="Z55" i="17" s="1"/>
  <c r="Y54" i="17"/>
  <c r="Y55" i="17" s="1"/>
  <c r="X54" i="17"/>
  <c r="X55" i="17" s="1"/>
  <c r="W54" i="17"/>
  <c r="W55" i="17" s="1"/>
  <c r="V54" i="17"/>
  <c r="V55" i="17" s="1"/>
  <c r="U54" i="17"/>
  <c r="U55" i="17" s="1"/>
  <c r="T54" i="17"/>
  <c r="T55" i="17" s="1"/>
  <c r="S54" i="17"/>
  <c r="S55" i="17" s="1"/>
  <c r="R54" i="17"/>
  <c r="R55" i="17" s="1"/>
  <c r="Q54" i="17"/>
  <c r="Q55" i="17" s="1"/>
  <c r="P54" i="17"/>
  <c r="P55" i="17" s="1"/>
  <c r="O54" i="17"/>
  <c r="O55" i="17" s="1"/>
  <c r="N54" i="17"/>
  <c r="N55" i="17" s="1"/>
  <c r="M54" i="17"/>
  <c r="M55" i="17" s="1"/>
  <c r="L54" i="17"/>
  <c r="L55" i="17" s="1"/>
  <c r="K54" i="17"/>
  <c r="K55" i="17" s="1"/>
  <c r="J54" i="17"/>
  <c r="J55" i="17" s="1"/>
  <c r="I54" i="17"/>
  <c r="I55" i="17" s="1"/>
  <c r="H54" i="17"/>
  <c r="H55" i="17" s="1"/>
  <c r="G54" i="17"/>
  <c r="G55" i="17" s="1"/>
  <c r="F54" i="17"/>
  <c r="F55" i="17" s="1"/>
  <c r="E54" i="17"/>
  <c r="E55" i="17" s="1"/>
  <c r="D54" i="17"/>
  <c r="D55" i="17" s="1"/>
  <c r="C54" i="17"/>
  <c r="C55" i="17" s="1"/>
  <c r="B54" i="17"/>
  <c r="B55" i="17" s="1"/>
  <c r="AE52" i="17"/>
  <c r="AD52" i="17"/>
  <c r="AC52" i="17"/>
  <c r="AB52" i="17"/>
  <c r="AA52" i="17"/>
  <c r="Z52" i="17"/>
  <c r="Y52" i="17"/>
  <c r="X52" i="17"/>
  <c r="W52" i="17"/>
  <c r="V52" i="17"/>
  <c r="U52" i="17"/>
  <c r="T52" i="17"/>
  <c r="S52" i="17"/>
  <c r="R52" i="17"/>
  <c r="Q52" i="17"/>
  <c r="P52" i="17"/>
  <c r="O52" i="17"/>
  <c r="N52" i="17"/>
  <c r="M52" i="17"/>
  <c r="L52" i="17"/>
  <c r="K52" i="17"/>
  <c r="J52" i="17"/>
  <c r="I52" i="17"/>
  <c r="H52" i="17"/>
  <c r="G52" i="17"/>
  <c r="F52" i="17"/>
  <c r="E52" i="17"/>
  <c r="D52" i="17"/>
  <c r="C52" i="17"/>
  <c r="B52" i="17"/>
  <c r="AE48" i="17"/>
  <c r="AD48" i="17"/>
  <c r="AC48" i="17"/>
  <c r="AB48" i="17"/>
  <c r="AA48" i="17"/>
  <c r="Z48" i="17"/>
  <c r="Y48" i="17"/>
  <c r="X48" i="17"/>
  <c r="W48" i="17"/>
  <c r="V48" i="17"/>
  <c r="U48" i="17"/>
  <c r="T48" i="17"/>
  <c r="S48" i="17"/>
  <c r="R48" i="17"/>
  <c r="Q48" i="17"/>
  <c r="P48" i="17"/>
  <c r="O48" i="17"/>
  <c r="N48" i="17"/>
  <c r="M48" i="17"/>
  <c r="L48" i="17"/>
  <c r="K48" i="17"/>
  <c r="J48" i="17"/>
  <c r="I48" i="17"/>
  <c r="H48" i="17"/>
  <c r="G48" i="17"/>
  <c r="F48" i="17"/>
  <c r="E48" i="17"/>
  <c r="D48" i="17"/>
  <c r="C48" i="17"/>
  <c r="B48" i="17"/>
  <c r="AC23" i="17" l="1"/>
  <c r="AC7" i="17" s="1"/>
  <c r="R23" i="17"/>
  <c r="R7" i="17" s="1"/>
  <c r="T23" i="17"/>
  <c r="T7" i="17" s="1"/>
  <c r="W23" i="17"/>
  <c r="W7" i="17" s="1"/>
  <c r="Q23" i="17"/>
  <c r="Q7" i="17" s="1"/>
  <c r="AE23" i="17"/>
  <c r="AE7" i="17" s="1"/>
  <c r="N23" i="17"/>
  <c r="N7" i="17" s="1"/>
  <c r="O23" i="17"/>
  <c r="O7" i="17" s="1"/>
  <c r="P23" i="17"/>
  <c r="P7" i="17" s="1"/>
  <c r="Y66" i="17"/>
  <c r="Y70" i="17" s="1"/>
  <c r="AB66" i="17"/>
  <c r="AB67" i="17" s="1"/>
  <c r="AB71" i="17" s="1"/>
  <c r="AB73" i="17" s="1"/>
  <c r="AE66" i="17"/>
  <c r="AE67" i="17" s="1"/>
  <c r="AE71" i="17" s="1"/>
  <c r="AE73" i="17" s="1"/>
  <c r="O66" i="17"/>
  <c r="O67" i="17" s="1"/>
  <c r="O71" i="17" s="1"/>
  <c r="O73" i="17" s="1"/>
  <c r="R66" i="17"/>
  <c r="R70" i="17" s="1"/>
  <c r="U66" i="17"/>
  <c r="U70" i="17" s="1"/>
  <c r="X66" i="17"/>
  <c r="X67" i="17" s="1"/>
  <c r="X71" i="17" s="1"/>
  <c r="X73" i="17" s="1"/>
  <c r="AA66" i="17"/>
  <c r="AA67" i="17" s="1"/>
  <c r="AA71" i="17" s="1"/>
  <c r="AA73" i="17" s="1"/>
  <c r="AD66" i="17"/>
  <c r="AD70" i="17" s="1"/>
  <c r="AD23" i="17"/>
  <c r="AD7" i="17" s="1"/>
  <c r="AC66" i="17"/>
  <c r="AC70" i="17" s="1"/>
  <c r="N66" i="17"/>
  <c r="P66" i="17"/>
  <c r="P67" i="17" s="1"/>
  <c r="P71" i="17" s="1"/>
  <c r="P73" i="17" s="1"/>
  <c r="S66" i="17"/>
  <c r="S67" i="17" s="1"/>
  <c r="S71" i="17" s="1"/>
  <c r="S73" i="17" s="1"/>
  <c r="X23" i="17"/>
  <c r="X7" i="17" s="1"/>
  <c r="U23" i="17"/>
  <c r="U7" i="17" s="1"/>
  <c r="V23" i="17"/>
  <c r="V7" i="17" s="1"/>
  <c r="S23" i="17"/>
  <c r="S7" i="17" s="1"/>
  <c r="AB23" i="17"/>
  <c r="AB7" i="17" s="1"/>
  <c r="Y23" i="17"/>
  <c r="Y7" i="17" s="1"/>
  <c r="Z23" i="17"/>
  <c r="Z7" i="17" s="1"/>
  <c r="E67" i="17"/>
  <c r="E71" i="17" s="1"/>
  <c r="E73" i="17" s="1"/>
  <c r="I67" i="17"/>
  <c r="I71" i="17" s="1"/>
  <c r="I73" i="17" s="1"/>
  <c r="M67" i="17"/>
  <c r="M71" i="17" s="1"/>
  <c r="M73" i="17" s="1"/>
  <c r="Q67" i="17"/>
  <c r="Q71" i="17" s="1"/>
  <c r="Q73" i="17" s="1"/>
  <c r="Y67" i="17"/>
  <c r="Y71" i="17" s="1"/>
  <c r="Y73" i="17" s="1"/>
  <c r="AC67" i="17"/>
  <c r="AC71" i="17" s="1"/>
  <c r="AC73" i="17" s="1"/>
  <c r="C70" i="17"/>
  <c r="G70" i="17"/>
  <c r="K70" i="17"/>
  <c r="O70" i="17"/>
  <c r="S70" i="17"/>
  <c r="W70" i="17"/>
  <c r="AA70" i="17"/>
  <c r="AE70" i="17"/>
  <c r="B67" i="17"/>
  <c r="B71" i="17" s="1"/>
  <c r="B73" i="17" s="1"/>
  <c r="F67" i="17"/>
  <c r="F71" i="17" s="1"/>
  <c r="F73" i="17" s="1"/>
  <c r="J67" i="17"/>
  <c r="J71" i="17" s="1"/>
  <c r="J73" i="17" s="1"/>
  <c r="R67" i="17"/>
  <c r="R71" i="17" s="1"/>
  <c r="R73" i="17" s="1"/>
  <c r="V67" i="17"/>
  <c r="V71" i="17" s="1"/>
  <c r="V73" i="17" s="1"/>
  <c r="Z67" i="17"/>
  <c r="Z71" i="17" s="1"/>
  <c r="Z73" i="17" s="1"/>
  <c r="AD67" i="17"/>
  <c r="AD71" i="17" s="1"/>
  <c r="AD73" i="17" s="1"/>
  <c r="D70" i="17"/>
  <c r="H70" i="17"/>
  <c r="L70" i="17"/>
  <c r="P70" i="17"/>
  <c r="T70" i="17"/>
  <c r="AB70" i="17"/>
  <c r="A41" i="17" l="1"/>
  <c r="N67" i="17"/>
  <c r="N71" i="17" s="1"/>
  <c r="N73" i="17" s="1"/>
  <c r="N80" i="17" s="1"/>
  <c r="N70" i="17"/>
  <c r="X70" i="17"/>
  <c r="U67" i="17"/>
  <c r="U71" i="17" s="1"/>
  <c r="U73" i="17" s="1"/>
  <c r="D76" i="4" l="1"/>
  <c r="D77" i="4" s="1"/>
  <c r="D73" i="4"/>
  <c r="D74" i="4" s="1"/>
  <c r="D70" i="4"/>
  <c r="D71" i="4" s="1"/>
  <c r="L25" i="6"/>
  <c r="L26" i="6"/>
  <c r="L27" i="6"/>
  <c r="L24" i="6"/>
  <c r="B44" i="4"/>
  <c r="B45" i="4"/>
  <c r="B46" i="4"/>
  <c r="D64" i="4" l="1"/>
  <c r="D65" i="4" s="1"/>
  <c r="D61" i="4"/>
  <c r="D62" i="4" s="1"/>
  <c r="D58" i="4"/>
  <c r="D59" i="4" s="1"/>
  <c r="D55" i="4"/>
  <c r="D56" i="4" s="1"/>
  <c r="D52" i="4"/>
  <c r="D53" i="4" s="1"/>
  <c r="D67" i="4"/>
  <c r="D68" i="4" s="1"/>
  <c r="N76" i="4" l="1"/>
  <c r="N74" i="4"/>
  <c r="F32" i="9"/>
  <c r="C4" i="9" l="1"/>
  <c r="B32" i="9"/>
  <c r="C5" i="9" s="1"/>
  <c r="C6" i="9" l="1"/>
  <c r="C30" i="9"/>
  <c r="C26" i="9"/>
  <c r="C22" i="9"/>
  <c r="C18" i="9"/>
  <c r="C14" i="9"/>
  <c r="C10" i="9"/>
  <c r="C29" i="9"/>
  <c r="C25" i="9"/>
  <c r="C21" i="9"/>
  <c r="C17" i="9"/>
  <c r="C13" i="9"/>
  <c r="C9" i="9"/>
  <c r="L5" i="9"/>
  <c r="L6" i="9" s="1"/>
  <c r="K15" i="9"/>
  <c r="C28" i="9"/>
  <c r="C24" i="9"/>
  <c r="C20" i="9"/>
  <c r="C16" i="9"/>
  <c r="C12" i="9"/>
  <c r="C8" i="9"/>
  <c r="C31" i="9"/>
  <c r="C27" i="9"/>
  <c r="C23" i="9"/>
  <c r="C19" i="9"/>
  <c r="C15" i="9"/>
  <c r="C11" i="9"/>
  <c r="C7" i="9"/>
  <c r="C3" i="9"/>
  <c r="G32" i="9" l="1"/>
  <c r="K16" i="9"/>
  <c r="L20" i="6"/>
  <c r="L21" i="6"/>
  <c r="L22" i="6"/>
  <c r="L23" i="6"/>
  <c r="L19" i="6"/>
  <c r="G3" i="9" l="1"/>
  <c r="G23" i="9"/>
  <c r="G2" i="9"/>
  <c r="G13" i="9"/>
  <c r="G30" i="9"/>
  <c r="G29" i="9"/>
  <c r="G16" i="9"/>
  <c r="G15" i="9"/>
  <c r="G19" i="9"/>
  <c r="G26" i="9"/>
  <c r="G25" i="9"/>
  <c r="G9" i="9"/>
  <c r="G22" i="9"/>
  <c r="G28" i="9"/>
  <c r="G12" i="9"/>
  <c r="G7" i="9"/>
  <c r="G4" i="9"/>
  <c r="G31" i="9"/>
  <c r="G18" i="9"/>
  <c r="G21" i="9"/>
  <c r="G5" i="9"/>
  <c r="G14" i="9"/>
  <c r="G24" i="9"/>
  <c r="G8" i="9"/>
  <c r="G27" i="9"/>
  <c r="G10" i="9"/>
  <c r="G11" i="9"/>
  <c r="G6" i="9"/>
  <c r="G20" i="9"/>
  <c r="G17" i="9"/>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tc={68BA5780-DBA0-3A48-8E27-BF6BDBF984CB}</author>
    <author>tc={EE37FBC6-3E2C-894E-B8C5-1BB700C1E7B3}</author>
    <author>tc={8C5E3D7B-C887-214F-9C60-B9BAC44C8C83}</author>
    <author>tc={76026C2D-84A6-BE48-A1E7-DFF6B83EDCE2}</author>
    <author>tc={5F3268AC-DD18-3440-897E-745E495A0DCC}</author>
    <author>tc={C32A61A1-C476-BF43-96D4-93760F570849}</author>
  </authors>
  <commentList>
    <comment ref="A7" authorId="0" shapeId="0" xr:uid="{68BA5780-DBA0-3A48-8E27-BF6BDBF984CB}">
      <text>
        <t>[Threaded comment]
Your version of Excel allows you to read this threaded comment; however, any edits to it will get removed if the file is opened in a newer version of Excel. Learn more: https://go.microsoft.com/fwlink/?linkid=870924
Comment:
    Assuming that MAMD do not have any excess raw milk (given the high demand in April), MAMD will have to purchase Butter and SMP from outside sources (assuming that Butter and SMP is imported — otherwise, how else would the other milk dairies produce butter and SMP if they sold all the raw milk for us?). The profit is calculated based on our selling price and associated costs with purchasing the butter and SMP (assuming that transportation is included since the raw milk procurement cost from other dairies include the transportatin costs too) + recombination cost 
Moreover, it was found that if they purchase the butter and SMP from outside, the profit contribution is bigger than producing the butter and SMP in house and then convert it to premium milk.</t>
      </text>
    </comment>
    <comment ref="A16" authorId="1" shapeId="0" xr:uid="{EE37FBC6-3E2C-894E-B8C5-1BB700C1E7B3}">
      <text>
        <t>[Threaded comment]
Your version of Excel allows you to read this threaded comment; however, any edits to it will get removed if the file is opened in a newer version of Excel. Learn more: https://go.microsoft.com/fwlink/?linkid=870924
Comment:
    Assuming that MAMD do not have any excess raw milk (given the high demand in April), MAMD will have to purchase Butter and SMP from outside sources (assuming that Butter and SMP is imported — otherwise, how else would the other milk dairies produce butter and SMP if they sold all the raw milk for us?). The profit is calculated based on our selling price and associated costs with purchasing the butter and SMP (assuming that transportation is included since the raw milk procurement cost from other dairies include the transportatin costs too) + recombination cost 
Moreover, it was found that if they purchase the butter and SMP from outside, the profit contribution is bigger than producing the butter and SMP in house and then convert it to premium milk.</t>
      </text>
    </comment>
    <comment ref="A23" authorId="2" shapeId="0" xr:uid="{8C5E3D7B-C887-214F-9C60-B9BAC44C8C83}">
      <text>
        <t>[Threaded comment]
Your version of Excel allows you to read this threaded comment; however, any edits to it will get removed if the file is opened in a newer version of Excel. Learn more: https://go.microsoft.com/fwlink/?linkid=870924
Comment:
    Assuming that MAMD do not have any excess raw milk (given the high demand in April), MAMD will have to purchase Butter and SMP from outside sources (assuming that Butter and SMP is imported — otherwise, how else would the other milk dairies produce butter and SMP if they sold all the raw milk for us?). The profit is calculated based on our selling price and associated costs with purchasing the butter and SMP (assuming that transportation is included since the raw milk procurement cost from other dairies include the transportatin costs too) + recombination cost 
Moreover, it was found that if they purchase the butter and SMP from outside, the profit contribution is bigger than producing the butter and SMP in house and then convert it to premium milk.</t>
      </text>
    </comment>
    <comment ref="A59" authorId="3" shapeId="0" xr:uid="{76026C2D-84A6-BE48-A1E7-DFF6B83EDCE2}">
      <text>
        <t xml:space="preserve">[Threaded comment]
Your version of Excel allows you to read this threaded comment; however, any edits to it will get removed if the file is opened in a newer version of Excel. Learn more: https://go.microsoft.com/fwlink/?linkid=870924
Comment:
    We can only satisfy 81% of the demand (supply/demand) which means that the rest 19% is satisfied by the other milk dairies because the customers go to other dairies when we don’t have enough supplies – this give us the available raw milk that the other milk dairies have. 
Moreover, we assume that the milk dairies would sell all of their raw milk available to us because given the higher prices that they sell the end products to the consumers to, we assume that such a high price is due to higher production costs (labor, storage,..) so they would benefit more if they sell the raw milk to us. Furthermore, they might have cheaper procurement costs from farmers since they pay in advance, thus increasing their profit even more when they sell to us.
</t>
      </text>
    </comment>
    <comment ref="A73" authorId="4" shapeId="0" xr:uid="{5F3268AC-DD18-3440-897E-745E495A0DCC}">
      <text>
        <t>[Threaded comment]
Your version of Excel allows you to read this threaded comment; however, any edits to it will get removed if the file is opened in a newer version of Excel. Learn more: https://go.microsoft.com/fwlink/?linkid=870924
Comment:
    Butter is imported in advanced once a month (given the longer shelf life) and, therefore, we need to store butter in storage. 10000 kg storage constraint is the maximum capacity that we can import and store in one time, and these numbers are how much we used up every day (cost is fixed, it’s not up to how many pieces you store).</t>
      </text>
    </comment>
    <comment ref="A80" authorId="5" shapeId="0" xr:uid="{C32A61A1-C476-BF43-96D4-93760F570849}">
      <text>
        <t>[Threaded comment]
Your version of Excel allows you to read this threaded comment; however, any edits to it will get removed if the file is opened in a newer version of Excel. Learn more: https://go.microsoft.com/fwlink/?linkid=870924
Comment:
    Butter is imported in advanced once a month (given the longer shelf life) and, therefore, we need to store butter in storage. 10000 kg storage constraint is the maximum capacity that we can import and store in one time, and these numbers are how much we used up every day (cost is fixed, it’s not up to how many pieces you store).</t>
      </text>
    </comment>
  </commentList>
</comments>
</file>

<file path=xl/sharedStrings.xml><?xml version="1.0" encoding="utf-8"?>
<sst xmlns="http://schemas.openxmlformats.org/spreadsheetml/2006/main" count="701" uniqueCount="395">
  <si>
    <t>Exhibit 3</t>
  </si>
  <si>
    <t xml:space="preserve">Types of milk sold </t>
  </si>
  <si>
    <t>Type of Milk</t>
  </si>
  <si>
    <t>Fat (%)</t>
  </si>
  <si>
    <t>SNF (%)</t>
  </si>
  <si>
    <t>Toned milk</t>
  </si>
  <si>
    <t>Standardized milk</t>
  </si>
  <si>
    <t>Premium milk</t>
  </si>
  <si>
    <t>Full-cream milk</t>
  </si>
  <si>
    <t>Double-toned milk</t>
  </si>
  <si>
    <t>Exhibit 4</t>
  </si>
  <si>
    <t>Estimated sale of packaged milk (in liters) in Madurai region between 2008 and 2011 (including neighboring districts)</t>
  </si>
  <si>
    <t>Month</t>
  </si>
  <si>
    <t>Year</t>
  </si>
  <si>
    <t>2008-2009</t>
  </si>
  <si>
    <t>2009-2010</t>
  </si>
  <si>
    <t>2010-2011</t>
  </si>
  <si>
    <t>April</t>
  </si>
  <si>
    <t>May</t>
  </si>
  <si>
    <t>June</t>
  </si>
  <si>
    <t>July</t>
  </si>
  <si>
    <t>August</t>
  </si>
  <si>
    <t>September</t>
  </si>
  <si>
    <t>October</t>
  </si>
  <si>
    <t>November</t>
  </si>
  <si>
    <t>December</t>
  </si>
  <si>
    <t>January</t>
  </si>
  <si>
    <t>February</t>
  </si>
  <si>
    <t>March</t>
  </si>
  <si>
    <t>Exhibit 5</t>
  </si>
  <si>
    <t>Estimated daily demand (in liters) for April 2011</t>
  </si>
  <si>
    <t>Demand</t>
  </si>
  <si>
    <t xml:space="preserve">Supply </t>
  </si>
  <si>
    <t>Day</t>
  </si>
  <si>
    <t xml:space="preserve">Day </t>
  </si>
  <si>
    <t>Supply</t>
  </si>
  <si>
    <t>Exhibit 6</t>
  </si>
  <si>
    <t>Procurement costs</t>
  </si>
  <si>
    <t>Skimmed milk powder</t>
  </si>
  <si>
    <t>Butter cost</t>
  </si>
  <si>
    <t>Raw milk from other unions</t>
  </si>
  <si>
    <t xml:space="preserve">per kg </t>
  </si>
  <si>
    <t>per liter</t>
  </si>
  <si>
    <t xml:space="preserve">DECISION VARIABLES </t>
  </si>
  <si>
    <r>
      <t xml:space="preserve">OBJECTIVE FUNCTION </t>
    </r>
    <r>
      <rPr>
        <sz val="12"/>
        <color theme="1"/>
        <rFont val="Calibri"/>
        <family val="2"/>
        <scheme val="minor"/>
      </rPr>
      <t>in terms of decision variables</t>
    </r>
  </si>
  <si>
    <r>
      <rPr>
        <b/>
        <sz val="12"/>
        <color theme="1"/>
        <rFont val="Calibri"/>
        <family val="2"/>
        <scheme val="minor"/>
      </rPr>
      <t>CONSTRAINTS</t>
    </r>
    <r>
      <rPr>
        <sz val="12"/>
        <color theme="1"/>
        <rFont val="Calibri"/>
        <family val="2"/>
        <scheme val="minor"/>
      </rPr>
      <t xml:space="preserve"> in terms of decision variables</t>
    </r>
  </si>
  <si>
    <t>Butter</t>
  </si>
  <si>
    <r>
      <rPr>
        <b/>
        <sz val="12"/>
        <color theme="1"/>
        <rFont val="Calibri"/>
        <family val="2"/>
        <scheme val="minor"/>
      </rPr>
      <t xml:space="preserve">OTHER INFORMATION </t>
    </r>
    <r>
      <rPr>
        <sz val="12"/>
        <color theme="1"/>
        <rFont val="Calibri"/>
        <family val="2"/>
        <scheme val="minor"/>
      </rPr>
      <t>provided by the case</t>
    </r>
  </si>
  <si>
    <t>Recombination production cost</t>
  </si>
  <si>
    <t>Total cost of milk produced through recombination</t>
  </si>
  <si>
    <t>per kg</t>
  </si>
  <si>
    <t xml:space="preserve">SMP </t>
  </si>
  <si>
    <t>SMP cost</t>
  </si>
  <si>
    <t>kg</t>
  </si>
  <si>
    <t xml:space="preserve">Cost of refrigerating butter </t>
  </si>
  <si>
    <t>per day</t>
  </si>
  <si>
    <r>
      <t xml:space="preserve">As a policy, </t>
    </r>
    <r>
      <rPr>
        <b/>
        <sz val="12"/>
        <color theme="1"/>
        <rFont val="Calibri"/>
        <family val="2"/>
        <scheme val="minor"/>
      </rPr>
      <t>5% of the raw milk</t>
    </r>
    <r>
      <rPr>
        <sz val="12"/>
        <color theme="1"/>
        <rFont val="Calibri"/>
        <family val="2"/>
        <scheme val="minor"/>
      </rPr>
      <t xml:space="preserve"> procured every day was always stored as reserve stock, and</t>
    </r>
    <r>
      <rPr>
        <b/>
        <sz val="12"/>
        <color theme="1"/>
        <rFont val="Calibri"/>
        <family val="2"/>
        <scheme val="minor"/>
      </rPr>
      <t xml:space="preserve"> the remaining 95% of the procured milk was used to produce premium milk, SMP, and butter</t>
    </r>
    <r>
      <rPr>
        <sz val="12"/>
        <color theme="1"/>
        <rFont val="Calibri"/>
        <family val="2"/>
        <scheme val="minor"/>
      </rPr>
      <t xml:space="preserve">. The reserve stock would be utilized the next day. Further, the entire stock of premium milk produced was sold on the same day. </t>
    </r>
  </si>
  <si>
    <t xml:space="preserve">Optimization of the short-term and the long-term production plans </t>
  </si>
  <si>
    <t>1. Forecast the monthly demand from April 2011 to September 2011</t>
  </si>
  <si>
    <t>2. Optimize the daily production plan for the month of April</t>
  </si>
  <si>
    <t>MAIN CHALLENGE</t>
  </si>
  <si>
    <r>
      <rPr>
        <b/>
        <sz val="12"/>
        <color theme="1"/>
        <rFont val="Calibri"/>
        <family val="2"/>
        <scheme val="minor"/>
      </rPr>
      <t>BEGINNING INVENTORY</t>
    </r>
    <r>
      <rPr>
        <sz val="12"/>
        <color theme="1"/>
        <rFont val="Calibri"/>
        <family val="2"/>
        <scheme val="minor"/>
      </rPr>
      <t xml:space="preserve"> as of April 12, 2011</t>
    </r>
  </si>
  <si>
    <t>Raw milk</t>
  </si>
  <si>
    <t>liters</t>
  </si>
  <si>
    <t xml:space="preserve">Remaining shelf life </t>
  </si>
  <si>
    <t xml:space="preserve">months </t>
  </si>
  <si>
    <r>
      <t>In the process of recombination,</t>
    </r>
    <r>
      <rPr>
        <b/>
        <sz val="12"/>
        <color theme="1"/>
        <rFont val="Calibri"/>
        <family val="2"/>
        <scheme val="minor"/>
      </rPr>
      <t xml:space="preserve"> 93.45 kg of SMP</t>
    </r>
    <r>
      <rPr>
        <sz val="12"/>
        <color theme="1"/>
        <rFont val="Calibri"/>
        <family val="2"/>
        <scheme val="minor"/>
      </rPr>
      <t xml:space="preserve"> and </t>
    </r>
    <r>
      <rPr>
        <b/>
        <sz val="12"/>
        <color theme="1"/>
        <rFont val="Calibri"/>
        <family val="2"/>
        <scheme val="minor"/>
      </rPr>
      <t>54.87 kg of butter</t>
    </r>
    <r>
      <rPr>
        <sz val="12"/>
        <color theme="1"/>
        <rFont val="Calibri"/>
        <family val="2"/>
        <scheme val="minor"/>
      </rPr>
      <t xml:space="preserve"> would be used to produce </t>
    </r>
    <r>
      <rPr>
        <b/>
        <sz val="12"/>
        <color theme="1"/>
        <rFont val="Calibri"/>
        <family val="2"/>
        <scheme val="minor"/>
      </rPr>
      <t>2000 liters of premium milk</t>
    </r>
    <r>
      <rPr>
        <sz val="12"/>
        <color theme="1"/>
        <rFont val="Calibri"/>
        <family val="2"/>
        <scheme val="minor"/>
      </rPr>
      <t>.</t>
    </r>
  </si>
  <si>
    <r>
      <rPr>
        <b/>
        <sz val="12"/>
        <color theme="1"/>
        <rFont val="Calibri"/>
        <family val="2"/>
        <scheme val="minor"/>
      </rPr>
      <t xml:space="preserve">1000 liters of milk </t>
    </r>
    <r>
      <rPr>
        <sz val="12"/>
        <color theme="1"/>
        <rFont val="Calibri"/>
        <family val="2"/>
        <scheme val="minor"/>
      </rPr>
      <t xml:space="preserve">could be converted into either </t>
    </r>
    <r>
      <rPr>
        <b/>
        <sz val="12"/>
        <color theme="1"/>
        <rFont val="Calibri"/>
        <family val="2"/>
        <scheme val="minor"/>
      </rPr>
      <t>93.45 kg (9.34%) of SMP</t>
    </r>
    <r>
      <rPr>
        <sz val="12"/>
        <color theme="1"/>
        <rFont val="Calibri"/>
        <family val="2"/>
        <scheme val="minor"/>
      </rPr>
      <t xml:space="preserve"> or 54.87 kg (5.48%) of butter.</t>
    </r>
  </si>
  <si>
    <t>Milk procurement from other milk dairies</t>
  </si>
  <si>
    <t>inclusive of transporation costs</t>
  </si>
  <si>
    <t xml:space="preserve">Raw milk procurement </t>
  </si>
  <si>
    <t>Cost of processing raw milk into premium milk</t>
  </si>
  <si>
    <t>Selling price of milk</t>
  </si>
  <si>
    <t xml:space="preserve">Maximizing the profit contribution </t>
  </si>
  <si>
    <t>Profit from farmers milk</t>
  </si>
  <si>
    <t>Profit from other dairies milk</t>
  </si>
  <si>
    <t>Period</t>
  </si>
  <si>
    <t>Date</t>
  </si>
  <si>
    <t>Apr</t>
  </si>
  <si>
    <t>Jun</t>
  </si>
  <si>
    <t>Jul</t>
  </si>
  <si>
    <t>Aug</t>
  </si>
  <si>
    <t>Sep</t>
  </si>
  <si>
    <t>Oct</t>
  </si>
  <si>
    <t>Nov</t>
  </si>
  <si>
    <t>Dec</t>
  </si>
  <si>
    <t>Jan</t>
  </si>
  <si>
    <t>Feb</t>
  </si>
  <si>
    <t>Mar</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</si>
  <si>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</si>
  <si>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</si>
  <si>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</si>
  <si>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</si>
  <si>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</si>
  <si>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</si>
  <si>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</si>
  <si>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</si>
  <si>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</si>
  <si>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</si>
  <si>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</si>
  <si>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</si>
  <si>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</si>
  <si>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</si>
  <si>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</si>
  <si>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</si>
  <si>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</si>
  <si>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</si>
  <si>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</si>
  <si>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</si>
  <si>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</si>
  <si>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</si>
  <si>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</si>
  <si>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</si>
  <si>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 xml:space="preserve">Adjusted R Square is quite high. Just by knowing the month and the year, we are able to explain 91.93% of the demand of milk. </t>
  </si>
  <si>
    <t xml:space="preserve">February is the only variable that is not statistically significant, which makes sense because it was the lowest variable. </t>
  </si>
  <si>
    <t>Typically those values that are very extreme could be having statistically non-significant p-values.</t>
  </si>
  <si>
    <t xml:space="preserve">October has the highest coefficient, which means that whenever it is October, we should expect a higher demand and, therefore, produce more milk. </t>
  </si>
  <si>
    <t xml:space="preserve">Forecast </t>
  </si>
  <si>
    <t xml:space="preserve">Month </t>
  </si>
  <si>
    <t>Unless something dramatically changes in the milk industry in the Madurai area, this model should be alright to predict the future demand for milk.</t>
  </si>
  <si>
    <t>However, we are getting a negative coefficient for February and the confidence interval includes 0 so it could go either way.</t>
  </si>
  <si>
    <t>Which means that in some years, the drop has not been as high as in other months or in one particular year, February was particularly low, and that is pulling the average towards the left.</t>
  </si>
  <si>
    <t>For that reason, we are making the call to keep it despite the insignificant p-value because it is giving the right sign that the production should be lower in months February.</t>
  </si>
  <si>
    <t>Comments on the output results</t>
  </si>
  <si>
    <t>As expected from the plot, the demand in January and February is relatively low. On the other hand, December is a high-demand month.</t>
  </si>
  <si>
    <t>May, June, and July show also high demand for mik. These months correspond with the holy festivity and other festivals in the area.</t>
  </si>
  <si>
    <t xml:space="preserve">More specifically, we need to increase the production by another 4.1 million liters compared to the average demand for milk of the year. </t>
  </si>
  <si>
    <t xml:space="preserve">It is observed that there is some growth in the demand for milk overall. </t>
  </si>
  <si>
    <t xml:space="preserve">However, the demand is very seasonal with low values in January, February, </t>
  </si>
  <si>
    <t xml:space="preserve">and high values in summer months, October, and December. </t>
  </si>
  <si>
    <t xml:space="preserve">We will create and use dummy variables to distinguish the months and </t>
  </si>
  <si>
    <t xml:space="preserve">their seasonality. Using the dummies and regression, we will produce </t>
  </si>
  <si>
    <t>forecasts that will take into account both the seasonality and the overall trend.</t>
  </si>
  <si>
    <t>Comments on the Adjusted R Square</t>
  </si>
  <si>
    <t>Forecasting the milk demand using linear regression with dummy variables</t>
  </si>
  <si>
    <t>MADURAI AAVIN MILK DAIRY</t>
  </si>
  <si>
    <t xml:space="preserve">Production </t>
  </si>
  <si>
    <t xml:space="preserve">Daily Production </t>
  </si>
  <si>
    <t>P</t>
  </si>
  <si>
    <t xml:space="preserve">Milk farmers </t>
  </si>
  <si>
    <t xml:space="preserve">Milk other </t>
  </si>
  <si>
    <t>=</t>
  </si>
  <si>
    <t>Minimum Demand (70%)</t>
  </si>
  <si>
    <t xml:space="preserve">100% Demand </t>
  </si>
  <si>
    <t>&lt;=</t>
  </si>
  <si>
    <t>Capacity of butter storage (in kg)</t>
  </si>
  <si>
    <t>Milk recombination</t>
  </si>
  <si>
    <t>Demand (Case)</t>
  </si>
  <si>
    <t>Demand (Team 6)</t>
  </si>
  <si>
    <t>Supply (Case)</t>
  </si>
  <si>
    <t>Supply (Team 6)</t>
  </si>
  <si>
    <t>Demand-Supply Gap</t>
  </si>
  <si>
    <t>Satisfied demand (%)</t>
  </si>
  <si>
    <t>Calculating the percentage increase based on the forecasted demand:</t>
  </si>
  <si>
    <t>Increase</t>
  </si>
  <si>
    <t>% Increase</t>
  </si>
  <si>
    <t>May 2010/May 2011:</t>
  </si>
  <si>
    <t>Apr 2010/Apr 2011:</t>
  </si>
  <si>
    <t>Jun 2010/Jun 2011:</t>
  </si>
  <si>
    <t>Jul 2010/Jul 2011:</t>
  </si>
  <si>
    <t>Aug 2010/Aug 2011:</t>
  </si>
  <si>
    <t>Sep 2010/Sep 2011:</t>
  </si>
  <si>
    <t>Comments:</t>
  </si>
  <si>
    <r>
      <t>Checking for the information from the case: "</t>
    </r>
    <r>
      <rPr>
        <b/>
        <sz val="12"/>
        <color theme="1"/>
        <rFont val="Calibri"/>
        <family val="2"/>
        <scheme val="minor"/>
      </rPr>
      <t>The production requirement profile was represented by data from the previous year. About 10% increase in sales was assumed as demand for the year 2011.</t>
    </r>
    <r>
      <rPr>
        <sz val="12"/>
        <color theme="1"/>
        <rFont val="Calibri"/>
        <family val="2"/>
        <scheme val="minor"/>
      </rPr>
      <t>"</t>
    </r>
  </si>
  <si>
    <r>
      <t>Checking for the information from the case: "</t>
    </r>
    <r>
      <rPr>
        <b/>
        <sz val="12"/>
        <color theme="1"/>
        <rFont val="Calibri"/>
        <family val="2"/>
        <scheme val="minor"/>
      </rPr>
      <t>The production requirement profile was represented by data from the previous year. About 10% increase in sales was assumed as demand for the year 2011.</t>
    </r>
    <r>
      <rPr>
        <sz val="12"/>
        <color theme="1"/>
        <rFont val="Calibri"/>
        <family val="2"/>
        <scheme val="minor"/>
      </rPr>
      <t>"</t>
    </r>
  </si>
  <si>
    <t>Calculating the percentage increase based on the given estimated demand (from the case)</t>
  </si>
  <si>
    <t xml:space="preserve">Comments: </t>
  </si>
  <si>
    <t xml:space="preserve">As calculated above, the percentage increase was only 2.65% in the case of the given estimated demand, which is a big difference from what the case says (about 10% increase). Therefore, we assume that this estimated daily demand in April is not accurate and we will adjust the numbers to fit our forecast for April 2011. </t>
  </si>
  <si>
    <t>To do so, we will use the following information:</t>
  </si>
  <si>
    <t xml:space="preserve">Oct </t>
  </si>
  <si>
    <t xml:space="preserve">Nov </t>
  </si>
  <si>
    <t xml:space="preserve">Oct 2010/Oct 2011: </t>
  </si>
  <si>
    <t xml:space="preserve">Nov 2010/Nov 2011: </t>
  </si>
  <si>
    <t xml:space="preserve">Dec 2010/Dec 2011: </t>
  </si>
  <si>
    <t>based on the projections</t>
  </si>
  <si>
    <t>The case is not explicit and only gives us a rough value of increase (about 10%). Based on our forecast using a linear regression with dummy variables that takes into account both seasonality and year-on-year trends, as well as the calculated average increase of 9.25% in 2011 (which is a close number to the 10% increase as roughly specified in the case), we are confident that our demand forecast is good to use.</t>
  </si>
  <si>
    <t>Average increase Apr - Sep 2011:</t>
  </si>
  <si>
    <t xml:space="preserve">Overall Average Increase in 2011 </t>
  </si>
  <si>
    <t>Demand Milk (lts)</t>
  </si>
  <si>
    <t>Total (lts)</t>
  </si>
  <si>
    <t>Supply = Available raw milk from farmers</t>
  </si>
  <si>
    <t xml:space="preserve">&lt;= </t>
  </si>
  <si>
    <t>Supply = Available raw milk from farmers, incl. 5% reserve stock req</t>
  </si>
  <si>
    <t xml:space="preserve">5% reserve stock </t>
  </si>
  <si>
    <t>Market share of other milk dairies (19%)</t>
  </si>
  <si>
    <t>Liters of milk produced by SMP proportion</t>
  </si>
  <si>
    <t>Liters of milk produced by Butter proportion</t>
  </si>
  <si>
    <t>SMP (kg)</t>
  </si>
  <si>
    <t>Butter (kg)</t>
  </si>
  <si>
    <t xml:space="preserve">Butter Stored (Yes-1/No-0) </t>
  </si>
  <si>
    <t>Butter Storage Capacity</t>
  </si>
  <si>
    <t>Daily production</t>
  </si>
  <si>
    <t>Calculation of milk recombination cost:</t>
  </si>
  <si>
    <t>15232.35 + 6145.45 = 2000*PM</t>
  </si>
  <si>
    <t xml:space="preserve">B cost </t>
  </si>
  <si>
    <t>per liter PM</t>
  </si>
  <si>
    <t>SMP + B</t>
  </si>
  <si>
    <t xml:space="preserve">Recombination cost </t>
  </si>
  <si>
    <t xml:space="preserve">Total cost </t>
  </si>
  <si>
    <t>93.45*SMP + 54.87*B = 2000*PM</t>
  </si>
  <si>
    <t>93.45*INR 163 + 54.87*INR 112 = 2000*PM</t>
  </si>
  <si>
    <r>
      <t xml:space="preserve">PROFIT CONTRIBUTION </t>
    </r>
    <r>
      <rPr>
        <sz val="12"/>
        <color theme="1"/>
        <rFont val="Calibri"/>
        <family val="2"/>
        <scheme val="minor"/>
      </rPr>
      <t>per liter of Premium Milk (in INR)</t>
    </r>
  </si>
  <si>
    <r>
      <t xml:space="preserve">REVENUE </t>
    </r>
    <r>
      <rPr>
        <sz val="12"/>
        <color theme="1"/>
        <rFont val="Calibri"/>
        <family val="2"/>
        <scheme val="minor"/>
      </rPr>
      <t>per liter of Premium Milk (in INR)</t>
    </r>
  </si>
  <si>
    <r>
      <t xml:space="preserve">COST </t>
    </r>
    <r>
      <rPr>
        <sz val="12"/>
        <color theme="1"/>
        <rFont val="Calibri"/>
        <family val="2"/>
        <scheme val="minor"/>
      </rPr>
      <t>per liter of Premium Milk (in INR)</t>
    </r>
  </si>
  <si>
    <t>Butter Storage Cost (in kg) - FIXED COST</t>
  </si>
  <si>
    <t>Maximizing the profit contribution</t>
  </si>
  <si>
    <t xml:space="preserve">MODEL </t>
  </si>
  <si>
    <t>≤</t>
  </si>
  <si>
    <t>ASSUMPTIONS</t>
  </si>
  <si>
    <t>Daily production (in lts)</t>
  </si>
  <si>
    <t>Calculation of the SMP and Butter proportions:</t>
  </si>
  <si>
    <t>1. MAMD will only produce Premium Milk (PM) as the end product (as per the case, MAMD management is ready to compromise on all the other products since the demand for premium milk is higher than the supply of raw milk).</t>
  </si>
  <si>
    <t>2. MAMD do not have any ecxess raw milk (especially given the high demand in the months April). Therefore, MAMD need to purchase Butter and SMP from outside sources.</t>
  </si>
  <si>
    <t>3. Butter and SMP are imported and the procurement costs include transportation cost (assumption based on information from the case that raw milk procurement from other dairies is inclusive of transportation cost).</t>
  </si>
  <si>
    <t>4. Supply from Exhibit 5 equals to the available raw milk from the farmers. Therefore, the rest of the demand is satisfied by other milk dairies.</t>
  </si>
  <si>
    <t>5. Other milk dairies would sell all of their raw milk available to us because their profit would be higher (high production costs).</t>
  </si>
  <si>
    <t>1*PM = 93.45/2000*SMP + 54.87/2000*B</t>
  </si>
  <si>
    <t>1*PM = 0.046725*SMP + 0.027435*B</t>
  </si>
  <si>
    <t>0.074216 ….. 100%</t>
  </si>
  <si>
    <t>0.046725 ….. x</t>
  </si>
  <si>
    <t>B (kg)</t>
  </si>
  <si>
    <t xml:space="preserve">per liter PM </t>
  </si>
  <si>
    <t>SMP proportion</t>
  </si>
  <si>
    <t>B propotion</t>
  </si>
  <si>
    <t>Milk farmers (MF)</t>
  </si>
  <si>
    <t>Milk recombination (MR)</t>
  </si>
  <si>
    <t>Milk other (MO)</t>
  </si>
  <si>
    <t>MF13</t>
  </si>
  <si>
    <t>MF14</t>
  </si>
  <si>
    <t>MF15</t>
  </si>
  <si>
    <t>MF16</t>
  </si>
  <si>
    <t>MF17</t>
  </si>
  <si>
    <t>MF18</t>
  </si>
  <si>
    <t>MF19</t>
  </si>
  <si>
    <t>MF20</t>
  </si>
  <si>
    <t>MF21</t>
  </si>
  <si>
    <t>MF22</t>
  </si>
  <si>
    <t>MF23</t>
  </si>
  <si>
    <t>MF24</t>
  </si>
  <si>
    <t>MF25</t>
  </si>
  <si>
    <t>MF26</t>
  </si>
  <si>
    <t>MF27</t>
  </si>
  <si>
    <t>MF28</t>
  </si>
  <si>
    <t>MF29</t>
  </si>
  <si>
    <t>MF30</t>
  </si>
  <si>
    <t>= liters of milk produced using raw milk procured from farmers on April 13, 2011</t>
  </si>
  <si>
    <t>= liters of milk produced using raw milk procured from farmers on April 14, 2011</t>
  </si>
  <si>
    <t>= liters of milk produced using raw milk procured from farmers on April 15, 2011</t>
  </si>
  <si>
    <t>= liters of milk produced using raw milk procured from farmers on April 16, 2011</t>
  </si>
  <si>
    <t>= liters of milk produced using raw milk procured from farmers on April 17, 2011</t>
  </si>
  <si>
    <t>= liters of milk produced using raw milk procured from farmers on April 18, 2011</t>
  </si>
  <si>
    <t>= liters of milk produced using raw milk procured from farmers on April 19, 2011</t>
  </si>
  <si>
    <t>= liters of milk produced using raw milk procured from farmers on April 20, 2011</t>
  </si>
  <si>
    <t>= liters of milk produced using raw milk procured from farmers on April 21, 2011</t>
  </si>
  <si>
    <t>= liters of milk produced using raw milk procured from farmers on April 22, 2011</t>
  </si>
  <si>
    <t>= liters of milk produced using raw milk procured from farmers on April 23, 2011</t>
  </si>
  <si>
    <t>= liters of milk produced using raw milk procured from farmers on April 24, 2011</t>
  </si>
  <si>
    <t>= liters of milk produced using raw milk procured from farmers on April 25, 2011</t>
  </si>
  <si>
    <t>= liters of milk produced using raw milk procured from farmers on April 27, 2011</t>
  </si>
  <si>
    <t>= liters of milk produced using raw milk procured from farmers on April 26, 2011</t>
  </si>
  <si>
    <t>= liters of milk produced using raw milk procured from farmers on April 28, 2011</t>
  </si>
  <si>
    <t>= liters of milk produced using raw milk procured from farmers on April 29, 2011</t>
  </si>
  <si>
    <t>= liters of milk produced using raw milk procured from farmers on April 30, 2011</t>
  </si>
  <si>
    <t>MR13</t>
  </si>
  <si>
    <t>MR14</t>
  </si>
  <si>
    <t>MR15</t>
  </si>
  <si>
    <t>MR16</t>
  </si>
  <si>
    <t>MR17</t>
  </si>
  <si>
    <t>MR18</t>
  </si>
  <si>
    <t>MR19</t>
  </si>
  <si>
    <t>MR20</t>
  </si>
  <si>
    <t>MR21</t>
  </si>
  <si>
    <t>MR22</t>
  </si>
  <si>
    <t>MR23</t>
  </si>
  <si>
    <t>MR24</t>
  </si>
  <si>
    <t>MR25</t>
  </si>
  <si>
    <t>MR26</t>
  </si>
  <si>
    <t>MR27</t>
  </si>
  <si>
    <t>MR28</t>
  </si>
  <si>
    <t>MR29</t>
  </si>
  <si>
    <t>MR30</t>
  </si>
  <si>
    <t>= liters of milk produced by recombination using SMP and Butter on April 13, 2011</t>
  </si>
  <si>
    <t>= liters of milk produced by recombination using SMP and Butter on April 14, 2011</t>
  </si>
  <si>
    <t>= liters of milk produced by recombination using SMP and Butter on April 15, 2011</t>
  </si>
  <si>
    <t>= liters of milk produced by recombination using SMP and Butter on April 16, 2011</t>
  </si>
  <si>
    <t>= liters of milk produced by recombination using SMP and Butter on April 17, 2011</t>
  </si>
  <si>
    <t>= liters of milk produced by recombination using SMP and Butter on April 18, 2011</t>
  </si>
  <si>
    <t>= liters of milk produced by recombination using SMP and Butter on April 19, 2011</t>
  </si>
  <si>
    <t>= liters of milk produced by recombination using SMP and Butter on April 20, 2011</t>
  </si>
  <si>
    <t>= liters of milk produced by recombination using SMP and Butter on April 21, 2011</t>
  </si>
  <si>
    <t>= liters of milk produced by recombination using SMP and Butter on April 22, 2011</t>
  </si>
  <si>
    <t>= liters of milk produced by recombination using SMP and Butter on April 23, 2011</t>
  </si>
  <si>
    <t>= liters of milk produced by recombination using SMP and Butter on April 24, 2011</t>
  </si>
  <si>
    <t>= liters of milk produced by recombination using SMP and Butter on April 25, 2011</t>
  </si>
  <si>
    <t>= liters of milk produced by recombination using SMP and Butter on April 26, 2011</t>
  </si>
  <si>
    <t>= liters of milk produced by recombination using SMP and Butter on April 27, 2011</t>
  </si>
  <si>
    <t>= liters of milk produced by recombination using SMP and Butter on April 28, 2011</t>
  </si>
  <si>
    <t>= liters of milk produced by recombination using SMP and Butter on April 29, 2011</t>
  </si>
  <si>
    <t>= liters of milk produced by recombination using SMP and Butter on April 30, 2011</t>
  </si>
  <si>
    <t>MO13</t>
  </si>
  <si>
    <t>MO14</t>
  </si>
  <si>
    <t>MO15</t>
  </si>
  <si>
    <t>MO16</t>
  </si>
  <si>
    <t>MO17</t>
  </si>
  <si>
    <t>MO18</t>
  </si>
  <si>
    <t>MO19</t>
  </si>
  <si>
    <t>MO20</t>
  </si>
  <si>
    <t>MO21</t>
  </si>
  <si>
    <t>MO22</t>
  </si>
  <si>
    <t>MO23</t>
  </si>
  <si>
    <t>MO24</t>
  </si>
  <si>
    <t>MO25</t>
  </si>
  <si>
    <t>MO26</t>
  </si>
  <si>
    <t>MO27</t>
  </si>
  <si>
    <t>MO28</t>
  </si>
  <si>
    <t>MO29</t>
  </si>
  <si>
    <t>MO30</t>
  </si>
  <si>
    <t>= liters of milk produced using raw milk procured by other milk dairies on April 13, 2011</t>
  </si>
  <si>
    <t>= liters of milk produced using raw milk procured by other milk dairies on April 14, 2011</t>
  </si>
  <si>
    <t>= liters of milk produced using raw milk procured by other milk dairies on April 15, 2011</t>
  </si>
  <si>
    <t>= liters of milk produced using raw milk procured by other milk dairies on April 16, 2011</t>
  </si>
  <si>
    <t>= liters of milk produced using raw milk procured by other milk dairies on April 17, 2011</t>
  </si>
  <si>
    <t>= liters of milk produced using raw milk procured by other milk dairies on April 18, 2011</t>
  </si>
  <si>
    <t>= liters of milk produced using raw milk procured by other milk dairies on April 19, 2011</t>
  </si>
  <si>
    <t>= liters of milk produced using raw milk procured by other milk dairies on April 20, 2011</t>
  </si>
  <si>
    <t>= liters of milk produced using raw milk procured by other milk dairies on April 21, 2011</t>
  </si>
  <si>
    <t>= liters of milk produced using raw milk procured by other milk dairies on April 22, 2011</t>
  </si>
  <si>
    <t>= liters of milk produced using raw milk procured by other milk dairies on April 23, 2011</t>
  </si>
  <si>
    <t>= liters of milk produced using raw milk procured by other milk dairies on April 24, 2011</t>
  </si>
  <si>
    <t>= liters of milk produced using raw milk procured by other milk dairies on April 25, 2011</t>
  </si>
  <si>
    <t>= liters of milk produced using raw milk procured by other milk dairies on April 26, 2011</t>
  </si>
  <si>
    <t>= liters of milk produced using raw milk procured by other milk dairies on April 27, 2011</t>
  </si>
  <si>
    <t>= liters of milk produced using raw milk procured by other milk dairies on April 28, 2011</t>
  </si>
  <si>
    <t>= liters of milk produced using raw milk procured by other milk dairies on April 29, 2011</t>
  </si>
  <si>
    <t>= liters of milk produced using raw milk procured by other milk dairies on April 30, 2011</t>
  </si>
  <si>
    <t>= 1 if Butter is stored or 0 if Butter is not stored on April 13, 2011</t>
  </si>
  <si>
    <t>S13</t>
  </si>
  <si>
    <t>S14</t>
  </si>
  <si>
    <t>S15</t>
  </si>
  <si>
    <t>S16</t>
  </si>
  <si>
    <t>S17</t>
  </si>
  <si>
    <t>S18</t>
  </si>
  <si>
    <t>= 1 if Butter is stored or 0 if Butter is not stored on April 14, 2011</t>
  </si>
  <si>
    <t>= 1 if Butter is stored or 0 if Butter is not stored on April 15, 2011</t>
  </si>
  <si>
    <t>= 1 if Butter is stored or 0 if Butter is not stored on April 16, 2011</t>
  </si>
  <si>
    <t>= 1 if Butter is stored or 0 if Butter is not stored on April 17, 2011</t>
  </si>
  <si>
    <t>= 1 if Butter is stored or 0 if Butter is not stored on April 18, 2011</t>
  </si>
  <si>
    <t>= 1 if Butter is stored or 0 if Butter is not stored on April 19, 2011</t>
  </si>
  <si>
    <t>= 1 if Butter is stored or 0 if Butter is not stored on April 20, 2011</t>
  </si>
  <si>
    <t>= 1 if Butter is stored or 0 if Butter is not stored on April 21, 2011</t>
  </si>
  <si>
    <t>= 1 if Butter is stored or 0 if Butter is not stored on April 22, 2011</t>
  </si>
  <si>
    <t>= 1 if Butter is stored or 0 if Butter is not stored on April 23, 2011</t>
  </si>
  <si>
    <t>= 1 if Butter is stored or 0 if Butter is not stored on April 24, 2011</t>
  </si>
  <si>
    <t>= 1 if Butter is stored or 0 if Butter is not stored on April 25, 2011</t>
  </si>
  <si>
    <t>= 1 if Butter is stored or 0 if Butter is not stored on April 26, 2011</t>
  </si>
  <si>
    <t>= 1 if Butter is stored or 0 if Butter is not stored on April 27, 2011</t>
  </si>
  <si>
    <t>= 1 if Butter is stored or 0 if Butter is not stored on April 28, 2011</t>
  </si>
  <si>
    <t>= 1 if Butter is stored or 0 if Butter is not stored on April 29, 2011</t>
  </si>
  <si>
    <t>= 1 if Butter is stored or 0 if Butter is not stored on April 30, 2011</t>
  </si>
  <si>
    <t>S19</t>
  </si>
  <si>
    <t>S20</t>
  </si>
  <si>
    <t>S21</t>
  </si>
  <si>
    <t>S22</t>
  </si>
  <si>
    <t>S23</t>
  </si>
  <si>
    <t>S24</t>
  </si>
  <si>
    <t>S25</t>
  </si>
  <si>
    <t>S26</t>
  </si>
  <si>
    <t>S27</t>
  </si>
  <si>
    <t>S28</t>
  </si>
  <si>
    <t>S29</t>
  </si>
  <si>
    <t>S30</t>
  </si>
  <si>
    <t>Profit from recombination using purchased SMP and Butter</t>
  </si>
  <si>
    <t>Calculation of milk recombination cost using purchased SMP and Butter:</t>
  </si>
  <si>
    <t>MAX 3MF + 1.5MO + 9.31MR – 2500S</t>
  </si>
  <si>
    <t>Note: This is a general equation. The full equation will incorporate all the decision variables for each day.</t>
  </si>
  <si>
    <t>Note: We are not using this constraint because we procure SMP and Butter from outside sources (see Assumptions for more information).</t>
  </si>
  <si>
    <t>MF + MR + MF = Demand</t>
  </si>
  <si>
    <t>1. Meeting the total demand</t>
  </si>
  <si>
    <t xml:space="preserve">MF &lt;= Supply </t>
  </si>
  <si>
    <t xml:space="preserve">3. Availability of raw milk from other dairies </t>
  </si>
  <si>
    <t>2. Availability raw milk from farmers</t>
  </si>
  <si>
    <t xml:space="preserve">MF + MR + MD - Demand = 0 </t>
  </si>
  <si>
    <t xml:space="preserve">MF - Supply &lt;= 0 </t>
  </si>
  <si>
    <t xml:space="preserve">MO &lt;= 0.19*Demand </t>
  </si>
  <si>
    <t>MO - 0.19*Demand &lt;= 0</t>
  </si>
  <si>
    <t xml:space="preserve">6. Butter is imported in advance once a month (given the longer shelf life) and, therefore, MAMD need to store butter in storage. </t>
  </si>
  <si>
    <t>7. All inventory from April 12th will be used up the next day, April 13th.</t>
  </si>
  <si>
    <t>6. Minimum of milk required to operate conversion to SMP</t>
  </si>
  <si>
    <t>7. Minimum of milk required to operate conversion to butter</t>
  </si>
  <si>
    <t xml:space="preserve">0.95*MF = Demand  </t>
  </si>
  <si>
    <t>0.95*MF - Demand = 0</t>
  </si>
  <si>
    <t>5. Daily raw milk stock requirement (5%)</t>
  </si>
  <si>
    <t>4. Capacity of butter storage (10000 kg)</t>
  </si>
  <si>
    <t>S13 + S14 + … + S30 &lt;= 10000</t>
  </si>
  <si>
    <t>S13 + S14 + … + S30 - 10000 &lt;=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</si>
</sst>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0.0"/>
    <numFmt numFmtId="165" formatCode="00000"/>
    <numFmt numFmtId="166" formatCode="_(* #,##0_);_(* \(#,##0\);_(* &quot;-&quot;??_);_(@_)"/>
    <numFmt numFmtId="167" formatCode="[$INR]\ #,##0"/>
    <numFmt numFmtId="168" formatCode="[$INR]\ #,##0.0"/>
    <numFmt numFmtId="169" formatCode="_(* #,##0.0000_);_(* \(#,##0.0000\);_(* &quot;-&quot;??_);_(@_)"/>
    <numFmt numFmtId="170" formatCode="[$INR]\ #,##0.00"/>
    <numFmt numFmtId="171" formatCode="_(* #,##0.0_);_(* \(#,##0.0\);_(* &quot;-&quot;??_);_(@_)"/>
  </numFmts>
  <fonts count="17" x14ac:knownFonts="1">
    <font>
      <sz val="12"/>
      <color theme="1"/>
      <name val="Calibri"/>
      <family val="2"/>
      <scheme val="minor"/>
    </font>
    <font>
      <sz val="12"/>
      <color theme="1"/>
      <name val="Calibri"/>
      <family val="2"/>
      <scheme val="minor"/>
    </font>
    <font>
      <b/>
      <sz val="12"/>
      <color theme="1"/>
      <name val="Calibri"/>
      <family val="2"/>
      <scheme val="minor"/>
    </font>
    <font>
      <sz val="8"/>
      <name val="Calibri"/>
      <family val="2"/>
      <scheme val="minor"/>
    </font>
    <font>
      <sz val="12"/>
      <color theme="1" tint="0.499984740745262"/>
      <name val="Calibri"/>
      <family val="2"/>
      <scheme val="minor"/>
    </font>
    <font>
      <sz val="11"/>
      <color theme="1"/>
      <name val="Calibri"/>
      <family val="2"/>
      <scheme val="minor"/>
    </font>
    <font>
      <i/>
      <sz val="12"/>
      <color theme="1"/>
      <name val="Calibri"/>
      <family val="2"/>
      <scheme val="minor"/>
    </font>
    <font>
      <b/>
      <sz val="11"/>
      <color theme="1"/>
      <name val="Calibri"/>
      <family val="2"/>
      <scheme val="minor"/>
    </font>
    <font>
      <sz val="12"/>
      <color rgb="FFFF0000"/>
      <name val="Calibri"/>
      <family val="2"/>
      <scheme val="minor"/>
    </font>
    <font>
      <b/>
      <sz val="11"/>
      <color theme="1" tint="0.499984740745262"/>
      <name val="Calibri"/>
      <family val="2"/>
      <scheme val="minor"/>
    </font>
    <font>
      <sz val="11"/>
      <color theme="1" tint="0.499984740745262"/>
      <name val="Calibri"/>
      <family val="2"/>
      <scheme val="minor"/>
    </font>
    <font>
      <sz val="12"/>
      <color rgb="FF000000"/>
      <name val="Calibri"/>
      <family val="2"/>
      <scheme val="minor"/>
    </font>
    <font>
      <sz val="10"/>
      <color rgb="FF000000"/>
      <name val="Tahoma"/>
      <family val="2"/>
    </font>
    <font>
      <b/>
      <sz val="16"/>
      <color theme="1"/>
      <name val="Calibri"/>
      <family val="2"/>
      <scheme val="minor"/>
    </font>
    <font>
      <sz val="12"/>
      <color theme="2" tint="-0.249977111117893"/>
      <name val="Calibri"/>
      <family val="2"/>
      <scheme val="minor"/>
    </font>
    <font>
      <sz val="12"/>
      <color rgb="FF505050"/>
      <name val="Helvetica"/>
      <family val="2"/>
    </font>
    <font>
      <strike/>
      <sz val="12"/>
      <color theme="1"/>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7" tint="0.79998168889431442"/>
        <bgColor indexed="64"/>
      </patternFill>
    </fill>
    <fill>
      <patternFill patternType="solid">
        <fgColor theme="5"/>
        <bgColor indexed="64"/>
      </patternFill>
    </fill>
    <fill>
      <patternFill patternType="solid">
        <fgColor them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bottom style="medium">
        <color indexed="64"/>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0" fontId="5" fillId="0" borderId="0"/>
    <xf numFmtId="9" fontId="1"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cellStyleXfs>
  <cellXfs count="319">
    <xf numFmtId="0" fontId="0" fillId="0" borderId="0" xfId="0"/>
    <xf numFmtId="0" fontId="2" fillId="0" borderId="1" xfId="0" applyFont="1" applyBorder="1" applyAlignment="1">
      <alignment horizontal="center"/>
    </xf>
    <xf numFmtId="166" fontId="0" fillId="0" borderId="1" xfId="1" applyNumberFormat="1" applyFont="1" applyBorder="1" applyAlignment="1">
      <alignment horizontal="center" vertical="center"/>
    </xf>
    <xf numFmtId="0" fontId="2" fillId="0" borderId="1" xfId="0" applyFont="1" applyBorder="1" applyAlignment="1">
      <alignment horizontal="center" vertical="center"/>
    </xf>
    <xf numFmtId="166" fontId="0" fillId="0" borderId="1" xfId="1" applyNumberFormat="1" applyFont="1" applyFill="1" applyBorder="1" applyAlignment="1">
      <alignment horizontal="center" vertical="center"/>
    </xf>
    <xf numFmtId="0" fontId="0" fillId="2" borderId="1" xfId="0" applyFill="1" applyBorder="1" applyAlignment="1">
      <alignment horizontal="center" vertical="center"/>
    </xf>
    <xf numFmtId="0" fontId="0" fillId="3" borderId="0" xfId="0" applyFill="1"/>
    <xf numFmtId="0" fontId="2" fillId="3" borderId="0" xfId="0" applyFont="1" applyFill="1"/>
    <xf numFmtId="168" fontId="0" fillId="0" borderId="0" xfId="0" applyNumberFormat="1"/>
    <xf numFmtId="167" fontId="0" fillId="0" borderId="0" xfId="0" applyNumberFormat="1"/>
    <xf numFmtId="166" fontId="0" fillId="0" borderId="0" xfId="1" applyNumberFormat="1" applyFont="1"/>
    <xf numFmtId="0" fontId="4" fillId="0" borderId="0" xfId="0" applyFont="1" applyAlignment="1">
      <alignment horizontal="left" indent="1"/>
    </xf>
    <xf numFmtId="0" fontId="4" fillId="0" borderId="0" xfId="0" applyFont="1"/>
    <xf numFmtId="0" fontId="0" fillId="4" borderId="0" xfId="0" applyFill="1"/>
    <xf numFmtId="167" fontId="0" fillId="4" borderId="0" xfId="0" applyNumberFormat="1" applyFill="1"/>
    <xf numFmtId="0" fontId="0" fillId="0" borderId="0" xfId="0" applyFill="1" applyBorder="1" applyAlignment="1"/>
    <xf numFmtId="0" fontId="0" fillId="0" borderId="3" xfId="0" applyFill="1" applyBorder="1" applyAlignment="1"/>
    <xf numFmtId="0" fontId="6" fillId="0" borderId="4" xfId="0" applyFont="1" applyFill="1" applyBorder="1" applyAlignment="1">
      <alignment horizontal="center"/>
    </xf>
    <xf numFmtId="0" fontId="6" fillId="0" borderId="4" xfId="0" applyFont="1" applyFill="1" applyBorder="1" applyAlignment="1">
      <alignment horizontal="centerContinuous"/>
    </xf>
    <xf numFmtId="0" fontId="0" fillId="3" borderId="0" xfId="0" applyFill="1" applyBorder="1" applyAlignment="1"/>
    <xf numFmtId="0" fontId="0" fillId="0" borderId="2" xfId="0" applyBorder="1"/>
    <xf numFmtId="0" fontId="0" fillId="0" borderId="6" xfId="0" applyBorder="1"/>
    <xf numFmtId="0" fontId="5" fillId="0" borderId="7" xfId="2" applyBorder="1"/>
    <xf numFmtId="166" fontId="5" fillId="5" borderId="0" xfId="1" applyNumberFormat="1" applyFont="1" applyFill="1" applyBorder="1"/>
    <xf numFmtId="0" fontId="5" fillId="0" borderId="0" xfId="2" applyBorder="1"/>
    <xf numFmtId="0" fontId="5" fillId="0" borderId="8" xfId="2" applyBorder="1"/>
    <xf numFmtId="0" fontId="5" fillId="0" borderId="9" xfId="2" applyBorder="1"/>
    <xf numFmtId="0" fontId="5" fillId="0" borderId="3" xfId="2" applyBorder="1"/>
    <xf numFmtId="0" fontId="5" fillId="0" borderId="10" xfId="2" applyBorder="1"/>
    <xf numFmtId="0" fontId="2" fillId="0" borderId="5" xfId="0" applyFont="1" applyBorder="1"/>
    <xf numFmtId="0" fontId="2" fillId="5" borderId="2" xfId="0" applyFont="1" applyFill="1" applyBorder="1"/>
    <xf numFmtId="0" fontId="2" fillId="0" borderId="2" xfId="0" applyFont="1" applyBorder="1"/>
    <xf numFmtId="0" fontId="0" fillId="4" borderId="5" xfId="0" applyFill="1" applyBorder="1"/>
    <xf numFmtId="0" fontId="0" fillId="4" borderId="2" xfId="0" applyFill="1" applyBorder="1"/>
    <xf numFmtId="0" fontId="0" fillId="4" borderId="6" xfId="0" applyFill="1" applyBorder="1"/>
    <xf numFmtId="0" fontId="0" fillId="4" borderId="9" xfId="0" applyFill="1" applyBorder="1"/>
    <xf numFmtId="0" fontId="0" fillId="4" borderId="3" xfId="0" applyFill="1" applyBorder="1"/>
    <xf numFmtId="0" fontId="0" fillId="4" borderId="10" xfId="0" applyFill="1" applyBorder="1"/>
    <xf numFmtId="0" fontId="2" fillId="6" borderId="11" xfId="0" applyFont="1" applyFill="1" applyBorder="1"/>
    <xf numFmtId="0" fontId="0" fillId="6" borderId="12" xfId="0" applyFill="1" applyBorder="1"/>
    <xf numFmtId="0" fontId="0" fillId="6" borderId="13" xfId="0" applyFill="1" applyBorder="1"/>
    <xf numFmtId="0" fontId="2" fillId="6" borderId="12" xfId="0" applyFont="1" applyFill="1" applyBorder="1"/>
    <xf numFmtId="0" fontId="2" fillId="6" borderId="13" xfId="0" applyFont="1" applyFill="1" applyBorder="1"/>
    <xf numFmtId="0" fontId="0" fillId="4" borderId="7" xfId="0" applyFill="1" applyBorder="1"/>
    <xf numFmtId="0" fontId="0" fillId="4" borderId="0" xfId="0" applyFill="1" applyBorder="1"/>
    <xf numFmtId="0" fontId="0" fillId="4" borderId="8" xfId="0" applyFill="1" applyBorder="1"/>
    <xf numFmtId="166" fontId="5" fillId="0" borderId="0" xfId="1" applyNumberFormat="1" applyFont="1" applyFill="1" applyBorder="1"/>
    <xf numFmtId="0" fontId="5" fillId="0" borderId="0" xfId="2" applyFill="1" applyBorder="1"/>
    <xf numFmtId="166" fontId="5" fillId="5" borderId="3" xfId="1" applyNumberFormat="1" applyFont="1" applyFill="1" applyBorder="1"/>
    <xf numFmtId="0" fontId="2" fillId="0" borderId="0" xfId="0" applyFont="1"/>
    <xf numFmtId="0" fontId="0" fillId="7" borderId="0" xfId="0" applyFill="1" applyBorder="1"/>
    <xf numFmtId="0" fontId="0" fillId="7" borderId="5" xfId="0" applyFill="1" applyBorder="1"/>
    <xf numFmtId="0" fontId="0" fillId="7" borderId="2" xfId="0" applyFill="1" applyBorder="1"/>
    <xf numFmtId="0" fontId="0" fillId="7" borderId="7" xfId="0" applyFill="1" applyBorder="1"/>
    <xf numFmtId="0" fontId="0" fillId="7" borderId="9" xfId="0" applyFill="1" applyBorder="1"/>
    <xf numFmtId="0" fontId="0" fillId="7" borderId="3" xfId="0" applyFill="1" applyBorder="1"/>
    <xf numFmtId="0" fontId="0" fillId="0" borderId="0" xfId="0" applyAlignment="1">
      <alignment horizontal="center"/>
    </xf>
    <xf numFmtId="0" fontId="0" fillId="0" borderId="5" xfId="0" applyBorder="1"/>
    <xf numFmtId="0" fontId="0" fillId="0" borderId="7" xfId="0" applyBorder="1"/>
    <xf numFmtId="0" fontId="0" fillId="0" borderId="0" xfId="0" applyBorder="1"/>
    <xf numFmtId="0" fontId="0" fillId="0" borderId="8" xfId="0" applyBorder="1"/>
    <xf numFmtId="0" fontId="0" fillId="0" borderId="9" xfId="0" applyBorder="1"/>
    <xf numFmtId="0" fontId="0" fillId="0" borderId="3" xfId="0" applyBorder="1"/>
    <xf numFmtId="0" fontId="0" fillId="0" borderId="10" xfId="0" applyBorder="1"/>
    <xf numFmtId="0" fontId="2" fillId="6" borderId="0" xfId="0" applyFont="1" applyFill="1"/>
    <xf numFmtId="0" fontId="5" fillId="0" borderId="1" xfId="2" applyBorder="1"/>
    <xf numFmtId="0" fontId="0" fillId="3" borderId="5" xfId="0" applyFill="1" applyBorder="1" applyAlignment="1">
      <alignment horizontal="center"/>
    </xf>
    <xf numFmtId="0" fontId="0" fillId="3" borderId="2" xfId="0" applyFill="1" applyBorder="1" applyAlignment="1">
      <alignment horizontal="center"/>
    </xf>
    <xf numFmtId="0" fontId="0" fillId="3" borderId="9" xfId="0" applyFill="1" applyBorder="1" applyAlignment="1">
      <alignment horizontal="center"/>
    </xf>
    <xf numFmtId="0" fontId="0" fillId="3" borderId="3" xfId="0" applyFill="1" applyBorder="1" applyAlignment="1">
      <alignment horizontal="center"/>
    </xf>
    <xf numFmtId="0" fontId="0" fillId="0" borderId="0" xfId="0" quotePrefix="1"/>
    <xf numFmtId="166" fontId="0" fillId="0" borderId="1" xfId="0" applyNumberFormat="1" applyBorder="1"/>
    <xf numFmtId="166" fontId="0" fillId="5" borderId="1" xfId="1" applyNumberFormat="1" applyFont="1" applyFill="1" applyBorder="1"/>
    <xf numFmtId="0" fontId="2" fillId="0" borderId="1" xfId="0" applyFont="1" applyBorder="1" applyAlignment="1">
      <alignment horizontal="right"/>
    </xf>
    <xf numFmtId="43" fontId="2" fillId="3" borderId="1" xfId="0" applyNumberFormat="1" applyFont="1" applyFill="1" applyBorder="1"/>
    <xf numFmtId="0" fontId="7" fillId="0" borderId="1" xfId="2" applyFont="1" applyBorder="1"/>
    <xf numFmtId="3" fontId="0" fillId="0" borderId="1" xfId="0" applyNumberFormat="1" applyBorder="1"/>
    <xf numFmtId="0" fontId="10" fillId="0" borderId="3" xfId="2" applyFont="1" applyBorder="1"/>
    <xf numFmtId="0" fontId="5" fillId="0" borderId="23" xfId="2" applyBorder="1"/>
    <xf numFmtId="166" fontId="0" fillId="5" borderId="23" xfId="1" applyNumberFormat="1" applyFont="1" applyFill="1" applyBorder="1"/>
    <xf numFmtId="0" fontId="5" fillId="0" borderId="22" xfId="2" applyBorder="1"/>
    <xf numFmtId="3" fontId="0" fillId="0" borderId="22" xfId="0" applyNumberFormat="1" applyBorder="1"/>
    <xf numFmtId="3" fontId="0" fillId="0" borderId="1" xfId="0" applyNumberFormat="1" applyFill="1" applyBorder="1"/>
    <xf numFmtId="166" fontId="0" fillId="0" borderId="1" xfId="1" applyNumberFormat="1" applyFont="1" applyBorder="1"/>
    <xf numFmtId="0" fontId="0" fillId="6" borderId="11" xfId="0" applyFill="1" applyBorder="1"/>
    <xf numFmtId="10" fontId="0" fillId="6" borderId="12" xfId="0" applyNumberFormat="1" applyFill="1" applyBorder="1"/>
    <xf numFmtId="0" fontId="1" fillId="4" borderId="11" xfId="2" applyFont="1" applyFill="1" applyBorder="1"/>
    <xf numFmtId="0" fontId="1" fillId="4" borderId="12" xfId="2" applyFont="1" applyFill="1" applyBorder="1"/>
    <xf numFmtId="166" fontId="1" fillId="4" borderId="12" xfId="1" applyNumberFormat="1" applyFont="1" applyFill="1" applyBorder="1"/>
    <xf numFmtId="0" fontId="1" fillId="4" borderId="13" xfId="2" applyFont="1" applyFill="1" applyBorder="1"/>
    <xf numFmtId="0" fontId="1" fillId="4" borderId="7" xfId="2" applyFont="1" applyFill="1" applyBorder="1"/>
    <xf numFmtId="0" fontId="1" fillId="4" borderId="0" xfId="2" applyFont="1" applyFill="1" applyBorder="1"/>
    <xf numFmtId="166" fontId="1" fillId="4" borderId="0" xfId="1" applyNumberFormat="1" applyFont="1" applyFill="1" applyBorder="1"/>
    <xf numFmtId="10" fontId="1" fillId="4" borderId="0" xfId="3" applyNumberFormat="1" applyFont="1" applyFill="1" applyBorder="1"/>
    <xf numFmtId="0" fontId="1" fillId="4" borderId="7" xfId="0" applyFont="1" applyFill="1" applyBorder="1"/>
    <xf numFmtId="0" fontId="1" fillId="4" borderId="0" xfId="0" applyFont="1" applyFill="1" applyBorder="1"/>
    <xf numFmtId="0" fontId="1" fillId="4" borderId="8" xfId="0" applyFont="1" applyFill="1" applyBorder="1"/>
    <xf numFmtId="0" fontId="11" fillId="4" borderId="7" xfId="0" applyFont="1" applyFill="1" applyBorder="1"/>
    <xf numFmtId="166" fontId="1" fillId="4" borderId="0" xfId="0" applyNumberFormat="1" applyFont="1" applyFill="1" applyBorder="1"/>
    <xf numFmtId="166" fontId="1" fillId="4" borderId="0" xfId="2" applyNumberFormat="1" applyFont="1" applyFill="1" applyBorder="1"/>
    <xf numFmtId="166" fontId="1" fillId="3" borderId="0" xfId="1" applyNumberFormat="1" applyFont="1" applyFill="1" applyBorder="1"/>
    <xf numFmtId="43" fontId="2" fillId="3" borderId="22" xfId="0" applyNumberFormat="1" applyFont="1" applyFill="1" applyBorder="1"/>
    <xf numFmtId="10" fontId="1" fillId="3" borderId="0" xfId="3" applyNumberFormat="1" applyFont="1" applyFill="1" applyBorder="1"/>
    <xf numFmtId="0" fontId="0" fillId="0" borderId="0" xfId="0" applyAlignment="1">
      <alignment wrapText="1"/>
    </xf>
    <xf numFmtId="0" fontId="0" fillId="0" borderId="0" xfId="0" quotePrefix="1" applyAlignment="1">
      <alignment wrapText="1"/>
    </xf>
    <xf numFmtId="0" fontId="2" fillId="4" borderId="0" xfId="0" applyFont="1" applyFill="1" applyBorder="1"/>
    <xf numFmtId="166" fontId="2" fillId="4" borderId="0" xfId="1" applyNumberFormat="1" applyFont="1" applyFill="1" applyBorder="1"/>
    <xf numFmtId="10" fontId="2" fillId="4" borderId="0" xfId="0" applyNumberFormat="1" applyFont="1" applyFill="1" applyBorder="1"/>
    <xf numFmtId="0" fontId="2" fillId="3" borderId="0" xfId="0" applyFont="1" applyFill="1" applyBorder="1"/>
    <xf numFmtId="166" fontId="0" fillId="0" borderId="1" xfId="1" applyNumberFormat="1" applyFont="1" applyFill="1" applyBorder="1"/>
    <xf numFmtId="0" fontId="1" fillId="4" borderId="5" xfId="2" applyFont="1" applyFill="1" applyBorder="1"/>
    <xf numFmtId="0" fontId="1" fillId="4" borderId="2" xfId="2" applyFont="1" applyFill="1" applyBorder="1"/>
    <xf numFmtId="166" fontId="1" fillId="4" borderId="2" xfId="1" applyNumberFormat="1" applyFont="1" applyFill="1" applyBorder="1"/>
    <xf numFmtId="166" fontId="1" fillId="4" borderId="2" xfId="2" applyNumberFormat="1" applyFont="1" applyFill="1" applyBorder="1"/>
    <xf numFmtId="0" fontId="2" fillId="4" borderId="9" xfId="0" applyFont="1" applyFill="1" applyBorder="1"/>
    <xf numFmtId="0" fontId="2" fillId="4" borderId="3" xfId="0" applyFont="1" applyFill="1" applyBorder="1"/>
    <xf numFmtId="166" fontId="2" fillId="4" borderId="3" xfId="1" applyNumberFormat="1" applyFont="1" applyFill="1" applyBorder="1"/>
    <xf numFmtId="10" fontId="2" fillId="4" borderId="3" xfId="0" applyNumberFormat="1" applyFont="1" applyFill="1" applyBorder="1"/>
    <xf numFmtId="0" fontId="1" fillId="4" borderId="3" xfId="0" applyFont="1" applyFill="1" applyBorder="1"/>
    <xf numFmtId="0" fontId="1" fillId="4" borderId="10" xfId="0" applyFont="1" applyFill="1" applyBorder="1"/>
    <xf numFmtId="0" fontId="2" fillId="3" borderId="7" xfId="0" applyFont="1" applyFill="1" applyBorder="1"/>
    <xf numFmtId="0" fontId="0" fillId="3" borderId="9" xfId="0" applyFont="1" applyFill="1" applyBorder="1"/>
    <xf numFmtId="0" fontId="2" fillId="3" borderId="3" xfId="0" applyFont="1" applyFill="1" applyBorder="1"/>
    <xf numFmtId="0" fontId="1" fillId="4" borderId="30" xfId="0" applyFont="1" applyFill="1" applyBorder="1"/>
    <xf numFmtId="0" fontId="1" fillId="4" borderId="21" xfId="0" applyFont="1" applyFill="1" applyBorder="1"/>
    <xf numFmtId="0" fontId="1" fillId="4" borderId="31" xfId="0" applyFont="1" applyFill="1" applyBorder="1"/>
    <xf numFmtId="0" fontId="5" fillId="4" borderId="0" xfId="2" applyFill="1" applyBorder="1"/>
    <xf numFmtId="166" fontId="0" fillId="4" borderId="0" xfId="1" applyNumberFormat="1" applyFont="1" applyFill="1" applyBorder="1"/>
    <xf numFmtId="0" fontId="10" fillId="4" borderId="0" xfId="2" applyFont="1" applyFill="1"/>
    <xf numFmtId="0" fontId="9" fillId="0" borderId="18" xfId="2" applyFont="1" applyBorder="1"/>
    <xf numFmtId="0" fontId="9" fillId="0" borderId="15" xfId="2" applyFont="1" applyBorder="1"/>
    <xf numFmtId="0" fontId="10" fillId="0" borderId="0" xfId="2" applyFont="1" applyBorder="1"/>
    <xf numFmtId="0" fontId="10" fillId="0" borderId="20" xfId="2" applyFont="1" applyBorder="1"/>
    <xf numFmtId="0" fontId="10" fillId="0" borderId="32" xfId="2" applyFont="1" applyBorder="1"/>
    <xf numFmtId="0" fontId="10" fillId="0" borderId="21" xfId="2" applyFont="1" applyBorder="1"/>
    <xf numFmtId="0" fontId="10" fillId="0" borderId="17" xfId="2" applyFont="1" applyBorder="1"/>
    <xf numFmtId="0" fontId="5" fillId="0" borderId="19" xfId="2" applyFill="1" applyBorder="1"/>
    <xf numFmtId="0" fontId="5" fillId="0" borderId="0" xfId="2" applyFont="1" applyBorder="1"/>
    <xf numFmtId="0" fontId="5" fillId="0" borderId="20" xfId="2" applyFont="1" applyBorder="1"/>
    <xf numFmtId="0" fontId="5" fillId="0" borderId="16" xfId="2" applyFill="1" applyBorder="1"/>
    <xf numFmtId="166" fontId="5" fillId="0" borderId="21" xfId="1" applyNumberFormat="1" applyFont="1" applyFill="1" applyBorder="1"/>
    <xf numFmtId="0" fontId="5" fillId="0" borderId="21" xfId="2" applyBorder="1"/>
    <xf numFmtId="0" fontId="5" fillId="0" borderId="21" xfId="2" applyFont="1" applyBorder="1"/>
    <xf numFmtId="0" fontId="5" fillId="0" borderId="17" xfId="2" applyFont="1" applyBorder="1"/>
    <xf numFmtId="43" fontId="0" fillId="4" borderId="0" xfId="0" applyNumberFormat="1" applyFill="1"/>
    <xf numFmtId="166" fontId="0" fillId="4" borderId="0" xfId="0" applyNumberFormat="1" applyFill="1"/>
    <xf numFmtId="0" fontId="7" fillId="6" borderId="11" xfId="2" applyFont="1" applyFill="1" applyBorder="1"/>
    <xf numFmtId="0" fontId="2" fillId="4" borderId="1" xfId="0" applyFont="1" applyFill="1" applyBorder="1"/>
    <xf numFmtId="0" fontId="2" fillId="4" borderId="1" xfId="0" applyFont="1" applyFill="1" applyBorder="1" applyAlignment="1">
      <alignment horizontal="center" vertical="center"/>
    </xf>
    <xf numFmtId="0" fontId="0" fillId="4" borderId="1" xfId="0" applyFill="1" applyBorder="1"/>
    <xf numFmtId="167" fontId="0" fillId="4" borderId="1" xfId="0" applyNumberFormat="1" applyFill="1" applyBorder="1"/>
    <xf numFmtId="164" fontId="0" fillId="4" borderId="1" xfId="0" applyNumberFormat="1" applyFill="1" applyBorder="1"/>
    <xf numFmtId="0" fontId="2" fillId="4" borderId="1" xfId="0" applyFont="1" applyFill="1" applyBorder="1" applyAlignment="1">
      <alignment horizontal="center"/>
    </xf>
    <xf numFmtId="0" fontId="0" fillId="4" borderId="1" xfId="0" applyFill="1" applyBorder="1" applyAlignment="1">
      <alignment horizontal="center" vertical="center"/>
    </xf>
    <xf numFmtId="166" fontId="0" fillId="4" borderId="1" xfId="1" applyNumberFormat="1" applyFont="1" applyFill="1" applyBorder="1" applyAlignment="1">
      <alignment horizontal="center" vertical="center"/>
    </xf>
    <xf numFmtId="0" fontId="8" fillId="4" borderId="0" xfId="0" applyFont="1" applyFill="1"/>
    <xf numFmtId="0" fontId="2" fillId="4" borderId="0" xfId="0" applyFont="1" applyFill="1"/>
    <xf numFmtId="10" fontId="0" fillId="4" borderId="0" xfId="3" applyNumberFormat="1" applyFont="1" applyFill="1"/>
    <xf numFmtId="43" fontId="8" fillId="4" borderId="0" xfId="0" applyNumberFormat="1" applyFont="1" applyFill="1"/>
    <xf numFmtId="166" fontId="2" fillId="0" borderId="1" xfId="1" applyNumberFormat="1" applyFont="1" applyBorder="1"/>
    <xf numFmtId="166" fontId="2" fillId="5" borderId="1" xfId="1" applyNumberFormat="1" applyFont="1" applyFill="1" applyBorder="1"/>
    <xf numFmtId="166" fontId="2" fillId="0" borderId="1" xfId="0" applyNumberFormat="1" applyFont="1" applyBorder="1"/>
    <xf numFmtId="0" fontId="0" fillId="3" borderId="0" xfId="0" applyFill="1" applyAlignment="1">
      <alignment horizontal="center"/>
    </xf>
    <xf numFmtId="0" fontId="0" fillId="8" borderId="0" xfId="0" applyFill="1" applyAlignment="1">
      <alignment horizontal="center"/>
    </xf>
    <xf numFmtId="0" fontId="0" fillId="0" borderId="0" xfId="0" applyFill="1"/>
    <xf numFmtId="0" fontId="0" fillId="0" borderId="0" xfId="0" applyFill="1" applyAlignment="1">
      <alignment horizontal="center"/>
    </xf>
    <xf numFmtId="0" fontId="0" fillId="0" borderId="0" xfId="0" applyFill="1" applyBorder="1" applyAlignment="1">
      <alignment horizontal="center"/>
    </xf>
    <xf numFmtId="0" fontId="0" fillId="0" borderId="0" xfId="0" applyFill="1" applyBorder="1"/>
    <xf numFmtId="0" fontId="0" fillId="7" borderId="11" xfId="0" applyFill="1" applyBorder="1" applyAlignment="1">
      <alignment horizontal="center"/>
    </xf>
    <xf numFmtId="0" fontId="0" fillId="7" borderId="12" xfId="0" applyFill="1" applyBorder="1" applyAlignment="1">
      <alignment horizontal="center"/>
    </xf>
    <xf numFmtId="0" fontId="0" fillId="7" borderId="13" xfId="0" applyFill="1" applyBorder="1" applyAlignment="1">
      <alignment horizontal="center"/>
    </xf>
    <xf numFmtId="0" fontId="0" fillId="0" borderId="7" xfId="0" applyBorder="1" applyAlignment="1">
      <alignment vertical="center"/>
    </xf>
    <xf numFmtId="0" fontId="0" fillId="0" borderId="0" xfId="0" applyBorder="1" applyAlignment="1">
      <alignment vertical="center"/>
    </xf>
    <xf numFmtId="0" fontId="0" fillId="0" borderId="9" xfId="0" applyBorder="1" applyAlignment="1">
      <alignment vertical="center"/>
    </xf>
    <xf numFmtId="0" fontId="0" fillId="0" borderId="3" xfId="0" applyBorder="1" applyAlignment="1">
      <alignment vertical="center"/>
    </xf>
    <xf numFmtId="0" fontId="0" fillId="3" borderId="3" xfId="0" applyFill="1" applyBorder="1"/>
    <xf numFmtId="0" fontId="0" fillId="3" borderId="10" xfId="0" applyFill="1" applyBorder="1"/>
    <xf numFmtId="2" fontId="0" fillId="0" borderId="0" xfId="0" applyNumberFormat="1" applyBorder="1"/>
    <xf numFmtId="164" fontId="0" fillId="0" borderId="0" xfId="0" applyNumberFormat="1" applyBorder="1"/>
    <xf numFmtId="164" fontId="0" fillId="0" borderId="8" xfId="0" applyNumberFormat="1" applyBorder="1"/>
    <xf numFmtId="0" fontId="2" fillId="5" borderId="34" xfId="0" applyFont="1" applyFill="1" applyBorder="1"/>
    <xf numFmtId="170" fontId="0" fillId="5" borderId="35" xfId="0" applyNumberFormat="1" applyFill="1" applyBorder="1"/>
    <xf numFmtId="0" fontId="2" fillId="0" borderId="0" xfId="0" applyFont="1" applyBorder="1"/>
    <xf numFmtId="0" fontId="2" fillId="0" borderId="11" xfId="0" applyFont="1" applyBorder="1"/>
    <xf numFmtId="0" fontId="2" fillId="0" borderId="12" xfId="0" applyFont="1" applyBorder="1"/>
    <xf numFmtId="0" fontId="2" fillId="0" borderId="13" xfId="0" applyFont="1" applyBorder="1"/>
    <xf numFmtId="166" fontId="0" fillId="0" borderId="24" xfId="1" applyNumberFormat="1" applyFont="1" applyBorder="1"/>
    <xf numFmtId="166" fontId="0" fillId="0" borderId="25" xfId="1" applyNumberFormat="1" applyFont="1" applyBorder="1"/>
    <xf numFmtId="166" fontId="0" fillId="0" borderId="26" xfId="1" applyNumberFormat="1" applyFont="1" applyBorder="1"/>
    <xf numFmtId="164" fontId="0" fillId="0" borderId="7" xfId="0" applyNumberFormat="1" applyBorder="1"/>
    <xf numFmtId="0" fontId="0" fillId="0" borderId="0" xfId="0" applyFont="1" applyBorder="1"/>
    <xf numFmtId="0" fontId="13" fillId="3" borderId="0" xfId="0" applyFont="1" applyFill="1"/>
    <xf numFmtId="166" fontId="0" fillId="0" borderId="0" xfId="1" applyNumberFormat="1" applyFont="1" applyAlignment="1">
      <alignment horizontal="center"/>
    </xf>
    <xf numFmtId="166" fontId="0" fillId="7" borderId="5" xfId="1" applyNumberFormat="1" applyFont="1" applyFill="1" applyBorder="1"/>
    <xf numFmtId="166" fontId="0" fillId="7" borderId="2" xfId="1" applyNumberFormat="1" applyFont="1" applyFill="1" applyBorder="1"/>
    <xf numFmtId="166" fontId="0" fillId="7" borderId="6" xfId="1" applyNumberFormat="1" applyFont="1" applyFill="1" applyBorder="1"/>
    <xf numFmtId="166" fontId="0" fillId="7" borderId="7" xfId="1" applyNumberFormat="1" applyFont="1" applyFill="1" applyBorder="1"/>
    <xf numFmtId="166" fontId="0" fillId="7" borderId="0" xfId="1" applyNumberFormat="1" applyFont="1" applyFill="1" applyBorder="1"/>
    <xf numFmtId="166" fontId="0" fillId="7" borderId="8" xfId="1" applyNumberFormat="1" applyFont="1" applyFill="1" applyBorder="1"/>
    <xf numFmtId="166" fontId="0" fillId="3" borderId="14" xfId="1" applyNumberFormat="1" applyFont="1" applyFill="1" applyBorder="1" applyAlignment="1">
      <alignment horizontal="center"/>
    </xf>
    <xf numFmtId="166" fontId="0" fillId="3" borderId="18" xfId="1" applyNumberFormat="1" applyFont="1" applyFill="1" applyBorder="1" applyAlignment="1">
      <alignment horizontal="center"/>
    </xf>
    <xf numFmtId="166" fontId="0" fillId="3" borderId="15" xfId="1" applyNumberFormat="1" applyFont="1" applyFill="1" applyBorder="1" applyAlignment="1">
      <alignment horizontal="center"/>
    </xf>
    <xf numFmtId="166" fontId="0" fillId="0" borderId="19" xfId="1" applyNumberFormat="1" applyFont="1" applyBorder="1" applyAlignment="1">
      <alignment horizontal="center"/>
    </xf>
    <xf numFmtId="166" fontId="0" fillId="0" borderId="0" xfId="1" applyNumberFormat="1" applyFont="1" applyBorder="1" applyAlignment="1">
      <alignment horizontal="center"/>
    </xf>
    <xf numFmtId="166" fontId="0" fillId="0" borderId="20" xfId="1" applyNumberFormat="1" applyFont="1" applyBorder="1" applyAlignment="1">
      <alignment horizontal="center"/>
    </xf>
    <xf numFmtId="166" fontId="0" fillId="8" borderId="16" xfId="1" applyNumberFormat="1" applyFont="1" applyFill="1" applyBorder="1" applyAlignment="1">
      <alignment horizontal="center"/>
    </xf>
    <xf numFmtId="166" fontId="0" fillId="8" borderId="21" xfId="1" applyNumberFormat="1" applyFont="1" applyFill="1" applyBorder="1" applyAlignment="1">
      <alignment horizontal="center"/>
    </xf>
    <xf numFmtId="166" fontId="0" fillId="8" borderId="17" xfId="1" applyNumberFormat="1" applyFont="1" applyFill="1" applyBorder="1" applyAlignment="1">
      <alignment horizontal="center"/>
    </xf>
    <xf numFmtId="166" fontId="0" fillId="3" borderId="14" xfId="1" applyNumberFormat="1" applyFont="1" applyFill="1" applyBorder="1"/>
    <xf numFmtId="166" fontId="0" fillId="3" borderId="18" xfId="1" applyNumberFormat="1" applyFont="1" applyFill="1" applyBorder="1"/>
    <xf numFmtId="166" fontId="0" fillId="3" borderId="15" xfId="1" applyNumberFormat="1" applyFont="1" applyFill="1" applyBorder="1"/>
    <xf numFmtId="166" fontId="0" fillId="8" borderId="19" xfId="1" applyNumberFormat="1" applyFont="1" applyFill="1" applyBorder="1" applyAlignment="1">
      <alignment horizontal="center"/>
    </xf>
    <xf numFmtId="166" fontId="0" fillId="8" borderId="0" xfId="1" applyNumberFormat="1" applyFont="1" applyFill="1" applyBorder="1" applyAlignment="1">
      <alignment horizontal="center"/>
    </xf>
    <xf numFmtId="166" fontId="0" fillId="8" borderId="20" xfId="1" applyNumberFormat="1" applyFont="1" applyFill="1" applyBorder="1" applyAlignment="1">
      <alignment horizontal="center"/>
    </xf>
    <xf numFmtId="166" fontId="0" fillId="0" borderId="16" xfId="1" applyNumberFormat="1" applyFont="1" applyFill="1" applyBorder="1" applyAlignment="1">
      <alignment horizontal="center"/>
    </xf>
    <xf numFmtId="166" fontId="0" fillId="0" borderId="21" xfId="1" applyNumberFormat="1" applyFont="1" applyFill="1" applyBorder="1" applyAlignment="1">
      <alignment horizontal="center"/>
    </xf>
    <xf numFmtId="166" fontId="0" fillId="0" borderId="17" xfId="1" applyNumberFormat="1" applyFont="1" applyFill="1" applyBorder="1" applyAlignment="1">
      <alignment horizontal="center"/>
    </xf>
    <xf numFmtId="166" fontId="0" fillId="0" borderId="0" xfId="1" applyNumberFormat="1" applyFont="1" applyFill="1" applyAlignment="1">
      <alignment horizontal="center"/>
    </xf>
    <xf numFmtId="166" fontId="0" fillId="3" borderId="5" xfId="1" applyNumberFormat="1" applyFont="1" applyFill="1" applyBorder="1" applyAlignment="1">
      <alignment horizontal="center"/>
    </xf>
    <xf numFmtId="166" fontId="0" fillId="3" borderId="2" xfId="1" applyNumberFormat="1" applyFont="1" applyFill="1" applyBorder="1" applyAlignment="1">
      <alignment horizontal="center"/>
    </xf>
    <xf numFmtId="166" fontId="0" fillId="3" borderId="6" xfId="1" applyNumberFormat="1" applyFont="1" applyFill="1" applyBorder="1" applyAlignment="1">
      <alignment horizontal="center"/>
    </xf>
    <xf numFmtId="166" fontId="0" fillId="3" borderId="9" xfId="1" applyNumberFormat="1" applyFont="1" applyFill="1" applyBorder="1" applyAlignment="1">
      <alignment horizontal="center"/>
    </xf>
    <xf numFmtId="166" fontId="0" fillId="3" borderId="3" xfId="1" applyNumberFormat="1" applyFont="1" applyFill="1" applyBorder="1" applyAlignment="1">
      <alignment horizontal="center"/>
    </xf>
    <xf numFmtId="166" fontId="0" fillId="3" borderId="10" xfId="1" applyNumberFormat="1" applyFont="1" applyFill="1" applyBorder="1" applyAlignment="1">
      <alignment horizontal="center"/>
    </xf>
    <xf numFmtId="166" fontId="0" fillId="3" borderId="24" xfId="1" applyNumberFormat="1" applyFont="1" applyFill="1" applyBorder="1"/>
    <xf numFmtId="166" fontId="0" fillId="0" borderId="25" xfId="1" applyNumberFormat="1" applyFont="1" applyBorder="1" applyAlignment="1">
      <alignment horizontal="center"/>
    </xf>
    <xf numFmtId="166" fontId="0" fillId="8" borderId="26" xfId="1" applyNumberFormat="1" applyFont="1" applyFill="1" applyBorder="1"/>
    <xf numFmtId="0" fontId="2" fillId="0" borderId="0" xfId="0" applyFont="1" applyFill="1" applyBorder="1"/>
    <xf numFmtId="0" fontId="14" fillId="0" borderId="0" xfId="0" applyFont="1"/>
    <xf numFmtId="0" fontId="15" fillId="0" borderId="0" xfId="0" applyFont="1"/>
    <xf numFmtId="166" fontId="14" fillId="0" borderId="14" xfId="1" applyNumberFormat="1" applyFont="1" applyBorder="1"/>
    <xf numFmtId="166" fontId="14" fillId="0" borderId="18" xfId="1" applyNumberFormat="1" applyFont="1" applyBorder="1"/>
    <xf numFmtId="166" fontId="14" fillId="0" borderId="15" xfId="1" applyNumberFormat="1" applyFont="1" applyBorder="1"/>
    <xf numFmtId="166" fontId="0" fillId="0" borderId="16" xfId="1" applyNumberFormat="1" applyFont="1" applyBorder="1" applyAlignment="1">
      <alignment horizontal="center"/>
    </xf>
    <xf numFmtId="166" fontId="0" fillId="0" borderId="21" xfId="1" applyNumberFormat="1" applyFont="1" applyBorder="1" applyAlignment="1">
      <alignment horizontal="center"/>
    </xf>
    <xf numFmtId="166" fontId="0" fillId="0" borderId="17" xfId="1" applyNumberFormat="1" applyFont="1" applyBorder="1" applyAlignment="1">
      <alignment horizontal="center"/>
    </xf>
    <xf numFmtId="0" fontId="8" fillId="0" borderId="0" xfId="0" applyFont="1"/>
    <xf numFmtId="0" fontId="0" fillId="0" borderId="21" xfId="0" applyBorder="1"/>
    <xf numFmtId="0" fontId="0" fillId="0" borderId="30" xfId="0" applyBorder="1"/>
    <xf numFmtId="0" fontId="0" fillId="0" borderId="8" xfId="0" applyFill="1" applyBorder="1"/>
    <xf numFmtId="0" fontId="0" fillId="0" borderId="3" xfId="0" applyFill="1" applyBorder="1"/>
    <xf numFmtId="0" fontId="0" fillId="0" borderId="10" xfId="0" applyFill="1" applyBorder="1"/>
    <xf numFmtId="0" fontId="0" fillId="3" borderId="7" xfId="0" applyFill="1" applyBorder="1"/>
    <xf numFmtId="9" fontId="0" fillId="3" borderId="0" xfId="3" applyFont="1" applyFill="1" applyBorder="1"/>
    <xf numFmtId="0" fontId="0" fillId="3" borderId="9" xfId="0" applyFill="1" applyBorder="1"/>
    <xf numFmtId="9" fontId="0" fillId="3" borderId="3" xfId="3" applyFont="1" applyFill="1" applyBorder="1"/>
    <xf numFmtId="0" fontId="0" fillId="3" borderId="0" xfId="0" applyFill="1" applyBorder="1"/>
    <xf numFmtId="0" fontId="0" fillId="3" borderId="8" xfId="0" applyFill="1" applyBorder="1"/>
    <xf numFmtId="10" fontId="0" fillId="3" borderId="0" xfId="3" applyNumberFormat="1" applyFont="1" applyFill="1" applyBorder="1"/>
    <xf numFmtId="43" fontId="0" fillId="0" borderId="0" xfId="0" applyNumberFormat="1" applyAlignment="1">
      <alignment horizontal="center"/>
    </xf>
    <xf numFmtId="0" fontId="2" fillId="0" borderId="11" xfId="0" applyFont="1" applyBorder="1" applyAlignment="1">
      <alignment horizontal="right"/>
    </xf>
    <xf numFmtId="0" fontId="2" fillId="0" borderId="12" xfId="0" applyFont="1" applyBorder="1" applyAlignment="1">
      <alignment horizontal="right"/>
    </xf>
    <xf numFmtId="0" fontId="2" fillId="0" borderId="13" xfId="0" applyFont="1" applyBorder="1" applyAlignment="1">
      <alignment horizontal="right"/>
    </xf>
    <xf numFmtId="171" fontId="0" fillId="0" borderId="0" xfId="1" applyNumberFormat="1" applyFont="1" applyBorder="1"/>
    <xf numFmtId="171" fontId="0" fillId="3" borderId="3" xfId="1" applyNumberFormat="1" applyFont="1" applyFill="1" applyBorder="1"/>
    <xf numFmtId="0" fontId="0" fillId="0" borderId="0" xfId="0" applyAlignment="1"/>
    <xf numFmtId="170" fontId="4" fillId="0" borderId="0" xfId="0" applyNumberFormat="1" applyFont="1"/>
    <xf numFmtId="0" fontId="16" fillId="0" borderId="0" xfId="0" applyFont="1"/>
    <xf numFmtId="166" fontId="16" fillId="0" borderId="0" xfId="1" applyNumberFormat="1" applyFont="1"/>
    <xf numFmtId="2" fontId="0" fillId="3" borderId="3" xfId="0" applyNumberFormat="1" applyFill="1" applyBorder="1"/>
    <xf numFmtId="0" fontId="2" fillId="4" borderId="0" xfId="0" applyFont="1" applyFill="1" applyAlignment="1">
      <alignment horizontal="center" vertical="center" wrapText="1"/>
    </xf>
    <xf numFmtId="0" fontId="0" fillId="4" borderId="0" xfId="0" applyFill="1" applyAlignment="1">
      <alignment wrapText="1"/>
    </xf>
    <xf numFmtId="165" fontId="2" fillId="4" borderId="0" xfId="0" applyNumberFormat="1" applyFont="1" applyFill="1" applyAlignment="1">
      <alignment horizontal="center" vertical="center" wrapText="1"/>
    </xf>
    <xf numFmtId="165" fontId="0" fillId="4" borderId="0" xfId="0" applyNumberFormat="1" applyFill="1" applyAlignment="1">
      <alignment horizontal="center" vertical="center" wrapText="1"/>
    </xf>
    <xf numFmtId="0" fontId="2" fillId="4" borderId="1" xfId="0" applyFont="1" applyFill="1" applyBorder="1" applyAlignment="1">
      <alignment horizontal="left" vertical="center" wrapText="1"/>
    </xf>
    <xf numFmtId="0" fontId="0" fillId="4" borderId="1" xfId="0" applyFill="1" applyBorder="1" applyAlignment="1">
      <alignment horizontal="left" vertical="center" wrapText="1"/>
    </xf>
    <xf numFmtId="0" fontId="2" fillId="4" borderId="1" xfId="0" applyFont="1" applyFill="1" applyBorder="1" applyAlignment="1">
      <alignment horizontal="center" wrapText="1"/>
    </xf>
    <xf numFmtId="0" fontId="0" fillId="4" borderId="1" xfId="0" applyFill="1" applyBorder="1" applyAlignment="1">
      <alignment horizontal="center" wrapText="1"/>
    </xf>
    <xf numFmtId="0" fontId="0" fillId="4" borderId="0" xfId="0" applyFill="1" applyAlignment="1">
      <alignment horizontal="left" vertical="center" wrapText="1"/>
    </xf>
    <xf numFmtId="0" fontId="2" fillId="4" borderId="0" xfId="0" applyFont="1" applyFill="1" applyAlignment="1">
      <alignment wrapText="1"/>
    </xf>
    <xf numFmtId="0" fontId="0" fillId="4" borderId="0" xfId="0" applyFont="1" applyFill="1" applyAlignment="1">
      <alignment wrapText="1"/>
    </xf>
    <xf numFmtId="0" fontId="0" fillId="6" borderId="5" xfId="2" applyFont="1" applyFill="1" applyBorder="1" applyAlignment="1">
      <alignment horizontal="left" vertical="center" wrapText="1"/>
    </xf>
    <xf numFmtId="0" fontId="0" fillId="6" borderId="2" xfId="2" applyFont="1" applyFill="1" applyBorder="1" applyAlignment="1">
      <alignment horizontal="left" vertical="center" wrapText="1"/>
    </xf>
    <xf numFmtId="0" fontId="0" fillId="6" borderId="6" xfId="2" applyFont="1" applyFill="1" applyBorder="1" applyAlignment="1">
      <alignment horizontal="left" vertical="center" wrapText="1"/>
    </xf>
    <xf numFmtId="0" fontId="0" fillId="6" borderId="9" xfId="2" applyFont="1" applyFill="1" applyBorder="1" applyAlignment="1">
      <alignment horizontal="left" vertical="center" wrapText="1"/>
    </xf>
    <xf numFmtId="0" fontId="0" fillId="6" borderId="3" xfId="2" applyFont="1" applyFill="1" applyBorder="1" applyAlignment="1">
      <alignment horizontal="left" vertical="center" wrapText="1"/>
    </xf>
    <xf numFmtId="0" fontId="0" fillId="6" borderId="10" xfId="2" applyFont="1" applyFill="1" applyBorder="1" applyAlignment="1">
      <alignment horizontal="left" vertical="center" wrapText="1"/>
    </xf>
    <xf numFmtId="0" fontId="0" fillId="0" borderId="5" xfId="0" applyFill="1" applyBorder="1" applyAlignment="1">
      <alignment wrapText="1"/>
    </xf>
    <xf numFmtId="0" fontId="0" fillId="0" borderId="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0"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3" xfId="0" applyFill="1" applyBorder="1" applyAlignment="1">
      <alignment wrapText="1"/>
    </xf>
    <xf numFmtId="0" fontId="0" fillId="0" borderId="10" xfId="0" applyFill="1" applyBorder="1" applyAlignment="1">
      <alignment wrapText="1"/>
    </xf>
    <xf numFmtId="166" fontId="1" fillId="4" borderId="0" xfId="2" applyNumberFormat="1" applyFont="1" applyFill="1" applyBorder="1" applyAlignment="1">
      <alignment wrapText="1"/>
    </xf>
    <xf numFmtId="10" fontId="1" fillId="4" borderId="0" xfId="3" applyNumberFormat="1" applyFont="1" applyFill="1" applyBorder="1" applyAlignment="1">
      <alignment wrapText="1"/>
    </xf>
    <xf numFmtId="0" fontId="1" fillId="4" borderId="0" xfId="2" applyFont="1" applyFill="1" applyBorder="1" applyAlignment="1">
      <alignment wrapText="1"/>
    </xf>
    <xf numFmtId="166" fontId="1" fillId="4" borderId="3" xfId="2" applyNumberFormat="1" applyFont="1" applyFill="1" applyBorder="1" applyAlignment="1">
      <alignment wrapText="1"/>
    </xf>
    <xf numFmtId="0" fontId="1" fillId="4" borderId="21" xfId="2" applyFont="1" applyFill="1" applyBorder="1" applyAlignment="1">
      <alignment wrapText="1"/>
    </xf>
    <xf numFmtId="169" fontId="1" fillId="4" borderId="0" xfId="2" applyNumberFormat="1" applyFont="1" applyFill="1" applyBorder="1" applyAlignment="1">
      <alignment wrapText="1"/>
    </xf>
    <xf numFmtId="169" fontId="1" fillId="4" borderId="8" xfId="2" applyNumberFormat="1" applyFont="1" applyFill="1" applyBorder="1" applyAlignment="1">
      <alignment wrapText="1"/>
    </xf>
    <xf numFmtId="10" fontId="2" fillId="3" borderId="18" xfId="3" applyNumberFormat="1" applyFont="1" applyFill="1" applyBorder="1" applyAlignment="1">
      <alignment wrapText="1"/>
    </xf>
    <xf numFmtId="10" fontId="2" fillId="3" borderId="33" xfId="3" applyNumberFormat="1" applyFont="1" applyFill="1" applyBorder="1" applyAlignment="1">
      <alignment wrapText="1"/>
    </xf>
    <xf numFmtId="169" fontId="2" fillId="3" borderId="3" xfId="2" applyNumberFormat="1" applyFont="1" applyFill="1" applyBorder="1" applyAlignment="1">
      <alignment wrapText="1"/>
    </xf>
    <xf numFmtId="169" fontId="2" fillId="3" borderId="10" xfId="2" applyNumberFormat="1" applyFont="1" applyFill="1" applyBorder="1" applyAlignment="1">
      <alignment wrapText="1"/>
    </xf>
    <xf numFmtId="0" fontId="2" fillId="4" borderId="5" xfId="0" applyFont="1" applyFill="1" applyBorder="1" applyAlignment="1">
      <alignment wrapText="1"/>
    </xf>
    <xf numFmtId="0" fontId="2" fillId="4" borderId="2" xfId="0" applyFont="1" applyFill="1" applyBorder="1" applyAlignment="1">
      <alignment wrapText="1"/>
    </xf>
    <xf numFmtId="10" fontId="2" fillId="4" borderId="2" xfId="0" applyNumberFormat="1" applyFont="1" applyFill="1" applyBorder="1" applyAlignment="1">
      <alignment wrapText="1"/>
    </xf>
    <xf numFmtId="10" fontId="2" fillId="4" borderId="6" xfId="0" applyNumberFormat="1" applyFont="1" applyFill="1" applyBorder="1" applyAlignment="1">
      <alignment wrapText="1"/>
    </xf>
    <xf numFmtId="0" fontId="2" fillId="3" borderId="27" xfId="0" applyFont="1" applyFill="1" applyBorder="1" applyAlignment="1">
      <alignment wrapText="1"/>
    </xf>
    <xf numFmtId="0" fontId="2" fillId="3" borderId="26" xfId="0" applyFont="1" applyFill="1" applyBorder="1" applyAlignment="1">
      <alignment wrapText="1"/>
    </xf>
    <xf numFmtId="0" fontId="2" fillId="3" borderId="28" xfId="0" applyFont="1" applyFill="1" applyBorder="1" applyAlignment="1">
      <alignment wrapText="1"/>
    </xf>
    <xf numFmtId="0" fontId="2" fillId="3" borderId="29" xfId="0" applyFont="1" applyFill="1" applyBorder="1" applyAlignment="1">
      <alignment wrapText="1"/>
    </xf>
    <xf numFmtId="0" fontId="0" fillId="6" borderId="5" xfId="0" applyFill="1" applyBorder="1" applyAlignment="1">
      <alignment wrapText="1"/>
    </xf>
    <xf numFmtId="0" fontId="0" fillId="6" borderId="2" xfId="0" applyFill="1" applyBorder="1" applyAlignment="1">
      <alignment wrapText="1"/>
    </xf>
    <xf numFmtId="0" fontId="0" fillId="6" borderId="6" xfId="0" applyFill="1" applyBorder="1" applyAlignment="1">
      <alignment wrapText="1"/>
    </xf>
    <xf numFmtId="0" fontId="0" fillId="6" borderId="7" xfId="0" applyFill="1" applyBorder="1" applyAlignment="1">
      <alignment wrapText="1"/>
    </xf>
    <xf numFmtId="0" fontId="0" fillId="6" borderId="0" xfId="0" applyFill="1" applyBorder="1" applyAlignment="1">
      <alignment wrapText="1"/>
    </xf>
    <xf numFmtId="0" fontId="0" fillId="6" borderId="8" xfId="0" applyFill="1" applyBorder="1" applyAlignment="1">
      <alignment wrapText="1"/>
    </xf>
    <xf numFmtId="0" fontId="0" fillId="6" borderId="9" xfId="0" applyFill="1" applyBorder="1" applyAlignment="1">
      <alignment wrapText="1"/>
    </xf>
    <xf numFmtId="0" fontId="0" fillId="6" borderId="3" xfId="0" applyFill="1" applyBorder="1" applyAlignment="1">
      <alignment wrapText="1"/>
    </xf>
    <xf numFmtId="0" fontId="0" fillId="6" borderId="10" xfId="0" applyFill="1" applyBorder="1" applyAlignment="1">
      <alignment wrapText="1"/>
    </xf>
    <xf numFmtId="0" fontId="0" fillId="0" borderId="7" xfId="0" applyBorder="1" applyAlignment="1">
      <alignment wrapText="1"/>
    </xf>
    <xf numFmtId="0" fontId="0" fillId="0" borderId="0" xfId="0" applyBorder="1" applyAlignment="1">
      <alignment wrapText="1"/>
    </xf>
    <xf numFmtId="0" fontId="0" fillId="0" borderId="8" xfId="0" applyBorder="1" applyAlignment="1">
      <alignment wrapText="1"/>
    </xf>
    <xf numFmtId="0" fontId="2" fillId="0" borderId="0" xfId="0" applyFont="1" applyBorder="1" applyAlignment="1">
      <alignment wrapText="1"/>
    </xf>
    <xf numFmtId="0" fontId="2" fillId="0" borderId="0" xfId="0" applyFont="1" applyAlignment="1">
      <alignment wrapText="1"/>
    </xf>
  </cellXfs>
  <cellStyles count="6">
    <cellStyle name="Comma" xfId="1" builtinId="3"/>
    <cellStyle name="Comma 2" xfId="4" xr:uid="{4D6BDC3B-D4D3-E54D-B996-3EFBFDCBB29E}"/>
    <cellStyle name="Normal" xfId="0" builtinId="0"/>
    <cellStyle name="Normal 2" xfId="2" xr:uid="{6AD5E59C-B2CD-B847-B01B-2179C66666C6}"/>
    <cellStyle name="Percent" xfId="3" builtinId="5"/>
    <cellStyle name="Percent 2" xfId="5" xr:uid="{CFAA6911-060B-A14C-ADB9-411A754A6A6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Milk Demand (in liters)</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8.5700131233595794E-2"/>
                  <c:y val="-0.3078153251676873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strRef>
              <c:f>'Demand Forecast (Apr - Sep)'!$D$2:$D$37</c:f>
              <c:strCache>
                <c:ptCount val="36"/>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strCache>
            </c:strRef>
          </c:xVal>
          <c:yVal>
            <c:numRef>
              <c:f>'Demand Forecast (Apr - Sep)'!$C$2:$C$37</c:f>
              <c:numCache>
                <c:formatCode>#,##0</c:formatCode>
                <c:ptCount val="36"/>
                <c:pt idx="0">
                  <c:v>6436977</c:v>
                </c:pt>
                <c:pt idx="1">
                  <c:v>8038673</c:v>
                </c:pt>
                <c:pt idx="2">
                  <c:v>7699105</c:v>
                </c:pt>
                <c:pt idx="3">
                  <c:v>7446966</c:v>
                </c:pt>
                <c:pt idx="4">
                  <c:v>6893954</c:v>
                </c:pt>
                <c:pt idx="5">
                  <c:v>7266777</c:v>
                </c:pt>
                <c:pt idx="6">
                  <c:v>9577732</c:v>
                </c:pt>
                <c:pt idx="7">
                  <c:v>6959258</c:v>
                </c:pt>
                <c:pt idx="8">
                  <c:v>9196648</c:v>
                </c:pt>
                <c:pt idx="9">
                  <c:v>7703373</c:v>
                </c:pt>
                <c:pt idx="10">
                  <c:v>6337111</c:v>
                </c:pt>
                <c:pt idx="11">
                  <c:v>6661873</c:v>
                </c:pt>
                <c:pt idx="12">
                  <c:v>8168753</c:v>
                </c:pt>
                <c:pt idx="13">
                  <c:v>9042377</c:v>
                </c:pt>
                <c:pt idx="14">
                  <c:v>8535593</c:v>
                </c:pt>
                <c:pt idx="15">
                  <c:v>9159860</c:v>
                </c:pt>
                <c:pt idx="16">
                  <c:v>8660746</c:v>
                </c:pt>
                <c:pt idx="17">
                  <c:v>7985469</c:v>
                </c:pt>
                <c:pt idx="18">
                  <c:v>10287574</c:v>
                </c:pt>
                <c:pt idx="19">
                  <c:v>8865297</c:v>
                </c:pt>
                <c:pt idx="20">
                  <c:v>10106207</c:v>
                </c:pt>
                <c:pt idx="21">
                  <c:v>8763792</c:v>
                </c:pt>
                <c:pt idx="22">
                  <c:v>6573767</c:v>
                </c:pt>
                <c:pt idx="23">
                  <c:v>7012498</c:v>
                </c:pt>
                <c:pt idx="24">
                  <c:v>8727300</c:v>
                </c:pt>
                <c:pt idx="25">
                  <c:v>9936678</c:v>
                </c:pt>
                <c:pt idx="26">
                  <c:v>9777312</c:v>
                </c:pt>
                <c:pt idx="27">
                  <c:v>10408932</c:v>
                </c:pt>
                <c:pt idx="28">
                  <c:v>9666011</c:v>
                </c:pt>
                <c:pt idx="29">
                  <c:v>8922312</c:v>
                </c:pt>
                <c:pt idx="30">
                  <c:v>11038170</c:v>
                </c:pt>
                <c:pt idx="31">
                  <c:v>9234684</c:v>
                </c:pt>
                <c:pt idx="32">
                  <c:v>10751284</c:v>
                </c:pt>
                <c:pt idx="33">
                  <c:v>9737546</c:v>
                </c:pt>
                <c:pt idx="34">
                  <c:v>7068566</c:v>
                </c:pt>
                <c:pt idx="35">
                  <c:v>7622280</c:v>
                </c:pt>
              </c:numCache>
            </c:numRef>
          </c:yVal>
          <c:smooth val="0"/>
          <c:extLst>
            <c:ext xmlns:c16="http://schemas.microsoft.com/office/drawing/2014/chart" uri="{C3380CC4-5D6E-409C-BE32-E72D297353CC}">
              <c16:uniqueId val="{00000002-8F79-D94E-9D9D-2680C3C73970}"/>
            </c:ext>
          </c:extLst>
        </c:ser>
        <c:dLbls>
          <c:showLegendKey val="0"/>
          <c:showVal val="0"/>
          <c:showCatName val="0"/>
          <c:showSerName val="0"/>
          <c:showPercent val="0"/>
          <c:showBubbleSize val="0"/>
        </c:dLbls>
        <c:axId val="1435300272"/>
        <c:axId val="1435403776"/>
      </c:scatterChart>
      <c:valAx>
        <c:axId val="143530027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403776"/>
        <c:crosses val="autoZero"/>
        <c:crossBetween val="midCat"/>
      </c:valAx>
      <c:valAx>
        <c:axId val="1435403776"/>
        <c:scaling>
          <c:orientation val="minMax"/>
          <c:min val="400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300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Milk Demand Forecast Apr – Sep 2011</a:t>
            </a:r>
            <a:r>
              <a:rPr lang="en-US" baseline="0"/>
              <a:t> </a:t>
            </a:r>
            <a:r>
              <a:rPr lang="en-US"/>
              <a:t>(in liters)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Milk Demand Forecast (in liters)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'Demand Forecast (Apr - Sep)'!$B$2:$B$43</c:f>
              <c:strCache>
                <c:ptCount val="42"/>
                <c:pt idx="0">
                  <c:v>Apr 2008</c:v>
                </c:pt>
                <c:pt idx="1">
                  <c:v>May 2008</c:v>
                </c:pt>
                <c:pt idx="2">
                  <c:v>Jun 2008</c:v>
                </c:pt>
                <c:pt idx="3">
                  <c:v>Jul 2008</c:v>
                </c:pt>
                <c:pt idx="4">
                  <c:v>Aug 2008</c:v>
                </c:pt>
                <c:pt idx="5">
                  <c:v>Sep 2008</c:v>
                </c:pt>
                <c:pt idx="6">
                  <c:v>Oct 2008</c:v>
                </c:pt>
                <c:pt idx="7">
                  <c:v>Nov 2008</c:v>
                </c:pt>
                <c:pt idx="8">
                  <c:v>Dec 2008</c:v>
                </c:pt>
                <c:pt idx="9">
                  <c:v>Jan 2009</c:v>
                </c:pt>
                <c:pt idx="10">
                  <c:v>Feb 2009</c:v>
                </c:pt>
                <c:pt idx="11">
                  <c:v>Mar 2009</c:v>
                </c:pt>
                <c:pt idx="12">
                  <c:v>Apr 2009</c:v>
                </c:pt>
                <c:pt idx="13">
                  <c:v>May 2009</c:v>
                </c:pt>
                <c:pt idx="14">
                  <c:v>Jun 2009</c:v>
                </c:pt>
                <c:pt idx="15">
                  <c:v>Jul 2009</c:v>
                </c:pt>
                <c:pt idx="16">
                  <c:v>Aug 2009</c:v>
                </c:pt>
                <c:pt idx="17">
                  <c:v>Sep 2009</c:v>
                </c:pt>
                <c:pt idx="18">
                  <c:v>Oct 2009</c:v>
                </c:pt>
                <c:pt idx="19">
                  <c:v>Nov 2009</c:v>
                </c:pt>
                <c:pt idx="20">
                  <c:v>Dec 2009</c:v>
                </c:pt>
                <c:pt idx="21">
                  <c:v>Jan 2010</c:v>
                </c:pt>
                <c:pt idx="22">
                  <c:v>Feb 2010</c:v>
                </c:pt>
                <c:pt idx="23">
                  <c:v>Mar 2010</c:v>
                </c:pt>
                <c:pt idx="24">
                  <c:v>Apr 2010</c:v>
                </c:pt>
                <c:pt idx="25">
                  <c:v>May 2010</c:v>
                </c:pt>
                <c:pt idx="26">
                  <c:v>Jun 2010</c:v>
                </c:pt>
                <c:pt idx="27">
                  <c:v>Jul 2010</c:v>
                </c:pt>
                <c:pt idx="28">
                  <c:v>Aug 2010</c:v>
                </c:pt>
                <c:pt idx="29">
                  <c:v>Sep 2010</c:v>
                </c:pt>
                <c:pt idx="30">
                  <c:v>Oct 2010</c:v>
                </c:pt>
                <c:pt idx="31">
                  <c:v>Nov 2010</c:v>
                </c:pt>
                <c:pt idx="32">
                  <c:v>Dec 2010</c:v>
                </c:pt>
                <c:pt idx="33">
                  <c:v>Jan 2011</c:v>
                </c:pt>
                <c:pt idx="34">
                  <c:v>Feb 2011</c:v>
                </c:pt>
                <c:pt idx="35">
                  <c:v>Mar 2011</c:v>
                </c:pt>
                <c:pt idx="36">
                  <c:v>Apr 2011</c:v>
                </c:pt>
                <c:pt idx="37">
                  <c:v>May 2011</c:v>
                </c:pt>
                <c:pt idx="38">
                  <c:v>Jun 2011</c:v>
                </c:pt>
                <c:pt idx="39">
                  <c:v>Jul 2011</c:v>
                </c:pt>
                <c:pt idx="40">
                  <c:v>Aug 2011</c:v>
                </c:pt>
                <c:pt idx="41">
                  <c:v>Sep 2011</c:v>
                </c:pt>
              </c:strCache>
            </c:strRef>
          </c:xVal>
          <c:yVal>
            <c:numRef>
              <c:f>'Demand Forecast (Apr - Sep)'!$C$2:$C$43</c:f>
              <c:numCache>
                <c:formatCode>#,##0</c:formatCode>
                <c:ptCount val="42"/>
                <c:pt idx="0">
                  <c:v>6436977</c:v>
                </c:pt>
                <c:pt idx="1">
                  <c:v>8038673</c:v>
                </c:pt>
                <c:pt idx="2">
                  <c:v>7699105</c:v>
                </c:pt>
                <c:pt idx="3">
                  <c:v>7446966</c:v>
                </c:pt>
                <c:pt idx="4">
                  <c:v>6893954</c:v>
                </c:pt>
                <c:pt idx="5">
                  <c:v>7266777</c:v>
                </c:pt>
                <c:pt idx="6">
                  <c:v>9577732</c:v>
                </c:pt>
                <c:pt idx="7">
                  <c:v>6959258</c:v>
                </c:pt>
                <c:pt idx="8">
                  <c:v>9196648</c:v>
                </c:pt>
                <c:pt idx="9">
                  <c:v>7703373</c:v>
                </c:pt>
                <c:pt idx="10">
                  <c:v>6337111</c:v>
                </c:pt>
                <c:pt idx="11">
                  <c:v>6661873</c:v>
                </c:pt>
                <c:pt idx="12">
                  <c:v>8168753</c:v>
                </c:pt>
                <c:pt idx="13">
                  <c:v>9042377</c:v>
                </c:pt>
                <c:pt idx="14">
                  <c:v>8535593</c:v>
                </c:pt>
                <c:pt idx="15">
                  <c:v>9159860</c:v>
                </c:pt>
                <c:pt idx="16">
                  <c:v>8660746</c:v>
                </c:pt>
                <c:pt idx="17">
                  <c:v>7985469</c:v>
                </c:pt>
                <c:pt idx="18">
                  <c:v>10287574</c:v>
                </c:pt>
                <c:pt idx="19">
                  <c:v>8865297</c:v>
                </c:pt>
                <c:pt idx="20">
                  <c:v>10106207</c:v>
                </c:pt>
                <c:pt idx="21">
                  <c:v>8763792</c:v>
                </c:pt>
                <c:pt idx="22">
                  <c:v>6573767</c:v>
                </c:pt>
                <c:pt idx="23">
                  <c:v>7012498</c:v>
                </c:pt>
                <c:pt idx="24">
                  <c:v>8727300</c:v>
                </c:pt>
                <c:pt idx="25">
                  <c:v>9936678</c:v>
                </c:pt>
                <c:pt idx="26">
                  <c:v>9777312</c:v>
                </c:pt>
                <c:pt idx="27">
                  <c:v>10408932</c:v>
                </c:pt>
                <c:pt idx="28">
                  <c:v>9666011</c:v>
                </c:pt>
                <c:pt idx="29">
                  <c:v>8922312</c:v>
                </c:pt>
                <c:pt idx="30">
                  <c:v>11038170</c:v>
                </c:pt>
                <c:pt idx="31">
                  <c:v>9234684</c:v>
                </c:pt>
                <c:pt idx="32">
                  <c:v>10751284</c:v>
                </c:pt>
                <c:pt idx="33">
                  <c:v>9737546</c:v>
                </c:pt>
                <c:pt idx="34">
                  <c:v>7068566</c:v>
                </c:pt>
                <c:pt idx="35">
                  <c:v>7622280</c:v>
                </c:pt>
                <c:pt idx="36" formatCode="_(* #,##0_);_(* \(#,##0\);_(* &quot;-&quot;??_);_(@_)">
                  <c:v>9667062.3333335742</c:v>
                </c:pt>
                <c:pt idx="37" formatCode="_(* #,##0_);_(* \(#,##0\);_(* &quot;-&quot;??_);_(@_)">
                  <c:v>10895295.000000238</c:v>
                </c:pt>
                <c:pt idx="38" formatCode="_(* #,##0_);_(* \(#,##0\);_(* &quot;-&quot;??_);_(@_)">
                  <c:v>10560055.666666904</c:v>
                </c:pt>
                <c:pt idx="39" formatCode="_(* #,##0_);_(* \(#,##0\);_(* &quot;-&quot;??_);_(@_)">
                  <c:v>10894638.333333572</c:v>
                </c:pt>
                <c:pt idx="40" formatCode="_(* #,##0_);_(* \(#,##0\);_(* &quot;-&quot;??_);_(@_)">
                  <c:v>10296289.333333571</c:v>
                </c:pt>
                <c:pt idx="41" formatCode="_(* #,##0_);_(* \(#,##0\);_(* &quot;-&quot;??_);_(@_)">
                  <c:v>9947571.6666669063</c:v>
                </c:pt>
              </c:numCache>
            </c:numRef>
          </c:yVal>
          <c:smooth val="0"/>
          <c:extLst>
            <c:ext xmlns:c16="http://schemas.microsoft.com/office/drawing/2014/chart" uri="{C3380CC4-5D6E-409C-BE32-E72D297353CC}">
              <c16:uniqueId val="{00000000-066E-2E48-AA71-9E25E52AB9FF}"/>
            </c:ext>
          </c:extLst>
        </c:ser>
        <c:dLbls>
          <c:showLegendKey val="0"/>
          <c:showVal val="0"/>
          <c:showCatName val="0"/>
          <c:showSerName val="0"/>
          <c:showPercent val="0"/>
          <c:showBubbleSize val="0"/>
        </c:dLbls>
        <c:axId val="1397059088"/>
        <c:axId val="1397446592"/>
      </c:scatterChart>
      <c:valAx>
        <c:axId val="139705908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46592"/>
        <c:crosses val="autoZero"/>
        <c:crossBetween val="midCat"/>
      </c:valAx>
      <c:valAx>
        <c:axId val="1397446592"/>
        <c:scaling>
          <c:orientation val="minMax"/>
          <c:min val="400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059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18</xdr:row>
      <xdr:rowOff>0</xdr:rowOff>
    </xdr:from>
    <xdr:to>
      <xdr:col>5</xdr:col>
      <xdr:colOff>965200</xdr:colOff>
      <xdr:row>50</xdr:row>
      <xdr:rowOff>190500</xdr:rowOff>
    </xdr:to>
    <xdr:pic>
      <xdr:nvPicPr>
        <xdr:cNvPr id="3" name="Picture 2">
          <a:extLst>
            <a:ext uri="{FF2B5EF4-FFF2-40B4-BE49-F238E27FC236}">
              <a16:creationId xmlns:a16="http://schemas.microsoft.com/office/drawing/2014/main" id="{77845873-1BBD-C849-BD77-98B67F170B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937000"/>
          <a:ext cx="6388100" cy="6692900"/>
        </a:xfrm>
        <a:prstGeom prst="rect">
          <a:avLst/>
        </a:prstGeom>
      </xdr:spPr>
    </xdr:pic>
    <xdr:clientData/>
  </xdr:twoCellAnchor>
  <xdr:twoCellAnchor editAs="oneCell">
    <xdr:from>
      <xdr:col>6</xdr:col>
      <xdr:colOff>0</xdr:colOff>
      <xdr:row>18</xdr:row>
      <xdr:rowOff>0</xdr:rowOff>
    </xdr:from>
    <xdr:to>
      <xdr:col>11</xdr:col>
      <xdr:colOff>444500</xdr:colOff>
      <xdr:row>39</xdr:row>
      <xdr:rowOff>88900</xdr:rowOff>
    </xdr:to>
    <xdr:pic>
      <xdr:nvPicPr>
        <xdr:cNvPr id="5" name="Picture 4">
          <a:extLst>
            <a:ext uri="{FF2B5EF4-FFF2-40B4-BE49-F238E27FC236}">
              <a16:creationId xmlns:a16="http://schemas.microsoft.com/office/drawing/2014/main" id="{E8199DED-9409-A042-AD49-7800BDE87D5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112000" y="3937000"/>
          <a:ext cx="6299200" cy="4356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819382</xdr:colOff>
      <xdr:row>8</xdr:row>
      <xdr:rowOff>200807</xdr:rowOff>
    </xdr:from>
    <xdr:to>
      <xdr:col>23</xdr:col>
      <xdr:colOff>0</xdr:colOff>
      <xdr:row>22</xdr:row>
      <xdr:rowOff>66652</xdr:rowOff>
    </xdr:to>
    <xdr:graphicFrame macro="">
      <xdr:nvGraphicFramePr>
        <xdr:cNvPr id="6" name="Chart 5">
          <a:extLst>
            <a:ext uri="{FF2B5EF4-FFF2-40B4-BE49-F238E27FC236}">
              <a16:creationId xmlns:a16="http://schemas.microsoft.com/office/drawing/2014/main" id="{6A0B1A60-2D06-3D42-831E-A03B72AE1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819382</xdr:colOff>
      <xdr:row>23</xdr:row>
      <xdr:rowOff>15494</xdr:rowOff>
    </xdr:from>
    <xdr:to>
      <xdr:col>23</xdr:col>
      <xdr:colOff>12700</xdr:colOff>
      <xdr:row>36</xdr:row>
      <xdr:rowOff>84539</xdr:rowOff>
    </xdr:to>
    <xdr:graphicFrame macro="">
      <xdr:nvGraphicFramePr>
        <xdr:cNvPr id="7" name="Chart 6">
          <a:extLst>
            <a:ext uri="{FF2B5EF4-FFF2-40B4-BE49-F238E27FC236}">
              <a16:creationId xmlns:a16="http://schemas.microsoft.com/office/drawing/2014/main" id="{1A75C28C-0A79-7D4C-8E01-1E6133862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Thanh Tam Luu" id="{FEB10633-4576-3946-993A-E7DBA9EA8FFA}" userId="S::tluu2018@student.hult.edu::67fadb90-522a-4cf2-8619-88f93dd85bb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 dT="2020-03-15T22:16:03.94" personId="{FEB10633-4576-3946-993A-E7DBA9EA8FFA}" id="{68BA5780-DBA0-3A48-8E27-BF6BDBF984CB}">
    <text>Assuming that MAMD do not have any excess raw milk (given the high demand in April), MAMD will have to purchase Butter and SMP from outside sources (assuming that Butter and SMP is imported — otherwise, how else would the other milk dairies produce butter and SMP if they sold all the raw milk for us?). The profit is calculated based on our selling price and associated costs with purchasing the butter and SMP (assuming that transportation is included since the raw milk procurement cost from other dairies include the transportatin costs too) + recombination cost 
Moreover, it was found that if they purchase the butter and SMP from outside, the profit contribution is bigger than producing the butter and SMP in house and then convert it to premium milk.</text>
  </threadedComment>
  <threadedComment ref="A16" dT="2020-03-15T22:16:03.94" personId="{FEB10633-4576-3946-993A-E7DBA9EA8FFA}" id="{EE37FBC6-3E2C-894E-B8C5-1BB700C1E7B3}">
    <text>Assuming that MAMD do not have any excess raw milk (given the high demand in April), MAMD will have to purchase Butter and SMP from outside sources (assuming that Butter and SMP is imported — otherwise, how else would the other milk dairies produce butter and SMP if they sold all the raw milk for us?). The profit is calculated based on our selling price and associated costs with purchasing the butter and SMP (assuming that transportation is included since the raw milk procurement cost from other dairies include the transportatin costs too) + recombination cost 
Moreover, it was found that if they purchase the butter and SMP from outside, the profit contribution is bigger than producing the butter and SMP in house and then convert it to premium milk.</text>
  </threadedComment>
  <threadedComment ref="A23" dT="2020-03-15T22:16:03.94" personId="{FEB10633-4576-3946-993A-E7DBA9EA8FFA}" id="{8C5E3D7B-C887-214F-9C60-B9BAC44C8C83}">
    <text>Assuming that MAMD do not have any excess raw milk (given the high demand in April), MAMD will have to purchase Butter and SMP from outside sources (assuming that Butter and SMP is imported — otherwise, how else would the other milk dairies produce butter and SMP if they sold all the raw milk for us?). The profit is calculated based on our selling price and associated costs with purchasing the butter and SMP (assuming that transportation is included since the raw milk procurement cost from other dairies include the transportatin costs too) + recombination cost 
Moreover, it was found that if they purchase the butter and SMP from outside, the profit contribution is bigger than producing the butter and SMP in house and then convert it to premium milk.</text>
  </threadedComment>
  <threadedComment ref="A59" dT="2020-03-15T21:33:30.39" personId="{FEB10633-4576-3946-993A-E7DBA9EA8FFA}" id="{76026C2D-84A6-BE48-A1E7-DFF6B83EDCE2}">
    <text xml:space="preserve">We can only satisfy 81% of the demand (supply/demand) which means that the rest 19% is satisfied by the other milk dairies because the customers go to other dairies when we don’t have enough supplies – this give us the available raw milk that the other milk dairies have. 
Moreover, we assume that the milk dairies would sell all of their raw milk available to us because given the higher prices that they sell the end products to the consumers to, we assume that such a high price is due to higher production costs (labor, storage,..) so they would benefit more if they sell the raw milk to us. Furthermore, they might have cheaper procurement costs from farmers since they pay in advance, thus increasing their profit even more when they sell to us.
</text>
  </threadedComment>
  <threadedComment ref="A73" dT="2020-03-16T15:05:50.41" personId="{FEB10633-4576-3946-993A-E7DBA9EA8FFA}" id="{5F3268AC-DD18-3440-897E-745E495A0DCC}">
    <text>Butter is imported in advanced once a month (given the longer shelf life) and, therefore, we need to store butter in storage. 10000 kg storage constraint is the maximum capacity that we can import and store in one time, and these numbers are how much we used up every day (cost is fixed, it’s not up to how many pieces you store).</text>
  </threadedComment>
  <threadedComment ref="A80" dT="2020-03-16T15:06:37.69" personId="{FEB10633-4576-3946-993A-E7DBA9EA8FFA}" id="{C32A61A1-C476-BF43-96D4-93760F570849}">
    <text>Butter is imported in advanced once a month (given the longer shelf life) and, therefore, we need to store butter in storage. 10000 kg storage constraint is the maximum capacity that we can import and store in one time, and these numbers are how much we used up every day (cost is fixed, it’s not up to how many pieces you store).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42B73-5DAB-8947-9837-7008D423DB67}">
  <dimension ref="A1:V16"/>
  <sheetViews>
    <sheetView workbookViewId="0">
      <selection activeCell="Q18" sqref="Q18"/>
    </sheetView>
  </sheetViews>
  <sheetFormatPr baseColWidth="10" defaultRowHeight="16" x14ac:dyDescent="0.2"/>
  <cols>
    <col min="1" max="1" width="16.5" style="13" bestFit="1" customWidth="1"/>
    <col min="2" max="4" width="10.83203125" style="13"/>
    <col min="5" max="8" width="22.1640625" style="13" customWidth="1"/>
    <col min="9" max="9" width="10.83203125" style="13"/>
    <col min="10" max="10" width="7.83203125" style="13" customWidth="1"/>
    <col min="11" max="12" width="13.83203125" style="13" customWidth="1"/>
    <col min="13" max="13" width="7.83203125" style="13" customWidth="1"/>
    <col min="14" max="15" width="13.83203125" style="13" customWidth="1"/>
    <col min="16" max="16" width="7.83203125" style="13" customWidth="1"/>
    <col min="17" max="18" width="13.83203125" style="13" customWidth="1"/>
    <col min="19" max="19" width="10.83203125" style="13"/>
    <col min="20" max="20" width="24.33203125" style="13" bestFit="1" customWidth="1"/>
    <col min="21" max="16384" width="10.83203125" style="13"/>
  </cols>
  <sheetData>
    <row r="1" spans="1:22" x14ac:dyDescent="0.2">
      <c r="A1" s="13" t="s">
        <v>0</v>
      </c>
      <c r="E1" s="13" t="s">
        <v>10</v>
      </c>
      <c r="J1" s="13" t="s">
        <v>29</v>
      </c>
      <c r="T1" s="13" t="s">
        <v>36</v>
      </c>
    </row>
    <row r="2" spans="1:22" ht="38" customHeight="1" x14ac:dyDescent="0.2">
      <c r="A2" s="262" t="s">
        <v>1</v>
      </c>
      <c r="B2" s="263"/>
      <c r="C2" s="263"/>
      <c r="E2" s="260" t="s">
        <v>11</v>
      </c>
      <c r="F2" s="260"/>
      <c r="G2" s="260"/>
      <c r="H2" s="260"/>
      <c r="J2" s="260" t="s">
        <v>30</v>
      </c>
      <c r="K2" s="260"/>
      <c r="L2" s="260"/>
      <c r="M2" s="260"/>
      <c r="N2" s="260"/>
      <c r="O2" s="260"/>
      <c r="P2" s="260"/>
      <c r="Q2" s="260"/>
      <c r="R2" s="260"/>
      <c r="T2" s="260" t="s">
        <v>37</v>
      </c>
      <c r="U2" s="260"/>
      <c r="V2" s="261"/>
    </row>
    <row r="3" spans="1:22" ht="16" customHeight="1" x14ac:dyDescent="0.2">
      <c r="A3" s="147" t="s">
        <v>2</v>
      </c>
      <c r="B3" s="147" t="s">
        <v>3</v>
      </c>
      <c r="C3" s="147" t="s">
        <v>4</v>
      </c>
      <c r="E3" s="264" t="s">
        <v>12</v>
      </c>
      <c r="F3" s="266" t="s">
        <v>13</v>
      </c>
      <c r="G3" s="267"/>
      <c r="H3" s="267"/>
      <c r="J3" s="148" t="s">
        <v>34</v>
      </c>
      <c r="K3" s="148" t="s">
        <v>31</v>
      </c>
      <c r="L3" s="148" t="s">
        <v>32</v>
      </c>
      <c r="M3" s="148" t="s">
        <v>33</v>
      </c>
      <c r="N3" s="148" t="s">
        <v>31</v>
      </c>
      <c r="O3" s="148" t="s">
        <v>35</v>
      </c>
      <c r="P3" s="148" t="s">
        <v>33</v>
      </c>
      <c r="Q3" s="148" t="s">
        <v>31</v>
      </c>
      <c r="R3" s="148" t="s">
        <v>35</v>
      </c>
      <c r="T3" s="149" t="s">
        <v>38</v>
      </c>
      <c r="U3" s="150">
        <v>163</v>
      </c>
      <c r="V3" s="149" t="s">
        <v>41</v>
      </c>
    </row>
    <row r="4" spans="1:22" x14ac:dyDescent="0.2">
      <c r="A4" s="149" t="s">
        <v>5</v>
      </c>
      <c r="B4" s="151">
        <v>3</v>
      </c>
      <c r="C4" s="151">
        <v>8.5</v>
      </c>
      <c r="E4" s="265"/>
      <c r="F4" s="152" t="s">
        <v>14</v>
      </c>
      <c r="G4" s="152" t="s">
        <v>15</v>
      </c>
      <c r="H4" s="152" t="s">
        <v>16</v>
      </c>
      <c r="J4" s="153">
        <v>1</v>
      </c>
      <c r="K4" s="154">
        <v>286387</v>
      </c>
      <c r="L4" s="154">
        <v>232031</v>
      </c>
      <c r="M4" s="153">
        <v>11</v>
      </c>
      <c r="N4" s="154">
        <v>269299</v>
      </c>
      <c r="O4" s="154">
        <v>218186</v>
      </c>
      <c r="P4" s="153">
        <v>21</v>
      </c>
      <c r="Q4" s="154">
        <v>272493</v>
      </c>
      <c r="R4" s="154">
        <v>220774</v>
      </c>
      <c r="T4" s="149" t="s">
        <v>39</v>
      </c>
      <c r="U4" s="150">
        <v>112</v>
      </c>
      <c r="V4" s="149" t="s">
        <v>41</v>
      </c>
    </row>
    <row r="5" spans="1:22" x14ac:dyDescent="0.2">
      <c r="A5" s="149" t="s">
        <v>6</v>
      </c>
      <c r="B5" s="151">
        <v>4.5</v>
      </c>
      <c r="C5" s="151">
        <v>8.5</v>
      </c>
      <c r="E5" s="149" t="s">
        <v>17</v>
      </c>
      <c r="F5" s="154">
        <v>6436977</v>
      </c>
      <c r="G5" s="154">
        <v>8168753</v>
      </c>
      <c r="H5" s="154">
        <v>8727300</v>
      </c>
      <c r="J5" s="153">
        <v>2</v>
      </c>
      <c r="K5" s="154">
        <v>307453</v>
      </c>
      <c r="L5" s="154">
        <v>249099</v>
      </c>
      <c r="M5" s="153">
        <v>12</v>
      </c>
      <c r="N5" s="154">
        <v>275672</v>
      </c>
      <c r="O5" s="154">
        <v>223350</v>
      </c>
      <c r="P5" s="153">
        <v>22</v>
      </c>
      <c r="Q5" s="154">
        <v>298470</v>
      </c>
      <c r="R5" s="154">
        <v>241821</v>
      </c>
      <c r="T5" s="149" t="s">
        <v>40</v>
      </c>
      <c r="U5" s="150">
        <v>16.5</v>
      </c>
      <c r="V5" s="149" t="s">
        <v>42</v>
      </c>
    </row>
    <row r="6" spans="1:22" x14ac:dyDescent="0.2">
      <c r="A6" s="149" t="s">
        <v>7</v>
      </c>
      <c r="B6" s="151">
        <v>4.5</v>
      </c>
      <c r="C6" s="151">
        <v>9</v>
      </c>
      <c r="E6" s="149" t="s">
        <v>18</v>
      </c>
      <c r="F6" s="154">
        <v>8038673</v>
      </c>
      <c r="G6" s="154">
        <v>9042377</v>
      </c>
      <c r="H6" s="154">
        <v>9936678</v>
      </c>
      <c r="J6" s="153">
        <v>3</v>
      </c>
      <c r="K6" s="154">
        <v>288095</v>
      </c>
      <c r="L6" s="154">
        <v>233415</v>
      </c>
      <c r="M6" s="153">
        <v>13</v>
      </c>
      <c r="N6" s="154">
        <v>308182</v>
      </c>
      <c r="O6" s="154">
        <v>249689</v>
      </c>
      <c r="P6" s="153">
        <v>23</v>
      </c>
      <c r="Q6" s="154">
        <v>318493</v>
      </c>
      <c r="R6" s="154">
        <v>258043</v>
      </c>
    </row>
    <row r="7" spans="1:22" x14ac:dyDescent="0.2">
      <c r="A7" s="149" t="s">
        <v>8</v>
      </c>
      <c r="B7" s="151">
        <v>6</v>
      </c>
      <c r="C7" s="151">
        <v>9</v>
      </c>
      <c r="E7" s="149" t="s">
        <v>19</v>
      </c>
      <c r="F7" s="154">
        <v>7699105</v>
      </c>
      <c r="G7" s="154">
        <v>8535593</v>
      </c>
      <c r="H7" s="154">
        <v>9777312</v>
      </c>
      <c r="J7" s="153">
        <v>4</v>
      </c>
      <c r="K7" s="154">
        <v>267987</v>
      </c>
      <c r="L7" s="154">
        <v>217123</v>
      </c>
      <c r="M7" s="153">
        <v>14</v>
      </c>
      <c r="N7" s="154">
        <v>287419</v>
      </c>
      <c r="O7" s="154">
        <v>232867</v>
      </c>
      <c r="P7" s="153">
        <v>24</v>
      </c>
      <c r="Q7" s="154">
        <v>304744</v>
      </c>
      <c r="R7" s="154">
        <v>246904</v>
      </c>
    </row>
    <row r="8" spans="1:22" x14ac:dyDescent="0.2">
      <c r="A8" s="149" t="s">
        <v>9</v>
      </c>
      <c r="B8" s="151">
        <v>1.5</v>
      </c>
      <c r="C8" s="151">
        <v>9</v>
      </c>
      <c r="E8" s="149" t="s">
        <v>20</v>
      </c>
      <c r="F8" s="154">
        <v>7446966</v>
      </c>
      <c r="G8" s="154">
        <v>9159860</v>
      </c>
      <c r="H8" s="154">
        <v>10408932</v>
      </c>
      <c r="J8" s="153">
        <v>5</v>
      </c>
      <c r="K8" s="154">
        <v>288652</v>
      </c>
      <c r="L8" s="154">
        <v>233866</v>
      </c>
      <c r="M8" s="153">
        <v>15</v>
      </c>
      <c r="N8" s="154">
        <v>307718</v>
      </c>
      <c r="O8" s="154">
        <v>249313</v>
      </c>
      <c r="P8" s="153">
        <v>25</v>
      </c>
      <c r="Q8" s="154">
        <v>285709</v>
      </c>
      <c r="R8" s="154">
        <v>231482</v>
      </c>
    </row>
    <row r="9" spans="1:22" x14ac:dyDescent="0.2">
      <c r="E9" s="149" t="s">
        <v>21</v>
      </c>
      <c r="F9" s="154">
        <v>6893954</v>
      </c>
      <c r="G9" s="154">
        <v>8660746</v>
      </c>
      <c r="H9" s="154">
        <v>9666011</v>
      </c>
      <c r="J9" s="153">
        <v>6</v>
      </c>
      <c r="K9" s="154">
        <v>327752</v>
      </c>
      <c r="L9" s="154">
        <v>265545</v>
      </c>
      <c r="M9" s="153">
        <v>16</v>
      </c>
      <c r="N9" s="154">
        <v>316682</v>
      </c>
      <c r="O9" s="154">
        <v>256576</v>
      </c>
      <c r="P9" s="153">
        <v>26</v>
      </c>
      <c r="Q9" s="154">
        <v>308121</v>
      </c>
      <c r="R9" s="154">
        <v>249640</v>
      </c>
    </row>
    <row r="10" spans="1:22" x14ac:dyDescent="0.2">
      <c r="E10" s="149" t="s">
        <v>22</v>
      </c>
      <c r="F10" s="154">
        <v>7266777</v>
      </c>
      <c r="G10" s="154">
        <v>7985469</v>
      </c>
      <c r="H10" s="154">
        <v>8922312</v>
      </c>
      <c r="J10" s="153">
        <v>7</v>
      </c>
      <c r="K10" s="154">
        <v>260029</v>
      </c>
      <c r="L10" s="154">
        <v>210676</v>
      </c>
      <c r="M10" s="153">
        <v>17</v>
      </c>
      <c r="N10" s="154">
        <v>330245</v>
      </c>
      <c r="O10" s="154">
        <v>267565</v>
      </c>
      <c r="P10" s="153">
        <v>27</v>
      </c>
      <c r="Q10" s="154">
        <v>316298</v>
      </c>
      <c r="R10" s="154">
        <v>256265</v>
      </c>
    </row>
    <row r="11" spans="1:22" x14ac:dyDescent="0.2">
      <c r="E11" s="149" t="s">
        <v>23</v>
      </c>
      <c r="F11" s="154">
        <v>9577732</v>
      </c>
      <c r="G11" s="154">
        <v>10287574</v>
      </c>
      <c r="H11" s="154">
        <v>11038170</v>
      </c>
      <c r="J11" s="153">
        <v>8</v>
      </c>
      <c r="K11" s="154">
        <v>278243</v>
      </c>
      <c r="L11" s="154">
        <v>225433</v>
      </c>
      <c r="M11" s="153">
        <v>18</v>
      </c>
      <c r="N11" s="154">
        <v>335029</v>
      </c>
      <c r="O11" s="154">
        <v>271441</v>
      </c>
      <c r="P11" s="153">
        <v>28</v>
      </c>
      <c r="Q11" s="154">
        <v>257257</v>
      </c>
      <c r="R11" s="154">
        <v>208430</v>
      </c>
    </row>
    <row r="12" spans="1:22" x14ac:dyDescent="0.2">
      <c r="E12" s="149" t="s">
        <v>24</v>
      </c>
      <c r="F12" s="154">
        <v>6959258</v>
      </c>
      <c r="G12" s="154">
        <v>8865297</v>
      </c>
      <c r="H12" s="154">
        <v>9234684</v>
      </c>
      <c r="J12" s="153">
        <v>9</v>
      </c>
      <c r="K12" s="154">
        <v>299058</v>
      </c>
      <c r="L12" s="154">
        <v>242297</v>
      </c>
      <c r="M12" s="153">
        <v>19</v>
      </c>
      <c r="N12" s="154">
        <v>342925</v>
      </c>
      <c r="O12" s="154">
        <v>277838</v>
      </c>
      <c r="P12" s="153">
        <v>29</v>
      </c>
      <c r="Q12" s="154">
        <v>314569</v>
      </c>
      <c r="R12" s="154">
        <v>254864</v>
      </c>
    </row>
    <row r="13" spans="1:22" x14ac:dyDescent="0.2">
      <c r="E13" s="149" t="s">
        <v>25</v>
      </c>
      <c r="F13" s="154">
        <v>9196648</v>
      </c>
      <c r="G13" s="154">
        <v>10106207</v>
      </c>
      <c r="H13" s="154">
        <v>10751284</v>
      </c>
      <c r="J13" s="153">
        <v>10</v>
      </c>
      <c r="K13" s="154">
        <v>323536</v>
      </c>
      <c r="L13" s="154">
        <v>262129</v>
      </c>
      <c r="M13" s="153">
        <v>20</v>
      </c>
      <c r="N13" s="154">
        <v>309399</v>
      </c>
      <c r="O13" s="154">
        <v>250675</v>
      </c>
      <c r="P13" s="153">
        <v>30</v>
      </c>
      <c r="Q13" s="154">
        <v>272352</v>
      </c>
      <c r="R13" s="154">
        <v>220660</v>
      </c>
    </row>
    <row r="14" spans="1:22" x14ac:dyDescent="0.2">
      <c r="E14" s="149" t="s">
        <v>26</v>
      </c>
      <c r="F14" s="154">
        <v>7703373</v>
      </c>
      <c r="G14" s="154">
        <v>8763792</v>
      </c>
      <c r="H14" s="154">
        <v>9737546</v>
      </c>
    </row>
    <row r="15" spans="1:22" x14ac:dyDescent="0.2">
      <c r="E15" s="149" t="s">
        <v>27</v>
      </c>
      <c r="F15" s="154">
        <v>6337111</v>
      </c>
      <c r="G15" s="154">
        <v>6573767</v>
      </c>
      <c r="H15" s="154">
        <v>7068566</v>
      </c>
      <c r="K15" s="145"/>
      <c r="L15" s="145"/>
      <c r="N15" s="144"/>
    </row>
    <row r="16" spans="1:22" x14ac:dyDescent="0.2">
      <c r="E16" s="149" t="s">
        <v>28</v>
      </c>
      <c r="F16" s="154">
        <v>6661873</v>
      </c>
      <c r="G16" s="154">
        <v>7012498</v>
      </c>
      <c r="H16" s="154">
        <v>7622280</v>
      </c>
      <c r="N16" s="144"/>
    </row>
  </sheetData>
  <mergeCells count="6">
    <mergeCell ref="T2:V2"/>
    <mergeCell ref="A2:C2"/>
    <mergeCell ref="E3:E4"/>
    <mergeCell ref="F3:H3"/>
    <mergeCell ref="E2:H2"/>
    <mergeCell ref="J2:R2"/>
  </mergeCells>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AB7AB-42E2-C340-A222-75D87A9E24C0}">
  <dimension ref="A1:M139"/>
  <sheetViews>
    <sheetView showGridLines="0" tabSelected="1" zoomScale="87" workbookViewId="0"/>
  </sheetViews>
  <sheetFormatPr baseColWidth="10" defaultRowHeight="16" x14ac:dyDescent="0.2"/>
  <cols>
    <col min="1" max="1" width="51.83203125" customWidth="1"/>
  </cols>
  <sheetData>
    <row r="1" spans="1:7" s="6" customFormat="1" x14ac:dyDescent="0.2">
      <c r="A1" s="7" t="s">
        <v>43</v>
      </c>
    </row>
    <row r="2" spans="1:7" ht="16" customHeight="1" x14ac:dyDescent="0.2">
      <c r="A2" t="s">
        <v>227</v>
      </c>
      <c r="B2" s="70" t="s">
        <v>245</v>
      </c>
      <c r="C2" s="104"/>
      <c r="D2" s="103"/>
      <c r="E2" s="103"/>
      <c r="F2" s="103"/>
      <c r="G2" s="103"/>
    </row>
    <row r="3" spans="1:7" ht="16" customHeight="1" x14ac:dyDescent="0.2">
      <c r="A3" t="s">
        <v>228</v>
      </c>
      <c r="B3" s="70" t="s">
        <v>246</v>
      </c>
      <c r="C3" s="104"/>
      <c r="D3" s="103"/>
      <c r="E3" s="103"/>
      <c r="F3" s="103"/>
      <c r="G3" s="103"/>
    </row>
    <row r="4" spans="1:7" ht="16" customHeight="1" x14ac:dyDescent="0.2">
      <c r="A4" t="s">
        <v>229</v>
      </c>
      <c r="B4" s="70" t="s">
        <v>247</v>
      </c>
      <c r="C4" s="104"/>
      <c r="D4" s="103"/>
      <c r="E4" s="103"/>
      <c r="F4" s="103"/>
      <c r="G4" s="103"/>
    </row>
    <row r="5" spans="1:7" ht="16" customHeight="1" x14ac:dyDescent="0.2">
      <c r="A5" t="s">
        <v>230</v>
      </c>
      <c r="B5" s="70" t="s">
        <v>248</v>
      </c>
      <c r="C5" s="104"/>
      <c r="D5" s="103"/>
      <c r="E5" s="103"/>
      <c r="F5" s="103"/>
      <c r="G5" s="103"/>
    </row>
    <row r="6" spans="1:7" ht="16" customHeight="1" x14ac:dyDescent="0.2">
      <c r="A6" t="s">
        <v>231</v>
      </c>
      <c r="B6" s="70" t="s">
        <v>249</v>
      </c>
      <c r="C6" s="104"/>
      <c r="D6" s="103"/>
      <c r="E6" s="103"/>
      <c r="F6" s="103"/>
      <c r="G6" s="103"/>
    </row>
    <row r="7" spans="1:7" ht="16" customHeight="1" x14ac:dyDescent="0.2">
      <c r="A7" t="s">
        <v>232</v>
      </c>
      <c r="B7" s="70" t="s">
        <v>250</v>
      </c>
      <c r="C7" s="104"/>
      <c r="D7" s="103"/>
      <c r="E7" s="103"/>
      <c r="F7" s="103"/>
      <c r="G7" s="103"/>
    </row>
    <row r="8" spans="1:7" ht="16" customHeight="1" x14ac:dyDescent="0.2">
      <c r="A8" t="s">
        <v>233</v>
      </c>
      <c r="B8" s="70" t="s">
        <v>251</v>
      </c>
      <c r="C8" s="104"/>
      <c r="D8" s="103"/>
      <c r="E8" s="103"/>
      <c r="F8" s="103"/>
      <c r="G8" s="103"/>
    </row>
    <row r="9" spans="1:7" ht="16" customHeight="1" x14ac:dyDescent="0.2">
      <c r="A9" t="s">
        <v>234</v>
      </c>
      <c r="B9" s="70" t="s">
        <v>252</v>
      </c>
      <c r="C9" s="104"/>
      <c r="D9" s="103"/>
      <c r="E9" s="103"/>
      <c r="F9" s="103"/>
      <c r="G9" s="103"/>
    </row>
    <row r="10" spans="1:7" ht="16" customHeight="1" x14ac:dyDescent="0.2">
      <c r="A10" t="s">
        <v>235</v>
      </c>
      <c r="B10" s="70" t="s">
        <v>253</v>
      </c>
      <c r="C10" s="104"/>
      <c r="D10" s="103"/>
      <c r="E10" s="103"/>
      <c r="F10" s="103"/>
      <c r="G10" s="103"/>
    </row>
    <row r="11" spans="1:7" ht="16" customHeight="1" x14ac:dyDescent="0.2">
      <c r="A11" t="s">
        <v>236</v>
      </c>
      <c r="B11" s="70" t="s">
        <v>254</v>
      </c>
      <c r="C11" s="104"/>
      <c r="D11" s="103"/>
      <c r="E11" s="103"/>
      <c r="F11" s="103"/>
      <c r="G11" s="103"/>
    </row>
    <row r="12" spans="1:7" ht="16" customHeight="1" x14ac:dyDescent="0.2">
      <c r="A12" t="s">
        <v>237</v>
      </c>
      <c r="B12" s="70" t="s">
        <v>255</v>
      </c>
      <c r="C12" s="104"/>
      <c r="D12" s="103"/>
      <c r="E12" s="103"/>
      <c r="F12" s="103"/>
      <c r="G12" s="103"/>
    </row>
    <row r="13" spans="1:7" ht="16" customHeight="1" x14ac:dyDescent="0.2">
      <c r="A13" t="s">
        <v>238</v>
      </c>
      <c r="B13" s="70" t="s">
        <v>256</v>
      </c>
      <c r="C13" s="104"/>
      <c r="D13" s="103"/>
      <c r="E13" s="103"/>
      <c r="F13" s="103"/>
      <c r="G13" s="103"/>
    </row>
    <row r="14" spans="1:7" ht="16" customHeight="1" x14ac:dyDescent="0.2">
      <c r="A14" t="s">
        <v>239</v>
      </c>
      <c r="B14" s="70" t="s">
        <v>257</v>
      </c>
      <c r="C14" s="104"/>
      <c r="D14" s="103"/>
      <c r="E14" s="103"/>
      <c r="F14" s="103"/>
      <c r="G14" s="103"/>
    </row>
    <row r="15" spans="1:7" ht="16" customHeight="1" x14ac:dyDescent="0.2">
      <c r="A15" t="s">
        <v>240</v>
      </c>
      <c r="B15" s="70" t="s">
        <v>259</v>
      </c>
      <c r="C15" s="104"/>
      <c r="D15" s="103"/>
      <c r="E15" s="103"/>
      <c r="F15" s="103"/>
      <c r="G15" s="103"/>
    </row>
    <row r="16" spans="1:7" ht="16" customHeight="1" x14ac:dyDescent="0.2">
      <c r="A16" t="s">
        <v>241</v>
      </c>
      <c r="B16" s="70" t="s">
        <v>258</v>
      </c>
      <c r="C16" s="104"/>
      <c r="D16" s="103"/>
      <c r="E16" s="103"/>
      <c r="F16" s="103"/>
      <c r="G16" s="103"/>
    </row>
    <row r="17" spans="1:7" ht="16" customHeight="1" x14ac:dyDescent="0.2">
      <c r="A17" t="s">
        <v>242</v>
      </c>
      <c r="B17" s="70" t="s">
        <v>260</v>
      </c>
      <c r="C17" s="104"/>
      <c r="D17" s="103"/>
      <c r="E17" s="103"/>
      <c r="F17" s="103"/>
      <c r="G17" s="103"/>
    </row>
    <row r="18" spans="1:7" ht="16" customHeight="1" x14ac:dyDescent="0.2">
      <c r="A18" t="s">
        <v>243</v>
      </c>
      <c r="B18" s="70" t="s">
        <v>261</v>
      </c>
      <c r="C18" s="104"/>
      <c r="D18" s="103"/>
      <c r="E18" s="103"/>
      <c r="F18" s="103"/>
      <c r="G18" s="103"/>
    </row>
    <row r="19" spans="1:7" ht="16" customHeight="1" x14ac:dyDescent="0.2">
      <c r="A19" t="s">
        <v>244</v>
      </c>
      <c r="B19" s="70" t="s">
        <v>262</v>
      </c>
      <c r="C19" s="104"/>
      <c r="D19" s="103"/>
      <c r="E19" s="103"/>
      <c r="F19" s="103"/>
      <c r="G19" s="103"/>
    </row>
    <row r="20" spans="1:7" ht="16" customHeight="1" x14ac:dyDescent="0.2">
      <c r="B20" s="70"/>
      <c r="C20" s="104"/>
      <c r="D20" s="103"/>
      <c r="E20" s="103"/>
      <c r="F20" s="103"/>
      <c r="G20" s="103"/>
    </row>
    <row r="21" spans="1:7" ht="16" customHeight="1" x14ac:dyDescent="0.2">
      <c r="A21" t="s">
        <v>263</v>
      </c>
      <c r="B21" s="70" t="s">
        <v>281</v>
      </c>
      <c r="C21" s="104"/>
      <c r="D21" s="103"/>
      <c r="E21" s="103"/>
      <c r="F21" s="103"/>
      <c r="G21" s="103"/>
    </row>
    <row r="22" spans="1:7" ht="16" customHeight="1" x14ac:dyDescent="0.2">
      <c r="A22" t="s">
        <v>264</v>
      </c>
      <c r="B22" s="70" t="s">
        <v>282</v>
      </c>
      <c r="C22" s="104"/>
      <c r="D22" s="103"/>
      <c r="E22" s="103"/>
      <c r="F22" s="103"/>
      <c r="G22" s="103"/>
    </row>
    <row r="23" spans="1:7" ht="16" customHeight="1" x14ac:dyDescent="0.2">
      <c r="A23" t="s">
        <v>265</v>
      </c>
      <c r="B23" s="70" t="s">
        <v>283</v>
      </c>
      <c r="C23" s="104"/>
      <c r="D23" s="103"/>
      <c r="E23" s="103"/>
      <c r="F23" s="103"/>
      <c r="G23" s="103"/>
    </row>
    <row r="24" spans="1:7" ht="16" customHeight="1" x14ac:dyDescent="0.2">
      <c r="A24" t="s">
        <v>266</v>
      </c>
      <c r="B24" s="70" t="s">
        <v>284</v>
      </c>
      <c r="C24" s="104"/>
      <c r="D24" s="103"/>
      <c r="E24" s="103"/>
      <c r="F24" s="103"/>
      <c r="G24" s="103"/>
    </row>
    <row r="25" spans="1:7" ht="16" customHeight="1" x14ac:dyDescent="0.2">
      <c r="A25" t="s">
        <v>267</v>
      </c>
      <c r="B25" s="70" t="s">
        <v>285</v>
      </c>
      <c r="C25" s="104"/>
      <c r="D25" s="103"/>
      <c r="E25" s="103"/>
      <c r="F25" s="103"/>
      <c r="G25" s="103"/>
    </row>
    <row r="26" spans="1:7" ht="16" customHeight="1" x14ac:dyDescent="0.2">
      <c r="A26" t="s">
        <v>268</v>
      </c>
      <c r="B26" s="70" t="s">
        <v>286</v>
      </c>
      <c r="C26" s="104"/>
      <c r="D26" s="103"/>
      <c r="E26" s="103"/>
      <c r="F26" s="103"/>
      <c r="G26" s="103"/>
    </row>
    <row r="27" spans="1:7" ht="16" customHeight="1" x14ac:dyDescent="0.2">
      <c r="A27" t="s">
        <v>269</v>
      </c>
      <c r="B27" s="70" t="s">
        <v>287</v>
      </c>
      <c r="C27" s="104"/>
      <c r="D27" s="103"/>
      <c r="E27" s="103"/>
      <c r="F27" s="103"/>
      <c r="G27" s="103"/>
    </row>
    <row r="28" spans="1:7" ht="16" customHeight="1" x14ac:dyDescent="0.2">
      <c r="A28" t="s">
        <v>270</v>
      </c>
      <c r="B28" s="70" t="s">
        <v>288</v>
      </c>
      <c r="C28" s="104"/>
      <c r="D28" s="103"/>
      <c r="E28" s="103"/>
      <c r="F28" s="103"/>
      <c r="G28" s="103"/>
    </row>
    <row r="29" spans="1:7" ht="16" customHeight="1" x14ac:dyDescent="0.2">
      <c r="A29" t="s">
        <v>271</v>
      </c>
      <c r="B29" s="70" t="s">
        <v>289</v>
      </c>
      <c r="C29" s="104"/>
      <c r="D29" s="103"/>
      <c r="E29" s="103"/>
      <c r="F29" s="103"/>
      <c r="G29" s="103"/>
    </row>
    <row r="30" spans="1:7" ht="16" customHeight="1" x14ac:dyDescent="0.2">
      <c r="A30" t="s">
        <v>272</v>
      </c>
      <c r="B30" s="70" t="s">
        <v>290</v>
      </c>
      <c r="C30" s="104"/>
      <c r="D30" s="103"/>
      <c r="E30" s="103"/>
      <c r="F30" s="103"/>
      <c r="G30" s="103"/>
    </row>
    <row r="31" spans="1:7" ht="16" customHeight="1" x14ac:dyDescent="0.2">
      <c r="A31" t="s">
        <v>273</v>
      </c>
      <c r="B31" s="70" t="s">
        <v>291</v>
      </c>
      <c r="C31" s="104"/>
      <c r="D31" s="103"/>
      <c r="E31" s="103"/>
      <c r="F31" s="103"/>
      <c r="G31" s="103"/>
    </row>
    <row r="32" spans="1:7" ht="16" customHeight="1" x14ac:dyDescent="0.2">
      <c r="A32" t="s">
        <v>274</v>
      </c>
      <c r="B32" s="70" t="s">
        <v>292</v>
      </c>
      <c r="C32" s="104"/>
      <c r="D32" s="103"/>
      <c r="E32" s="103"/>
      <c r="F32" s="103"/>
      <c r="G32" s="103"/>
    </row>
    <row r="33" spans="1:7" ht="16" customHeight="1" x14ac:dyDescent="0.2">
      <c r="A33" t="s">
        <v>275</v>
      </c>
      <c r="B33" s="70" t="s">
        <v>293</v>
      </c>
      <c r="C33" s="104"/>
      <c r="D33" s="103"/>
      <c r="E33" s="103"/>
      <c r="F33" s="103"/>
      <c r="G33" s="103"/>
    </row>
    <row r="34" spans="1:7" ht="16" customHeight="1" x14ac:dyDescent="0.2">
      <c r="A34" t="s">
        <v>276</v>
      </c>
      <c r="B34" s="70" t="s">
        <v>294</v>
      </c>
      <c r="C34" s="104"/>
      <c r="D34" s="103"/>
      <c r="E34" s="103"/>
      <c r="F34" s="103"/>
      <c r="G34" s="103"/>
    </row>
    <row r="35" spans="1:7" ht="16" customHeight="1" x14ac:dyDescent="0.2">
      <c r="A35" t="s">
        <v>277</v>
      </c>
      <c r="B35" s="70" t="s">
        <v>295</v>
      </c>
      <c r="C35" s="104"/>
      <c r="D35" s="103"/>
      <c r="E35" s="103"/>
      <c r="F35" s="103"/>
      <c r="G35" s="103"/>
    </row>
    <row r="36" spans="1:7" ht="16" customHeight="1" x14ac:dyDescent="0.2">
      <c r="A36" t="s">
        <v>278</v>
      </c>
      <c r="B36" s="70" t="s">
        <v>296</v>
      </c>
      <c r="C36" s="104"/>
      <c r="D36" s="103"/>
      <c r="E36" s="103"/>
      <c r="F36" s="103"/>
      <c r="G36" s="103"/>
    </row>
    <row r="37" spans="1:7" ht="16" customHeight="1" x14ac:dyDescent="0.2">
      <c r="A37" t="s">
        <v>279</v>
      </c>
      <c r="B37" s="70" t="s">
        <v>297</v>
      </c>
      <c r="C37" s="104"/>
      <c r="D37" s="103"/>
      <c r="E37" s="103"/>
      <c r="F37" s="103"/>
      <c r="G37" s="103"/>
    </row>
    <row r="38" spans="1:7" ht="16" customHeight="1" x14ac:dyDescent="0.2">
      <c r="A38" t="s">
        <v>280</v>
      </c>
      <c r="B38" s="70" t="s">
        <v>298</v>
      </c>
      <c r="C38" s="104"/>
      <c r="D38" s="103"/>
      <c r="E38" s="103"/>
      <c r="F38" s="103"/>
      <c r="G38" s="103"/>
    </row>
    <row r="39" spans="1:7" ht="16" customHeight="1" x14ac:dyDescent="0.2">
      <c r="B39" s="70"/>
      <c r="C39" s="104"/>
      <c r="D39" s="103"/>
      <c r="E39" s="103"/>
      <c r="F39" s="103"/>
      <c r="G39" s="103"/>
    </row>
    <row r="40" spans="1:7" ht="16" customHeight="1" x14ac:dyDescent="0.2">
      <c r="A40" t="s">
        <v>299</v>
      </c>
      <c r="B40" s="70" t="s">
        <v>317</v>
      </c>
      <c r="C40" s="104"/>
      <c r="D40" s="103"/>
      <c r="E40" s="103"/>
      <c r="F40" s="103"/>
      <c r="G40" s="103"/>
    </row>
    <row r="41" spans="1:7" ht="16" customHeight="1" x14ac:dyDescent="0.2">
      <c r="A41" t="s">
        <v>300</v>
      </c>
      <c r="B41" s="70" t="s">
        <v>318</v>
      </c>
      <c r="C41" s="104"/>
      <c r="D41" s="103"/>
      <c r="E41" s="103"/>
      <c r="F41" s="103"/>
      <c r="G41" s="103"/>
    </row>
    <row r="42" spans="1:7" ht="16" customHeight="1" x14ac:dyDescent="0.2">
      <c r="A42" t="s">
        <v>301</v>
      </c>
      <c r="B42" s="70" t="s">
        <v>319</v>
      </c>
      <c r="C42" s="104"/>
      <c r="D42" s="103"/>
      <c r="E42" s="103"/>
      <c r="F42" s="103"/>
      <c r="G42" s="103"/>
    </row>
    <row r="43" spans="1:7" ht="16" customHeight="1" x14ac:dyDescent="0.2">
      <c r="A43" t="s">
        <v>302</v>
      </c>
      <c r="B43" s="70" t="s">
        <v>320</v>
      </c>
      <c r="C43" s="104"/>
      <c r="D43" s="103"/>
      <c r="E43" s="103"/>
      <c r="F43" s="103"/>
      <c r="G43" s="103"/>
    </row>
    <row r="44" spans="1:7" ht="16" customHeight="1" x14ac:dyDescent="0.2">
      <c r="A44" t="s">
        <v>303</v>
      </c>
      <c r="B44" s="70" t="s">
        <v>321</v>
      </c>
      <c r="C44" s="104"/>
      <c r="D44" s="103"/>
      <c r="E44" s="103"/>
      <c r="F44" s="103"/>
      <c r="G44" s="103"/>
    </row>
    <row r="45" spans="1:7" ht="16" customHeight="1" x14ac:dyDescent="0.2">
      <c r="A45" t="s">
        <v>304</v>
      </c>
      <c r="B45" s="70" t="s">
        <v>322</v>
      </c>
      <c r="C45" s="104"/>
      <c r="D45" s="103"/>
      <c r="E45" s="103"/>
      <c r="F45" s="103"/>
      <c r="G45" s="103"/>
    </row>
    <row r="46" spans="1:7" ht="16" customHeight="1" x14ac:dyDescent="0.2">
      <c r="A46" t="s">
        <v>305</v>
      </c>
      <c r="B46" s="70" t="s">
        <v>323</v>
      </c>
      <c r="C46" s="104"/>
      <c r="D46" s="103"/>
      <c r="E46" s="103"/>
      <c r="F46" s="103"/>
      <c r="G46" s="103"/>
    </row>
    <row r="47" spans="1:7" ht="16" customHeight="1" x14ac:dyDescent="0.2">
      <c r="A47" t="s">
        <v>306</v>
      </c>
      <c r="B47" s="70" t="s">
        <v>324</v>
      </c>
      <c r="C47" s="104"/>
      <c r="D47" s="103"/>
      <c r="E47" s="103"/>
      <c r="F47" s="103"/>
      <c r="G47" s="103"/>
    </row>
    <row r="48" spans="1:7" ht="16" customHeight="1" x14ac:dyDescent="0.2">
      <c r="A48" t="s">
        <v>307</v>
      </c>
      <c r="B48" s="70" t="s">
        <v>325</v>
      </c>
      <c r="C48" s="104"/>
      <c r="D48" s="103"/>
      <c r="E48" s="103"/>
      <c r="F48" s="103"/>
      <c r="G48" s="103"/>
    </row>
    <row r="49" spans="1:7" ht="16" customHeight="1" x14ac:dyDescent="0.2">
      <c r="A49" t="s">
        <v>308</v>
      </c>
      <c r="B49" s="70" t="s">
        <v>326</v>
      </c>
      <c r="C49" s="104"/>
      <c r="D49" s="103"/>
      <c r="E49" s="103"/>
      <c r="F49" s="103"/>
      <c r="G49" s="103"/>
    </row>
    <row r="50" spans="1:7" ht="16" customHeight="1" x14ac:dyDescent="0.2">
      <c r="A50" t="s">
        <v>309</v>
      </c>
      <c r="B50" s="70" t="s">
        <v>327</v>
      </c>
      <c r="C50" s="104"/>
      <c r="D50" s="103"/>
      <c r="E50" s="103"/>
      <c r="F50" s="103"/>
      <c r="G50" s="103"/>
    </row>
    <row r="51" spans="1:7" ht="16" customHeight="1" x14ac:dyDescent="0.2">
      <c r="A51" t="s">
        <v>310</v>
      </c>
      <c r="B51" s="70" t="s">
        <v>328</v>
      </c>
      <c r="C51" s="104"/>
      <c r="D51" s="103"/>
      <c r="E51" s="103"/>
      <c r="F51" s="103"/>
      <c r="G51" s="103"/>
    </row>
    <row r="52" spans="1:7" ht="16" customHeight="1" x14ac:dyDescent="0.2">
      <c r="A52" t="s">
        <v>311</v>
      </c>
      <c r="B52" s="70" t="s">
        <v>329</v>
      </c>
      <c r="C52" s="104"/>
      <c r="D52" s="103"/>
      <c r="E52" s="103"/>
      <c r="F52" s="103"/>
      <c r="G52" s="103"/>
    </row>
    <row r="53" spans="1:7" ht="16" customHeight="1" x14ac:dyDescent="0.2">
      <c r="A53" t="s">
        <v>312</v>
      </c>
      <c r="B53" s="70" t="s">
        <v>330</v>
      </c>
      <c r="C53" s="104"/>
      <c r="D53" s="103"/>
      <c r="E53" s="103"/>
      <c r="F53" s="103"/>
      <c r="G53" s="103"/>
    </row>
    <row r="54" spans="1:7" ht="16" customHeight="1" x14ac:dyDescent="0.2">
      <c r="A54" t="s">
        <v>313</v>
      </c>
      <c r="B54" s="70" t="s">
        <v>331</v>
      </c>
      <c r="C54" s="104"/>
      <c r="D54" s="103"/>
      <c r="E54" s="103"/>
      <c r="F54" s="103"/>
      <c r="G54" s="103"/>
    </row>
    <row r="55" spans="1:7" ht="16" customHeight="1" x14ac:dyDescent="0.2">
      <c r="A55" t="s">
        <v>314</v>
      </c>
      <c r="B55" s="70" t="s">
        <v>332</v>
      </c>
      <c r="C55" s="104"/>
      <c r="D55" s="103"/>
      <c r="E55" s="103"/>
      <c r="F55" s="103"/>
      <c r="G55" s="103"/>
    </row>
    <row r="56" spans="1:7" ht="16" customHeight="1" x14ac:dyDescent="0.2">
      <c r="A56" t="s">
        <v>315</v>
      </c>
      <c r="B56" s="70" t="s">
        <v>333</v>
      </c>
      <c r="C56" s="104"/>
      <c r="D56" s="103"/>
      <c r="E56" s="103"/>
      <c r="F56" s="103"/>
      <c r="G56" s="103"/>
    </row>
    <row r="57" spans="1:7" ht="16" customHeight="1" x14ac:dyDescent="0.2">
      <c r="A57" t="s">
        <v>316</v>
      </c>
      <c r="B57" s="70" t="s">
        <v>334</v>
      </c>
      <c r="C57" s="104"/>
      <c r="D57" s="103"/>
      <c r="E57" s="103"/>
      <c r="F57" s="103"/>
      <c r="G57" s="103"/>
    </row>
    <row r="58" spans="1:7" ht="16" customHeight="1" x14ac:dyDescent="0.2">
      <c r="B58" s="70"/>
      <c r="C58" s="104"/>
      <c r="D58" s="103"/>
      <c r="E58" s="103"/>
      <c r="F58" s="103"/>
      <c r="G58" s="103"/>
    </row>
    <row r="59" spans="1:7" ht="16" customHeight="1" x14ac:dyDescent="0.2">
      <c r="A59" t="s">
        <v>336</v>
      </c>
      <c r="B59" s="70" t="s">
        <v>335</v>
      </c>
      <c r="C59" s="104"/>
      <c r="D59" s="103"/>
      <c r="E59" s="103"/>
      <c r="F59" s="103"/>
      <c r="G59" s="103"/>
    </row>
    <row r="60" spans="1:7" ht="16" customHeight="1" x14ac:dyDescent="0.2">
      <c r="A60" t="s">
        <v>337</v>
      </c>
      <c r="B60" s="70" t="s">
        <v>342</v>
      </c>
      <c r="C60" s="104"/>
      <c r="D60" s="103"/>
      <c r="E60" s="103"/>
      <c r="F60" s="103"/>
      <c r="G60" s="103"/>
    </row>
    <row r="61" spans="1:7" ht="16" customHeight="1" x14ac:dyDescent="0.2">
      <c r="A61" t="s">
        <v>338</v>
      </c>
      <c r="B61" s="70" t="s">
        <v>343</v>
      </c>
      <c r="C61" s="104"/>
      <c r="D61" s="103"/>
      <c r="E61" s="103"/>
      <c r="F61" s="103"/>
      <c r="G61" s="103"/>
    </row>
    <row r="62" spans="1:7" ht="16" customHeight="1" x14ac:dyDescent="0.2">
      <c r="A62" t="s">
        <v>339</v>
      </c>
      <c r="B62" s="70" t="s">
        <v>344</v>
      </c>
      <c r="C62" s="104"/>
      <c r="D62" s="103"/>
      <c r="E62" s="103"/>
      <c r="F62" s="103"/>
      <c r="G62" s="103"/>
    </row>
    <row r="63" spans="1:7" ht="16" customHeight="1" x14ac:dyDescent="0.2">
      <c r="A63" t="s">
        <v>340</v>
      </c>
      <c r="B63" s="70" t="s">
        <v>345</v>
      </c>
      <c r="C63" s="104"/>
      <c r="D63" s="103"/>
      <c r="E63" s="103"/>
      <c r="F63" s="103"/>
      <c r="G63" s="103"/>
    </row>
    <row r="64" spans="1:7" ht="16" customHeight="1" x14ac:dyDescent="0.2">
      <c r="A64" t="s">
        <v>341</v>
      </c>
      <c r="B64" s="70" t="s">
        <v>346</v>
      </c>
      <c r="C64" s="104"/>
      <c r="D64" s="103"/>
      <c r="E64" s="103"/>
      <c r="F64" s="103"/>
      <c r="G64" s="103"/>
    </row>
    <row r="65" spans="1:7" ht="16" customHeight="1" x14ac:dyDescent="0.2">
      <c r="A65" t="s">
        <v>359</v>
      </c>
      <c r="B65" s="70" t="s">
        <v>347</v>
      </c>
      <c r="C65" s="104"/>
      <c r="D65" s="103"/>
      <c r="E65" s="103"/>
      <c r="F65" s="103"/>
      <c r="G65" s="103"/>
    </row>
    <row r="66" spans="1:7" ht="16" customHeight="1" x14ac:dyDescent="0.2">
      <c r="A66" t="s">
        <v>360</v>
      </c>
      <c r="B66" s="70" t="s">
        <v>348</v>
      </c>
      <c r="C66" s="104"/>
      <c r="D66" s="103"/>
      <c r="E66" s="103"/>
      <c r="F66" s="103"/>
      <c r="G66" s="103"/>
    </row>
    <row r="67" spans="1:7" ht="16" customHeight="1" x14ac:dyDescent="0.2">
      <c r="A67" t="s">
        <v>361</v>
      </c>
      <c r="B67" s="70" t="s">
        <v>349</v>
      </c>
      <c r="C67" s="104"/>
      <c r="D67" s="103"/>
      <c r="E67" s="103"/>
      <c r="F67" s="103"/>
      <c r="G67" s="103"/>
    </row>
    <row r="68" spans="1:7" ht="16" customHeight="1" x14ac:dyDescent="0.2">
      <c r="A68" t="s">
        <v>362</v>
      </c>
      <c r="B68" s="70" t="s">
        <v>350</v>
      </c>
      <c r="C68" s="104"/>
      <c r="D68" s="103"/>
      <c r="E68" s="103"/>
      <c r="F68" s="103"/>
      <c r="G68" s="103"/>
    </row>
    <row r="69" spans="1:7" ht="16" customHeight="1" x14ac:dyDescent="0.2">
      <c r="A69" t="s">
        <v>363</v>
      </c>
      <c r="B69" s="70" t="s">
        <v>351</v>
      </c>
      <c r="C69" s="104"/>
      <c r="D69" s="103"/>
      <c r="E69" s="103"/>
      <c r="F69" s="103"/>
      <c r="G69" s="103"/>
    </row>
    <row r="70" spans="1:7" ht="16" customHeight="1" x14ac:dyDescent="0.2">
      <c r="A70" t="s">
        <v>364</v>
      </c>
      <c r="B70" s="70" t="s">
        <v>352</v>
      </c>
      <c r="C70" s="104"/>
      <c r="D70" s="103"/>
      <c r="E70" s="103"/>
      <c r="F70" s="103"/>
      <c r="G70" s="103"/>
    </row>
    <row r="71" spans="1:7" ht="16" customHeight="1" x14ac:dyDescent="0.2">
      <c r="A71" t="s">
        <v>365</v>
      </c>
      <c r="B71" s="70" t="s">
        <v>353</v>
      </c>
      <c r="C71" s="104"/>
      <c r="D71" s="103"/>
      <c r="E71" s="103"/>
      <c r="F71" s="103"/>
      <c r="G71" s="103"/>
    </row>
    <row r="72" spans="1:7" ht="16" customHeight="1" x14ac:dyDescent="0.2">
      <c r="A72" t="s">
        <v>366</v>
      </c>
      <c r="B72" s="70" t="s">
        <v>354</v>
      </c>
      <c r="C72" s="104"/>
      <c r="D72" s="103"/>
      <c r="E72" s="103"/>
      <c r="F72" s="103"/>
      <c r="G72" s="103"/>
    </row>
    <row r="73" spans="1:7" ht="16" customHeight="1" x14ac:dyDescent="0.2">
      <c r="A73" t="s">
        <v>367</v>
      </c>
      <c r="B73" s="70" t="s">
        <v>355</v>
      </c>
      <c r="C73" s="104"/>
      <c r="D73" s="103"/>
      <c r="E73" s="103"/>
      <c r="F73" s="103"/>
      <c r="G73" s="103"/>
    </row>
    <row r="74" spans="1:7" ht="16" customHeight="1" x14ac:dyDescent="0.2">
      <c r="A74" t="s">
        <v>368</v>
      </c>
      <c r="B74" s="70" t="s">
        <v>356</v>
      </c>
      <c r="C74" s="104"/>
      <c r="D74" s="103"/>
      <c r="E74" s="103"/>
      <c r="F74" s="103"/>
      <c r="G74" s="103"/>
    </row>
    <row r="75" spans="1:7" ht="16" customHeight="1" x14ac:dyDescent="0.2">
      <c r="A75" t="s">
        <v>369</v>
      </c>
      <c r="B75" s="70" t="s">
        <v>357</v>
      </c>
      <c r="C75" s="104"/>
      <c r="D75" s="103"/>
      <c r="E75" s="103"/>
      <c r="F75" s="103"/>
      <c r="G75" s="103"/>
    </row>
    <row r="76" spans="1:7" ht="16" customHeight="1" x14ac:dyDescent="0.2">
      <c r="A76" t="s">
        <v>370</v>
      </c>
      <c r="B76" s="70" t="s">
        <v>358</v>
      </c>
      <c r="C76" s="104"/>
      <c r="D76" s="103"/>
      <c r="E76" s="103"/>
      <c r="F76" s="103"/>
      <c r="G76" s="103"/>
    </row>
    <row r="77" spans="1:7" ht="16" customHeight="1" x14ac:dyDescent="0.2">
      <c r="B77" s="70"/>
      <c r="C77" s="104"/>
      <c r="D77" s="103"/>
      <c r="E77" s="103"/>
      <c r="F77" s="103"/>
      <c r="G77" s="103"/>
    </row>
    <row r="78" spans="1:7" s="6" customFormat="1" x14ac:dyDescent="0.2">
      <c r="A78" s="7" t="s">
        <v>44</v>
      </c>
    </row>
    <row r="79" spans="1:7" x14ac:dyDescent="0.2">
      <c r="A79" t="s">
        <v>73</v>
      </c>
      <c r="B79" s="255" t="s">
        <v>373</v>
      </c>
      <c r="C79" s="255"/>
      <c r="D79" s="255"/>
      <c r="E79" s="255"/>
      <c r="F79" t="s">
        <v>374</v>
      </c>
      <c r="G79" s="255"/>
    </row>
    <row r="80" spans="1:7" x14ac:dyDescent="0.2">
      <c r="B80" s="103"/>
      <c r="C80" s="103"/>
      <c r="D80" s="103"/>
      <c r="E80" s="103"/>
      <c r="F80" s="103"/>
      <c r="G80" s="103"/>
    </row>
    <row r="81" spans="1:7" ht="16" customHeight="1" x14ac:dyDescent="0.2">
      <c r="A81" s="12" t="s">
        <v>74</v>
      </c>
      <c r="B81" s="256">
        <f>B101-(B102+B103)</f>
        <v>3</v>
      </c>
      <c r="C81" s="103"/>
      <c r="D81" s="103"/>
      <c r="E81" s="103"/>
      <c r="F81" s="103"/>
      <c r="G81" s="103"/>
    </row>
    <row r="82" spans="1:7" ht="16" customHeight="1" x14ac:dyDescent="0.2">
      <c r="A82" s="12" t="s">
        <v>75</v>
      </c>
      <c r="B82" s="256">
        <f>B101-(B109+B103)</f>
        <v>1.5</v>
      </c>
      <c r="C82" s="103"/>
      <c r="D82" s="103"/>
      <c r="E82" s="103"/>
      <c r="F82" s="103"/>
      <c r="G82" s="103"/>
    </row>
    <row r="83" spans="1:7" ht="16" customHeight="1" x14ac:dyDescent="0.2">
      <c r="A83" s="12" t="s">
        <v>371</v>
      </c>
      <c r="B83" s="256">
        <f>B101-L109</f>
        <v>9.3111049999999995</v>
      </c>
      <c r="C83" s="103"/>
      <c r="D83" s="103"/>
      <c r="E83" s="103"/>
      <c r="F83" s="103"/>
      <c r="G83" s="103"/>
    </row>
    <row r="84" spans="1:7" ht="16" customHeight="1" x14ac:dyDescent="0.2">
      <c r="E84" s="103"/>
      <c r="F84" s="103"/>
      <c r="G84" s="103"/>
    </row>
    <row r="85" spans="1:7" x14ac:dyDescent="0.2">
      <c r="C85" s="103"/>
      <c r="D85" s="103"/>
    </row>
    <row r="86" spans="1:7" s="6" customFormat="1" x14ac:dyDescent="0.2">
      <c r="A86" s="6" t="s">
        <v>45</v>
      </c>
    </row>
    <row r="87" spans="1:7" x14ac:dyDescent="0.2">
      <c r="A87" t="s">
        <v>377</v>
      </c>
      <c r="B87" t="s">
        <v>376</v>
      </c>
      <c r="F87" t="s">
        <v>374</v>
      </c>
    </row>
    <row r="88" spans="1:7" x14ac:dyDescent="0.2">
      <c r="B88" t="s">
        <v>381</v>
      </c>
    </row>
    <row r="89" spans="1:7" x14ac:dyDescent="0.2">
      <c r="A89" t="s">
        <v>380</v>
      </c>
      <c r="B89" t="s">
        <v>378</v>
      </c>
      <c r="F89" t="s">
        <v>374</v>
      </c>
    </row>
    <row r="90" spans="1:7" x14ac:dyDescent="0.2">
      <c r="B90" t="s">
        <v>382</v>
      </c>
    </row>
    <row r="91" spans="1:7" x14ac:dyDescent="0.2">
      <c r="A91" t="s">
        <v>379</v>
      </c>
      <c r="B91" t="s">
        <v>383</v>
      </c>
      <c r="F91" t="s">
        <v>374</v>
      </c>
    </row>
    <row r="92" spans="1:7" x14ac:dyDescent="0.2">
      <c r="B92" t="s">
        <v>384</v>
      </c>
    </row>
    <row r="93" spans="1:7" x14ac:dyDescent="0.2">
      <c r="A93" t="s">
        <v>392</v>
      </c>
      <c r="B93" t="s">
        <v>393</v>
      </c>
      <c r="F93" t="s">
        <v>374</v>
      </c>
    </row>
    <row r="94" spans="1:7" x14ac:dyDescent="0.2">
      <c r="B94" t="s">
        <v>394</v>
      </c>
    </row>
    <row r="95" spans="1:7" x14ac:dyDescent="0.2">
      <c r="A95" t="s">
        <v>391</v>
      </c>
      <c r="B95" t="s">
        <v>389</v>
      </c>
      <c r="F95" t="s">
        <v>374</v>
      </c>
    </row>
    <row r="96" spans="1:7" x14ac:dyDescent="0.2">
      <c r="B96" t="s">
        <v>390</v>
      </c>
    </row>
    <row r="97" spans="1:13" x14ac:dyDescent="0.2">
      <c r="A97" s="257" t="s">
        <v>387</v>
      </c>
      <c r="B97" s="258">
        <v>40000</v>
      </c>
      <c r="C97" s="257" t="s">
        <v>63</v>
      </c>
      <c r="F97" t="s">
        <v>375</v>
      </c>
    </row>
    <row r="98" spans="1:13" x14ac:dyDescent="0.2">
      <c r="A98" s="257" t="s">
        <v>388</v>
      </c>
      <c r="B98" s="258">
        <v>20000</v>
      </c>
      <c r="C98" s="257" t="s">
        <v>63</v>
      </c>
      <c r="F98" t="s">
        <v>375</v>
      </c>
    </row>
    <row r="100" spans="1:13" s="6" customFormat="1" x14ac:dyDescent="0.2">
      <c r="A100" s="6" t="s">
        <v>47</v>
      </c>
    </row>
    <row r="101" spans="1:13" x14ac:dyDescent="0.2">
      <c r="A101" t="s">
        <v>72</v>
      </c>
      <c r="B101" s="9">
        <v>22</v>
      </c>
      <c r="C101" t="s">
        <v>42</v>
      </c>
    </row>
    <row r="102" spans="1:13" x14ac:dyDescent="0.2">
      <c r="A102" t="s">
        <v>70</v>
      </c>
      <c r="B102" s="9">
        <v>15</v>
      </c>
      <c r="C102" t="s">
        <v>42</v>
      </c>
    </row>
    <row r="103" spans="1:13" ht="17" thickBot="1" x14ac:dyDescent="0.25">
      <c r="A103" t="s">
        <v>71</v>
      </c>
      <c r="B103" s="9">
        <v>4</v>
      </c>
      <c r="C103" t="s">
        <v>42</v>
      </c>
    </row>
    <row r="104" spans="1:13" ht="17" thickBot="1" x14ac:dyDescent="0.25">
      <c r="A104" t="s">
        <v>48</v>
      </c>
      <c r="B104" s="9">
        <v>2</v>
      </c>
      <c r="C104" t="s">
        <v>42</v>
      </c>
      <c r="G104" s="38" t="s">
        <v>372</v>
      </c>
      <c r="H104" s="39"/>
      <c r="I104" s="39"/>
      <c r="J104" s="39"/>
      <c r="K104" s="39"/>
      <c r="L104" s="39"/>
      <c r="M104" s="40"/>
    </row>
    <row r="105" spans="1:13" x14ac:dyDescent="0.2">
      <c r="A105" t="s">
        <v>49</v>
      </c>
      <c r="B105" s="9">
        <v>21</v>
      </c>
      <c r="C105" t="s">
        <v>42</v>
      </c>
      <c r="G105" s="171" t="s">
        <v>199</v>
      </c>
      <c r="H105" s="172"/>
      <c r="I105" s="172"/>
      <c r="J105" s="172"/>
      <c r="K105" s="59" t="s">
        <v>52</v>
      </c>
      <c r="L105" s="253">
        <f>93.45*163/2000</f>
        <v>7.6161750000000001</v>
      </c>
      <c r="M105" s="60" t="s">
        <v>195</v>
      </c>
    </row>
    <row r="106" spans="1:13" x14ac:dyDescent="0.2">
      <c r="A106" t="s">
        <v>52</v>
      </c>
      <c r="B106" s="9">
        <v>163</v>
      </c>
      <c r="C106" t="s">
        <v>50</v>
      </c>
      <c r="G106" s="171" t="s">
        <v>200</v>
      </c>
      <c r="H106" s="172"/>
      <c r="I106" s="172"/>
      <c r="J106" s="172"/>
      <c r="K106" s="59" t="s">
        <v>194</v>
      </c>
      <c r="L106" s="253">
        <f>54.87*112/2000</f>
        <v>3.0727199999999999</v>
      </c>
      <c r="M106" s="60" t="s">
        <v>195</v>
      </c>
    </row>
    <row r="107" spans="1:13" x14ac:dyDescent="0.2">
      <c r="A107" t="s">
        <v>39</v>
      </c>
      <c r="B107" s="9">
        <v>112</v>
      </c>
      <c r="C107" t="s">
        <v>41</v>
      </c>
      <c r="G107" s="171" t="s">
        <v>193</v>
      </c>
      <c r="H107" s="172"/>
      <c r="I107" s="172"/>
      <c r="J107" s="172"/>
      <c r="K107" s="59" t="s">
        <v>196</v>
      </c>
      <c r="L107" s="253">
        <f>SUM(L105:L106)</f>
        <v>10.688895</v>
      </c>
      <c r="M107" s="60" t="s">
        <v>195</v>
      </c>
    </row>
    <row r="108" spans="1:13" x14ac:dyDescent="0.2">
      <c r="A108" t="s">
        <v>54</v>
      </c>
      <c r="B108" s="9">
        <v>2500</v>
      </c>
      <c r="C108" t="s">
        <v>55</v>
      </c>
      <c r="G108" s="171"/>
      <c r="H108" s="172"/>
      <c r="I108" s="172"/>
      <c r="J108" s="172"/>
      <c r="K108" s="59" t="s">
        <v>197</v>
      </c>
      <c r="L108" s="253">
        <f>B104</f>
        <v>2</v>
      </c>
      <c r="M108" s="60" t="s">
        <v>195</v>
      </c>
    </row>
    <row r="109" spans="1:13" ht="17" thickBot="1" x14ac:dyDescent="0.25">
      <c r="A109" t="s">
        <v>68</v>
      </c>
      <c r="B109" s="8">
        <v>16.5</v>
      </c>
      <c r="C109" t="s">
        <v>42</v>
      </c>
      <c r="D109" t="s">
        <v>69</v>
      </c>
      <c r="G109" s="173"/>
      <c r="H109" s="174"/>
      <c r="I109" s="174"/>
      <c r="J109" s="174"/>
      <c r="K109" s="175" t="s">
        <v>198</v>
      </c>
      <c r="L109" s="254">
        <f>SUM(L107:L108)</f>
        <v>12.688895</v>
      </c>
      <c r="M109" s="176" t="s">
        <v>195</v>
      </c>
    </row>
    <row r="110" spans="1:13" x14ac:dyDescent="0.2">
      <c r="B110" s="9"/>
    </row>
    <row r="111" spans="1:13" x14ac:dyDescent="0.2">
      <c r="A111" s="261" t="s">
        <v>67</v>
      </c>
      <c r="B111" s="261"/>
      <c r="C111" s="261"/>
      <c r="D111" s="261"/>
      <c r="E111" s="261"/>
      <c r="F111" s="261"/>
      <c r="G111" s="261"/>
    </row>
    <row r="112" spans="1:13" x14ac:dyDescent="0.2">
      <c r="A112" s="13"/>
      <c r="B112" s="14"/>
      <c r="C112" s="13"/>
      <c r="D112" s="13"/>
      <c r="E112" s="13"/>
      <c r="F112" s="13"/>
      <c r="G112" s="13"/>
    </row>
    <row r="113" spans="1:7" x14ac:dyDescent="0.2">
      <c r="A113" s="13" t="s">
        <v>66</v>
      </c>
      <c r="B113" s="14"/>
      <c r="C113" s="13"/>
      <c r="D113" s="13"/>
      <c r="E113" s="13"/>
      <c r="F113" s="13"/>
      <c r="G113" s="13"/>
    </row>
    <row r="114" spans="1:7" x14ac:dyDescent="0.2">
      <c r="A114" s="13"/>
      <c r="B114" s="14"/>
      <c r="C114" s="13"/>
      <c r="D114" s="13"/>
      <c r="E114" s="13"/>
      <c r="F114" s="13"/>
      <c r="G114" s="13"/>
    </row>
    <row r="115" spans="1:7" x14ac:dyDescent="0.2">
      <c r="A115" s="268" t="s">
        <v>56</v>
      </c>
      <c r="B115" s="268"/>
      <c r="C115" s="268"/>
      <c r="D115" s="268"/>
      <c r="E115" s="268"/>
      <c r="F115" s="268"/>
      <c r="G115" s="268"/>
    </row>
    <row r="116" spans="1:7" x14ac:dyDescent="0.2">
      <c r="A116" s="268"/>
      <c r="B116" s="268"/>
      <c r="C116" s="268"/>
      <c r="D116" s="268"/>
      <c r="E116" s="268"/>
      <c r="F116" s="268"/>
      <c r="G116" s="268"/>
    </row>
    <row r="117" spans="1:7" x14ac:dyDescent="0.2">
      <c r="A117" s="268"/>
      <c r="B117" s="268"/>
      <c r="C117" s="268"/>
      <c r="D117" s="268"/>
      <c r="E117" s="268"/>
      <c r="F117" s="268"/>
      <c r="G117" s="268"/>
    </row>
    <row r="118" spans="1:7" x14ac:dyDescent="0.2">
      <c r="A118" s="268"/>
      <c r="B118" s="268"/>
      <c r="C118" s="268"/>
      <c r="D118" s="268"/>
      <c r="E118" s="268"/>
      <c r="F118" s="268"/>
      <c r="G118" s="268"/>
    </row>
    <row r="120" spans="1:7" s="6" customFormat="1" x14ac:dyDescent="0.2">
      <c r="A120" s="7" t="s">
        <v>60</v>
      </c>
    </row>
    <row r="121" spans="1:7" x14ac:dyDescent="0.2">
      <c r="A121" s="269" t="s">
        <v>57</v>
      </c>
      <c r="B121" s="261"/>
      <c r="C121" s="261"/>
    </row>
    <row r="122" spans="1:7" ht="16" customHeight="1" x14ac:dyDescent="0.2">
      <c r="A122" s="270" t="s">
        <v>58</v>
      </c>
      <c r="B122" s="270"/>
      <c r="C122" s="270"/>
    </row>
    <row r="123" spans="1:7" ht="16" customHeight="1" x14ac:dyDescent="0.2">
      <c r="A123" s="270" t="s">
        <v>59</v>
      </c>
      <c r="B123" s="270"/>
      <c r="C123" s="270"/>
    </row>
    <row r="125" spans="1:7" s="6" customFormat="1" x14ac:dyDescent="0.2">
      <c r="A125" s="6" t="s">
        <v>61</v>
      </c>
    </row>
    <row r="126" spans="1:7" x14ac:dyDescent="0.2">
      <c r="A126" t="s">
        <v>62</v>
      </c>
      <c r="B126">
        <v>12110</v>
      </c>
      <c r="C126" t="s">
        <v>63</v>
      </c>
    </row>
    <row r="127" spans="1:7" x14ac:dyDescent="0.2">
      <c r="A127" t="s">
        <v>51</v>
      </c>
      <c r="B127">
        <v>1200</v>
      </c>
      <c r="C127" t="s">
        <v>53</v>
      </c>
    </row>
    <row r="128" spans="1:7" x14ac:dyDescent="0.2">
      <c r="A128" s="11" t="s">
        <v>64</v>
      </c>
      <c r="B128" s="12">
        <v>3</v>
      </c>
      <c r="C128" s="12" t="s">
        <v>65</v>
      </c>
    </row>
    <row r="129" spans="1:3" x14ac:dyDescent="0.2">
      <c r="A129" t="s">
        <v>46</v>
      </c>
      <c r="B129">
        <v>520</v>
      </c>
      <c r="C129" t="s">
        <v>53</v>
      </c>
    </row>
    <row r="130" spans="1:3" x14ac:dyDescent="0.2">
      <c r="A130" s="11" t="s">
        <v>64</v>
      </c>
      <c r="B130" s="12">
        <v>6</v>
      </c>
      <c r="C130" s="12" t="s">
        <v>65</v>
      </c>
    </row>
    <row r="132" spans="1:3" s="6" customFormat="1" x14ac:dyDescent="0.2">
      <c r="A132" s="7" t="s">
        <v>208</v>
      </c>
    </row>
    <row r="133" spans="1:3" x14ac:dyDescent="0.2">
      <c r="A133" t="s">
        <v>211</v>
      </c>
    </row>
    <row r="134" spans="1:3" x14ac:dyDescent="0.2">
      <c r="A134" t="s">
        <v>212</v>
      </c>
    </row>
    <row r="135" spans="1:3" x14ac:dyDescent="0.2">
      <c r="A135" t="s">
        <v>213</v>
      </c>
    </row>
    <row r="136" spans="1:3" x14ac:dyDescent="0.2">
      <c r="A136" t="s">
        <v>214</v>
      </c>
    </row>
    <row r="137" spans="1:3" x14ac:dyDescent="0.2">
      <c r="A137" t="s">
        <v>215</v>
      </c>
    </row>
    <row r="138" spans="1:3" x14ac:dyDescent="0.2">
      <c r="A138" t="s">
        <v>385</v>
      </c>
    </row>
    <row r="139" spans="1:3" s="236" customFormat="1" x14ac:dyDescent="0.2">
      <c r="A139" s="236" t="s">
        <v>386</v>
      </c>
    </row>
  </sheetData>
  <mergeCells count="5">
    <mergeCell ref="A115:G118"/>
    <mergeCell ref="A121:C121"/>
    <mergeCell ref="A122:C122"/>
    <mergeCell ref="A123:C123"/>
    <mergeCell ref="A111:G111"/>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9DB3D-58B4-FC48-A996-D7500612DEFB}">
  <dimension ref="A1:X41"/>
  <sheetViews>
    <sheetView showGridLines="0" workbookViewId="0">
      <selection activeCell="P32" sqref="P32"/>
    </sheetView>
  </sheetViews>
  <sheetFormatPr baseColWidth="10" defaultRowHeight="16" x14ac:dyDescent="0.2"/>
  <cols>
    <col min="2" max="2" width="12.1640625" bestFit="1" customWidth="1"/>
    <col min="12" max="12" width="13.6640625" bestFit="1" customWidth="1"/>
  </cols>
  <sheetData>
    <row r="1" spans="1:14" x14ac:dyDescent="0.2">
      <c r="A1" t="s">
        <v>89</v>
      </c>
    </row>
    <row r="2" spans="1:14" ht="17" thickBot="1" x14ac:dyDescent="0.25"/>
    <row r="3" spans="1:14" x14ac:dyDescent="0.2">
      <c r="A3" s="18" t="s">
        <v>90</v>
      </c>
      <c r="B3" s="18"/>
    </row>
    <row r="4" spans="1:14" ht="17" thickBot="1" x14ac:dyDescent="0.25">
      <c r="A4" s="15" t="s">
        <v>91</v>
      </c>
      <c r="B4" s="15">
        <v>0.97314154884871817</v>
      </c>
    </row>
    <row r="5" spans="1:14" ht="17" thickBot="1" x14ac:dyDescent="0.25">
      <c r="A5" s="15" t="s">
        <v>92</v>
      </c>
      <c r="B5" s="15">
        <v>0.94700447409568222</v>
      </c>
      <c r="D5" s="38" t="s">
        <v>133</v>
      </c>
      <c r="E5" s="39"/>
      <c r="F5" s="39"/>
      <c r="G5" s="39"/>
      <c r="H5" s="39"/>
      <c r="I5" s="39"/>
      <c r="J5" s="39"/>
      <c r="K5" s="39"/>
      <c r="L5" s="39"/>
      <c r="M5" s="39"/>
      <c r="N5" s="40"/>
    </row>
    <row r="6" spans="1:14" x14ac:dyDescent="0.2">
      <c r="A6" s="19" t="s">
        <v>93</v>
      </c>
      <c r="B6" s="19">
        <v>0.91935463449342958</v>
      </c>
      <c r="D6" s="32" t="s">
        <v>113</v>
      </c>
      <c r="E6" s="33"/>
      <c r="F6" s="33"/>
      <c r="G6" s="33"/>
      <c r="H6" s="33"/>
      <c r="I6" s="33"/>
      <c r="J6" s="33"/>
      <c r="K6" s="33"/>
      <c r="L6" s="33"/>
      <c r="M6" s="33"/>
      <c r="N6" s="34"/>
    </row>
    <row r="7" spans="1:14" ht="17" thickBot="1" x14ac:dyDescent="0.25">
      <c r="A7" s="15" t="s">
        <v>94</v>
      </c>
      <c r="B7" s="15">
        <v>376108.65593787003</v>
      </c>
      <c r="D7" s="35" t="s">
        <v>119</v>
      </c>
      <c r="E7" s="36"/>
      <c r="F7" s="36"/>
      <c r="G7" s="36"/>
      <c r="H7" s="36"/>
      <c r="I7" s="36"/>
      <c r="J7" s="36"/>
      <c r="K7" s="36"/>
      <c r="L7" s="36"/>
      <c r="M7" s="36"/>
      <c r="N7" s="37"/>
    </row>
    <row r="8" spans="1:14" ht="17" thickBot="1" x14ac:dyDescent="0.25">
      <c r="A8" s="16" t="s">
        <v>95</v>
      </c>
      <c r="B8" s="16">
        <v>36</v>
      </c>
    </row>
    <row r="10" spans="1:14" ht="17" thickBot="1" x14ac:dyDescent="0.25">
      <c r="A10" t="s">
        <v>96</v>
      </c>
    </row>
    <row r="11" spans="1:14" x14ac:dyDescent="0.2">
      <c r="A11" s="17"/>
      <c r="B11" s="17" t="s">
        <v>101</v>
      </c>
      <c r="C11" s="17" t="s">
        <v>102</v>
      </c>
      <c r="D11" s="17" t="s">
        <v>103</v>
      </c>
      <c r="E11" s="17" t="s">
        <v>104</v>
      </c>
      <c r="F11" s="17" t="s">
        <v>105</v>
      </c>
    </row>
    <row r="12" spans="1:14" x14ac:dyDescent="0.2">
      <c r="A12" s="15" t="s">
        <v>97</v>
      </c>
      <c r="B12" s="15">
        <v>12</v>
      </c>
      <c r="C12" s="15">
        <v>58138967897262.758</v>
      </c>
      <c r="D12" s="15">
        <v>4844913991438.5635</v>
      </c>
      <c r="E12" s="15">
        <v>34.249908416051923</v>
      </c>
      <c r="F12" s="15">
        <v>8.6602599959298955E-12</v>
      </c>
    </row>
    <row r="13" spans="1:14" x14ac:dyDescent="0.2">
      <c r="A13" s="15" t="s">
        <v>98</v>
      </c>
      <c r="B13" s="15">
        <v>23</v>
      </c>
      <c r="C13" s="15">
        <v>3253527584641.9956</v>
      </c>
      <c r="D13" s="15">
        <v>141457721071.39111</v>
      </c>
      <c r="E13" s="15"/>
      <c r="F13" s="15"/>
    </row>
    <row r="14" spans="1:14" ht="17" thickBot="1" x14ac:dyDescent="0.25">
      <c r="A14" s="16" t="s">
        <v>99</v>
      </c>
      <c r="B14" s="16">
        <v>35</v>
      </c>
      <c r="C14" s="16">
        <v>61392495481904.75</v>
      </c>
      <c r="D14" s="16"/>
      <c r="E14" s="16"/>
      <c r="F14" s="16"/>
    </row>
    <row r="15" spans="1:14" ht="17" thickBot="1" x14ac:dyDescent="0.25"/>
    <row r="16" spans="1:14" ht="17" thickBot="1" x14ac:dyDescent="0.25">
      <c r="A16" s="17"/>
      <c r="B16" s="17" t="s">
        <v>106</v>
      </c>
      <c r="C16" s="17" t="s">
        <v>94</v>
      </c>
      <c r="D16" s="17" t="s">
        <v>107</v>
      </c>
      <c r="E16" s="17" t="s">
        <v>108</v>
      </c>
      <c r="F16" s="17" t="s">
        <v>109</v>
      </c>
      <c r="G16" s="17" t="s">
        <v>110</v>
      </c>
      <c r="H16" s="17" t="s">
        <v>111</v>
      </c>
      <c r="I16" s="17" t="s">
        <v>112</v>
      </c>
    </row>
    <row r="17" spans="1:24" ht="17" thickBot="1" x14ac:dyDescent="0.25">
      <c r="A17" s="15" t="s">
        <v>100</v>
      </c>
      <c r="B17" s="15">
        <v>-1891733711.333333</v>
      </c>
      <c r="C17" s="15">
        <v>154313597.17610434</v>
      </c>
      <c r="D17" s="15">
        <v>-12.259021537644969</v>
      </c>
      <c r="E17" s="15">
        <v>1.4415062140168688E-11</v>
      </c>
      <c r="F17" s="15">
        <v>-2210955708.5228205</v>
      </c>
      <c r="G17" s="15">
        <v>-1572511714.1438453</v>
      </c>
      <c r="H17" s="15">
        <v>-2210955708.5228205</v>
      </c>
      <c r="I17" s="15">
        <v>-1572511714.1438453</v>
      </c>
      <c r="K17" s="38" t="s">
        <v>134</v>
      </c>
      <c r="L17" s="41"/>
      <c r="M17" s="41"/>
      <c r="N17" s="41"/>
      <c r="O17" s="41"/>
      <c r="P17" s="41"/>
      <c r="Q17" s="41"/>
      <c r="R17" s="41"/>
      <c r="S17" s="41"/>
      <c r="T17" s="41"/>
      <c r="U17" s="41"/>
      <c r="V17" s="41"/>
      <c r="W17" s="41"/>
      <c r="X17" s="42"/>
    </row>
    <row r="18" spans="1:24" x14ac:dyDescent="0.2">
      <c r="A18" s="15" t="s">
        <v>13</v>
      </c>
      <c r="B18" s="15">
        <v>944692.83333333326</v>
      </c>
      <c r="C18" s="15">
        <v>76772.857907648344</v>
      </c>
      <c r="D18" s="15">
        <v>12.305036689785911</v>
      </c>
      <c r="E18" s="15">
        <v>1.3370519119936784E-11</v>
      </c>
      <c r="F18" s="15">
        <v>785876.07654905622</v>
      </c>
      <c r="G18" s="15">
        <v>1103509.5901176103</v>
      </c>
      <c r="H18" s="15">
        <v>785876.07654905622</v>
      </c>
      <c r="I18" s="15">
        <v>1103509.5901176103</v>
      </c>
      <c r="K18" s="29" t="s">
        <v>118</v>
      </c>
      <c r="L18" s="30" t="s">
        <v>117</v>
      </c>
      <c r="M18" s="31" t="s">
        <v>13</v>
      </c>
      <c r="N18" s="20">
        <v>1623485.8333333358</v>
      </c>
      <c r="O18" s="20">
        <v>2851718.5000000009</v>
      </c>
      <c r="P18" s="20">
        <v>2516479.166666666</v>
      </c>
      <c r="Q18" s="20">
        <v>2851061.833333334</v>
      </c>
      <c r="R18" s="20">
        <v>2252712.8333333326</v>
      </c>
      <c r="S18" s="20">
        <v>1903995.166666667</v>
      </c>
      <c r="T18" s="20">
        <v>4146967.833333334</v>
      </c>
      <c r="U18" s="20">
        <v>2198888.833333333</v>
      </c>
      <c r="V18" s="20">
        <v>3863855.5000000009</v>
      </c>
      <c r="W18" s="20">
        <v>1636020.0000000007</v>
      </c>
      <c r="X18" s="21">
        <v>-439069.0000000007</v>
      </c>
    </row>
    <row r="19" spans="1:24" x14ac:dyDescent="0.2">
      <c r="A19" s="15" t="s">
        <v>78</v>
      </c>
      <c r="B19" s="15">
        <v>1623485.8333333358</v>
      </c>
      <c r="C19" s="15">
        <v>316542.60233377013</v>
      </c>
      <c r="D19" s="15">
        <v>5.1288067431172921</v>
      </c>
      <c r="E19" s="15">
        <v>3.3909040116100359E-5</v>
      </c>
      <c r="F19" s="15">
        <v>968667.56999373157</v>
      </c>
      <c r="G19" s="15">
        <v>2278304.0966729401</v>
      </c>
      <c r="H19" s="15">
        <v>968667.56999373157</v>
      </c>
      <c r="I19" s="15">
        <v>2278304.0966729401</v>
      </c>
      <c r="K19" s="22" t="s">
        <v>78</v>
      </c>
      <c r="L19" s="23">
        <f>$B$17+M19*$B$18+SUMPRODUCT($N$18:$X$18,N19:X19)</f>
        <v>9667062.3333335742</v>
      </c>
      <c r="M19" s="24">
        <v>2011</v>
      </c>
      <c r="N19" s="24">
        <v>1</v>
      </c>
      <c r="O19" s="24">
        <v>0</v>
      </c>
      <c r="P19" s="24">
        <v>0</v>
      </c>
      <c r="Q19" s="24">
        <v>0</v>
      </c>
      <c r="R19" s="24">
        <v>0</v>
      </c>
      <c r="S19" s="24">
        <v>0</v>
      </c>
      <c r="T19" s="24">
        <v>0</v>
      </c>
      <c r="U19" s="24">
        <v>0</v>
      </c>
      <c r="V19" s="24">
        <v>0</v>
      </c>
      <c r="W19" s="24">
        <v>0</v>
      </c>
      <c r="X19" s="25">
        <v>0</v>
      </c>
    </row>
    <row r="20" spans="1:24" x14ac:dyDescent="0.2">
      <c r="A20" s="15" t="s">
        <v>18</v>
      </c>
      <c r="B20" s="15">
        <v>2851718.5000000009</v>
      </c>
      <c r="C20" s="15">
        <v>316542.60233377037</v>
      </c>
      <c r="D20" s="15">
        <v>9.0089563899935285</v>
      </c>
      <c r="E20" s="15">
        <v>5.27206909887378E-9</v>
      </c>
      <c r="F20" s="15">
        <v>2196900.2366603962</v>
      </c>
      <c r="G20" s="15">
        <v>3506536.7633396056</v>
      </c>
      <c r="H20" s="15">
        <v>2196900.2366603962</v>
      </c>
      <c r="I20" s="15">
        <v>3506536.7633396056</v>
      </c>
      <c r="K20" s="22" t="s">
        <v>18</v>
      </c>
      <c r="L20" s="23">
        <f t="shared" ref="L20:L23" si="0">$B$17+M20*$B$18+SUMPRODUCT($N$18:$X$18,N20:X20)</f>
        <v>10895295.000000238</v>
      </c>
      <c r="M20" s="24">
        <v>2011</v>
      </c>
      <c r="N20" s="24">
        <v>0</v>
      </c>
      <c r="O20" s="24">
        <v>1</v>
      </c>
      <c r="P20" s="24">
        <v>0</v>
      </c>
      <c r="Q20" s="24">
        <v>0</v>
      </c>
      <c r="R20" s="24">
        <v>0</v>
      </c>
      <c r="S20" s="24">
        <v>0</v>
      </c>
      <c r="T20" s="24">
        <v>0</v>
      </c>
      <c r="U20" s="24">
        <v>0</v>
      </c>
      <c r="V20" s="24">
        <v>0</v>
      </c>
      <c r="W20" s="24">
        <v>0</v>
      </c>
      <c r="X20" s="25">
        <v>0</v>
      </c>
    </row>
    <row r="21" spans="1:24" x14ac:dyDescent="0.2">
      <c r="A21" s="15" t="s">
        <v>79</v>
      </c>
      <c r="B21" s="15">
        <v>2516479.166666666</v>
      </c>
      <c r="C21" s="15">
        <v>316542.60233377025</v>
      </c>
      <c r="D21" s="15">
        <v>7.9498909407878973</v>
      </c>
      <c r="E21" s="15">
        <v>4.7766067431759101E-8</v>
      </c>
      <c r="F21" s="15">
        <v>1861660.9033270616</v>
      </c>
      <c r="G21" s="15">
        <v>3171297.4300062703</v>
      </c>
      <c r="H21" s="15">
        <v>1861660.9033270616</v>
      </c>
      <c r="I21" s="15">
        <v>3171297.4300062703</v>
      </c>
      <c r="K21" s="22" t="s">
        <v>79</v>
      </c>
      <c r="L21" s="23">
        <f t="shared" si="0"/>
        <v>10560055.666666904</v>
      </c>
      <c r="M21" s="24">
        <v>2011</v>
      </c>
      <c r="N21" s="24">
        <v>0</v>
      </c>
      <c r="O21" s="24">
        <v>0</v>
      </c>
      <c r="P21" s="24">
        <v>1</v>
      </c>
      <c r="Q21" s="24">
        <v>0</v>
      </c>
      <c r="R21" s="24">
        <v>0</v>
      </c>
      <c r="S21" s="24">
        <v>0</v>
      </c>
      <c r="T21" s="24">
        <v>0</v>
      </c>
      <c r="U21" s="24">
        <v>0</v>
      </c>
      <c r="V21" s="24">
        <v>0</v>
      </c>
      <c r="W21" s="24">
        <v>0</v>
      </c>
      <c r="X21" s="25">
        <v>0</v>
      </c>
    </row>
    <row r="22" spans="1:24" x14ac:dyDescent="0.2">
      <c r="A22" s="15" t="s">
        <v>80</v>
      </c>
      <c r="B22" s="15">
        <v>2851061.833333334</v>
      </c>
      <c r="C22" s="15">
        <v>316542.60233377025</v>
      </c>
      <c r="D22" s="15">
        <v>9.0068818930322205</v>
      </c>
      <c r="E22" s="15">
        <v>5.2941149453684499E-9</v>
      </c>
      <c r="F22" s="15">
        <v>2196243.5699937297</v>
      </c>
      <c r="G22" s="15">
        <v>3505880.0966729382</v>
      </c>
      <c r="H22" s="15">
        <v>2196243.5699937297</v>
      </c>
      <c r="I22" s="15">
        <v>3505880.0966729382</v>
      </c>
      <c r="K22" s="22" t="s">
        <v>80</v>
      </c>
      <c r="L22" s="23">
        <f t="shared" si="0"/>
        <v>10894638.333333572</v>
      </c>
      <c r="M22" s="24">
        <v>2011</v>
      </c>
      <c r="N22" s="24">
        <v>0</v>
      </c>
      <c r="O22" s="24">
        <v>0</v>
      </c>
      <c r="P22" s="24">
        <v>0</v>
      </c>
      <c r="Q22" s="24">
        <v>1</v>
      </c>
      <c r="R22" s="24">
        <v>0</v>
      </c>
      <c r="S22" s="24">
        <v>0</v>
      </c>
      <c r="T22" s="24">
        <v>0</v>
      </c>
      <c r="U22" s="24">
        <v>0</v>
      </c>
      <c r="V22" s="24">
        <v>0</v>
      </c>
      <c r="W22" s="24">
        <v>0</v>
      </c>
      <c r="X22" s="25">
        <v>0</v>
      </c>
    </row>
    <row r="23" spans="1:24" x14ac:dyDescent="0.2">
      <c r="A23" s="15" t="s">
        <v>81</v>
      </c>
      <c r="B23" s="15">
        <v>2252712.8333333326</v>
      </c>
      <c r="C23" s="15">
        <v>316542.60233377019</v>
      </c>
      <c r="D23" s="15">
        <v>7.1166181636366836</v>
      </c>
      <c r="E23" s="15">
        <v>3.0040769281834825E-7</v>
      </c>
      <c r="F23" s="15">
        <v>1597894.5699937283</v>
      </c>
      <c r="G23" s="15">
        <v>2907531.0966729368</v>
      </c>
      <c r="H23" s="15">
        <v>1597894.5699937283</v>
      </c>
      <c r="I23" s="15">
        <v>2907531.0966729368</v>
      </c>
      <c r="K23" s="22" t="s">
        <v>81</v>
      </c>
      <c r="L23" s="23">
        <f t="shared" si="0"/>
        <v>10296289.333333571</v>
      </c>
      <c r="M23" s="24">
        <v>2011</v>
      </c>
      <c r="N23" s="24">
        <v>0</v>
      </c>
      <c r="O23" s="24">
        <v>0</v>
      </c>
      <c r="P23" s="24">
        <v>0</v>
      </c>
      <c r="Q23" s="24">
        <v>0</v>
      </c>
      <c r="R23" s="24">
        <v>1</v>
      </c>
      <c r="S23" s="24">
        <v>0</v>
      </c>
      <c r="T23" s="24">
        <v>0</v>
      </c>
      <c r="U23" s="24">
        <v>0</v>
      </c>
      <c r="V23" s="24">
        <v>0</v>
      </c>
      <c r="W23" s="24">
        <v>0</v>
      </c>
      <c r="X23" s="25">
        <v>0</v>
      </c>
    </row>
    <row r="24" spans="1:24" ht="17" thickBot="1" x14ac:dyDescent="0.25">
      <c r="A24" s="15" t="s">
        <v>82</v>
      </c>
      <c r="B24" s="15">
        <v>1903995.166666667</v>
      </c>
      <c r="C24" s="15">
        <v>316542.60233377025</v>
      </c>
      <c r="D24" s="15">
        <v>6.0149728745170545</v>
      </c>
      <c r="E24" s="15">
        <v>3.913935283943882E-6</v>
      </c>
      <c r="F24" s="15">
        <v>1249176.9033270625</v>
      </c>
      <c r="G24" s="15">
        <v>2558813.4300062712</v>
      </c>
      <c r="H24" s="15">
        <v>1249176.9033270625</v>
      </c>
      <c r="I24" s="15">
        <v>2558813.4300062712</v>
      </c>
      <c r="K24" s="26" t="s">
        <v>82</v>
      </c>
      <c r="L24" s="48">
        <f>$B$17+M24*$B$18+SUMPRODUCT($N$18:$X$18,N24:X24)</f>
        <v>9947571.6666669063</v>
      </c>
      <c r="M24" s="27">
        <v>2011</v>
      </c>
      <c r="N24" s="27">
        <v>0</v>
      </c>
      <c r="O24" s="27">
        <v>0</v>
      </c>
      <c r="P24" s="27">
        <v>0</v>
      </c>
      <c r="Q24" s="27">
        <v>0</v>
      </c>
      <c r="R24" s="27">
        <v>0</v>
      </c>
      <c r="S24" s="27">
        <v>1</v>
      </c>
      <c r="T24" s="27">
        <v>0</v>
      </c>
      <c r="U24" s="27">
        <v>0</v>
      </c>
      <c r="V24" s="27">
        <v>0</v>
      </c>
      <c r="W24" s="27">
        <v>0</v>
      </c>
      <c r="X24" s="28">
        <v>0</v>
      </c>
    </row>
    <row r="25" spans="1:24" x14ac:dyDescent="0.2">
      <c r="A25" s="15" t="s">
        <v>83</v>
      </c>
      <c r="B25" s="15">
        <v>4146967.833333334</v>
      </c>
      <c r="C25" s="15">
        <v>316542.60233377025</v>
      </c>
      <c r="D25" s="15">
        <v>13.100820561779138</v>
      </c>
      <c r="E25" s="15">
        <v>3.7608333216119592E-12</v>
      </c>
      <c r="F25" s="15">
        <v>3492149.5699937297</v>
      </c>
      <c r="G25" s="15">
        <v>4801786.0966729382</v>
      </c>
      <c r="H25" s="15">
        <v>3492149.5699937297</v>
      </c>
      <c r="I25" s="15">
        <v>4801786.0966729382</v>
      </c>
      <c r="K25" s="136" t="s">
        <v>169</v>
      </c>
      <c r="L25" s="46">
        <f t="shared" ref="L25:L27" si="1">$B$17+M25*$B$18+SUMPRODUCT($N$18:$X$18,N25:X25)</f>
        <v>12190544.333333572</v>
      </c>
      <c r="M25" s="24">
        <v>2011</v>
      </c>
      <c r="N25" s="137">
        <v>0</v>
      </c>
      <c r="O25" s="137">
        <v>0</v>
      </c>
      <c r="P25" s="137">
        <v>0</v>
      </c>
      <c r="Q25" s="137">
        <v>0</v>
      </c>
      <c r="R25" s="137">
        <v>0</v>
      </c>
      <c r="S25" s="137">
        <v>0</v>
      </c>
      <c r="T25" s="137">
        <v>1</v>
      </c>
      <c r="U25" s="137">
        <v>0</v>
      </c>
      <c r="V25" s="137">
        <v>0</v>
      </c>
      <c r="W25" s="137">
        <v>0</v>
      </c>
      <c r="X25" s="138">
        <v>0</v>
      </c>
    </row>
    <row r="26" spans="1:24" x14ac:dyDescent="0.2">
      <c r="A26" s="15" t="s">
        <v>84</v>
      </c>
      <c r="B26" s="15">
        <v>2198888.833333333</v>
      </c>
      <c r="C26" s="15">
        <v>316542.60233377025</v>
      </c>
      <c r="D26" s="15">
        <v>6.9465810198109477</v>
      </c>
      <c r="E26" s="15">
        <v>4.4212159448775858E-7</v>
      </c>
      <c r="F26" s="15">
        <v>1544070.5699937285</v>
      </c>
      <c r="G26" s="15">
        <v>2853707.0966729373</v>
      </c>
      <c r="H26" s="15">
        <v>1544070.5699937285</v>
      </c>
      <c r="I26" s="15">
        <v>2853707.0966729373</v>
      </c>
      <c r="K26" s="136" t="s">
        <v>170</v>
      </c>
      <c r="L26" s="46">
        <f t="shared" si="1"/>
        <v>10242465.333333571</v>
      </c>
      <c r="M26" s="24">
        <v>2011</v>
      </c>
      <c r="N26" s="137">
        <v>0</v>
      </c>
      <c r="O26" s="137">
        <v>0</v>
      </c>
      <c r="P26" s="137">
        <v>0</v>
      </c>
      <c r="Q26" s="137">
        <v>0</v>
      </c>
      <c r="R26" s="137">
        <v>0</v>
      </c>
      <c r="S26" s="137">
        <v>0</v>
      </c>
      <c r="T26" s="137">
        <v>0</v>
      </c>
      <c r="U26" s="137">
        <v>1</v>
      </c>
      <c r="V26" s="137">
        <v>0</v>
      </c>
      <c r="W26" s="137">
        <v>0</v>
      </c>
      <c r="X26" s="138">
        <v>0</v>
      </c>
    </row>
    <row r="27" spans="1:24" x14ac:dyDescent="0.2">
      <c r="A27" s="15" t="s">
        <v>85</v>
      </c>
      <c r="B27" s="15">
        <v>3863855.5000000009</v>
      </c>
      <c r="C27" s="15">
        <v>316542.60233377019</v>
      </c>
      <c r="D27" s="15">
        <v>12.206431208668267</v>
      </c>
      <c r="E27" s="15">
        <v>1.5713214943687846E-11</v>
      </c>
      <c r="F27" s="15">
        <v>3209037.2366603967</v>
      </c>
      <c r="G27" s="15">
        <v>4518673.7633396052</v>
      </c>
      <c r="H27" s="15">
        <v>3209037.2366603967</v>
      </c>
      <c r="I27" s="15">
        <v>4518673.7633396052</v>
      </c>
      <c r="K27" s="139" t="s">
        <v>85</v>
      </c>
      <c r="L27" s="140">
        <f t="shared" si="1"/>
        <v>11907432.000000238</v>
      </c>
      <c r="M27" s="141">
        <v>2011</v>
      </c>
      <c r="N27" s="142">
        <v>0</v>
      </c>
      <c r="O27" s="142">
        <v>0</v>
      </c>
      <c r="P27" s="142">
        <v>0</v>
      </c>
      <c r="Q27" s="142">
        <v>0</v>
      </c>
      <c r="R27" s="142">
        <v>0</v>
      </c>
      <c r="S27" s="142">
        <v>0</v>
      </c>
      <c r="T27" s="142">
        <v>0</v>
      </c>
      <c r="U27" s="142">
        <v>0</v>
      </c>
      <c r="V27" s="142">
        <v>1</v>
      </c>
      <c r="W27" s="142">
        <v>0</v>
      </c>
      <c r="X27" s="143">
        <v>0</v>
      </c>
    </row>
    <row r="28" spans="1:24" x14ac:dyDescent="0.2">
      <c r="A28" s="15" t="s">
        <v>86</v>
      </c>
      <c r="B28" s="15">
        <v>1636020.0000000007</v>
      </c>
      <c r="C28" s="15">
        <v>307091.43163059343</v>
      </c>
      <c r="D28" s="15">
        <v>5.3274687324002015</v>
      </c>
      <c r="E28" s="15">
        <v>2.0779471640565323E-5</v>
      </c>
      <c r="F28" s="15">
        <v>1000752.9728628926</v>
      </c>
      <c r="G28" s="15">
        <v>2271287.0271371091</v>
      </c>
      <c r="H28" s="15">
        <v>1000752.9728628926</v>
      </c>
      <c r="I28" s="15">
        <v>2271287.0271371091</v>
      </c>
      <c r="K28" s="47"/>
      <c r="L28" s="46"/>
      <c r="M28" s="47"/>
      <c r="N28" s="47"/>
      <c r="O28" s="47"/>
      <c r="P28" s="47"/>
      <c r="Q28" s="47"/>
      <c r="R28" s="47"/>
      <c r="S28" s="47"/>
      <c r="T28" s="47"/>
      <c r="U28" s="47"/>
      <c r="V28" s="47"/>
      <c r="W28" s="47"/>
      <c r="X28" s="47"/>
    </row>
    <row r="29" spans="1:24" ht="17" thickBot="1" x14ac:dyDescent="0.25">
      <c r="A29" s="16" t="s">
        <v>87</v>
      </c>
      <c r="B29" s="16">
        <v>-439069.0000000007</v>
      </c>
      <c r="C29" s="16">
        <v>307091.43163059338</v>
      </c>
      <c r="D29" s="16">
        <v>-1.4297663652438399</v>
      </c>
      <c r="E29" s="16">
        <v>0.16622820324090876</v>
      </c>
      <c r="F29" s="16">
        <v>-1074336.0271371086</v>
      </c>
      <c r="G29" s="16">
        <v>196198.02713710733</v>
      </c>
      <c r="H29" s="16">
        <v>-1074336.0271371086</v>
      </c>
      <c r="I29" s="16">
        <v>196198.02713710733</v>
      </c>
      <c r="K29" s="47"/>
      <c r="L29" s="46"/>
      <c r="M29" s="47"/>
      <c r="N29" s="47"/>
      <c r="O29" s="47"/>
      <c r="P29" s="47"/>
      <c r="Q29" s="47"/>
      <c r="R29" s="47"/>
      <c r="S29" s="47"/>
      <c r="T29" s="47"/>
      <c r="U29" s="47"/>
      <c r="V29" s="47"/>
      <c r="W29" s="47"/>
      <c r="X29" s="47"/>
    </row>
    <row r="30" spans="1:24" x14ac:dyDescent="0.2">
      <c r="K30" s="47"/>
      <c r="L30" s="46"/>
      <c r="M30" s="47"/>
      <c r="N30" s="47"/>
      <c r="O30" s="47"/>
      <c r="P30" s="47"/>
      <c r="Q30" s="47"/>
      <c r="R30" s="47"/>
      <c r="S30" s="47"/>
      <c r="T30" s="47"/>
      <c r="U30" s="47"/>
      <c r="V30" s="47"/>
      <c r="W30" s="47"/>
      <c r="X30" s="47"/>
    </row>
    <row r="31" spans="1:24" ht="17" thickBot="1" x14ac:dyDescent="0.25"/>
    <row r="32" spans="1:24" ht="17" thickBot="1" x14ac:dyDescent="0.25">
      <c r="A32" s="38" t="s">
        <v>123</v>
      </c>
      <c r="B32" s="39"/>
      <c r="C32" s="39"/>
      <c r="D32" s="39"/>
      <c r="E32" s="39"/>
      <c r="F32" s="39"/>
      <c r="G32" s="39"/>
      <c r="H32" s="39"/>
      <c r="I32" s="39"/>
      <c r="J32" s="39"/>
      <c r="K32" s="39"/>
      <c r="L32" s="39"/>
      <c r="M32" s="39"/>
      <c r="N32" s="40"/>
    </row>
    <row r="33" spans="1:14" x14ac:dyDescent="0.2">
      <c r="A33" s="32" t="s">
        <v>114</v>
      </c>
      <c r="B33" s="33"/>
      <c r="C33" s="33"/>
      <c r="D33" s="33"/>
      <c r="E33" s="33"/>
      <c r="F33" s="33"/>
      <c r="G33" s="33"/>
      <c r="H33" s="33"/>
      <c r="I33" s="33"/>
      <c r="J33" s="33"/>
      <c r="K33" s="33"/>
      <c r="L33" s="33"/>
      <c r="M33" s="33"/>
      <c r="N33" s="34"/>
    </row>
    <row r="34" spans="1:14" x14ac:dyDescent="0.2">
      <c r="A34" s="43" t="s">
        <v>115</v>
      </c>
      <c r="B34" s="44"/>
      <c r="C34" s="44"/>
      <c r="D34" s="44"/>
      <c r="E34" s="44"/>
      <c r="F34" s="44"/>
      <c r="G34" s="44"/>
      <c r="H34" s="44"/>
      <c r="I34" s="44"/>
      <c r="J34" s="44"/>
      <c r="K34" s="44"/>
      <c r="L34" s="44"/>
      <c r="M34" s="44"/>
      <c r="N34" s="45"/>
    </row>
    <row r="35" spans="1:14" x14ac:dyDescent="0.2">
      <c r="A35" s="43" t="s">
        <v>120</v>
      </c>
      <c r="B35" s="44"/>
      <c r="C35" s="44"/>
      <c r="D35" s="44"/>
      <c r="E35" s="44"/>
      <c r="F35" s="44"/>
      <c r="G35" s="44"/>
      <c r="H35" s="44"/>
      <c r="I35" s="44"/>
      <c r="J35" s="44"/>
      <c r="K35" s="44"/>
      <c r="L35" s="44"/>
      <c r="M35" s="44"/>
      <c r="N35" s="45"/>
    </row>
    <row r="36" spans="1:14" x14ac:dyDescent="0.2">
      <c r="A36" s="43" t="s">
        <v>121</v>
      </c>
      <c r="B36" s="44"/>
      <c r="C36" s="44"/>
      <c r="D36" s="44"/>
      <c r="E36" s="44"/>
      <c r="F36" s="44"/>
      <c r="G36" s="44"/>
      <c r="H36" s="44"/>
      <c r="I36" s="44"/>
      <c r="J36" s="44"/>
      <c r="K36" s="44"/>
      <c r="L36" s="44"/>
      <c r="M36" s="44"/>
      <c r="N36" s="45"/>
    </row>
    <row r="37" spans="1:14" ht="17" thickBot="1" x14ac:dyDescent="0.25">
      <c r="A37" s="35" t="s">
        <v>122</v>
      </c>
      <c r="B37" s="36"/>
      <c r="C37" s="36"/>
      <c r="D37" s="36"/>
      <c r="E37" s="36"/>
      <c r="F37" s="36"/>
      <c r="G37" s="36"/>
      <c r="H37" s="36"/>
      <c r="I37" s="36"/>
      <c r="J37" s="36"/>
      <c r="K37" s="36"/>
      <c r="L37" s="36"/>
      <c r="M37" s="36"/>
      <c r="N37" s="37"/>
    </row>
    <row r="38" spans="1:14" x14ac:dyDescent="0.2">
      <c r="A38" s="32" t="s">
        <v>116</v>
      </c>
      <c r="B38" s="33"/>
      <c r="C38" s="33"/>
      <c r="D38" s="33"/>
      <c r="E38" s="33"/>
      <c r="F38" s="33"/>
      <c r="G38" s="33"/>
      <c r="H38" s="33"/>
      <c r="I38" s="33"/>
      <c r="J38" s="33"/>
      <c r="K38" s="33"/>
      <c r="L38" s="33"/>
      <c r="M38" s="33"/>
      <c r="N38" s="34"/>
    </row>
    <row r="39" spans="1:14" x14ac:dyDescent="0.2">
      <c r="A39" s="43" t="s">
        <v>126</v>
      </c>
      <c r="B39" s="44"/>
      <c r="C39" s="44"/>
      <c r="D39" s="44"/>
      <c r="E39" s="44"/>
      <c r="F39" s="44"/>
      <c r="G39" s="44"/>
      <c r="H39" s="44"/>
      <c r="I39" s="44"/>
      <c r="J39" s="44"/>
      <c r="K39" s="44"/>
      <c r="L39" s="44"/>
      <c r="M39" s="44"/>
      <c r="N39" s="45"/>
    </row>
    <row r="40" spans="1:14" x14ac:dyDescent="0.2">
      <c r="A40" s="43" t="s">
        <v>124</v>
      </c>
      <c r="B40" s="44"/>
      <c r="C40" s="44"/>
      <c r="D40" s="44"/>
      <c r="E40" s="44"/>
      <c r="F40" s="44"/>
      <c r="G40" s="44"/>
      <c r="H40" s="44"/>
      <c r="I40" s="44"/>
      <c r="J40" s="44"/>
      <c r="K40" s="44"/>
      <c r="L40" s="44"/>
      <c r="M40" s="44"/>
      <c r="N40" s="45"/>
    </row>
    <row r="41" spans="1:14" ht="17" thickBot="1" x14ac:dyDescent="0.25">
      <c r="A41" s="35" t="s">
        <v>125</v>
      </c>
      <c r="B41" s="36"/>
      <c r="C41" s="36"/>
      <c r="D41" s="36"/>
      <c r="E41" s="36"/>
      <c r="F41" s="36"/>
      <c r="G41" s="36"/>
      <c r="H41" s="36"/>
      <c r="I41" s="36"/>
      <c r="J41" s="36"/>
      <c r="K41" s="36"/>
      <c r="L41" s="36"/>
      <c r="M41" s="36"/>
      <c r="N41" s="37"/>
    </row>
  </sheetData>
  <conditionalFormatting sqref="B19:B2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121E5-5AE8-B848-9115-4393227A388A}">
  <dimension ref="A1:Y83"/>
  <sheetViews>
    <sheetView showGridLines="0" zoomScale="75" zoomScaleNormal="81" workbookViewId="0">
      <selection activeCell="E67" sqref="E67"/>
    </sheetView>
  </sheetViews>
  <sheetFormatPr baseColWidth="10" defaultRowHeight="16" x14ac:dyDescent="0.2"/>
  <cols>
    <col min="1" max="1" width="6.1640625" style="13" bestFit="1" customWidth="1"/>
    <col min="2" max="2" width="12.83203125" style="13" customWidth="1"/>
    <col min="3" max="3" width="15.5" style="13" bestFit="1" customWidth="1"/>
    <col min="4" max="4" width="11.5" style="13" bestFit="1" customWidth="1"/>
    <col min="5" max="5" width="10.83203125" style="13"/>
    <col min="6" max="6" width="3.83203125" style="13" bestFit="1" customWidth="1"/>
    <col min="7" max="7" width="4.33203125" style="13" bestFit="1" customWidth="1"/>
    <col min="8" max="8" width="3.83203125" style="13" bestFit="1" customWidth="1"/>
    <col min="9" max="9" width="3.33203125" style="13" bestFit="1" customWidth="1"/>
    <col min="10" max="10" width="4" style="13" bestFit="1" customWidth="1"/>
    <col min="11" max="12" width="3.83203125" style="13" bestFit="1" customWidth="1"/>
    <col min="13" max="13" width="4.1640625" style="13" bestFit="1" customWidth="1"/>
    <col min="14" max="14" width="4" style="13" bestFit="1" customWidth="1"/>
    <col min="15" max="15" width="3.6640625" style="13" bestFit="1" customWidth="1"/>
    <col min="16" max="16" width="3.83203125" style="13" bestFit="1" customWidth="1"/>
    <col min="17" max="16384" width="10.83203125" style="13"/>
  </cols>
  <sheetData>
    <row r="1" spans="1:23" ht="17" thickBot="1" x14ac:dyDescent="0.25">
      <c r="A1" s="75" t="s">
        <v>76</v>
      </c>
      <c r="B1" s="75" t="s">
        <v>77</v>
      </c>
      <c r="C1" s="75" t="s">
        <v>178</v>
      </c>
      <c r="D1" s="129" t="s">
        <v>12</v>
      </c>
      <c r="E1" s="129" t="s">
        <v>13</v>
      </c>
      <c r="F1" s="129" t="s">
        <v>78</v>
      </c>
      <c r="G1" s="129" t="s">
        <v>18</v>
      </c>
      <c r="H1" s="129" t="s">
        <v>79</v>
      </c>
      <c r="I1" s="129" t="s">
        <v>80</v>
      </c>
      <c r="J1" s="129" t="s">
        <v>81</v>
      </c>
      <c r="K1" s="129" t="s">
        <v>82</v>
      </c>
      <c r="L1" s="129" t="s">
        <v>83</v>
      </c>
      <c r="M1" s="129" t="s">
        <v>84</v>
      </c>
      <c r="N1" s="129" t="s">
        <v>85</v>
      </c>
      <c r="O1" s="129" t="s">
        <v>86</v>
      </c>
      <c r="P1" s="130" t="s">
        <v>87</v>
      </c>
    </row>
    <row r="2" spans="1:23" ht="17" thickBot="1" x14ac:dyDescent="0.25">
      <c r="A2" s="65">
        <v>1</v>
      </c>
      <c r="B2" s="65" t="str">
        <f>D2&amp;" "&amp;E2</f>
        <v>Apr 2008</v>
      </c>
      <c r="C2" s="76">
        <v>6436977</v>
      </c>
      <c r="D2" s="131" t="s">
        <v>78</v>
      </c>
      <c r="E2" s="131">
        <v>2008</v>
      </c>
      <c r="F2" s="131">
        <v>1</v>
      </c>
      <c r="G2" s="131">
        <v>0</v>
      </c>
      <c r="H2" s="131">
        <v>0</v>
      </c>
      <c r="I2" s="131">
        <v>0</v>
      </c>
      <c r="J2" s="131">
        <v>0</v>
      </c>
      <c r="K2" s="131">
        <v>0</v>
      </c>
      <c r="L2" s="131">
        <v>0</v>
      </c>
      <c r="M2" s="131">
        <v>0</v>
      </c>
      <c r="N2" s="131">
        <v>0</v>
      </c>
      <c r="O2" s="131">
        <v>0</v>
      </c>
      <c r="P2" s="132">
        <v>0</v>
      </c>
      <c r="R2" s="146" t="s">
        <v>166</v>
      </c>
      <c r="S2" s="39"/>
      <c r="T2" s="39"/>
      <c r="U2" s="39"/>
      <c r="V2" s="39"/>
      <c r="W2" s="40"/>
    </row>
    <row r="3" spans="1:23" x14ac:dyDescent="0.2">
      <c r="A3" s="65">
        <v>2</v>
      </c>
      <c r="B3" s="65" t="str">
        <f t="shared" ref="B3:B46" si="0">D3&amp;" "&amp;E3</f>
        <v>May 2008</v>
      </c>
      <c r="C3" s="76">
        <v>8038673</v>
      </c>
      <c r="D3" s="131" t="s">
        <v>18</v>
      </c>
      <c r="E3" s="131">
        <v>2008</v>
      </c>
      <c r="F3" s="131">
        <v>0</v>
      </c>
      <c r="G3" s="131">
        <v>1</v>
      </c>
      <c r="H3" s="131">
        <v>0</v>
      </c>
      <c r="I3" s="131">
        <v>0</v>
      </c>
      <c r="J3" s="131">
        <v>0</v>
      </c>
      <c r="K3" s="131">
        <v>0</v>
      </c>
      <c r="L3" s="131">
        <v>0</v>
      </c>
      <c r="M3" s="131">
        <v>0</v>
      </c>
      <c r="N3" s="131">
        <v>0</v>
      </c>
      <c r="O3" s="131">
        <v>0</v>
      </c>
      <c r="P3" s="132">
        <v>0</v>
      </c>
      <c r="R3" s="32" t="s">
        <v>127</v>
      </c>
      <c r="S3" s="33"/>
      <c r="T3" s="33"/>
      <c r="U3" s="33"/>
      <c r="V3" s="33"/>
      <c r="W3" s="34"/>
    </row>
    <row r="4" spans="1:23" x14ac:dyDescent="0.2">
      <c r="A4" s="65">
        <v>3</v>
      </c>
      <c r="B4" s="65" t="str">
        <f t="shared" si="0"/>
        <v>Jun 2008</v>
      </c>
      <c r="C4" s="76">
        <v>7699105</v>
      </c>
      <c r="D4" s="131" t="s">
        <v>79</v>
      </c>
      <c r="E4" s="131">
        <v>2008</v>
      </c>
      <c r="F4" s="131">
        <v>0</v>
      </c>
      <c r="G4" s="131">
        <v>0</v>
      </c>
      <c r="H4" s="131">
        <v>1</v>
      </c>
      <c r="I4" s="131">
        <v>0</v>
      </c>
      <c r="J4" s="131">
        <v>0</v>
      </c>
      <c r="K4" s="131">
        <v>0</v>
      </c>
      <c r="L4" s="131">
        <v>0</v>
      </c>
      <c r="M4" s="131">
        <v>0</v>
      </c>
      <c r="N4" s="131">
        <v>0</v>
      </c>
      <c r="O4" s="131">
        <v>0</v>
      </c>
      <c r="P4" s="132">
        <v>0</v>
      </c>
      <c r="R4" s="43" t="s">
        <v>128</v>
      </c>
      <c r="S4" s="44"/>
      <c r="T4" s="44"/>
      <c r="U4" s="44"/>
      <c r="V4" s="44"/>
      <c r="W4" s="45"/>
    </row>
    <row r="5" spans="1:23" x14ac:dyDescent="0.2">
      <c r="A5" s="65">
        <v>4</v>
      </c>
      <c r="B5" s="65" t="str">
        <f t="shared" si="0"/>
        <v>Jul 2008</v>
      </c>
      <c r="C5" s="76">
        <v>7446966</v>
      </c>
      <c r="D5" s="131" t="s">
        <v>80</v>
      </c>
      <c r="E5" s="131">
        <v>2008</v>
      </c>
      <c r="F5" s="131">
        <v>0</v>
      </c>
      <c r="G5" s="131">
        <v>0</v>
      </c>
      <c r="H5" s="131">
        <v>0</v>
      </c>
      <c r="I5" s="131">
        <v>1</v>
      </c>
      <c r="J5" s="131">
        <v>0</v>
      </c>
      <c r="K5" s="131">
        <v>0</v>
      </c>
      <c r="L5" s="131">
        <v>0</v>
      </c>
      <c r="M5" s="131">
        <v>0</v>
      </c>
      <c r="N5" s="131">
        <v>0</v>
      </c>
      <c r="O5" s="131">
        <v>0</v>
      </c>
      <c r="P5" s="132">
        <v>0</v>
      </c>
      <c r="R5" s="43" t="s">
        <v>129</v>
      </c>
      <c r="S5" s="44"/>
      <c r="T5" s="44"/>
      <c r="U5" s="44"/>
      <c r="V5" s="44"/>
      <c r="W5" s="45"/>
    </row>
    <row r="6" spans="1:23" ht="16" customHeight="1" x14ac:dyDescent="0.2">
      <c r="A6" s="65">
        <v>5</v>
      </c>
      <c r="B6" s="65" t="str">
        <f t="shared" si="0"/>
        <v>Aug 2008</v>
      </c>
      <c r="C6" s="76">
        <v>6893954</v>
      </c>
      <c r="D6" s="131" t="s">
        <v>81</v>
      </c>
      <c r="E6" s="131">
        <v>2008</v>
      </c>
      <c r="F6" s="131">
        <v>0</v>
      </c>
      <c r="G6" s="131">
        <v>0</v>
      </c>
      <c r="H6" s="131">
        <v>0</v>
      </c>
      <c r="I6" s="131">
        <v>0</v>
      </c>
      <c r="J6" s="131">
        <v>1</v>
      </c>
      <c r="K6" s="131">
        <v>0</v>
      </c>
      <c r="L6" s="131">
        <v>0</v>
      </c>
      <c r="M6" s="131">
        <v>0</v>
      </c>
      <c r="N6" s="131">
        <v>0</v>
      </c>
      <c r="O6" s="131">
        <v>0</v>
      </c>
      <c r="P6" s="132">
        <v>0</v>
      </c>
      <c r="R6" s="43" t="s">
        <v>130</v>
      </c>
      <c r="S6" s="44"/>
      <c r="T6" s="44"/>
      <c r="U6" s="44"/>
      <c r="V6" s="44"/>
      <c r="W6" s="45"/>
    </row>
    <row r="7" spans="1:23" x14ac:dyDescent="0.2">
      <c r="A7" s="65">
        <v>6</v>
      </c>
      <c r="B7" s="65" t="str">
        <f t="shared" si="0"/>
        <v>Sep 2008</v>
      </c>
      <c r="C7" s="76">
        <v>7266777</v>
      </c>
      <c r="D7" s="131" t="s">
        <v>82</v>
      </c>
      <c r="E7" s="131">
        <v>2008</v>
      </c>
      <c r="F7" s="131">
        <v>0</v>
      </c>
      <c r="G7" s="131">
        <v>0</v>
      </c>
      <c r="H7" s="131">
        <v>0</v>
      </c>
      <c r="I7" s="131">
        <v>0</v>
      </c>
      <c r="J7" s="131">
        <v>0</v>
      </c>
      <c r="K7" s="131">
        <v>1</v>
      </c>
      <c r="L7" s="131">
        <v>0</v>
      </c>
      <c r="M7" s="131">
        <v>0</v>
      </c>
      <c r="N7" s="131">
        <v>0</v>
      </c>
      <c r="O7" s="131">
        <v>0</v>
      </c>
      <c r="P7" s="132">
        <v>0</v>
      </c>
      <c r="R7" s="43" t="s">
        <v>131</v>
      </c>
      <c r="S7" s="44"/>
      <c r="T7" s="44"/>
      <c r="U7" s="44"/>
      <c r="V7" s="44"/>
      <c r="W7" s="45"/>
    </row>
    <row r="8" spans="1:23" ht="17" thickBot="1" x14ac:dyDescent="0.25">
      <c r="A8" s="65">
        <v>7</v>
      </c>
      <c r="B8" s="65" t="str">
        <f t="shared" si="0"/>
        <v>Oct 2008</v>
      </c>
      <c r="C8" s="76">
        <v>9577732</v>
      </c>
      <c r="D8" s="131" t="s">
        <v>83</v>
      </c>
      <c r="E8" s="131">
        <v>2008</v>
      </c>
      <c r="F8" s="131">
        <v>0</v>
      </c>
      <c r="G8" s="131">
        <v>0</v>
      </c>
      <c r="H8" s="131">
        <v>0</v>
      </c>
      <c r="I8" s="131">
        <v>0</v>
      </c>
      <c r="J8" s="131">
        <v>0</v>
      </c>
      <c r="K8" s="131">
        <v>0</v>
      </c>
      <c r="L8" s="131">
        <v>1</v>
      </c>
      <c r="M8" s="131">
        <v>0</v>
      </c>
      <c r="N8" s="131">
        <v>0</v>
      </c>
      <c r="O8" s="131">
        <v>0</v>
      </c>
      <c r="P8" s="132">
        <v>0</v>
      </c>
      <c r="R8" s="35" t="s">
        <v>132</v>
      </c>
      <c r="S8" s="36"/>
      <c r="T8" s="36"/>
      <c r="U8" s="36"/>
      <c r="V8" s="36"/>
      <c r="W8" s="37"/>
    </row>
    <row r="9" spans="1:23" x14ac:dyDescent="0.2">
      <c r="A9" s="65">
        <v>8</v>
      </c>
      <c r="B9" s="65" t="str">
        <f t="shared" si="0"/>
        <v>Nov 2008</v>
      </c>
      <c r="C9" s="76">
        <v>6959258</v>
      </c>
      <c r="D9" s="131" t="s">
        <v>84</v>
      </c>
      <c r="E9" s="131">
        <v>2008</v>
      </c>
      <c r="F9" s="131">
        <v>0</v>
      </c>
      <c r="G9" s="131">
        <v>0</v>
      </c>
      <c r="H9" s="131">
        <v>0</v>
      </c>
      <c r="I9" s="131">
        <v>0</v>
      </c>
      <c r="J9" s="131">
        <v>0</v>
      </c>
      <c r="K9" s="131">
        <v>0</v>
      </c>
      <c r="L9" s="131">
        <v>0</v>
      </c>
      <c r="M9" s="131">
        <v>1</v>
      </c>
      <c r="N9" s="131">
        <v>0</v>
      </c>
      <c r="O9" s="131">
        <v>0</v>
      </c>
      <c r="P9" s="132">
        <v>0</v>
      </c>
    </row>
    <row r="10" spans="1:23" x14ac:dyDescent="0.2">
      <c r="A10" s="65">
        <v>9</v>
      </c>
      <c r="B10" s="65" t="str">
        <f t="shared" si="0"/>
        <v>Dec 2008</v>
      </c>
      <c r="C10" s="76">
        <v>9196648</v>
      </c>
      <c r="D10" s="131" t="s">
        <v>85</v>
      </c>
      <c r="E10" s="131">
        <v>2008</v>
      </c>
      <c r="F10" s="131">
        <v>0</v>
      </c>
      <c r="G10" s="131">
        <v>0</v>
      </c>
      <c r="H10" s="131">
        <v>0</v>
      </c>
      <c r="I10" s="131">
        <v>0</v>
      </c>
      <c r="J10" s="131">
        <v>0</v>
      </c>
      <c r="K10" s="131">
        <v>0</v>
      </c>
      <c r="L10" s="131">
        <v>0</v>
      </c>
      <c r="M10" s="131">
        <v>0</v>
      </c>
      <c r="N10" s="131">
        <v>1</v>
      </c>
      <c r="O10" s="131">
        <v>0</v>
      </c>
      <c r="P10" s="132">
        <v>0</v>
      </c>
    </row>
    <row r="11" spans="1:23" x14ac:dyDescent="0.2">
      <c r="A11" s="65">
        <v>10</v>
      </c>
      <c r="B11" s="65" t="str">
        <f t="shared" si="0"/>
        <v>Jan 2009</v>
      </c>
      <c r="C11" s="76">
        <v>7703373</v>
      </c>
      <c r="D11" s="131" t="s">
        <v>86</v>
      </c>
      <c r="E11" s="131">
        <v>2009</v>
      </c>
      <c r="F11" s="131">
        <v>0</v>
      </c>
      <c r="G11" s="131">
        <v>0</v>
      </c>
      <c r="H11" s="131">
        <v>0</v>
      </c>
      <c r="I11" s="131">
        <v>0</v>
      </c>
      <c r="J11" s="131">
        <v>0</v>
      </c>
      <c r="K11" s="131">
        <v>0</v>
      </c>
      <c r="L11" s="131">
        <v>0</v>
      </c>
      <c r="M11" s="131">
        <v>0</v>
      </c>
      <c r="N11" s="131">
        <v>0</v>
      </c>
      <c r="O11" s="131">
        <v>1</v>
      </c>
      <c r="P11" s="132">
        <v>0</v>
      </c>
    </row>
    <row r="12" spans="1:23" x14ac:dyDescent="0.2">
      <c r="A12" s="65">
        <v>11</v>
      </c>
      <c r="B12" s="65" t="str">
        <f t="shared" si="0"/>
        <v>Feb 2009</v>
      </c>
      <c r="C12" s="76">
        <v>6337111</v>
      </c>
      <c r="D12" s="131" t="s">
        <v>87</v>
      </c>
      <c r="E12" s="131">
        <v>2009</v>
      </c>
      <c r="F12" s="131">
        <v>0</v>
      </c>
      <c r="G12" s="131">
        <v>0</v>
      </c>
      <c r="H12" s="131">
        <v>0</v>
      </c>
      <c r="I12" s="131">
        <v>0</v>
      </c>
      <c r="J12" s="131">
        <v>0</v>
      </c>
      <c r="K12" s="131">
        <v>0</v>
      </c>
      <c r="L12" s="131">
        <v>0</v>
      </c>
      <c r="M12" s="131">
        <v>0</v>
      </c>
      <c r="N12" s="131">
        <v>0</v>
      </c>
      <c r="O12" s="131">
        <v>0</v>
      </c>
      <c r="P12" s="132">
        <v>1</v>
      </c>
    </row>
    <row r="13" spans="1:23" x14ac:dyDescent="0.2">
      <c r="A13" s="65">
        <v>12</v>
      </c>
      <c r="B13" s="65" t="str">
        <f t="shared" si="0"/>
        <v>Mar 2009</v>
      </c>
      <c r="C13" s="76">
        <v>6661873</v>
      </c>
      <c r="D13" s="131" t="s">
        <v>88</v>
      </c>
      <c r="E13" s="131">
        <v>2009</v>
      </c>
      <c r="F13" s="131">
        <v>0</v>
      </c>
      <c r="G13" s="131">
        <v>0</v>
      </c>
      <c r="H13" s="131">
        <v>0</v>
      </c>
      <c r="I13" s="131">
        <v>0</v>
      </c>
      <c r="J13" s="131">
        <v>0</v>
      </c>
      <c r="K13" s="131">
        <v>0</v>
      </c>
      <c r="L13" s="131">
        <v>0</v>
      </c>
      <c r="M13" s="131">
        <v>0</v>
      </c>
      <c r="N13" s="131">
        <v>0</v>
      </c>
      <c r="O13" s="131">
        <v>0</v>
      </c>
      <c r="P13" s="132">
        <v>0</v>
      </c>
    </row>
    <row r="14" spans="1:23" x14ac:dyDescent="0.2">
      <c r="A14" s="65">
        <v>13</v>
      </c>
      <c r="B14" s="65" t="str">
        <f t="shared" si="0"/>
        <v>Apr 2009</v>
      </c>
      <c r="C14" s="76">
        <v>8168753</v>
      </c>
      <c r="D14" s="131" t="s">
        <v>78</v>
      </c>
      <c r="E14" s="131">
        <v>2009</v>
      </c>
      <c r="F14" s="131">
        <v>1</v>
      </c>
      <c r="G14" s="131">
        <v>0</v>
      </c>
      <c r="H14" s="131">
        <v>0</v>
      </c>
      <c r="I14" s="131">
        <v>0</v>
      </c>
      <c r="J14" s="131">
        <v>0</v>
      </c>
      <c r="K14" s="131">
        <v>0</v>
      </c>
      <c r="L14" s="131">
        <v>0</v>
      </c>
      <c r="M14" s="131">
        <v>0</v>
      </c>
      <c r="N14" s="131">
        <v>0</v>
      </c>
      <c r="O14" s="131">
        <v>0</v>
      </c>
      <c r="P14" s="132">
        <v>0</v>
      </c>
    </row>
    <row r="15" spans="1:23" x14ac:dyDescent="0.2">
      <c r="A15" s="65">
        <v>14</v>
      </c>
      <c r="B15" s="65" t="str">
        <f t="shared" si="0"/>
        <v>May 2009</v>
      </c>
      <c r="C15" s="76">
        <v>9042377</v>
      </c>
      <c r="D15" s="131" t="s">
        <v>18</v>
      </c>
      <c r="E15" s="131">
        <v>2009</v>
      </c>
      <c r="F15" s="131">
        <v>0</v>
      </c>
      <c r="G15" s="131">
        <v>1</v>
      </c>
      <c r="H15" s="131">
        <v>0</v>
      </c>
      <c r="I15" s="131">
        <v>0</v>
      </c>
      <c r="J15" s="131">
        <v>0</v>
      </c>
      <c r="K15" s="131">
        <v>0</v>
      </c>
      <c r="L15" s="131">
        <v>0</v>
      </c>
      <c r="M15" s="131">
        <v>0</v>
      </c>
      <c r="N15" s="131">
        <v>0</v>
      </c>
      <c r="O15" s="131">
        <v>0</v>
      </c>
      <c r="P15" s="132">
        <v>0</v>
      </c>
    </row>
    <row r="16" spans="1:23" x14ac:dyDescent="0.2">
      <c r="A16" s="65">
        <v>15</v>
      </c>
      <c r="B16" s="65" t="str">
        <f t="shared" si="0"/>
        <v>Jun 2009</v>
      </c>
      <c r="C16" s="76">
        <v>8535593</v>
      </c>
      <c r="D16" s="131" t="s">
        <v>79</v>
      </c>
      <c r="E16" s="131">
        <v>2009</v>
      </c>
      <c r="F16" s="131">
        <v>0</v>
      </c>
      <c r="G16" s="131">
        <v>0</v>
      </c>
      <c r="H16" s="131">
        <v>1</v>
      </c>
      <c r="I16" s="131">
        <v>0</v>
      </c>
      <c r="J16" s="131">
        <v>0</v>
      </c>
      <c r="K16" s="131">
        <v>0</v>
      </c>
      <c r="L16" s="131">
        <v>0</v>
      </c>
      <c r="M16" s="131">
        <v>0</v>
      </c>
      <c r="N16" s="131">
        <v>0</v>
      </c>
      <c r="O16" s="131">
        <v>0</v>
      </c>
      <c r="P16" s="132">
        <v>0</v>
      </c>
    </row>
    <row r="17" spans="1:25" x14ac:dyDescent="0.2">
      <c r="A17" s="65">
        <v>16</v>
      </c>
      <c r="B17" s="65" t="str">
        <f t="shared" si="0"/>
        <v>Jul 2009</v>
      </c>
      <c r="C17" s="76">
        <v>9159860</v>
      </c>
      <c r="D17" s="131" t="s">
        <v>80</v>
      </c>
      <c r="E17" s="131">
        <v>2009</v>
      </c>
      <c r="F17" s="131">
        <v>0</v>
      </c>
      <c r="G17" s="131">
        <v>0</v>
      </c>
      <c r="H17" s="131">
        <v>0</v>
      </c>
      <c r="I17" s="131">
        <v>1</v>
      </c>
      <c r="J17" s="131">
        <v>0</v>
      </c>
      <c r="K17" s="131">
        <v>0</v>
      </c>
      <c r="L17" s="131">
        <v>0</v>
      </c>
      <c r="M17" s="131">
        <v>0</v>
      </c>
      <c r="N17" s="131">
        <v>0</v>
      </c>
      <c r="O17" s="131">
        <v>0</v>
      </c>
      <c r="P17" s="132">
        <v>0</v>
      </c>
    </row>
    <row r="18" spans="1:25" x14ac:dyDescent="0.2">
      <c r="A18" s="65">
        <v>17</v>
      </c>
      <c r="B18" s="65" t="str">
        <f t="shared" si="0"/>
        <v>Aug 2009</v>
      </c>
      <c r="C18" s="76">
        <v>8660746</v>
      </c>
      <c r="D18" s="131" t="s">
        <v>81</v>
      </c>
      <c r="E18" s="131">
        <v>2009</v>
      </c>
      <c r="F18" s="131">
        <v>0</v>
      </c>
      <c r="G18" s="131">
        <v>0</v>
      </c>
      <c r="H18" s="131">
        <v>0</v>
      </c>
      <c r="I18" s="131">
        <v>0</v>
      </c>
      <c r="J18" s="131">
        <v>1</v>
      </c>
      <c r="K18" s="131">
        <v>0</v>
      </c>
      <c r="L18" s="131">
        <v>0</v>
      </c>
      <c r="M18" s="131">
        <v>0</v>
      </c>
      <c r="N18" s="131">
        <v>0</v>
      </c>
      <c r="O18" s="131">
        <v>0</v>
      </c>
      <c r="P18" s="132">
        <v>0</v>
      </c>
    </row>
    <row r="19" spans="1:25" x14ac:dyDescent="0.2">
      <c r="A19" s="65">
        <v>18</v>
      </c>
      <c r="B19" s="65" t="str">
        <f t="shared" si="0"/>
        <v>Sep 2009</v>
      </c>
      <c r="C19" s="76">
        <v>7985469</v>
      </c>
      <c r="D19" s="131" t="s">
        <v>82</v>
      </c>
      <c r="E19" s="131">
        <v>2009</v>
      </c>
      <c r="F19" s="131">
        <v>0</v>
      </c>
      <c r="G19" s="131">
        <v>0</v>
      </c>
      <c r="H19" s="131">
        <v>0</v>
      </c>
      <c r="I19" s="131">
        <v>0</v>
      </c>
      <c r="J19" s="131">
        <v>0</v>
      </c>
      <c r="K19" s="131">
        <v>1</v>
      </c>
      <c r="L19" s="131">
        <v>0</v>
      </c>
      <c r="M19" s="131">
        <v>0</v>
      </c>
      <c r="N19" s="131">
        <v>0</v>
      </c>
      <c r="O19" s="131">
        <v>0</v>
      </c>
      <c r="P19" s="132">
        <v>0</v>
      </c>
    </row>
    <row r="20" spans="1:25" x14ac:dyDescent="0.2">
      <c r="A20" s="65">
        <v>19</v>
      </c>
      <c r="B20" s="65" t="str">
        <f t="shared" si="0"/>
        <v>Oct 2009</v>
      </c>
      <c r="C20" s="76">
        <v>10287574</v>
      </c>
      <c r="D20" s="131" t="s">
        <v>83</v>
      </c>
      <c r="E20" s="131">
        <v>2009</v>
      </c>
      <c r="F20" s="131">
        <v>0</v>
      </c>
      <c r="G20" s="131">
        <v>0</v>
      </c>
      <c r="H20" s="131">
        <v>0</v>
      </c>
      <c r="I20" s="131">
        <v>0</v>
      </c>
      <c r="J20" s="131">
        <v>0</v>
      </c>
      <c r="K20" s="131">
        <v>0</v>
      </c>
      <c r="L20" s="131">
        <v>1</v>
      </c>
      <c r="M20" s="131">
        <v>0</v>
      </c>
      <c r="N20" s="131">
        <v>0</v>
      </c>
      <c r="O20" s="131">
        <v>0</v>
      </c>
      <c r="P20" s="132">
        <v>0</v>
      </c>
    </row>
    <row r="21" spans="1:25" x14ac:dyDescent="0.2">
      <c r="A21" s="65">
        <v>20</v>
      </c>
      <c r="B21" s="65" t="str">
        <f t="shared" si="0"/>
        <v>Nov 2009</v>
      </c>
      <c r="C21" s="76">
        <v>8865297</v>
      </c>
      <c r="D21" s="131" t="s">
        <v>84</v>
      </c>
      <c r="E21" s="131">
        <v>2009</v>
      </c>
      <c r="F21" s="131">
        <v>0</v>
      </c>
      <c r="G21" s="131">
        <v>0</v>
      </c>
      <c r="H21" s="131">
        <v>0</v>
      </c>
      <c r="I21" s="131">
        <v>0</v>
      </c>
      <c r="J21" s="131">
        <v>0</v>
      </c>
      <c r="K21" s="131">
        <v>0</v>
      </c>
      <c r="L21" s="131">
        <v>0</v>
      </c>
      <c r="M21" s="131">
        <v>1</v>
      </c>
      <c r="N21" s="131">
        <v>0</v>
      </c>
      <c r="O21" s="131">
        <v>0</v>
      </c>
      <c r="P21" s="132">
        <v>0</v>
      </c>
    </row>
    <row r="22" spans="1:25" x14ac:dyDescent="0.2">
      <c r="A22" s="65">
        <v>21</v>
      </c>
      <c r="B22" s="65" t="str">
        <f t="shared" si="0"/>
        <v>Dec 2009</v>
      </c>
      <c r="C22" s="76">
        <v>10106207</v>
      </c>
      <c r="D22" s="131" t="s">
        <v>85</v>
      </c>
      <c r="E22" s="131">
        <v>2009</v>
      </c>
      <c r="F22" s="131">
        <v>0</v>
      </c>
      <c r="G22" s="131">
        <v>0</v>
      </c>
      <c r="H22" s="131">
        <v>0</v>
      </c>
      <c r="I22" s="131">
        <v>0</v>
      </c>
      <c r="J22" s="131">
        <v>0</v>
      </c>
      <c r="K22" s="131">
        <v>0</v>
      </c>
      <c r="L22" s="131">
        <v>0</v>
      </c>
      <c r="M22" s="131">
        <v>0</v>
      </c>
      <c r="N22" s="131">
        <v>1</v>
      </c>
      <c r="O22" s="131">
        <v>0</v>
      </c>
      <c r="P22" s="132">
        <v>0</v>
      </c>
    </row>
    <row r="23" spans="1:25" x14ac:dyDescent="0.2">
      <c r="A23" s="65">
        <v>22</v>
      </c>
      <c r="B23" s="65" t="str">
        <f t="shared" si="0"/>
        <v>Jan 2010</v>
      </c>
      <c r="C23" s="82">
        <v>8763792</v>
      </c>
      <c r="D23" s="131" t="s">
        <v>86</v>
      </c>
      <c r="E23" s="131">
        <v>2010</v>
      </c>
      <c r="F23" s="131">
        <v>0</v>
      </c>
      <c r="G23" s="131">
        <v>0</v>
      </c>
      <c r="H23" s="131">
        <v>0</v>
      </c>
      <c r="I23" s="131">
        <v>0</v>
      </c>
      <c r="J23" s="131">
        <v>0</v>
      </c>
      <c r="K23" s="131">
        <v>0</v>
      </c>
      <c r="L23" s="131">
        <v>0</v>
      </c>
      <c r="M23" s="131">
        <v>0</v>
      </c>
      <c r="N23" s="131">
        <v>0</v>
      </c>
      <c r="O23" s="131">
        <v>1</v>
      </c>
      <c r="P23" s="132">
        <v>0</v>
      </c>
    </row>
    <row r="24" spans="1:25" x14ac:dyDescent="0.2">
      <c r="A24" s="65">
        <v>23</v>
      </c>
      <c r="B24" s="65" t="str">
        <f t="shared" si="0"/>
        <v>Feb 2010</v>
      </c>
      <c r="C24" s="82">
        <v>6573767</v>
      </c>
      <c r="D24" s="131" t="s">
        <v>87</v>
      </c>
      <c r="E24" s="131">
        <v>2010</v>
      </c>
      <c r="F24" s="131">
        <v>0</v>
      </c>
      <c r="G24" s="131">
        <v>0</v>
      </c>
      <c r="H24" s="131">
        <v>0</v>
      </c>
      <c r="I24" s="131">
        <v>0</v>
      </c>
      <c r="J24" s="131">
        <v>0</v>
      </c>
      <c r="K24" s="131">
        <v>0</v>
      </c>
      <c r="L24" s="131">
        <v>0</v>
      </c>
      <c r="M24" s="131">
        <v>0</v>
      </c>
      <c r="N24" s="131">
        <v>0</v>
      </c>
      <c r="O24" s="131">
        <v>0</v>
      </c>
      <c r="P24" s="132">
        <v>1</v>
      </c>
    </row>
    <row r="25" spans="1:25" x14ac:dyDescent="0.2">
      <c r="A25" s="65">
        <v>24</v>
      </c>
      <c r="B25" s="65" t="str">
        <f t="shared" si="0"/>
        <v>Mar 2010</v>
      </c>
      <c r="C25" s="82">
        <v>7012498</v>
      </c>
      <c r="D25" s="131" t="s">
        <v>88</v>
      </c>
      <c r="E25" s="131">
        <v>2010</v>
      </c>
      <c r="F25" s="131">
        <v>0</v>
      </c>
      <c r="G25" s="131">
        <v>0</v>
      </c>
      <c r="H25" s="131">
        <v>0</v>
      </c>
      <c r="I25" s="131">
        <v>0</v>
      </c>
      <c r="J25" s="131">
        <v>0</v>
      </c>
      <c r="K25" s="131">
        <v>0</v>
      </c>
      <c r="L25" s="131">
        <v>0</v>
      </c>
      <c r="M25" s="131">
        <v>0</v>
      </c>
      <c r="N25" s="131">
        <v>0</v>
      </c>
      <c r="O25" s="131">
        <v>0</v>
      </c>
      <c r="P25" s="132">
        <v>0</v>
      </c>
    </row>
    <row r="26" spans="1:25" x14ac:dyDescent="0.2">
      <c r="A26" s="65">
        <v>25</v>
      </c>
      <c r="B26" s="65" t="str">
        <f t="shared" si="0"/>
        <v>Apr 2010</v>
      </c>
      <c r="C26" s="82">
        <v>8727300</v>
      </c>
      <c r="D26" s="131" t="s">
        <v>78</v>
      </c>
      <c r="E26" s="131">
        <v>2010</v>
      </c>
      <c r="F26" s="131">
        <v>1</v>
      </c>
      <c r="G26" s="131">
        <v>0</v>
      </c>
      <c r="H26" s="131">
        <v>0</v>
      </c>
      <c r="I26" s="131">
        <v>0</v>
      </c>
      <c r="J26" s="131">
        <v>0</v>
      </c>
      <c r="K26" s="131">
        <v>0</v>
      </c>
      <c r="L26" s="131">
        <v>0</v>
      </c>
      <c r="M26" s="131">
        <v>0</v>
      </c>
      <c r="N26" s="131">
        <v>0</v>
      </c>
      <c r="O26" s="131">
        <v>0</v>
      </c>
      <c r="P26" s="132">
        <v>0</v>
      </c>
    </row>
    <row r="27" spans="1:25" x14ac:dyDescent="0.2">
      <c r="A27" s="65">
        <v>26</v>
      </c>
      <c r="B27" s="65" t="str">
        <f t="shared" si="0"/>
        <v>May 2010</v>
      </c>
      <c r="C27" s="82">
        <v>9936678</v>
      </c>
      <c r="D27" s="131" t="s">
        <v>18</v>
      </c>
      <c r="E27" s="131">
        <v>2010</v>
      </c>
      <c r="F27" s="131">
        <v>0</v>
      </c>
      <c r="G27" s="131">
        <v>1</v>
      </c>
      <c r="H27" s="131">
        <v>0</v>
      </c>
      <c r="I27" s="131">
        <v>0</v>
      </c>
      <c r="J27" s="131">
        <v>0</v>
      </c>
      <c r="K27" s="131">
        <v>0</v>
      </c>
      <c r="L27" s="131">
        <v>0</v>
      </c>
      <c r="M27" s="131">
        <v>0</v>
      </c>
      <c r="N27" s="131">
        <v>0</v>
      </c>
      <c r="O27" s="131">
        <v>0</v>
      </c>
      <c r="P27" s="132">
        <v>0</v>
      </c>
    </row>
    <row r="28" spans="1:25" x14ac:dyDescent="0.2">
      <c r="A28" s="65">
        <v>27</v>
      </c>
      <c r="B28" s="65" t="str">
        <f t="shared" si="0"/>
        <v>Jun 2010</v>
      </c>
      <c r="C28" s="82">
        <v>9777312</v>
      </c>
      <c r="D28" s="131" t="s">
        <v>79</v>
      </c>
      <c r="E28" s="131">
        <v>2010</v>
      </c>
      <c r="F28" s="131">
        <v>0</v>
      </c>
      <c r="G28" s="131">
        <v>0</v>
      </c>
      <c r="H28" s="131">
        <v>1</v>
      </c>
      <c r="I28" s="131">
        <v>0</v>
      </c>
      <c r="J28" s="131">
        <v>0</v>
      </c>
      <c r="K28" s="131">
        <v>0</v>
      </c>
      <c r="L28" s="131">
        <v>0</v>
      </c>
      <c r="M28" s="131">
        <v>0</v>
      </c>
      <c r="N28" s="131">
        <v>0</v>
      </c>
      <c r="O28" s="131">
        <v>0</v>
      </c>
      <c r="P28" s="132">
        <v>0</v>
      </c>
      <c r="Y28" s="144"/>
    </row>
    <row r="29" spans="1:25" x14ac:dyDescent="0.2">
      <c r="A29" s="65">
        <v>28</v>
      </c>
      <c r="B29" s="65" t="str">
        <f t="shared" si="0"/>
        <v>Jul 2010</v>
      </c>
      <c r="C29" s="82">
        <v>10408932</v>
      </c>
      <c r="D29" s="131" t="s">
        <v>80</v>
      </c>
      <c r="E29" s="131">
        <v>2010</v>
      </c>
      <c r="F29" s="131">
        <v>0</v>
      </c>
      <c r="G29" s="131">
        <v>0</v>
      </c>
      <c r="H29" s="131">
        <v>0</v>
      </c>
      <c r="I29" s="131">
        <v>1</v>
      </c>
      <c r="J29" s="131">
        <v>0</v>
      </c>
      <c r="K29" s="131">
        <v>0</v>
      </c>
      <c r="L29" s="131">
        <v>0</v>
      </c>
      <c r="M29" s="131">
        <v>0</v>
      </c>
      <c r="N29" s="131">
        <v>0</v>
      </c>
      <c r="O29" s="131">
        <v>0</v>
      </c>
      <c r="P29" s="132">
        <v>0</v>
      </c>
    </row>
    <row r="30" spans="1:25" x14ac:dyDescent="0.2">
      <c r="A30" s="65">
        <v>29</v>
      </c>
      <c r="B30" s="65" t="str">
        <f t="shared" si="0"/>
        <v>Aug 2010</v>
      </c>
      <c r="C30" s="82">
        <v>9666011</v>
      </c>
      <c r="D30" s="131" t="s">
        <v>81</v>
      </c>
      <c r="E30" s="131">
        <v>2010</v>
      </c>
      <c r="F30" s="131">
        <v>0</v>
      </c>
      <c r="G30" s="131">
        <v>0</v>
      </c>
      <c r="H30" s="131">
        <v>0</v>
      </c>
      <c r="I30" s="131">
        <v>0</v>
      </c>
      <c r="J30" s="131">
        <v>1</v>
      </c>
      <c r="K30" s="131">
        <v>0</v>
      </c>
      <c r="L30" s="131">
        <v>0</v>
      </c>
      <c r="M30" s="131">
        <v>0</v>
      </c>
      <c r="N30" s="131">
        <v>0</v>
      </c>
      <c r="O30" s="131">
        <v>0</v>
      </c>
      <c r="P30" s="132">
        <v>0</v>
      </c>
      <c r="Y30" s="145"/>
    </row>
    <row r="31" spans="1:25" ht="16" customHeight="1" x14ac:dyDescent="0.2">
      <c r="A31" s="65">
        <v>30</v>
      </c>
      <c r="B31" s="65" t="str">
        <f t="shared" si="0"/>
        <v>Sep 2010</v>
      </c>
      <c r="C31" s="82">
        <v>8922312</v>
      </c>
      <c r="D31" s="131" t="s">
        <v>82</v>
      </c>
      <c r="E31" s="131">
        <v>2010</v>
      </c>
      <c r="F31" s="131">
        <v>0</v>
      </c>
      <c r="G31" s="131">
        <v>0</v>
      </c>
      <c r="H31" s="131">
        <v>0</v>
      </c>
      <c r="I31" s="131">
        <v>0</v>
      </c>
      <c r="J31" s="131">
        <v>0</v>
      </c>
      <c r="K31" s="131">
        <v>1</v>
      </c>
      <c r="L31" s="131">
        <v>0</v>
      </c>
      <c r="M31" s="131">
        <v>0</v>
      </c>
      <c r="N31" s="131">
        <v>0</v>
      </c>
      <c r="O31" s="131">
        <v>0</v>
      </c>
      <c r="P31" s="132">
        <v>0</v>
      </c>
      <c r="Y31" s="144"/>
    </row>
    <row r="32" spans="1:25" x14ac:dyDescent="0.2">
      <c r="A32" s="65">
        <v>31</v>
      </c>
      <c r="B32" s="65" t="str">
        <f t="shared" si="0"/>
        <v>Oct 2010</v>
      </c>
      <c r="C32" s="82">
        <v>11038170</v>
      </c>
      <c r="D32" s="131" t="s">
        <v>83</v>
      </c>
      <c r="E32" s="131">
        <v>2010</v>
      </c>
      <c r="F32" s="131">
        <v>0</v>
      </c>
      <c r="G32" s="131">
        <v>0</v>
      </c>
      <c r="H32" s="131">
        <v>0</v>
      </c>
      <c r="I32" s="131">
        <v>0</v>
      </c>
      <c r="J32" s="131">
        <v>0</v>
      </c>
      <c r="K32" s="131">
        <v>0</v>
      </c>
      <c r="L32" s="131">
        <v>1</v>
      </c>
      <c r="M32" s="131">
        <v>0</v>
      </c>
      <c r="N32" s="131">
        <v>0</v>
      </c>
      <c r="O32" s="131">
        <v>0</v>
      </c>
      <c r="P32" s="132">
        <v>0</v>
      </c>
    </row>
    <row r="33" spans="1:16" x14ac:dyDescent="0.2">
      <c r="A33" s="65">
        <v>32</v>
      </c>
      <c r="B33" s="65" t="str">
        <f t="shared" si="0"/>
        <v>Nov 2010</v>
      </c>
      <c r="C33" s="82">
        <v>9234684</v>
      </c>
      <c r="D33" s="131" t="s">
        <v>84</v>
      </c>
      <c r="E33" s="131">
        <v>2010</v>
      </c>
      <c r="F33" s="131">
        <v>0</v>
      </c>
      <c r="G33" s="131">
        <v>0</v>
      </c>
      <c r="H33" s="131">
        <v>0</v>
      </c>
      <c r="I33" s="131">
        <v>0</v>
      </c>
      <c r="J33" s="131">
        <v>0</v>
      </c>
      <c r="K33" s="131">
        <v>0</v>
      </c>
      <c r="L33" s="131">
        <v>0</v>
      </c>
      <c r="M33" s="131">
        <v>1</v>
      </c>
      <c r="N33" s="131">
        <v>0</v>
      </c>
      <c r="O33" s="131">
        <v>0</v>
      </c>
      <c r="P33" s="132">
        <v>0</v>
      </c>
    </row>
    <row r="34" spans="1:16" x14ac:dyDescent="0.2">
      <c r="A34" s="65">
        <v>33</v>
      </c>
      <c r="B34" s="65" t="str">
        <f t="shared" si="0"/>
        <v>Dec 2010</v>
      </c>
      <c r="C34" s="82">
        <v>10751284</v>
      </c>
      <c r="D34" s="131" t="s">
        <v>85</v>
      </c>
      <c r="E34" s="131">
        <v>2010</v>
      </c>
      <c r="F34" s="131">
        <v>0</v>
      </c>
      <c r="G34" s="131">
        <v>0</v>
      </c>
      <c r="H34" s="131">
        <v>0</v>
      </c>
      <c r="I34" s="131">
        <v>0</v>
      </c>
      <c r="J34" s="131">
        <v>0</v>
      </c>
      <c r="K34" s="131">
        <v>0</v>
      </c>
      <c r="L34" s="131">
        <v>0</v>
      </c>
      <c r="M34" s="131">
        <v>0</v>
      </c>
      <c r="N34" s="131">
        <v>1</v>
      </c>
      <c r="O34" s="131">
        <v>0</v>
      </c>
      <c r="P34" s="132">
        <v>0</v>
      </c>
    </row>
    <row r="35" spans="1:16" x14ac:dyDescent="0.2">
      <c r="A35" s="65">
        <v>34</v>
      </c>
      <c r="B35" s="65" t="str">
        <f t="shared" si="0"/>
        <v>Jan 2011</v>
      </c>
      <c r="C35" s="76">
        <v>9737546</v>
      </c>
      <c r="D35" s="131" t="s">
        <v>86</v>
      </c>
      <c r="E35" s="131">
        <v>2011</v>
      </c>
      <c r="F35" s="131">
        <v>0</v>
      </c>
      <c r="G35" s="131">
        <v>0</v>
      </c>
      <c r="H35" s="131">
        <v>0</v>
      </c>
      <c r="I35" s="131">
        <v>0</v>
      </c>
      <c r="J35" s="131">
        <v>0</v>
      </c>
      <c r="K35" s="131">
        <v>0</v>
      </c>
      <c r="L35" s="131">
        <v>0</v>
      </c>
      <c r="M35" s="131">
        <v>0</v>
      </c>
      <c r="N35" s="131">
        <v>0</v>
      </c>
      <c r="O35" s="131">
        <v>1</v>
      </c>
      <c r="P35" s="132">
        <v>0</v>
      </c>
    </row>
    <row r="36" spans="1:16" x14ac:dyDescent="0.2">
      <c r="A36" s="65">
        <v>35</v>
      </c>
      <c r="B36" s="65" t="str">
        <f t="shared" si="0"/>
        <v>Feb 2011</v>
      </c>
      <c r="C36" s="76">
        <v>7068566</v>
      </c>
      <c r="D36" s="131" t="s">
        <v>87</v>
      </c>
      <c r="E36" s="131">
        <v>2011</v>
      </c>
      <c r="F36" s="131">
        <v>0</v>
      </c>
      <c r="G36" s="131">
        <v>0</v>
      </c>
      <c r="H36" s="131">
        <v>0</v>
      </c>
      <c r="I36" s="131">
        <v>0</v>
      </c>
      <c r="J36" s="131">
        <v>0</v>
      </c>
      <c r="K36" s="131">
        <v>0</v>
      </c>
      <c r="L36" s="131">
        <v>0</v>
      </c>
      <c r="M36" s="131">
        <v>0</v>
      </c>
      <c r="N36" s="131">
        <v>0</v>
      </c>
      <c r="O36" s="131">
        <v>0</v>
      </c>
      <c r="P36" s="132">
        <v>1</v>
      </c>
    </row>
    <row r="37" spans="1:16" ht="17" thickBot="1" x14ac:dyDescent="0.25">
      <c r="A37" s="80">
        <v>36</v>
      </c>
      <c r="B37" s="80" t="str">
        <f t="shared" si="0"/>
        <v>Mar 2011</v>
      </c>
      <c r="C37" s="81">
        <v>7622280</v>
      </c>
      <c r="D37" s="77" t="s">
        <v>88</v>
      </c>
      <c r="E37" s="77">
        <v>2011</v>
      </c>
      <c r="F37" s="77">
        <v>0</v>
      </c>
      <c r="G37" s="77">
        <v>0</v>
      </c>
      <c r="H37" s="77">
        <v>0</v>
      </c>
      <c r="I37" s="77">
        <v>0</v>
      </c>
      <c r="J37" s="77">
        <v>0</v>
      </c>
      <c r="K37" s="77">
        <v>0</v>
      </c>
      <c r="L37" s="77">
        <v>0</v>
      </c>
      <c r="M37" s="77">
        <v>0</v>
      </c>
      <c r="N37" s="77">
        <v>0</v>
      </c>
      <c r="O37" s="77">
        <v>0</v>
      </c>
      <c r="P37" s="133">
        <v>0</v>
      </c>
    </row>
    <row r="38" spans="1:16" x14ac:dyDescent="0.2">
      <c r="A38" s="78">
        <v>37</v>
      </c>
      <c r="B38" s="78" t="str">
        <f t="shared" si="0"/>
        <v>Apr 2011</v>
      </c>
      <c r="C38" s="79">
        <v>9667062.3333335742</v>
      </c>
      <c r="D38" s="131" t="s">
        <v>78</v>
      </c>
      <c r="E38" s="131">
        <v>2011</v>
      </c>
      <c r="F38" s="131">
        <v>1</v>
      </c>
      <c r="G38" s="131">
        <v>0</v>
      </c>
      <c r="H38" s="131">
        <v>0</v>
      </c>
      <c r="I38" s="131">
        <v>0</v>
      </c>
      <c r="J38" s="131">
        <v>0</v>
      </c>
      <c r="K38" s="131">
        <v>0</v>
      </c>
      <c r="L38" s="131">
        <v>0</v>
      </c>
      <c r="M38" s="131">
        <v>0</v>
      </c>
      <c r="N38" s="131">
        <v>0</v>
      </c>
      <c r="O38" s="131">
        <v>0</v>
      </c>
      <c r="P38" s="132">
        <v>0</v>
      </c>
    </row>
    <row r="39" spans="1:16" x14ac:dyDescent="0.2">
      <c r="A39" s="65">
        <v>38</v>
      </c>
      <c r="B39" s="65" t="str">
        <f t="shared" si="0"/>
        <v>May 2011</v>
      </c>
      <c r="C39" s="72">
        <v>10895295.000000238</v>
      </c>
      <c r="D39" s="131" t="s">
        <v>18</v>
      </c>
      <c r="E39" s="131">
        <v>2011</v>
      </c>
      <c r="F39" s="131">
        <v>0</v>
      </c>
      <c r="G39" s="131">
        <v>1</v>
      </c>
      <c r="H39" s="131">
        <v>0</v>
      </c>
      <c r="I39" s="131">
        <v>0</v>
      </c>
      <c r="J39" s="131">
        <v>0</v>
      </c>
      <c r="K39" s="131">
        <v>0</v>
      </c>
      <c r="L39" s="131">
        <v>0</v>
      </c>
      <c r="M39" s="131">
        <v>0</v>
      </c>
      <c r="N39" s="131">
        <v>0</v>
      </c>
      <c r="O39" s="131">
        <v>0</v>
      </c>
      <c r="P39" s="132">
        <v>0</v>
      </c>
    </row>
    <row r="40" spans="1:16" x14ac:dyDescent="0.2">
      <c r="A40" s="65">
        <v>39</v>
      </c>
      <c r="B40" s="65" t="str">
        <f t="shared" si="0"/>
        <v>Jun 2011</v>
      </c>
      <c r="C40" s="72">
        <v>10560055.666666904</v>
      </c>
      <c r="D40" s="131" t="s">
        <v>79</v>
      </c>
      <c r="E40" s="131">
        <v>2011</v>
      </c>
      <c r="F40" s="131">
        <v>0</v>
      </c>
      <c r="G40" s="131">
        <v>0</v>
      </c>
      <c r="H40" s="131">
        <v>1</v>
      </c>
      <c r="I40" s="131">
        <v>0</v>
      </c>
      <c r="J40" s="131">
        <v>0</v>
      </c>
      <c r="K40" s="131">
        <v>0</v>
      </c>
      <c r="L40" s="131">
        <v>0</v>
      </c>
      <c r="M40" s="131">
        <v>0</v>
      </c>
      <c r="N40" s="131">
        <v>0</v>
      </c>
      <c r="O40" s="131">
        <v>0</v>
      </c>
      <c r="P40" s="132">
        <v>0</v>
      </c>
    </row>
    <row r="41" spans="1:16" x14ac:dyDescent="0.2">
      <c r="A41" s="65">
        <v>40</v>
      </c>
      <c r="B41" s="65" t="str">
        <f t="shared" si="0"/>
        <v>Jul 2011</v>
      </c>
      <c r="C41" s="72">
        <v>10894638.333333572</v>
      </c>
      <c r="D41" s="131" t="s">
        <v>80</v>
      </c>
      <c r="E41" s="131">
        <v>2011</v>
      </c>
      <c r="F41" s="131">
        <v>0</v>
      </c>
      <c r="G41" s="131">
        <v>0</v>
      </c>
      <c r="H41" s="131">
        <v>0</v>
      </c>
      <c r="I41" s="131">
        <v>1</v>
      </c>
      <c r="J41" s="131">
        <v>0</v>
      </c>
      <c r="K41" s="131">
        <v>0</v>
      </c>
      <c r="L41" s="131">
        <v>0</v>
      </c>
      <c r="M41" s="131">
        <v>0</v>
      </c>
      <c r="N41" s="131">
        <v>0</v>
      </c>
      <c r="O41" s="131">
        <v>0</v>
      </c>
      <c r="P41" s="132">
        <v>0</v>
      </c>
    </row>
    <row r="42" spans="1:16" x14ac:dyDescent="0.2">
      <c r="A42" s="65">
        <v>41</v>
      </c>
      <c r="B42" s="65" t="str">
        <f t="shared" si="0"/>
        <v>Aug 2011</v>
      </c>
      <c r="C42" s="72">
        <v>10296289.333333571</v>
      </c>
      <c r="D42" s="131" t="s">
        <v>81</v>
      </c>
      <c r="E42" s="131">
        <v>2011</v>
      </c>
      <c r="F42" s="131">
        <v>0</v>
      </c>
      <c r="G42" s="131">
        <v>0</v>
      </c>
      <c r="H42" s="131">
        <v>0</v>
      </c>
      <c r="I42" s="131">
        <v>0</v>
      </c>
      <c r="J42" s="131">
        <v>1</v>
      </c>
      <c r="K42" s="131">
        <v>0</v>
      </c>
      <c r="L42" s="131">
        <v>0</v>
      </c>
      <c r="M42" s="131">
        <v>0</v>
      </c>
      <c r="N42" s="131">
        <v>0</v>
      </c>
      <c r="O42" s="131">
        <v>0</v>
      </c>
      <c r="P42" s="132">
        <v>0</v>
      </c>
    </row>
    <row r="43" spans="1:16" x14ac:dyDescent="0.2">
      <c r="A43" s="65">
        <v>42</v>
      </c>
      <c r="B43" s="65" t="str">
        <f t="shared" si="0"/>
        <v>Sep 2011</v>
      </c>
      <c r="C43" s="72">
        <v>9947571.6666669063</v>
      </c>
      <c r="D43" s="131" t="s">
        <v>82</v>
      </c>
      <c r="E43" s="131">
        <v>2011</v>
      </c>
      <c r="F43" s="131">
        <v>0</v>
      </c>
      <c r="G43" s="131">
        <v>0</v>
      </c>
      <c r="H43" s="131">
        <v>0</v>
      </c>
      <c r="I43" s="131">
        <v>0</v>
      </c>
      <c r="J43" s="131">
        <v>0</v>
      </c>
      <c r="K43" s="131">
        <v>1</v>
      </c>
      <c r="L43" s="131">
        <v>0</v>
      </c>
      <c r="M43" s="131">
        <v>0</v>
      </c>
      <c r="N43" s="131">
        <v>0</v>
      </c>
      <c r="O43" s="131">
        <v>0</v>
      </c>
      <c r="P43" s="132">
        <v>0</v>
      </c>
    </row>
    <row r="44" spans="1:16" x14ac:dyDescent="0.2">
      <c r="A44" s="65">
        <v>42</v>
      </c>
      <c r="B44" s="65" t="str">
        <f t="shared" si="0"/>
        <v>Oct 2011</v>
      </c>
      <c r="C44" s="109">
        <v>12190544.333333572</v>
      </c>
      <c r="D44" s="131" t="s">
        <v>83</v>
      </c>
      <c r="E44" s="131">
        <v>2011</v>
      </c>
      <c r="F44" s="131">
        <v>0</v>
      </c>
      <c r="G44" s="131">
        <v>0</v>
      </c>
      <c r="H44" s="131">
        <v>0</v>
      </c>
      <c r="I44" s="131">
        <v>0</v>
      </c>
      <c r="J44" s="131">
        <v>0</v>
      </c>
      <c r="K44" s="131">
        <v>0</v>
      </c>
      <c r="L44" s="131">
        <v>1</v>
      </c>
      <c r="M44" s="131">
        <v>0</v>
      </c>
      <c r="N44" s="131">
        <v>0</v>
      </c>
      <c r="O44" s="131">
        <v>0</v>
      </c>
      <c r="P44" s="132">
        <v>0</v>
      </c>
    </row>
    <row r="45" spans="1:16" x14ac:dyDescent="0.2">
      <c r="A45" s="65">
        <v>42</v>
      </c>
      <c r="B45" s="65" t="str">
        <f t="shared" si="0"/>
        <v>Nov 2011</v>
      </c>
      <c r="C45" s="109">
        <v>10242465.333333571</v>
      </c>
      <c r="D45" s="131" t="s">
        <v>84</v>
      </c>
      <c r="E45" s="131">
        <v>2011</v>
      </c>
      <c r="F45" s="131">
        <v>0</v>
      </c>
      <c r="G45" s="131">
        <v>0</v>
      </c>
      <c r="H45" s="131">
        <v>0</v>
      </c>
      <c r="I45" s="131">
        <v>0</v>
      </c>
      <c r="J45" s="131">
        <v>0</v>
      </c>
      <c r="K45" s="131">
        <v>0</v>
      </c>
      <c r="L45" s="131">
        <v>0</v>
      </c>
      <c r="M45" s="131">
        <v>1</v>
      </c>
      <c r="N45" s="131">
        <v>0</v>
      </c>
      <c r="O45" s="131">
        <v>0</v>
      </c>
      <c r="P45" s="132">
        <v>0</v>
      </c>
    </row>
    <row r="46" spans="1:16" x14ac:dyDescent="0.2">
      <c r="A46" s="65">
        <v>42</v>
      </c>
      <c r="B46" s="65" t="str">
        <f t="shared" si="0"/>
        <v>Dec 2011</v>
      </c>
      <c r="C46" s="109">
        <v>11907432.000000238</v>
      </c>
      <c r="D46" s="134" t="s">
        <v>85</v>
      </c>
      <c r="E46" s="134">
        <v>2011</v>
      </c>
      <c r="F46" s="134">
        <v>0</v>
      </c>
      <c r="G46" s="134">
        <v>0</v>
      </c>
      <c r="H46" s="134">
        <v>0</v>
      </c>
      <c r="I46" s="134">
        <v>0</v>
      </c>
      <c r="J46" s="134">
        <v>0</v>
      </c>
      <c r="K46" s="134">
        <v>0</v>
      </c>
      <c r="L46" s="134">
        <v>0</v>
      </c>
      <c r="M46" s="134">
        <v>0</v>
      </c>
      <c r="N46" s="134">
        <v>1</v>
      </c>
      <c r="O46" s="134">
        <v>0</v>
      </c>
      <c r="P46" s="135">
        <v>0</v>
      </c>
    </row>
    <row r="47" spans="1:16" x14ac:dyDescent="0.2">
      <c r="A47" s="126"/>
      <c r="B47" s="126"/>
      <c r="C47" s="127"/>
      <c r="D47" s="128"/>
      <c r="E47" s="128"/>
      <c r="F47" s="128"/>
      <c r="G47" s="128"/>
      <c r="H47" s="128"/>
      <c r="I47" s="128"/>
      <c r="J47" s="128"/>
      <c r="K47" s="128"/>
      <c r="L47" s="128"/>
      <c r="M47" s="128"/>
      <c r="N47" s="128"/>
      <c r="O47" s="128"/>
      <c r="P47" s="128"/>
    </row>
    <row r="48" spans="1:16" ht="17" thickBot="1" x14ac:dyDescent="0.25">
      <c r="A48" s="126"/>
      <c r="B48" s="126"/>
      <c r="C48" s="127"/>
      <c r="D48" s="128"/>
      <c r="E48" s="128"/>
      <c r="F48" s="128"/>
      <c r="G48" s="128"/>
      <c r="H48" s="128"/>
      <c r="I48" s="128"/>
      <c r="J48" s="128"/>
      <c r="K48" s="128"/>
      <c r="L48" s="128"/>
      <c r="M48" s="128"/>
      <c r="N48" s="128"/>
      <c r="O48" s="128"/>
      <c r="P48" s="128"/>
    </row>
    <row r="49" spans="1:16" x14ac:dyDescent="0.2">
      <c r="A49" s="271" t="s">
        <v>163</v>
      </c>
      <c r="B49" s="272"/>
      <c r="C49" s="272"/>
      <c r="D49" s="272"/>
      <c r="E49" s="272"/>
      <c r="F49" s="272"/>
      <c r="G49" s="272"/>
      <c r="H49" s="272"/>
      <c r="I49" s="272"/>
      <c r="J49" s="272"/>
      <c r="K49" s="272"/>
      <c r="L49" s="272"/>
      <c r="M49" s="272"/>
      <c r="N49" s="272"/>
      <c r="O49" s="272"/>
      <c r="P49" s="273"/>
    </row>
    <row r="50" spans="1:16" ht="17" thickBot="1" x14ac:dyDescent="0.25">
      <c r="A50" s="274"/>
      <c r="B50" s="275"/>
      <c r="C50" s="275"/>
      <c r="D50" s="275"/>
      <c r="E50" s="275"/>
      <c r="F50" s="275"/>
      <c r="G50" s="275"/>
      <c r="H50" s="275"/>
      <c r="I50" s="275"/>
      <c r="J50" s="275"/>
      <c r="K50" s="275"/>
      <c r="L50" s="275"/>
      <c r="M50" s="275"/>
      <c r="N50" s="275"/>
      <c r="O50" s="275"/>
      <c r="P50" s="276"/>
    </row>
    <row r="51" spans="1:16" ht="17" thickBot="1" x14ac:dyDescent="0.25">
      <c r="A51" s="86" t="s">
        <v>153</v>
      </c>
      <c r="B51" s="87"/>
      <c r="C51" s="88"/>
      <c r="D51" s="87"/>
      <c r="E51" s="87"/>
      <c r="F51" s="87"/>
      <c r="G51" s="87"/>
      <c r="H51" s="87"/>
      <c r="I51" s="87"/>
      <c r="J51" s="87"/>
      <c r="K51" s="87"/>
      <c r="L51" s="87"/>
      <c r="M51" s="87"/>
      <c r="N51" s="87"/>
      <c r="O51" s="87"/>
      <c r="P51" s="89"/>
    </row>
    <row r="52" spans="1:16" x14ac:dyDescent="0.2">
      <c r="A52" s="110" t="s">
        <v>157</v>
      </c>
      <c r="B52" s="111"/>
      <c r="C52" s="112" t="s">
        <v>154</v>
      </c>
      <c r="D52" s="113">
        <f>C38-C26</f>
        <v>939762.33333357424</v>
      </c>
      <c r="E52" s="111"/>
      <c r="F52" s="33"/>
      <c r="G52" s="33"/>
      <c r="H52" s="33"/>
      <c r="I52" s="33"/>
      <c r="J52" s="33"/>
      <c r="K52" s="33"/>
      <c r="L52" s="33"/>
      <c r="M52" s="33"/>
      <c r="N52" s="33"/>
      <c r="O52" s="33"/>
      <c r="P52" s="34"/>
    </row>
    <row r="53" spans="1:16" x14ac:dyDescent="0.2">
      <c r="A53" s="90"/>
      <c r="B53" s="91"/>
      <c r="C53" s="92" t="s">
        <v>155</v>
      </c>
      <c r="D53" s="93">
        <f>D52/C26</f>
        <v>0.10768076419208394</v>
      </c>
      <c r="E53" s="91"/>
      <c r="F53" s="44"/>
      <c r="G53" s="44"/>
      <c r="H53" s="44"/>
      <c r="I53" s="44"/>
      <c r="J53" s="44"/>
      <c r="K53" s="44"/>
      <c r="L53" s="44"/>
      <c r="M53" s="44"/>
      <c r="N53" s="44"/>
      <c r="O53" s="44"/>
      <c r="P53" s="45"/>
    </row>
    <row r="54" spans="1:16" x14ac:dyDescent="0.2">
      <c r="A54" s="94"/>
      <c r="B54" s="95"/>
      <c r="C54" s="95"/>
      <c r="D54" s="95"/>
      <c r="E54" s="95"/>
      <c r="F54" s="44"/>
      <c r="G54" s="44"/>
      <c r="H54" s="44"/>
      <c r="I54" s="44"/>
      <c r="J54" s="44"/>
      <c r="K54" s="44"/>
      <c r="L54" s="44"/>
      <c r="M54" s="44"/>
      <c r="N54" s="44"/>
      <c r="O54" s="44"/>
      <c r="P54" s="45"/>
    </row>
    <row r="55" spans="1:16" x14ac:dyDescent="0.2">
      <c r="A55" s="97" t="s">
        <v>156</v>
      </c>
      <c r="B55" s="95"/>
      <c r="C55" s="92" t="s">
        <v>154</v>
      </c>
      <c r="D55" s="98">
        <f>C39-C27</f>
        <v>958617.00000023842</v>
      </c>
      <c r="E55" s="95"/>
      <c r="F55" s="44"/>
      <c r="G55" s="44"/>
      <c r="H55" s="44"/>
      <c r="I55" s="44"/>
      <c r="J55" s="44"/>
      <c r="K55" s="44"/>
      <c r="L55" s="44"/>
      <c r="M55" s="44"/>
      <c r="N55" s="44"/>
      <c r="O55" s="44"/>
      <c r="P55" s="45"/>
    </row>
    <row r="56" spans="1:16" x14ac:dyDescent="0.2">
      <c r="A56" s="94"/>
      <c r="B56" s="95"/>
      <c r="C56" s="92" t="s">
        <v>155</v>
      </c>
      <c r="D56" s="93">
        <f>D55/C27</f>
        <v>9.6472583694494116E-2</v>
      </c>
      <c r="E56" s="95"/>
      <c r="F56" s="44"/>
      <c r="G56" s="44"/>
      <c r="H56" s="44"/>
      <c r="I56" s="44"/>
      <c r="J56" s="44"/>
      <c r="K56" s="44"/>
      <c r="L56" s="44"/>
      <c r="M56" s="44"/>
      <c r="N56" s="44"/>
      <c r="O56" s="44"/>
      <c r="P56" s="45"/>
    </row>
    <row r="57" spans="1:16" x14ac:dyDescent="0.2">
      <c r="A57" s="94"/>
      <c r="B57" s="95"/>
      <c r="C57" s="95"/>
      <c r="D57" s="95"/>
      <c r="E57" s="95"/>
      <c r="F57" s="44"/>
      <c r="G57" s="44"/>
      <c r="H57" s="44"/>
      <c r="I57" s="44"/>
      <c r="J57" s="44"/>
      <c r="K57" s="44"/>
      <c r="L57" s="44"/>
      <c r="M57" s="44"/>
      <c r="N57" s="44"/>
      <c r="O57" s="44"/>
      <c r="P57" s="45"/>
    </row>
    <row r="58" spans="1:16" x14ac:dyDescent="0.2">
      <c r="A58" s="90" t="s">
        <v>158</v>
      </c>
      <c r="B58" s="95"/>
      <c r="C58" s="92" t="s">
        <v>154</v>
      </c>
      <c r="D58" s="98">
        <f>C40-C28</f>
        <v>782743.66666690446</v>
      </c>
      <c r="E58" s="95"/>
      <c r="F58" s="44"/>
      <c r="G58" s="44"/>
      <c r="H58" s="44"/>
      <c r="I58" s="44"/>
      <c r="J58" s="44"/>
      <c r="K58" s="44"/>
      <c r="L58" s="44"/>
      <c r="M58" s="44"/>
      <c r="N58" s="44"/>
      <c r="O58" s="44"/>
      <c r="P58" s="45"/>
    </row>
    <row r="59" spans="1:16" x14ac:dyDescent="0.2">
      <c r="A59" s="94"/>
      <c r="B59" s="95"/>
      <c r="C59" s="92" t="s">
        <v>155</v>
      </c>
      <c r="D59" s="93">
        <f>D58/C28</f>
        <v>8.0057143176662918E-2</v>
      </c>
      <c r="E59" s="95"/>
      <c r="F59" s="44"/>
      <c r="G59" s="44"/>
      <c r="H59" s="44"/>
      <c r="I59" s="44"/>
      <c r="J59" s="44"/>
      <c r="K59" s="44"/>
      <c r="L59" s="44"/>
      <c r="M59" s="44"/>
      <c r="N59" s="44"/>
      <c r="O59" s="44"/>
      <c r="P59" s="45"/>
    </row>
    <row r="60" spans="1:16" x14ac:dyDescent="0.2">
      <c r="A60" s="94"/>
      <c r="B60" s="95"/>
      <c r="C60" s="95"/>
      <c r="D60" s="95"/>
      <c r="E60" s="95"/>
      <c r="F60" s="95"/>
      <c r="G60" s="95"/>
      <c r="H60" s="95"/>
      <c r="I60" s="95"/>
      <c r="J60" s="95"/>
      <c r="K60" s="95"/>
      <c r="L60" s="95"/>
      <c r="M60" s="95"/>
      <c r="N60" s="291"/>
      <c r="O60" s="291"/>
      <c r="P60" s="292"/>
    </row>
    <row r="61" spans="1:16" x14ac:dyDescent="0.2">
      <c r="A61" s="90" t="s">
        <v>159</v>
      </c>
      <c r="B61" s="95"/>
      <c r="C61" s="92" t="s">
        <v>154</v>
      </c>
      <c r="D61" s="98">
        <f>C41-C29</f>
        <v>485706.33333357237</v>
      </c>
      <c r="E61" s="95"/>
      <c r="F61" s="44"/>
      <c r="G61" s="44"/>
      <c r="H61" s="44"/>
      <c r="I61" s="44"/>
      <c r="J61" s="44"/>
      <c r="K61" s="44"/>
      <c r="L61" s="44"/>
      <c r="M61" s="44"/>
      <c r="N61" s="44"/>
      <c r="O61" s="44"/>
      <c r="P61" s="45"/>
    </row>
    <row r="62" spans="1:16" x14ac:dyDescent="0.2">
      <c r="A62" s="94"/>
      <c r="B62" s="95"/>
      <c r="C62" s="92" t="s">
        <v>155</v>
      </c>
      <c r="D62" s="93">
        <f>D61/C29</f>
        <v>4.6662456180285583E-2</v>
      </c>
      <c r="E62" s="95"/>
      <c r="F62" s="44"/>
      <c r="G62" s="44"/>
      <c r="H62" s="44"/>
      <c r="I62" s="44"/>
      <c r="J62" s="44"/>
      <c r="K62" s="44"/>
      <c r="L62" s="44"/>
      <c r="M62" s="44"/>
      <c r="N62" s="44"/>
      <c r="O62" s="44"/>
      <c r="P62" s="45"/>
    </row>
    <row r="63" spans="1:16" x14ac:dyDescent="0.2">
      <c r="A63" s="94"/>
      <c r="B63" s="95"/>
      <c r="C63" s="95"/>
      <c r="D63" s="95"/>
      <c r="E63" s="95"/>
      <c r="F63" s="95"/>
      <c r="G63" s="95"/>
      <c r="H63" s="95"/>
      <c r="I63" s="95"/>
      <c r="J63" s="95"/>
      <c r="K63" s="95"/>
      <c r="L63" s="95"/>
      <c r="M63" s="95"/>
      <c r="N63" s="95"/>
      <c r="O63" s="95"/>
      <c r="P63" s="96"/>
    </row>
    <row r="64" spans="1:16" x14ac:dyDescent="0.2">
      <c r="A64" s="90" t="s">
        <v>160</v>
      </c>
      <c r="B64" s="95"/>
      <c r="C64" s="92" t="s">
        <v>154</v>
      </c>
      <c r="D64" s="98">
        <f>C42-C30</f>
        <v>630278.33333357051</v>
      </c>
      <c r="E64" s="95"/>
      <c r="F64" s="95"/>
      <c r="G64" s="95"/>
      <c r="H64" s="95"/>
      <c r="I64" s="95"/>
      <c r="J64" s="95"/>
      <c r="K64" s="95"/>
      <c r="L64" s="95"/>
      <c r="M64" s="95"/>
      <c r="N64" s="95"/>
      <c r="O64" s="95"/>
      <c r="P64" s="96"/>
    </row>
    <row r="65" spans="1:16" x14ac:dyDescent="0.2">
      <c r="A65" s="94"/>
      <c r="B65" s="95"/>
      <c r="C65" s="92" t="s">
        <v>155</v>
      </c>
      <c r="D65" s="93">
        <f>D64/C30</f>
        <v>6.5205629637041643E-2</v>
      </c>
      <c r="E65" s="95"/>
      <c r="F65" s="44"/>
      <c r="G65" s="105"/>
      <c r="H65" s="106"/>
      <c r="I65" s="107"/>
      <c r="J65" s="95"/>
      <c r="K65" s="95"/>
      <c r="L65" s="95"/>
      <c r="M65" s="95"/>
      <c r="N65" s="95"/>
      <c r="O65" s="95"/>
      <c r="P65" s="96"/>
    </row>
    <row r="66" spans="1:16" x14ac:dyDescent="0.2">
      <c r="A66" s="94"/>
      <c r="B66" s="95"/>
      <c r="C66" s="95"/>
      <c r="D66" s="95"/>
      <c r="E66" s="95"/>
      <c r="F66" s="95"/>
      <c r="G66" s="95"/>
      <c r="H66" s="95"/>
      <c r="I66" s="95"/>
      <c r="J66" s="95"/>
      <c r="K66" s="95"/>
      <c r="L66" s="95"/>
      <c r="M66" s="95"/>
      <c r="N66" s="95"/>
      <c r="O66" s="95"/>
      <c r="P66" s="96"/>
    </row>
    <row r="67" spans="1:16" x14ac:dyDescent="0.2">
      <c r="A67" s="90" t="s">
        <v>161</v>
      </c>
      <c r="B67" s="95"/>
      <c r="C67" s="92" t="s">
        <v>154</v>
      </c>
      <c r="D67" s="98">
        <f>C43-C31</f>
        <v>1025259.6666669063</v>
      </c>
      <c r="E67" s="95"/>
      <c r="F67" s="95"/>
      <c r="G67" s="95"/>
      <c r="H67" s="95"/>
      <c r="I67" s="95"/>
      <c r="J67" s="95"/>
      <c r="K67" s="95"/>
      <c r="L67" s="95"/>
      <c r="M67" s="95"/>
      <c r="N67" s="95"/>
      <c r="O67" s="95"/>
      <c r="P67" s="96"/>
    </row>
    <row r="68" spans="1:16" x14ac:dyDescent="0.2">
      <c r="A68" s="94"/>
      <c r="B68" s="95"/>
      <c r="C68" s="92" t="s">
        <v>155</v>
      </c>
      <c r="D68" s="93">
        <f>D67/C31</f>
        <v>0.11490964075980602</v>
      </c>
      <c r="E68" s="95"/>
      <c r="F68" s="95"/>
      <c r="G68" s="95"/>
      <c r="H68" s="95"/>
      <c r="I68" s="95"/>
      <c r="J68" s="95"/>
      <c r="K68" s="95"/>
      <c r="L68" s="95"/>
      <c r="M68" s="95"/>
      <c r="N68" s="95"/>
      <c r="O68" s="95"/>
      <c r="P68" s="96"/>
    </row>
    <row r="69" spans="1:16" x14ac:dyDescent="0.2">
      <c r="A69" s="94"/>
      <c r="B69" s="95"/>
      <c r="C69" s="95"/>
      <c r="D69" s="95"/>
      <c r="E69" s="95"/>
      <c r="F69" s="95"/>
      <c r="G69" s="95"/>
      <c r="H69" s="95"/>
      <c r="I69" s="95"/>
      <c r="J69" s="95"/>
      <c r="K69" s="95"/>
      <c r="L69" s="95"/>
      <c r="M69" s="95"/>
      <c r="N69" s="95"/>
      <c r="O69" s="95"/>
      <c r="P69" s="96"/>
    </row>
    <row r="70" spans="1:16" x14ac:dyDescent="0.2">
      <c r="A70" s="90" t="s">
        <v>171</v>
      </c>
      <c r="B70" s="91"/>
      <c r="C70" s="91" t="s">
        <v>154</v>
      </c>
      <c r="D70" s="99">
        <f>C44-C32</f>
        <v>1152374.3333335724</v>
      </c>
      <c r="E70" s="91"/>
      <c r="F70" s="286"/>
      <c r="G70" s="286"/>
      <c r="H70" s="286"/>
      <c r="I70" s="44"/>
      <c r="J70" s="44"/>
      <c r="K70" s="44"/>
      <c r="L70" s="95"/>
      <c r="M70" s="95"/>
      <c r="N70" s="95"/>
      <c r="O70" s="95"/>
      <c r="P70" s="96"/>
    </row>
    <row r="71" spans="1:16" x14ac:dyDescent="0.2">
      <c r="A71" s="90"/>
      <c r="B71" s="91"/>
      <c r="C71" s="92" t="s">
        <v>155</v>
      </c>
      <c r="D71" s="93">
        <f>D70/C32</f>
        <v>0.10439903836719061</v>
      </c>
      <c r="E71" s="91"/>
      <c r="F71" s="287"/>
      <c r="G71" s="287"/>
      <c r="H71" s="287"/>
      <c r="I71" s="44"/>
      <c r="J71" s="44"/>
      <c r="K71" s="44"/>
      <c r="L71" s="95"/>
      <c r="M71" s="95"/>
      <c r="N71" s="95"/>
      <c r="O71" s="95"/>
      <c r="P71" s="96"/>
    </row>
    <row r="72" spans="1:16" x14ac:dyDescent="0.2">
      <c r="A72" s="94"/>
      <c r="B72" s="95"/>
      <c r="C72" s="95"/>
      <c r="D72" s="95"/>
      <c r="E72" s="95"/>
      <c r="F72" s="95"/>
      <c r="G72" s="95"/>
      <c r="H72" s="95"/>
      <c r="I72" s="288"/>
      <c r="J72" s="288"/>
      <c r="K72" s="288"/>
      <c r="L72" s="95"/>
      <c r="M72" s="95"/>
      <c r="N72" s="95"/>
      <c r="O72" s="95"/>
      <c r="P72" s="96"/>
    </row>
    <row r="73" spans="1:16" ht="17" thickBot="1" x14ac:dyDescent="0.25">
      <c r="A73" s="90" t="s">
        <v>172</v>
      </c>
      <c r="B73" s="91"/>
      <c r="C73" s="91" t="s">
        <v>154</v>
      </c>
      <c r="D73" s="99">
        <f>C45-C33</f>
        <v>1007781.3333335705</v>
      </c>
      <c r="E73" s="91"/>
      <c r="F73" s="44"/>
      <c r="G73" s="44"/>
      <c r="H73" s="95"/>
      <c r="I73" s="289"/>
      <c r="J73" s="289"/>
      <c r="K73" s="289"/>
      <c r="L73" s="95"/>
      <c r="M73" s="95"/>
      <c r="N73" s="95"/>
      <c r="O73" s="95"/>
      <c r="P73" s="96"/>
    </row>
    <row r="74" spans="1:16" x14ac:dyDescent="0.2">
      <c r="A74" s="90"/>
      <c r="B74" s="91"/>
      <c r="C74" s="92" t="s">
        <v>155</v>
      </c>
      <c r="D74" s="93">
        <f>D73/C33</f>
        <v>0.10913002906581</v>
      </c>
      <c r="E74" s="91"/>
      <c r="F74" s="297" t="s">
        <v>176</v>
      </c>
      <c r="G74" s="298"/>
      <c r="H74" s="298"/>
      <c r="I74" s="298"/>
      <c r="J74" s="298"/>
      <c r="K74" s="298"/>
      <c r="L74" s="298"/>
      <c r="M74" s="298"/>
      <c r="N74" s="299">
        <f>AVERAGE(D53,D56,D59,D62,D65,D68)</f>
        <v>8.5164702940062356E-2</v>
      </c>
      <c r="O74" s="299"/>
      <c r="P74" s="300"/>
    </row>
    <row r="75" spans="1:16" x14ac:dyDescent="0.2">
      <c r="A75" s="94"/>
      <c r="B75" s="95"/>
      <c r="C75" s="95"/>
      <c r="D75" s="95"/>
      <c r="E75" s="95"/>
      <c r="F75" s="123"/>
      <c r="G75" s="124"/>
      <c r="H75" s="124"/>
      <c r="I75" s="290"/>
      <c r="J75" s="290"/>
      <c r="K75" s="290"/>
      <c r="L75" s="124"/>
      <c r="M75" s="124"/>
      <c r="N75" s="124"/>
      <c r="O75" s="124"/>
      <c r="P75" s="125"/>
    </row>
    <row r="76" spans="1:16" x14ac:dyDescent="0.2">
      <c r="A76" s="90" t="s">
        <v>173</v>
      </c>
      <c r="B76" s="91"/>
      <c r="C76" s="91" t="s">
        <v>154</v>
      </c>
      <c r="D76" s="99">
        <f>C46-C34</f>
        <v>1156148.0000002384</v>
      </c>
      <c r="E76" s="91"/>
      <c r="F76" s="120" t="s">
        <v>177</v>
      </c>
      <c r="G76" s="108"/>
      <c r="H76" s="108"/>
      <c r="I76" s="108"/>
      <c r="J76" s="108"/>
      <c r="K76" s="108"/>
      <c r="L76" s="108"/>
      <c r="M76" s="108"/>
      <c r="N76" s="293">
        <f>AVERAGE(D53,D56,D59,D62,D65,D68,D71,D74,D77)</f>
        <v>9.2450343551038511E-2</v>
      </c>
      <c r="O76" s="293"/>
      <c r="P76" s="294"/>
    </row>
    <row r="77" spans="1:16" ht="17" thickBot="1" x14ac:dyDescent="0.25">
      <c r="A77" s="90"/>
      <c r="B77" s="91"/>
      <c r="C77" s="92" t="s">
        <v>155</v>
      </c>
      <c r="D77" s="93">
        <f>D76/C34</f>
        <v>0.10753580688597179</v>
      </c>
      <c r="E77" s="91"/>
      <c r="F77" s="121" t="s">
        <v>174</v>
      </c>
      <c r="G77" s="122"/>
      <c r="H77" s="122"/>
      <c r="I77" s="122"/>
      <c r="J77" s="122"/>
      <c r="K77" s="122"/>
      <c r="L77" s="122"/>
      <c r="M77" s="122"/>
      <c r="N77" s="295"/>
      <c r="O77" s="295"/>
      <c r="P77" s="296"/>
    </row>
    <row r="78" spans="1:16" ht="17" thickBot="1" x14ac:dyDescent="0.25">
      <c r="A78" s="114"/>
      <c r="B78" s="115"/>
      <c r="C78" s="116"/>
      <c r="D78" s="117"/>
      <c r="E78" s="118"/>
      <c r="F78" s="118"/>
      <c r="G78" s="118"/>
      <c r="H78" s="118"/>
      <c r="I78" s="118"/>
      <c r="J78" s="118"/>
      <c r="K78" s="118"/>
      <c r="L78" s="118"/>
      <c r="M78" s="118"/>
      <c r="N78" s="118"/>
      <c r="O78" s="118"/>
      <c r="P78" s="119"/>
    </row>
    <row r="79" spans="1:16" ht="17" thickBot="1" x14ac:dyDescent="0.25">
      <c r="A79" s="84" t="s">
        <v>162</v>
      </c>
      <c r="B79" s="39"/>
      <c r="C79" s="39"/>
      <c r="D79" s="85"/>
      <c r="E79" s="39"/>
      <c r="F79" s="39"/>
      <c r="G79" s="39"/>
      <c r="H79" s="39"/>
      <c r="I79" s="39"/>
      <c r="J79" s="39"/>
      <c r="K79" s="39"/>
      <c r="L79" s="39"/>
      <c r="M79" s="39"/>
      <c r="N79" s="39"/>
      <c r="O79" s="39"/>
      <c r="P79" s="40"/>
    </row>
    <row r="80" spans="1:16" x14ac:dyDescent="0.2">
      <c r="A80" s="277" t="s">
        <v>175</v>
      </c>
      <c r="B80" s="278"/>
      <c r="C80" s="278"/>
      <c r="D80" s="278"/>
      <c r="E80" s="278"/>
      <c r="F80" s="278"/>
      <c r="G80" s="278"/>
      <c r="H80" s="278"/>
      <c r="I80" s="278"/>
      <c r="J80" s="278"/>
      <c r="K80" s="278"/>
      <c r="L80" s="278"/>
      <c r="M80" s="278"/>
      <c r="N80" s="278"/>
      <c r="O80" s="278"/>
      <c r="P80" s="279"/>
    </row>
    <row r="81" spans="1:16" x14ac:dyDescent="0.2">
      <c r="A81" s="280"/>
      <c r="B81" s="281"/>
      <c r="C81" s="281"/>
      <c r="D81" s="281"/>
      <c r="E81" s="281"/>
      <c r="F81" s="281"/>
      <c r="G81" s="281"/>
      <c r="H81" s="281"/>
      <c r="I81" s="281"/>
      <c r="J81" s="281"/>
      <c r="K81" s="281"/>
      <c r="L81" s="281"/>
      <c r="M81" s="281"/>
      <c r="N81" s="281"/>
      <c r="O81" s="281"/>
      <c r="P81" s="282"/>
    </row>
    <row r="82" spans="1:16" x14ac:dyDescent="0.2">
      <c r="A82" s="280"/>
      <c r="B82" s="281"/>
      <c r="C82" s="281"/>
      <c r="D82" s="281"/>
      <c r="E82" s="281"/>
      <c r="F82" s="281"/>
      <c r="G82" s="281"/>
      <c r="H82" s="281"/>
      <c r="I82" s="281"/>
      <c r="J82" s="281"/>
      <c r="K82" s="281"/>
      <c r="L82" s="281"/>
      <c r="M82" s="281"/>
      <c r="N82" s="281"/>
      <c r="O82" s="281"/>
      <c r="P82" s="282"/>
    </row>
    <row r="83" spans="1:16" ht="17" thickBot="1" x14ac:dyDescent="0.25">
      <c r="A83" s="283"/>
      <c r="B83" s="284"/>
      <c r="C83" s="284"/>
      <c r="D83" s="284"/>
      <c r="E83" s="284"/>
      <c r="F83" s="284"/>
      <c r="G83" s="284"/>
      <c r="H83" s="284"/>
      <c r="I83" s="284"/>
      <c r="J83" s="284"/>
      <c r="K83" s="284"/>
      <c r="L83" s="284"/>
      <c r="M83" s="284"/>
      <c r="N83" s="284"/>
      <c r="O83" s="284"/>
      <c r="P83" s="285"/>
    </row>
  </sheetData>
  <mergeCells count="12">
    <mergeCell ref="A49:P50"/>
    <mergeCell ref="A80:P83"/>
    <mergeCell ref="F70:H70"/>
    <mergeCell ref="F71:H71"/>
    <mergeCell ref="I72:K72"/>
    <mergeCell ref="I73:K73"/>
    <mergeCell ref="I75:K75"/>
    <mergeCell ref="N60:P60"/>
    <mergeCell ref="N76:P76"/>
    <mergeCell ref="N77:P77"/>
    <mergeCell ref="F74:M74"/>
    <mergeCell ref="N74:P74"/>
  </mergeCells>
  <phoneticPr fontId="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3008C-571C-CC42-A412-74D64D8D0E86}">
  <dimension ref="A1:S42"/>
  <sheetViews>
    <sheetView showGridLines="0" zoomScale="85" zoomScaleNormal="100" workbookViewId="0">
      <selection activeCell="T31" sqref="T31"/>
    </sheetView>
  </sheetViews>
  <sheetFormatPr baseColWidth="10" defaultRowHeight="16" x14ac:dyDescent="0.2"/>
  <cols>
    <col min="1" max="1" width="10.83203125" style="13"/>
    <col min="2" max="2" width="13.6640625" style="13" bestFit="1" customWidth="1"/>
    <col min="3" max="3" width="16" style="13" bestFit="1" customWidth="1"/>
    <col min="4" max="5" width="10.83203125" style="13"/>
    <col min="6" max="6" width="12.1640625" style="13" bestFit="1" customWidth="1"/>
    <col min="7" max="7" width="14.5" style="13" bestFit="1" customWidth="1"/>
    <col min="8" max="16384" width="10.83203125" style="13"/>
  </cols>
  <sheetData>
    <row r="1" spans="1:15" ht="16" customHeight="1" x14ac:dyDescent="0.2">
      <c r="A1" s="1" t="s">
        <v>33</v>
      </c>
      <c r="B1" s="73" t="s">
        <v>147</v>
      </c>
      <c r="C1" s="73" t="s">
        <v>148</v>
      </c>
      <c r="D1" s="156"/>
      <c r="E1" s="1" t="s">
        <v>33</v>
      </c>
      <c r="F1" s="73" t="s">
        <v>149</v>
      </c>
      <c r="G1" s="73" t="s">
        <v>150</v>
      </c>
      <c r="I1" s="305" t="s">
        <v>164</v>
      </c>
      <c r="J1" s="306"/>
      <c r="K1" s="306"/>
      <c r="L1" s="306"/>
      <c r="M1" s="306"/>
      <c r="N1" s="306"/>
      <c r="O1" s="307"/>
    </row>
    <row r="2" spans="1:15" x14ac:dyDescent="0.2">
      <c r="A2" s="5">
        <v>1</v>
      </c>
      <c r="B2" s="83">
        <v>286387</v>
      </c>
      <c r="C2" s="71">
        <f>B2/$B$32*$C$32</f>
        <v>309046.45635254518</v>
      </c>
      <c r="E2" s="5">
        <v>1</v>
      </c>
      <c r="F2" s="2">
        <v>232031</v>
      </c>
      <c r="G2" s="71">
        <f>F2/$F$32*$G$32</f>
        <v>250389.71152300003</v>
      </c>
      <c r="I2" s="308"/>
      <c r="J2" s="309"/>
      <c r="K2" s="309"/>
      <c r="L2" s="309"/>
      <c r="M2" s="309"/>
      <c r="N2" s="309"/>
      <c r="O2" s="310"/>
    </row>
    <row r="3" spans="1:15" ht="16" customHeight="1" thickBot="1" x14ac:dyDescent="0.25">
      <c r="A3" s="5">
        <v>2</v>
      </c>
      <c r="B3" s="83">
        <v>307453</v>
      </c>
      <c r="C3" s="71">
        <f t="shared" ref="C3:C31" si="0">B3/$B$32*$C$32</f>
        <v>331779.23629549902</v>
      </c>
      <c r="E3" s="5">
        <v>2</v>
      </c>
      <c r="F3" s="4">
        <v>249099</v>
      </c>
      <c r="G3" s="71">
        <f t="shared" ref="G3:G31" si="1">F3/$F$32*$G$32</f>
        <v>268808.16248978709</v>
      </c>
      <c r="I3" s="311"/>
      <c r="J3" s="312"/>
      <c r="K3" s="312"/>
      <c r="L3" s="312"/>
      <c r="M3" s="312"/>
      <c r="N3" s="312"/>
      <c r="O3" s="313"/>
    </row>
    <row r="4" spans="1:15" x14ac:dyDescent="0.2">
      <c r="A4" s="5">
        <v>3</v>
      </c>
      <c r="B4" s="83">
        <v>288095</v>
      </c>
      <c r="C4" s="71">
        <f t="shared" si="0"/>
        <v>310889.59639538982</v>
      </c>
      <c r="E4" s="5">
        <v>3</v>
      </c>
      <c r="F4" s="4">
        <v>233415</v>
      </c>
      <c r="G4" s="71">
        <f t="shared" si="1"/>
        <v>251883.21610104278</v>
      </c>
      <c r="I4" s="57" t="s">
        <v>165</v>
      </c>
      <c r="J4" s="20"/>
      <c r="K4" s="20"/>
      <c r="L4" s="20"/>
      <c r="M4" s="20"/>
      <c r="N4" s="20"/>
      <c r="O4" s="21"/>
    </row>
    <row r="5" spans="1:15" x14ac:dyDescent="0.2">
      <c r="A5" s="5">
        <v>4</v>
      </c>
      <c r="B5" s="83">
        <v>267987</v>
      </c>
      <c r="C5" s="71">
        <f t="shared" si="0"/>
        <v>289190.61514157249</v>
      </c>
      <c r="E5" s="5">
        <v>4</v>
      </c>
      <c r="F5" s="4">
        <v>217123</v>
      </c>
      <c r="G5" s="71">
        <f t="shared" si="1"/>
        <v>234302.16365489239</v>
      </c>
      <c r="I5" s="90" t="s">
        <v>157</v>
      </c>
      <c r="J5" s="91"/>
      <c r="K5" s="92" t="s">
        <v>154</v>
      </c>
      <c r="L5" s="99">
        <f>B32-'Demand Forecast (Apr - Sep)'!C26</f>
        <v>230968</v>
      </c>
      <c r="M5" s="44"/>
      <c r="N5" s="44"/>
      <c r="O5" s="45"/>
    </row>
    <row r="6" spans="1:15" x14ac:dyDescent="0.2">
      <c r="A6" s="5">
        <v>5</v>
      </c>
      <c r="B6" s="83">
        <v>288652</v>
      </c>
      <c r="C6" s="71">
        <f t="shared" si="0"/>
        <v>311490.6672407437</v>
      </c>
      <c r="E6" s="5">
        <v>5</v>
      </c>
      <c r="F6" s="4">
        <v>233866</v>
      </c>
      <c r="G6" s="71">
        <f t="shared" si="1"/>
        <v>252369.90003507261</v>
      </c>
      <c r="I6" s="90"/>
      <c r="J6" s="91"/>
      <c r="K6" s="100" t="s">
        <v>155</v>
      </c>
      <c r="L6" s="102">
        <f>L5/'Demand Forecast (Apr - Sep)'!C26</f>
        <v>2.6465000630206365E-2</v>
      </c>
      <c r="M6" s="44"/>
      <c r="N6" s="44"/>
      <c r="O6" s="45"/>
    </row>
    <row r="7" spans="1:15" ht="17" thickBot="1" x14ac:dyDescent="0.25">
      <c r="A7" s="5">
        <v>6</v>
      </c>
      <c r="B7" s="83">
        <v>327752</v>
      </c>
      <c r="C7" s="71">
        <f t="shared" si="0"/>
        <v>353684.32981406065</v>
      </c>
      <c r="E7" s="5">
        <v>6</v>
      </c>
      <c r="F7" s="4">
        <v>265545</v>
      </c>
      <c r="G7" s="71">
        <f t="shared" si="1"/>
        <v>286555.39969389886</v>
      </c>
      <c r="I7" s="35"/>
      <c r="J7" s="36"/>
      <c r="K7" s="36"/>
      <c r="L7" s="36"/>
      <c r="M7" s="36"/>
      <c r="N7" s="36"/>
      <c r="O7" s="37"/>
    </row>
    <row r="8" spans="1:15" ht="17" thickBot="1" x14ac:dyDescent="0.25">
      <c r="A8" s="5">
        <v>7</v>
      </c>
      <c r="B8" s="83">
        <v>260029</v>
      </c>
      <c r="C8" s="71">
        <f t="shared" si="0"/>
        <v>280602.96381782682</v>
      </c>
      <c r="E8" s="5">
        <v>7</v>
      </c>
      <c r="F8" s="4">
        <v>210676</v>
      </c>
      <c r="G8" s="71">
        <f t="shared" si="1"/>
        <v>227345.06537841735</v>
      </c>
      <c r="I8" s="38" t="s">
        <v>166</v>
      </c>
      <c r="J8" s="39"/>
      <c r="K8" s="39"/>
      <c r="L8" s="39"/>
      <c r="M8" s="39"/>
      <c r="N8" s="39"/>
      <c r="O8" s="40"/>
    </row>
    <row r="9" spans="1:15" x14ac:dyDescent="0.2">
      <c r="A9" s="5">
        <v>8</v>
      </c>
      <c r="B9" s="83">
        <v>278243</v>
      </c>
      <c r="C9" s="71">
        <f t="shared" si="0"/>
        <v>300258.0883730799</v>
      </c>
      <c r="E9" s="5">
        <v>8</v>
      </c>
      <c r="F9" s="4">
        <v>225433</v>
      </c>
      <c r="G9" s="71">
        <f t="shared" si="1"/>
        <v>243269.66585397843</v>
      </c>
      <c r="I9" s="314" t="s">
        <v>167</v>
      </c>
      <c r="J9" s="315"/>
      <c r="K9" s="315"/>
      <c r="L9" s="315"/>
      <c r="M9" s="315"/>
      <c r="N9" s="315"/>
      <c r="O9" s="316"/>
    </row>
    <row r="10" spans="1:15" x14ac:dyDescent="0.2">
      <c r="A10" s="5">
        <v>9</v>
      </c>
      <c r="B10" s="83">
        <v>299058</v>
      </c>
      <c r="C10" s="71">
        <f t="shared" si="0"/>
        <v>322720.00874299271</v>
      </c>
      <c r="E10" s="5">
        <v>9</v>
      </c>
      <c r="F10" s="4">
        <v>242297</v>
      </c>
      <c r="G10" s="71">
        <f t="shared" si="1"/>
        <v>261467.97597255683</v>
      </c>
      <c r="I10" s="314"/>
      <c r="J10" s="315"/>
      <c r="K10" s="315"/>
      <c r="L10" s="315"/>
      <c r="M10" s="315"/>
      <c r="N10" s="315"/>
      <c r="O10" s="316"/>
    </row>
    <row r="11" spans="1:15" x14ac:dyDescent="0.2">
      <c r="A11" s="5">
        <v>10</v>
      </c>
      <c r="B11" s="83">
        <v>323536</v>
      </c>
      <c r="C11" s="71">
        <f t="shared" si="0"/>
        <v>349134.75228441606</v>
      </c>
      <c r="E11" s="5">
        <v>10</v>
      </c>
      <c r="F11" s="4">
        <v>262129</v>
      </c>
      <c r="G11" s="71">
        <f t="shared" si="1"/>
        <v>282869.11960820958</v>
      </c>
      <c r="I11" s="314"/>
      <c r="J11" s="315"/>
      <c r="K11" s="315"/>
      <c r="L11" s="315"/>
      <c r="M11" s="315"/>
      <c r="N11" s="315"/>
      <c r="O11" s="316"/>
    </row>
    <row r="12" spans="1:15" x14ac:dyDescent="0.2">
      <c r="A12" s="5">
        <v>11</v>
      </c>
      <c r="B12" s="83">
        <v>269299</v>
      </c>
      <c r="C12" s="71">
        <f t="shared" si="0"/>
        <v>290606.42294965929</v>
      </c>
      <c r="E12" s="5">
        <v>11</v>
      </c>
      <c r="F12" s="2">
        <v>218186</v>
      </c>
      <c r="G12" s="71">
        <f t="shared" si="1"/>
        <v>235449.27013354804</v>
      </c>
      <c r="I12" s="314"/>
      <c r="J12" s="315"/>
      <c r="K12" s="315"/>
      <c r="L12" s="315"/>
      <c r="M12" s="315"/>
      <c r="N12" s="315"/>
      <c r="O12" s="316"/>
    </row>
    <row r="13" spans="1:15" ht="16" customHeight="1" x14ac:dyDescent="0.2">
      <c r="A13" s="5">
        <v>12</v>
      </c>
      <c r="B13" s="83">
        <v>275672</v>
      </c>
      <c r="C13" s="71">
        <f t="shared" si="0"/>
        <v>297483.66621256847</v>
      </c>
      <c r="E13" s="5">
        <v>12</v>
      </c>
      <c r="F13" s="2">
        <v>223350</v>
      </c>
      <c r="G13" s="71">
        <f t="shared" si="1"/>
        <v>241021.85513427973</v>
      </c>
      <c r="I13" s="43"/>
      <c r="J13" s="44"/>
      <c r="K13" s="44"/>
      <c r="L13" s="44"/>
      <c r="M13" s="44"/>
      <c r="N13" s="44"/>
      <c r="O13" s="45"/>
    </row>
    <row r="14" spans="1:15" ht="16" customHeight="1" x14ac:dyDescent="0.2">
      <c r="A14" s="5">
        <v>13</v>
      </c>
      <c r="B14" s="83">
        <v>308182</v>
      </c>
      <c r="C14" s="71">
        <f t="shared" si="0"/>
        <v>332565.91609130334</v>
      </c>
      <c r="E14" s="5">
        <v>13</v>
      </c>
      <c r="F14" s="2">
        <v>249689</v>
      </c>
      <c r="G14" s="71">
        <f t="shared" si="1"/>
        <v>269444.84435470414</v>
      </c>
      <c r="I14" s="43" t="s">
        <v>168</v>
      </c>
      <c r="J14" s="44"/>
      <c r="K14" s="44"/>
      <c r="L14" s="44"/>
      <c r="M14" s="44"/>
      <c r="N14" s="44"/>
      <c r="O14" s="45"/>
    </row>
    <row r="15" spans="1:15" x14ac:dyDescent="0.2">
      <c r="A15" s="5">
        <v>14</v>
      </c>
      <c r="B15" s="83">
        <v>287419</v>
      </c>
      <c r="C15" s="71">
        <f t="shared" si="0"/>
        <v>310160.11005524755</v>
      </c>
      <c r="E15" s="5">
        <v>14</v>
      </c>
      <c r="F15" s="2">
        <v>232867</v>
      </c>
      <c r="G15" s="71">
        <f t="shared" si="1"/>
        <v>251291.85735193337</v>
      </c>
      <c r="I15" s="301" t="s">
        <v>152</v>
      </c>
      <c r="J15" s="302"/>
      <c r="K15" s="74">
        <f>F32/B32</f>
        <v>0.81020092276765998</v>
      </c>
      <c r="L15" s="44"/>
      <c r="M15" s="44"/>
      <c r="N15" s="44"/>
      <c r="O15" s="45"/>
    </row>
    <row r="16" spans="1:15" ht="17" thickBot="1" x14ac:dyDescent="0.25">
      <c r="A16" s="5">
        <v>15</v>
      </c>
      <c r="B16" s="83">
        <v>307718</v>
      </c>
      <c r="C16" s="71">
        <f t="shared" si="0"/>
        <v>332065.20357380924</v>
      </c>
      <c r="E16" s="5">
        <v>15</v>
      </c>
      <c r="F16" s="2">
        <v>249313</v>
      </c>
      <c r="G16" s="71">
        <f t="shared" si="1"/>
        <v>269039.09455604514</v>
      </c>
      <c r="I16" s="303" t="s">
        <v>151</v>
      </c>
      <c r="J16" s="304"/>
      <c r="K16" s="101">
        <f>1-K15</f>
        <v>0.18979907723234002</v>
      </c>
      <c r="L16" s="36"/>
      <c r="M16" s="36"/>
      <c r="N16" s="36"/>
      <c r="O16" s="37"/>
    </row>
    <row r="17" spans="1:9" x14ac:dyDescent="0.2">
      <c r="A17" s="5">
        <v>16</v>
      </c>
      <c r="B17" s="83">
        <v>316682</v>
      </c>
      <c r="C17" s="71">
        <f t="shared" si="0"/>
        <v>341738.45143332874</v>
      </c>
      <c r="E17" s="5">
        <v>16</v>
      </c>
      <c r="F17" s="2">
        <v>256576</v>
      </c>
      <c r="G17" s="71">
        <f t="shared" si="1"/>
        <v>276876.75622535462</v>
      </c>
    </row>
    <row r="18" spans="1:9" x14ac:dyDescent="0.2">
      <c r="A18" s="5">
        <v>17</v>
      </c>
      <c r="B18" s="83">
        <v>330245</v>
      </c>
      <c r="C18" s="71">
        <f t="shared" si="0"/>
        <v>356374.58047378651</v>
      </c>
      <c r="E18" s="5">
        <v>17</v>
      </c>
      <c r="F18" s="2">
        <v>267565</v>
      </c>
      <c r="G18" s="71">
        <f t="shared" si="1"/>
        <v>288735.22573988605</v>
      </c>
    </row>
    <row r="19" spans="1:9" x14ac:dyDescent="0.2">
      <c r="A19" s="5">
        <v>18</v>
      </c>
      <c r="B19" s="83">
        <v>335029</v>
      </c>
      <c r="C19" s="71">
        <f t="shared" si="0"/>
        <v>361537.09918863937</v>
      </c>
      <c r="E19" s="5">
        <v>18</v>
      </c>
      <c r="F19" s="2">
        <v>271441</v>
      </c>
      <c r="G19" s="71">
        <f t="shared" si="1"/>
        <v>292917.90185584966</v>
      </c>
    </row>
    <row r="20" spans="1:9" x14ac:dyDescent="0.2">
      <c r="A20" s="5">
        <v>19</v>
      </c>
      <c r="B20" s="83">
        <v>342925</v>
      </c>
      <c r="C20" s="71">
        <f t="shared" si="0"/>
        <v>370057.84496047854</v>
      </c>
      <c r="E20" s="5">
        <v>19</v>
      </c>
      <c r="F20" s="2">
        <v>277838</v>
      </c>
      <c r="G20" s="71">
        <f t="shared" si="1"/>
        <v>299821.0440420775</v>
      </c>
    </row>
    <row r="21" spans="1:9" x14ac:dyDescent="0.2">
      <c r="A21" s="5">
        <v>20</v>
      </c>
      <c r="B21" s="83">
        <v>309399</v>
      </c>
      <c r="C21" s="71">
        <f t="shared" si="0"/>
        <v>333879.20732792036</v>
      </c>
      <c r="E21" s="5">
        <v>20</v>
      </c>
      <c r="F21" s="2">
        <v>250675</v>
      </c>
      <c r="G21" s="71">
        <f t="shared" si="1"/>
        <v>270508.85845437914</v>
      </c>
    </row>
    <row r="22" spans="1:9" x14ac:dyDescent="0.2">
      <c r="A22" s="5">
        <v>21</v>
      </c>
      <c r="B22" s="83">
        <v>272493</v>
      </c>
      <c r="C22" s="71">
        <f t="shared" si="0"/>
        <v>294053.13799465093</v>
      </c>
      <c r="E22" s="5">
        <v>21</v>
      </c>
      <c r="F22" s="2">
        <v>220774</v>
      </c>
      <c r="G22" s="71">
        <f t="shared" si="1"/>
        <v>238242.03736474356</v>
      </c>
    </row>
    <row r="23" spans="1:9" x14ac:dyDescent="0.2">
      <c r="A23" s="5">
        <v>22</v>
      </c>
      <c r="B23" s="83">
        <v>298470</v>
      </c>
      <c r="C23" s="71">
        <f t="shared" si="0"/>
        <v>322085.4851216856</v>
      </c>
      <c r="E23" s="5">
        <v>22</v>
      </c>
      <c r="F23" s="2">
        <v>241821</v>
      </c>
      <c r="G23" s="71">
        <f t="shared" si="1"/>
        <v>260954.31399340343</v>
      </c>
    </row>
    <row r="24" spans="1:9" x14ac:dyDescent="0.2">
      <c r="A24" s="5">
        <v>23</v>
      </c>
      <c r="B24" s="83">
        <v>318493</v>
      </c>
      <c r="C24" s="71">
        <f t="shared" si="0"/>
        <v>343692.74102208263</v>
      </c>
      <c r="E24" s="5">
        <v>23</v>
      </c>
      <c r="F24" s="2">
        <v>258043</v>
      </c>
      <c r="G24" s="71">
        <f t="shared" si="1"/>
        <v>278459.82791320776</v>
      </c>
    </row>
    <row r="25" spans="1:9" x14ac:dyDescent="0.2">
      <c r="A25" s="5">
        <v>24</v>
      </c>
      <c r="B25" s="83">
        <v>304744</v>
      </c>
      <c r="C25" s="71">
        <f t="shared" si="0"/>
        <v>328855.89532590524</v>
      </c>
      <c r="E25" s="5">
        <v>24</v>
      </c>
      <c r="F25" s="2">
        <v>246904</v>
      </c>
      <c r="G25" s="71">
        <f t="shared" si="1"/>
        <v>266439.49012793461</v>
      </c>
    </row>
    <row r="26" spans="1:9" x14ac:dyDescent="0.2">
      <c r="A26" s="5">
        <v>25</v>
      </c>
      <c r="B26" s="83">
        <v>285709</v>
      </c>
      <c r="C26" s="71">
        <f t="shared" si="0"/>
        <v>308314.81176879309</v>
      </c>
      <c r="E26" s="5">
        <v>25</v>
      </c>
      <c r="F26" s="2">
        <v>231482</v>
      </c>
      <c r="G26" s="71">
        <f t="shared" si="1"/>
        <v>249797.27365208571</v>
      </c>
    </row>
    <row r="27" spans="1:9" x14ac:dyDescent="0.2">
      <c r="A27" s="5">
        <v>26</v>
      </c>
      <c r="B27" s="83">
        <v>308121</v>
      </c>
      <c r="C27" s="71">
        <f t="shared" si="0"/>
        <v>332500.08966120169</v>
      </c>
      <c r="E27" s="5">
        <v>26</v>
      </c>
      <c r="F27" s="2">
        <v>249640</v>
      </c>
      <c r="G27" s="71">
        <f t="shared" si="1"/>
        <v>269391.96738626191</v>
      </c>
    </row>
    <row r="28" spans="1:9" x14ac:dyDescent="0.2">
      <c r="A28" s="5">
        <v>27</v>
      </c>
      <c r="B28" s="83">
        <v>316298</v>
      </c>
      <c r="C28" s="71">
        <f t="shared" si="0"/>
        <v>341324.06866023014</v>
      </c>
      <c r="E28" s="5">
        <v>27</v>
      </c>
      <c r="F28" s="2">
        <v>256265</v>
      </c>
      <c r="G28" s="71">
        <f t="shared" si="1"/>
        <v>276541.14934401703</v>
      </c>
    </row>
    <row r="29" spans="1:9" x14ac:dyDescent="0.2">
      <c r="A29" s="5">
        <v>28</v>
      </c>
      <c r="B29" s="83">
        <v>257257</v>
      </c>
      <c r="C29" s="71">
        <f t="shared" si="0"/>
        <v>277611.63817452162</v>
      </c>
      <c r="E29" s="5">
        <v>28</v>
      </c>
      <c r="F29" s="2">
        <v>208430</v>
      </c>
      <c r="G29" s="71">
        <f t="shared" si="1"/>
        <v>224921.35780451278</v>
      </c>
    </row>
    <row r="30" spans="1:9" x14ac:dyDescent="0.2">
      <c r="A30" s="5">
        <v>29</v>
      </c>
      <c r="B30" s="83">
        <v>314569</v>
      </c>
      <c r="C30" s="71">
        <f t="shared" si="0"/>
        <v>339458.2670594817</v>
      </c>
      <c r="E30" s="5">
        <v>29</v>
      </c>
      <c r="F30" s="2">
        <v>254864</v>
      </c>
      <c r="G30" s="71">
        <f t="shared" si="1"/>
        <v>275029.29969529022</v>
      </c>
    </row>
    <row r="31" spans="1:9" x14ac:dyDescent="0.2">
      <c r="A31" s="5">
        <v>30</v>
      </c>
      <c r="B31" s="83">
        <v>272352</v>
      </c>
      <c r="C31" s="71">
        <f t="shared" si="0"/>
        <v>293900.98182015383</v>
      </c>
      <c r="E31" s="5">
        <v>30</v>
      </c>
      <c r="F31" s="2">
        <v>220660</v>
      </c>
      <c r="G31" s="71">
        <f t="shared" si="1"/>
        <v>238119.01747897992</v>
      </c>
    </row>
    <row r="32" spans="1:9" x14ac:dyDescent="0.2">
      <c r="A32" s="3" t="s">
        <v>179</v>
      </c>
      <c r="B32" s="159">
        <f>SUM(B2:B31)</f>
        <v>8958268</v>
      </c>
      <c r="C32" s="160">
        <v>9667062.3333335742</v>
      </c>
      <c r="E32" s="3" t="s">
        <v>179</v>
      </c>
      <c r="F32" s="161">
        <f>SUM(F2:F31)</f>
        <v>7257997</v>
      </c>
      <c r="G32" s="160">
        <f>C32*K15</f>
        <v>7832262.8229193501</v>
      </c>
      <c r="I32" s="145"/>
    </row>
    <row r="33" spans="1:19" x14ac:dyDescent="0.2">
      <c r="F33" s="144"/>
      <c r="I33" s="157"/>
    </row>
    <row r="37" spans="1:19" x14ac:dyDescent="0.2">
      <c r="A37" s="155"/>
      <c r="B37" s="155"/>
      <c r="C37" s="158"/>
      <c r="D37" s="155"/>
      <c r="E37" s="155"/>
      <c r="F37" s="158"/>
      <c r="G37" s="155"/>
      <c r="H37" s="155"/>
      <c r="I37" s="155"/>
      <c r="J37" s="155"/>
      <c r="K37" s="155"/>
      <c r="L37" s="155"/>
      <c r="M37" s="155"/>
      <c r="N37" s="155"/>
      <c r="O37" s="155"/>
      <c r="P37" s="155"/>
      <c r="Q37" s="155"/>
      <c r="R37" s="155"/>
      <c r="S37" s="155"/>
    </row>
    <row r="38" spans="1:19" x14ac:dyDescent="0.2">
      <c r="A38" s="155"/>
      <c r="B38" s="158"/>
      <c r="C38" s="158"/>
      <c r="D38" s="155"/>
      <c r="E38" s="155"/>
      <c r="F38" s="155"/>
      <c r="G38" s="155"/>
      <c r="H38" s="155"/>
      <c r="I38" s="155"/>
      <c r="J38" s="155"/>
      <c r="K38" s="155"/>
      <c r="L38" s="155"/>
      <c r="M38" s="155"/>
      <c r="N38" s="155"/>
      <c r="O38" s="155"/>
      <c r="P38" s="155"/>
      <c r="Q38" s="155"/>
      <c r="R38" s="155"/>
      <c r="S38" s="155"/>
    </row>
    <row r="39" spans="1:19" x14ac:dyDescent="0.2">
      <c r="A39" s="155"/>
      <c r="B39" s="155"/>
      <c r="C39" s="158"/>
      <c r="D39" s="155"/>
      <c r="E39" s="155"/>
      <c r="F39" s="155"/>
      <c r="G39" s="155"/>
      <c r="H39" s="155"/>
      <c r="I39" s="155"/>
      <c r="J39" s="155"/>
      <c r="K39" s="155"/>
      <c r="L39" s="155"/>
      <c r="M39" s="155"/>
      <c r="N39" s="155"/>
      <c r="O39" s="155"/>
      <c r="P39" s="155"/>
      <c r="Q39" s="155"/>
      <c r="R39" s="155"/>
      <c r="S39" s="155"/>
    </row>
    <row r="40" spans="1:19" x14ac:dyDescent="0.2">
      <c r="A40" s="155"/>
      <c r="B40" s="155"/>
      <c r="C40" s="155"/>
      <c r="D40" s="155"/>
      <c r="E40" s="155"/>
      <c r="F40" s="155"/>
      <c r="G40" s="155"/>
      <c r="H40" s="155"/>
      <c r="I40" s="155"/>
      <c r="J40" s="155"/>
      <c r="K40" s="155"/>
      <c r="L40" s="155"/>
      <c r="M40" s="155"/>
      <c r="N40" s="155"/>
      <c r="O40" s="155"/>
      <c r="P40" s="155"/>
      <c r="Q40" s="155"/>
      <c r="R40" s="155"/>
      <c r="S40" s="155"/>
    </row>
    <row r="41" spans="1:19" x14ac:dyDescent="0.2">
      <c r="A41" s="155"/>
      <c r="B41" s="155"/>
      <c r="C41" s="155"/>
      <c r="D41" s="155"/>
      <c r="E41" s="155"/>
      <c r="F41" s="155"/>
      <c r="G41" s="155"/>
      <c r="H41" s="155"/>
      <c r="I41" s="155"/>
      <c r="J41" s="155"/>
      <c r="K41" s="155"/>
      <c r="L41" s="155"/>
      <c r="M41" s="155"/>
      <c r="N41" s="155"/>
      <c r="O41" s="155"/>
      <c r="P41" s="155"/>
      <c r="Q41" s="155"/>
      <c r="R41" s="155"/>
      <c r="S41" s="155"/>
    </row>
    <row r="42" spans="1:19" x14ac:dyDescent="0.2">
      <c r="A42" s="155"/>
      <c r="B42" s="155"/>
      <c r="C42" s="155"/>
      <c r="D42" s="155"/>
      <c r="E42" s="155"/>
      <c r="F42" s="155"/>
      <c r="G42" s="155"/>
      <c r="H42" s="155"/>
      <c r="I42" s="155"/>
      <c r="J42" s="155"/>
      <c r="K42" s="155"/>
      <c r="L42" s="155"/>
      <c r="M42" s="155"/>
      <c r="N42" s="155"/>
      <c r="O42" s="155"/>
      <c r="P42" s="155"/>
      <c r="Q42" s="155"/>
      <c r="R42" s="155"/>
      <c r="S42" s="155"/>
    </row>
  </sheetData>
  <mergeCells count="4">
    <mergeCell ref="I15:J15"/>
    <mergeCell ref="I16:J16"/>
    <mergeCell ref="I1:O3"/>
    <mergeCell ref="I9:O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38FFC-4274-F140-97CB-28FFE93322CC}">
  <dimension ref="A1:AM100"/>
  <sheetViews>
    <sheetView showGridLines="0" topLeftCell="A61" zoomScale="81" zoomScaleNormal="65" workbookViewId="0">
      <selection activeCell="A31" sqref="A31:XFD31"/>
    </sheetView>
  </sheetViews>
  <sheetFormatPr baseColWidth="10" defaultRowHeight="16" x14ac:dyDescent="0.2"/>
  <cols>
    <col min="1" max="1" width="55.6640625" bestFit="1" customWidth="1"/>
    <col min="2" max="13" width="10.83203125" hidden="1" customWidth="1"/>
    <col min="14" max="31" width="12.5" bestFit="1" customWidth="1"/>
    <col min="33" max="33" width="16" customWidth="1"/>
    <col min="34" max="34" width="10.83203125" customWidth="1"/>
    <col min="37" max="37" width="18" bestFit="1" customWidth="1"/>
  </cols>
  <sheetData>
    <row r="1" spans="1:31" s="6" customFormat="1" ht="21" x14ac:dyDescent="0.25">
      <c r="A1" s="191" t="s">
        <v>135</v>
      </c>
    </row>
    <row r="3" spans="1:31" x14ac:dyDescent="0.2">
      <c r="A3" s="64" t="s">
        <v>201</v>
      </c>
    </row>
    <row r="4" spans="1:31" ht="17" thickBot="1" x14ac:dyDescent="0.25">
      <c r="A4" s="182" t="s">
        <v>136</v>
      </c>
      <c r="B4" s="59" t="s">
        <v>137</v>
      </c>
      <c r="C4" s="59"/>
      <c r="D4" s="59"/>
      <c r="E4" s="59"/>
      <c r="F4" s="59"/>
      <c r="G4" s="59"/>
      <c r="H4" s="59"/>
      <c r="I4" s="59"/>
      <c r="J4" s="59"/>
      <c r="K4" s="59"/>
      <c r="L4" s="59"/>
      <c r="M4" s="59"/>
      <c r="N4" s="317" t="s">
        <v>191</v>
      </c>
      <c r="O4" s="318"/>
      <c r="P4" s="318"/>
      <c r="Q4" s="318"/>
      <c r="R4" s="318"/>
      <c r="S4" s="318"/>
      <c r="T4" s="318"/>
      <c r="U4" s="318"/>
      <c r="V4" s="318"/>
      <c r="W4" s="318"/>
      <c r="X4" s="318"/>
      <c r="Y4" s="318"/>
      <c r="Z4" s="318"/>
      <c r="AA4" s="318"/>
      <c r="AB4" s="318"/>
      <c r="AC4" s="318"/>
      <c r="AD4" s="318"/>
      <c r="AE4" s="318"/>
    </row>
    <row r="5" spans="1:31" ht="17" thickBot="1" x14ac:dyDescent="0.25">
      <c r="A5" s="182" t="s">
        <v>138</v>
      </c>
      <c r="B5" s="59">
        <v>1</v>
      </c>
      <c r="C5" s="59">
        <v>2</v>
      </c>
      <c r="D5" s="59">
        <v>3</v>
      </c>
      <c r="E5" s="59">
        <v>4</v>
      </c>
      <c r="F5" s="59">
        <v>5</v>
      </c>
      <c r="G5" s="59">
        <v>6</v>
      </c>
      <c r="H5" s="59">
        <v>7</v>
      </c>
      <c r="I5" s="59">
        <v>8</v>
      </c>
      <c r="J5" s="59">
        <v>9</v>
      </c>
      <c r="K5" s="59">
        <v>10</v>
      </c>
      <c r="L5" s="59">
        <v>11</v>
      </c>
      <c r="M5" s="59">
        <v>12</v>
      </c>
      <c r="N5" s="183">
        <v>13</v>
      </c>
      <c r="O5" s="184">
        <v>14</v>
      </c>
      <c r="P5" s="184">
        <v>15</v>
      </c>
      <c r="Q5" s="184">
        <v>16</v>
      </c>
      <c r="R5" s="184">
        <v>17</v>
      </c>
      <c r="S5" s="184">
        <v>18</v>
      </c>
      <c r="T5" s="184">
        <v>19</v>
      </c>
      <c r="U5" s="184">
        <v>20</v>
      </c>
      <c r="V5" s="184">
        <v>21</v>
      </c>
      <c r="W5" s="184">
        <v>22</v>
      </c>
      <c r="X5" s="184">
        <v>23</v>
      </c>
      <c r="Y5" s="184">
        <v>24</v>
      </c>
      <c r="Z5" s="184">
        <v>25</v>
      </c>
      <c r="AA5" s="184">
        <v>26</v>
      </c>
      <c r="AB5" s="184">
        <v>27</v>
      </c>
      <c r="AC5" s="184">
        <v>28</v>
      </c>
      <c r="AD5" s="184">
        <v>29</v>
      </c>
      <c r="AE5" s="185">
        <v>30</v>
      </c>
    </row>
    <row r="6" spans="1:31" x14ac:dyDescent="0.2">
      <c r="A6" s="190" t="s">
        <v>224</v>
      </c>
      <c r="B6" s="57">
        <v>3</v>
      </c>
      <c r="C6" s="20">
        <v>3</v>
      </c>
      <c r="D6" s="20">
        <v>3</v>
      </c>
      <c r="E6" s="20">
        <v>3</v>
      </c>
      <c r="F6" s="20">
        <v>3</v>
      </c>
      <c r="G6" s="20">
        <v>3</v>
      </c>
      <c r="H6" s="20">
        <v>3</v>
      </c>
      <c r="I6" s="20">
        <v>3</v>
      </c>
      <c r="J6" s="20">
        <v>3</v>
      </c>
      <c r="K6" s="20">
        <v>3</v>
      </c>
      <c r="L6" s="20">
        <v>3</v>
      </c>
      <c r="M6" s="20">
        <v>3</v>
      </c>
      <c r="N6" s="57">
        <f>N15-N22</f>
        <v>3</v>
      </c>
      <c r="O6" s="20">
        <f t="shared" ref="O6:AE6" si="0">O15-O22</f>
        <v>3</v>
      </c>
      <c r="P6" s="20">
        <f t="shared" si="0"/>
        <v>3</v>
      </c>
      <c r="Q6" s="20">
        <f t="shared" si="0"/>
        <v>3</v>
      </c>
      <c r="R6" s="20">
        <f t="shared" si="0"/>
        <v>3</v>
      </c>
      <c r="S6" s="20">
        <f t="shared" si="0"/>
        <v>3</v>
      </c>
      <c r="T6" s="20">
        <f t="shared" si="0"/>
        <v>3</v>
      </c>
      <c r="U6" s="20">
        <f t="shared" si="0"/>
        <v>3</v>
      </c>
      <c r="V6" s="20">
        <f t="shared" si="0"/>
        <v>3</v>
      </c>
      <c r="W6" s="20">
        <f t="shared" si="0"/>
        <v>3</v>
      </c>
      <c r="X6" s="20">
        <f t="shared" si="0"/>
        <v>3</v>
      </c>
      <c r="Y6" s="20">
        <f t="shared" si="0"/>
        <v>3</v>
      </c>
      <c r="Z6" s="20">
        <f t="shared" si="0"/>
        <v>3</v>
      </c>
      <c r="AA6" s="20">
        <f t="shared" si="0"/>
        <v>3</v>
      </c>
      <c r="AB6" s="20">
        <f t="shared" si="0"/>
        <v>3</v>
      </c>
      <c r="AC6" s="20">
        <f t="shared" si="0"/>
        <v>3</v>
      </c>
      <c r="AD6" s="20">
        <f t="shared" si="0"/>
        <v>3</v>
      </c>
      <c r="AE6" s="21">
        <f t="shared" si="0"/>
        <v>3</v>
      </c>
    </row>
    <row r="7" spans="1:31" x14ac:dyDescent="0.2">
      <c r="A7" s="190" t="s">
        <v>225</v>
      </c>
      <c r="B7" s="58">
        <v>9.3111049999999995</v>
      </c>
      <c r="C7" s="59">
        <v>9.3111049999999995</v>
      </c>
      <c r="D7" s="59">
        <v>9.3111049999999995</v>
      </c>
      <c r="E7" s="59">
        <v>9.3111049999999995</v>
      </c>
      <c r="F7" s="59">
        <v>9.3111049999999995</v>
      </c>
      <c r="G7" s="59">
        <v>9.3111049999999995</v>
      </c>
      <c r="H7" s="59">
        <v>9.3111049999999995</v>
      </c>
      <c r="I7" s="59">
        <v>9.3111049999999995</v>
      </c>
      <c r="J7" s="59">
        <v>9.3111049999999995</v>
      </c>
      <c r="K7" s="59">
        <v>9.3111049999999995</v>
      </c>
      <c r="L7" s="59">
        <v>9.3111049999999995</v>
      </c>
      <c r="M7" s="59">
        <v>9.3111049999999995</v>
      </c>
      <c r="N7" s="189">
        <f>N16-N23</f>
        <v>9.3111049999999995</v>
      </c>
      <c r="O7" s="178">
        <f t="shared" ref="O7:AE7" si="1">O16-O23</f>
        <v>9.3111049999999995</v>
      </c>
      <c r="P7" s="178">
        <f t="shared" si="1"/>
        <v>9.3111049999999995</v>
      </c>
      <c r="Q7" s="178">
        <f t="shared" si="1"/>
        <v>9.3111049999999995</v>
      </c>
      <c r="R7" s="178">
        <f t="shared" si="1"/>
        <v>9.3111049999999995</v>
      </c>
      <c r="S7" s="178">
        <f t="shared" si="1"/>
        <v>9.3111049999999995</v>
      </c>
      <c r="T7" s="178">
        <f t="shared" si="1"/>
        <v>9.3111049999999995</v>
      </c>
      <c r="U7" s="178">
        <f t="shared" si="1"/>
        <v>9.3111049999999995</v>
      </c>
      <c r="V7" s="178">
        <f t="shared" si="1"/>
        <v>9.3111049999999995</v>
      </c>
      <c r="W7" s="178">
        <f t="shared" si="1"/>
        <v>9.3111049999999995</v>
      </c>
      <c r="X7" s="178">
        <f t="shared" si="1"/>
        <v>9.3111049999999995</v>
      </c>
      <c r="Y7" s="178">
        <f t="shared" si="1"/>
        <v>9.3111049999999995</v>
      </c>
      <c r="Z7" s="178">
        <f t="shared" si="1"/>
        <v>9.3111049999999995</v>
      </c>
      <c r="AA7" s="178">
        <f t="shared" si="1"/>
        <v>9.3111049999999995</v>
      </c>
      <c r="AB7" s="178">
        <f t="shared" si="1"/>
        <v>9.3111049999999995</v>
      </c>
      <c r="AC7" s="178">
        <f t="shared" si="1"/>
        <v>9.3111049999999995</v>
      </c>
      <c r="AD7" s="178">
        <f t="shared" si="1"/>
        <v>9.3111049999999995</v>
      </c>
      <c r="AE7" s="179">
        <f t="shared" si="1"/>
        <v>9.3111049999999995</v>
      </c>
    </row>
    <row r="8" spans="1:31" ht="17" thickBot="1" x14ac:dyDescent="0.25">
      <c r="A8" s="190" t="s">
        <v>226</v>
      </c>
      <c r="B8" s="61">
        <v>1.5</v>
      </c>
      <c r="C8" s="62">
        <v>1.5</v>
      </c>
      <c r="D8" s="62">
        <v>1.5</v>
      </c>
      <c r="E8" s="62">
        <v>1.5</v>
      </c>
      <c r="F8" s="62">
        <v>1.5</v>
      </c>
      <c r="G8" s="62">
        <v>1.5</v>
      </c>
      <c r="H8" s="62">
        <v>1.5</v>
      </c>
      <c r="I8" s="62">
        <v>1.5</v>
      </c>
      <c r="J8" s="62">
        <v>1.5</v>
      </c>
      <c r="K8" s="62">
        <v>1.5</v>
      </c>
      <c r="L8" s="62">
        <v>1.5</v>
      </c>
      <c r="M8" s="62">
        <v>1.5</v>
      </c>
      <c r="N8" s="61">
        <f t="shared" ref="N8:AE8" si="2">N17-N24</f>
        <v>1.5</v>
      </c>
      <c r="O8" s="62">
        <f t="shared" si="2"/>
        <v>1.5</v>
      </c>
      <c r="P8" s="62">
        <f t="shared" si="2"/>
        <v>1.5</v>
      </c>
      <c r="Q8" s="62">
        <f t="shared" si="2"/>
        <v>1.5</v>
      </c>
      <c r="R8" s="62">
        <f t="shared" si="2"/>
        <v>1.5</v>
      </c>
      <c r="S8" s="62">
        <f t="shared" si="2"/>
        <v>1.5</v>
      </c>
      <c r="T8" s="62">
        <f t="shared" si="2"/>
        <v>1.5</v>
      </c>
      <c r="U8" s="62">
        <f t="shared" si="2"/>
        <v>1.5</v>
      </c>
      <c r="V8" s="62">
        <f t="shared" si="2"/>
        <v>1.5</v>
      </c>
      <c r="W8" s="62">
        <f t="shared" si="2"/>
        <v>1.5</v>
      </c>
      <c r="X8" s="62">
        <f t="shared" si="2"/>
        <v>1.5</v>
      </c>
      <c r="Y8" s="62">
        <f t="shared" si="2"/>
        <v>1.5</v>
      </c>
      <c r="Z8" s="62">
        <f t="shared" si="2"/>
        <v>1.5</v>
      </c>
      <c r="AA8" s="62">
        <f t="shared" si="2"/>
        <v>1.5</v>
      </c>
      <c r="AB8" s="62">
        <f t="shared" si="2"/>
        <v>1.5</v>
      </c>
      <c r="AC8" s="62">
        <f t="shared" si="2"/>
        <v>1.5</v>
      </c>
      <c r="AD8" s="62">
        <f t="shared" si="2"/>
        <v>1.5</v>
      </c>
      <c r="AE8" s="63">
        <f t="shared" si="2"/>
        <v>1.5</v>
      </c>
    </row>
    <row r="9" spans="1:31" x14ac:dyDescent="0.2">
      <c r="A9" s="182"/>
      <c r="B9" s="59"/>
      <c r="C9" s="59"/>
      <c r="D9" s="59"/>
      <c r="E9" s="59"/>
      <c r="F9" s="59"/>
      <c r="G9" s="59"/>
      <c r="H9" s="59"/>
      <c r="I9" s="59"/>
      <c r="J9" s="59"/>
      <c r="K9" s="59"/>
      <c r="L9" s="59"/>
      <c r="M9" s="59"/>
      <c r="N9" s="59"/>
      <c r="O9" s="59"/>
      <c r="P9" s="59"/>
      <c r="Q9" s="59"/>
      <c r="R9" s="59"/>
      <c r="S9" s="59"/>
      <c r="T9" s="59"/>
      <c r="U9" s="59"/>
      <c r="V9" s="59"/>
      <c r="W9" s="59"/>
      <c r="X9" s="59"/>
      <c r="Y9" s="59"/>
      <c r="Z9" s="59"/>
      <c r="AA9" s="59"/>
      <c r="AB9" s="59"/>
      <c r="AC9" s="59"/>
      <c r="AD9" s="59"/>
      <c r="AE9" s="59"/>
    </row>
    <row r="10" spans="1:31" x14ac:dyDescent="0.2">
      <c r="A10" s="182" t="s">
        <v>31</v>
      </c>
      <c r="B10" s="59">
        <v>286387</v>
      </c>
      <c r="C10" s="59">
        <v>307453</v>
      </c>
      <c r="D10" s="59">
        <v>288095</v>
      </c>
      <c r="E10" s="59">
        <v>267987</v>
      </c>
      <c r="F10" s="59">
        <v>288652</v>
      </c>
      <c r="G10" s="59">
        <v>327752</v>
      </c>
      <c r="H10" s="59">
        <v>260029</v>
      </c>
      <c r="I10" s="59">
        <v>278243</v>
      </c>
      <c r="J10" s="59">
        <v>299058</v>
      </c>
      <c r="K10" s="59">
        <v>323536</v>
      </c>
      <c r="L10" s="59">
        <v>269299</v>
      </c>
      <c r="M10" s="59">
        <v>275672</v>
      </c>
      <c r="N10" s="186">
        <v>308182</v>
      </c>
      <c r="O10" s="187">
        <v>287419</v>
      </c>
      <c r="P10" s="187">
        <v>307718</v>
      </c>
      <c r="Q10" s="187">
        <v>316682</v>
      </c>
      <c r="R10" s="187">
        <v>330245</v>
      </c>
      <c r="S10" s="187">
        <v>335029</v>
      </c>
      <c r="T10" s="187">
        <v>342925</v>
      </c>
      <c r="U10" s="187">
        <v>309399</v>
      </c>
      <c r="V10" s="187">
        <v>272493</v>
      </c>
      <c r="W10" s="187">
        <v>298470</v>
      </c>
      <c r="X10" s="187">
        <v>318493</v>
      </c>
      <c r="Y10" s="187">
        <v>304744</v>
      </c>
      <c r="Z10" s="187">
        <v>285709</v>
      </c>
      <c r="AA10" s="187">
        <v>308121</v>
      </c>
      <c r="AB10" s="187">
        <v>316298</v>
      </c>
      <c r="AC10" s="187">
        <v>257257</v>
      </c>
      <c r="AD10" s="187">
        <v>314569</v>
      </c>
      <c r="AE10" s="188">
        <v>272352</v>
      </c>
    </row>
    <row r="12" spans="1:31" x14ac:dyDescent="0.2">
      <c r="A12" s="64" t="s">
        <v>202</v>
      </c>
    </row>
    <row r="13" spans="1:31" ht="17" thickBot="1" x14ac:dyDescent="0.25">
      <c r="A13" s="49" t="s">
        <v>136</v>
      </c>
      <c r="B13" t="s">
        <v>137</v>
      </c>
      <c r="N13" s="318" t="s">
        <v>191</v>
      </c>
      <c r="O13" s="318"/>
      <c r="P13" s="318"/>
      <c r="Q13" s="318"/>
      <c r="R13" s="318"/>
      <c r="S13" s="318"/>
      <c r="T13" s="318"/>
      <c r="U13" s="318"/>
      <c r="V13" s="318"/>
      <c r="W13" s="318"/>
      <c r="X13" s="318"/>
      <c r="Y13" s="318"/>
      <c r="Z13" s="318"/>
      <c r="AA13" s="318"/>
      <c r="AB13" s="318"/>
      <c r="AC13" s="318"/>
      <c r="AD13" s="318"/>
      <c r="AE13" s="318"/>
    </row>
    <row r="14" spans="1:31" ht="17" thickBot="1" x14ac:dyDescent="0.25">
      <c r="A14" s="49" t="s">
        <v>138</v>
      </c>
      <c r="B14">
        <v>1</v>
      </c>
      <c r="C14">
        <v>2</v>
      </c>
      <c r="D14">
        <v>3</v>
      </c>
      <c r="E14">
        <v>4</v>
      </c>
      <c r="F14">
        <v>5</v>
      </c>
      <c r="G14">
        <v>6</v>
      </c>
      <c r="H14">
        <v>7</v>
      </c>
      <c r="I14">
        <v>8</v>
      </c>
      <c r="J14">
        <v>9</v>
      </c>
      <c r="K14">
        <v>10</v>
      </c>
      <c r="L14">
        <v>11</v>
      </c>
      <c r="M14">
        <v>12</v>
      </c>
      <c r="N14" s="183">
        <v>13</v>
      </c>
      <c r="O14" s="184">
        <v>14</v>
      </c>
      <c r="P14" s="184">
        <v>15</v>
      </c>
      <c r="Q14" s="184">
        <v>16</v>
      </c>
      <c r="R14" s="184">
        <v>17</v>
      </c>
      <c r="S14" s="184">
        <v>18</v>
      </c>
      <c r="T14" s="184">
        <v>19</v>
      </c>
      <c r="U14" s="184">
        <v>20</v>
      </c>
      <c r="V14" s="184">
        <v>21</v>
      </c>
      <c r="W14" s="184">
        <v>22</v>
      </c>
      <c r="X14" s="184">
        <v>23</v>
      </c>
      <c r="Y14" s="184">
        <v>24</v>
      </c>
      <c r="Z14" s="184">
        <v>25</v>
      </c>
      <c r="AA14" s="184">
        <v>26</v>
      </c>
      <c r="AB14" s="184">
        <v>27</v>
      </c>
      <c r="AC14" s="184">
        <v>28</v>
      </c>
      <c r="AD14" s="184">
        <v>29</v>
      </c>
      <c r="AE14" s="185">
        <v>30</v>
      </c>
    </row>
    <row r="15" spans="1:31" x14ac:dyDescent="0.2">
      <c r="A15" s="190" t="s">
        <v>224</v>
      </c>
      <c r="B15" s="57">
        <v>19</v>
      </c>
      <c r="C15" s="20">
        <v>19</v>
      </c>
      <c r="D15" s="20">
        <v>19</v>
      </c>
      <c r="E15" s="20">
        <v>19</v>
      </c>
      <c r="F15" s="20">
        <v>19</v>
      </c>
      <c r="G15" s="20">
        <v>19</v>
      </c>
      <c r="H15" s="20">
        <v>19</v>
      </c>
      <c r="I15" s="20">
        <v>19</v>
      </c>
      <c r="J15" s="20">
        <v>19</v>
      </c>
      <c r="K15" s="20">
        <v>19</v>
      </c>
      <c r="L15" s="20">
        <v>19</v>
      </c>
      <c r="M15" s="20">
        <v>19</v>
      </c>
      <c r="N15" s="57">
        <f>'Model Preparation'!$B$101</f>
        <v>22</v>
      </c>
      <c r="O15" s="20">
        <f>'Model Preparation'!$B$101</f>
        <v>22</v>
      </c>
      <c r="P15" s="20">
        <f>'Model Preparation'!$B$101</f>
        <v>22</v>
      </c>
      <c r="Q15" s="20">
        <f>'Model Preparation'!$B$101</f>
        <v>22</v>
      </c>
      <c r="R15" s="20">
        <f>'Model Preparation'!$B$101</f>
        <v>22</v>
      </c>
      <c r="S15" s="20">
        <f>'Model Preparation'!$B$101</f>
        <v>22</v>
      </c>
      <c r="T15" s="20">
        <f>'Model Preparation'!$B$101</f>
        <v>22</v>
      </c>
      <c r="U15" s="20">
        <f>'Model Preparation'!$B$101</f>
        <v>22</v>
      </c>
      <c r="V15" s="20">
        <f>'Model Preparation'!$B$101</f>
        <v>22</v>
      </c>
      <c r="W15" s="20">
        <f>'Model Preparation'!$B$101</f>
        <v>22</v>
      </c>
      <c r="X15" s="20">
        <f>'Model Preparation'!$B$101</f>
        <v>22</v>
      </c>
      <c r="Y15" s="20">
        <f>'Model Preparation'!$B$101</f>
        <v>22</v>
      </c>
      <c r="Z15" s="20">
        <f>'Model Preparation'!$B$101</f>
        <v>22</v>
      </c>
      <c r="AA15" s="20">
        <f>'Model Preparation'!$B$101</f>
        <v>22</v>
      </c>
      <c r="AB15" s="20">
        <f>'Model Preparation'!$B$101</f>
        <v>22</v>
      </c>
      <c r="AC15" s="20">
        <f>'Model Preparation'!$B$101</f>
        <v>22</v>
      </c>
      <c r="AD15" s="20">
        <f>'Model Preparation'!$B$101</f>
        <v>22</v>
      </c>
      <c r="AE15" s="21">
        <f>'Model Preparation'!$B$101</f>
        <v>22</v>
      </c>
    </row>
    <row r="16" spans="1:31" x14ac:dyDescent="0.2">
      <c r="A16" s="190" t="s">
        <v>225</v>
      </c>
      <c r="B16" s="58">
        <v>21</v>
      </c>
      <c r="C16" s="59">
        <v>21</v>
      </c>
      <c r="D16" s="59">
        <v>21</v>
      </c>
      <c r="E16" s="59">
        <v>21</v>
      </c>
      <c r="F16" s="59">
        <v>21</v>
      </c>
      <c r="G16" s="59">
        <v>21</v>
      </c>
      <c r="H16" s="59">
        <v>21</v>
      </c>
      <c r="I16" s="59">
        <v>21</v>
      </c>
      <c r="J16" s="59">
        <v>21</v>
      </c>
      <c r="K16" s="59">
        <v>21</v>
      </c>
      <c r="L16" s="59">
        <v>21</v>
      </c>
      <c r="M16" s="59">
        <v>21</v>
      </c>
      <c r="N16" s="58">
        <f>'Model Preparation'!$B$101</f>
        <v>22</v>
      </c>
      <c r="O16" s="59">
        <f>'Model Preparation'!$B$101</f>
        <v>22</v>
      </c>
      <c r="P16" s="59">
        <f>'Model Preparation'!$B$101</f>
        <v>22</v>
      </c>
      <c r="Q16" s="59">
        <f>'Model Preparation'!$B$101</f>
        <v>22</v>
      </c>
      <c r="R16" s="59">
        <f>'Model Preparation'!$B$101</f>
        <v>22</v>
      </c>
      <c r="S16" s="59">
        <f>'Model Preparation'!$B$101</f>
        <v>22</v>
      </c>
      <c r="T16" s="59">
        <f>'Model Preparation'!$B$101</f>
        <v>22</v>
      </c>
      <c r="U16" s="59">
        <f>'Model Preparation'!$B$101</f>
        <v>22</v>
      </c>
      <c r="V16" s="59">
        <f>'Model Preparation'!$B$101</f>
        <v>22</v>
      </c>
      <c r="W16" s="59">
        <f>'Model Preparation'!$B$101</f>
        <v>22</v>
      </c>
      <c r="X16" s="59">
        <f>'Model Preparation'!$B$101</f>
        <v>22</v>
      </c>
      <c r="Y16" s="59">
        <f>'Model Preparation'!$B$101</f>
        <v>22</v>
      </c>
      <c r="Z16" s="59">
        <f>'Model Preparation'!$B$101</f>
        <v>22</v>
      </c>
      <c r="AA16" s="59">
        <f>'Model Preparation'!$B$101</f>
        <v>22</v>
      </c>
      <c r="AB16" s="59">
        <f>'Model Preparation'!$B$101</f>
        <v>22</v>
      </c>
      <c r="AC16" s="59">
        <f>'Model Preparation'!$B$101</f>
        <v>22</v>
      </c>
      <c r="AD16" s="59">
        <f>'Model Preparation'!$B$101</f>
        <v>22</v>
      </c>
      <c r="AE16" s="60">
        <f>'Model Preparation'!$B$101</f>
        <v>22</v>
      </c>
    </row>
    <row r="17" spans="1:39" ht="17" thickBot="1" x14ac:dyDescent="0.25">
      <c r="A17" s="190" t="s">
        <v>226</v>
      </c>
      <c r="B17" s="61">
        <v>20.5</v>
      </c>
      <c r="C17" s="62">
        <v>20.5</v>
      </c>
      <c r="D17" s="62">
        <v>20.5</v>
      </c>
      <c r="E17" s="62">
        <v>20.5</v>
      </c>
      <c r="F17" s="62">
        <v>20.5</v>
      </c>
      <c r="G17" s="62">
        <v>20.5</v>
      </c>
      <c r="H17" s="62">
        <v>20.5</v>
      </c>
      <c r="I17" s="62">
        <v>20.5</v>
      </c>
      <c r="J17" s="62">
        <v>20.5</v>
      </c>
      <c r="K17" s="62">
        <v>20.5</v>
      </c>
      <c r="L17" s="62">
        <v>20.5</v>
      </c>
      <c r="M17" s="62">
        <v>20.5</v>
      </c>
      <c r="N17" s="61">
        <f>'Model Preparation'!$B$101</f>
        <v>22</v>
      </c>
      <c r="O17" s="62">
        <f>'Model Preparation'!$B$101</f>
        <v>22</v>
      </c>
      <c r="P17" s="62">
        <f>'Model Preparation'!$B$101</f>
        <v>22</v>
      </c>
      <c r="Q17" s="62">
        <f>'Model Preparation'!$B$101</f>
        <v>22</v>
      </c>
      <c r="R17" s="62">
        <f>'Model Preparation'!$B$101</f>
        <v>22</v>
      </c>
      <c r="S17" s="62">
        <f>'Model Preparation'!$B$101</f>
        <v>22</v>
      </c>
      <c r="T17" s="62">
        <f>'Model Preparation'!$B$101</f>
        <v>22</v>
      </c>
      <c r="U17" s="62">
        <f>'Model Preparation'!$B$101</f>
        <v>22</v>
      </c>
      <c r="V17" s="62">
        <f>'Model Preparation'!$B$101</f>
        <v>22</v>
      </c>
      <c r="W17" s="62">
        <f>'Model Preparation'!$B$101</f>
        <v>22</v>
      </c>
      <c r="X17" s="62">
        <f>'Model Preparation'!$B$101</f>
        <v>22</v>
      </c>
      <c r="Y17" s="62">
        <f>'Model Preparation'!$B$101</f>
        <v>22</v>
      </c>
      <c r="Z17" s="62">
        <f>'Model Preparation'!$B$101</f>
        <v>22</v>
      </c>
      <c r="AA17" s="62">
        <f>'Model Preparation'!$B$101</f>
        <v>22</v>
      </c>
      <c r="AB17" s="62">
        <f>'Model Preparation'!$B$101</f>
        <v>22</v>
      </c>
      <c r="AC17" s="62">
        <f>'Model Preparation'!$B$101</f>
        <v>22</v>
      </c>
      <c r="AD17" s="62">
        <f>'Model Preparation'!$B$101</f>
        <v>22</v>
      </c>
      <c r="AE17" s="63">
        <f>'Model Preparation'!$B$101</f>
        <v>22</v>
      </c>
    </row>
    <row r="19" spans="1:39" ht="17" thickBot="1" x14ac:dyDescent="0.25">
      <c r="A19" s="64" t="s">
        <v>203</v>
      </c>
    </row>
    <row r="20" spans="1:39" ht="17" thickBot="1" x14ac:dyDescent="0.25">
      <c r="A20" s="49" t="s">
        <v>136</v>
      </c>
      <c r="B20" t="s">
        <v>137</v>
      </c>
      <c r="N20" s="318" t="s">
        <v>191</v>
      </c>
      <c r="O20" s="318"/>
      <c r="P20" s="318"/>
      <c r="Q20" s="318"/>
      <c r="R20" s="318"/>
      <c r="S20" s="318"/>
      <c r="T20" s="318"/>
      <c r="U20" s="318"/>
      <c r="V20" s="318"/>
      <c r="W20" s="318"/>
      <c r="X20" s="318"/>
      <c r="Y20" s="318"/>
      <c r="Z20" s="318"/>
      <c r="AA20" s="318"/>
      <c r="AB20" s="318"/>
      <c r="AC20" s="318"/>
      <c r="AD20" s="318"/>
      <c r="AE20" s="318"/>
      <c r="AG20" s="38" t="s">
        <v>192</v>
      </c>
      <c r="AH20" s="39"/>
      <c r="AI20" s="39"/>
      <c r="AJ20" s="39"/>
      <c r="AK20" s="39"/>
      <c r="AL20" s="39"/>
      <c r="AM20" s="40"/>
    </row>
    <row r="21" spans="1:39" ht="17" thickBot="1" x14ac:dyDescent="0.25">
      <c r="A21" s="49" t="s">
        <v>138</v>
      </c>
      <c r="B21">
        <v>1</v>
      </c>
      <c r="C21">
        <v>2</v>
      </c>
      <c r="D21">
        <v>3</v>
      </c>
      <c r="E21">
        <v>4</v>
      </c>
      <c r="F21">
        <v>5</v>
      </c>
      <c r="G21">
        <v>6</v>
      </c>
      <c r="H21">
        <v>7</v>
      </c>
      <c r="I21">
        <v>8</v>
      </c>
      <c r="J21">
        <v>9</v>
      </c>
      <c r="K21">
        <v>10</v>
      </c>
      <c r="L21">
        <v>11</v>
      </c>
      <c r="M21">
        <v>12</v>
      </c>
      <c r="N21" s="183">
        <v>13</v>
      </c>
      <c r="O21" s="184">
        <v>14</v>
      </c>
      <c r="P21" s="184">
        <v>15</v>
      </c>
      <c r="Q21" s="184">
        <v>16</v>
      </c>
      <c r="R21" s="184">
        <v>17</v>
      </c>
      <c r="S21" s="184">
        <v>18</v>
      </c>
      <c r="T21" s="184">
        <v>19</v>
      </c>
      <c r="U21" s="184">
        <v>20</v>
      </c>
      <c r="V21" s="184">
        <v>21</v>
      </c>
      <c r="W21" s="184">
        <v>22</v>
      </c>
      <c r="X21" s="184">
        <v>23</v>
      </c>
      <c r="Y21" s="184">
        <v>24</v>
      </c>
      <c r="Z21" s="184">
        <v>25</v>
      </c>
      <c r="AA21" s="184">
        <v>26</v>
      </c>
      <c r="AB21" s="184">
        <v>27</v>
      </c>
      <c r="AC21" s="184">
        <v>28</v>
      </c>
      <c r="AD21" s="184">
        <v>29</v>
      </c>
      <c r="AE21" s="185">
        <v>30</v>
      </c>
      <c r="AG21" s="171" t="s">
        <v>199</v>
      </c>
      <c r="AH21" s="172"/>
      <c r="AI21" s="172"/>
      <c r="AJ21" s="172"/>
      <c r="AK21" s="59" t="s">
        <v>52</v>
      </c>
      <c r="AL21" s="177">
        <f>93.45*163/2000</f>
        <v>7.6161750000000001</v>
      </c>
      <c r="AM21" s="60" t="s">
        <v>195</v>
      </c>
    </row>
    <row r="22" spans="1:39" x14ac:dyDescent="0.2">
      <c r="A22" s="190" t="s">
        <v>224</v>
      </c>
      <c r="B22" s="57">
        <v>19</v>
      </c>
      <c r="C22" s="20">
        <v>19</v>
      </c>
      <c r="D22" s="20">
        <v>19</v>
      </c>
      <c r="E22" s="20">
        <v>19</v>
      </c>
      <c r="F22" s="20">
        <v>19</v>
      </c>
      <c r="G22" s="20">
        <v>19</v>
      </c>
      <c r="H22" s="20">
        <v>19</v>
      </c>
      <c r="I22" s="20">
        <v>19</v>
      </c>
      <c r="J22" s="20">
        <v>19</v>
      </c>
      <c r="K22" s="20">
        <v>19</v>
      </c>
      <c r="L22" s="20">
        <v>19</v>
      </c>
      <c r="M22" s="20">
        <v>19</v>
      </c>
      <c r="N22" s="57">
        <f>'Model Preparation'!$B$102+'Model Preparation'!$B$103</f>
        <v>19</v>
      </c>
      <c r="O22" s="20">
        <f>'Model Preparation'!$B$102+'Model Preparation'!$B$103</f>
        <v>19</v>
      </c>
      <c r="P22" s="20">
        <f>'Model Preparation'!$B$102+'Model Preparation'!$B$103</f>
        <v>19</v>
      </c>
      <c r="Q22" s="20">
        <f>'Model Preparation'!$B$102+'Model Preparation'!$B$103</f>
        <v>19</v>
      </c>
      <c r="R22" s="20">
        <f>'Model Preparation'!$B$102+'Model Preparation'!$B$103</f>
        <v>19</v>
      </c>
      <c r="S22" s="20">
        <f>'Model Preparation'!$B$102+'Model Preparation'!$B$103</f>
        <v>19</v>
      </c>
      <c r="T22" s="20">
        <f>'Model Preparation'!$B$102+'Model Preparation'!$B$103</f>
        <v>19</v>
      </c>
      <c r="U22" s="20">
        <f>'Model Preparation'!$B$102+'Model Preparation'!$B$103</f>
        <v>19</v>
      </c>
      <c r="V22" s="20">
        <f>'Model Preparation'!$B$102+'Model Preparation'!$B$103</f>
        <v>19</v>
      </c>
      <c r="W22" s="20">
        <f>'Model Preparation'!$B$102+'Model Preparation'!$B$103</f>
        <v>19</v>
      </c>
      <c r="X22" s="20">
        <f>'Model Preparation'!$B$102+'Model Preparation'!$B$103</f>
        <v>19</v>
      </c>
      <c r="Y22" s="20">
        <f>'Model Preparation'!$B$102+'Model Preparation'!$B$103</f>
        <v>19</v>
      </c>
      <c r="Z22" s="20">
        <f>'Model Preparation'!$B$102+'Model Preparation'!$B$103</f>
        <v>19</v>
      </c>
      <c r="AA22" s="20">
        <f>'Model Preparation'!$B$102+'Model Preparation'!$B$103</f>
        <v>19</v>
      </c>
      <c r="AB22" s="20">
        <f>'Model Preparation'!$B$102+'Model Preparation'!$B$103</f>
        <v>19</v>
      </c>
      <c r="AC22" s="20">
        <f>'Model Preparation'!$B$102+'Model Preparation'!$B$103</f>
        <v>19</v>
      </c>
      <c r="AD22" s="20">
        <f>'Model Preparation'!$B$102+'Model Preparation'!$B$103</f>
        <v>19</v>
      </c>
      <c r="AE22" s="21">
        <f>'Model Preparation'!$B$102+'Model Preparation'!$B$103</f>
        <v>19</v>
      </c>
      <c r="AG22" s="171" t="s">
        <v>200</v>
      </c>
      <c r="AH22" s="172"/>
      <c r="AI22" s="172"/>
      <c r="AJ22" s="172"/>
      <c r="AK22" s="59" t="s">
        <v>194</v>
      </c>
      <c r="AL22" s="177">
        <f>54.87*112/2000</f>
        <v>3.0727199999999999</v>
      </c>
      <c r="AM22" s="60" t="s">
        <v>195</v>
      </c>
    </row>
    <row r="23" spans="1:39" x14ac:dyDescent="0.2">
      <c r="A23" s="190" t="s">
        <v>225</v>
      </c>
      <c r="B23" s="58">
        <v>21</v>
      </c>
      <c r="C23" s="59">
        <v>21</v>
      </c>
      <c r="D23" s="59">
        <v>21</v>
      </c>
      <c r="E23" s="59">
        <v>21</v>
      </c>
      <c r="F23" s="59">
        <v>21</v>
      </c>
      <c r="G23" s="59">
        <v>21</v>
      </c>
      <c r="H23" s="59">
        <v>21</v>
      </c>
      <c r="I23" s="59">
        <v>21</v>
      </c>
      <c r="J23" s="59">
        <v>21</v>
      </c>
      <c r="K23" s="59">
        <v>21</v>
      </c>
      <c r="L23" s="59">
        <v>21</v>
      </c>
      <c r="M23" s="59">
        <v>21</v>
      </c>
      <c r="N23" s="189">
        <f>$AL$25</f>
        <v>12.688895</v>
      </c>
      <c r="O23" s="178">
        <f t="shared" ref="O23:AE23" si="3">$AL$25</f>
        <v>12.688895</v>
      </c>
      <c r="P23" s="178">
        <f t="shared" si="3"/>
        <v>12.688895</v>
      </c>
      <c r="Q23" s="178">
        <f t="shared" si="3"/>
        <v>12.688895</v>
      </c>
      <c r="R23" s="178">
        <f t="shared" si="3"/>
        <v>12.688895</v>
      </c>
      <c r="S23" s="178">
        <f t="shared" si="3"/>
        <v>12.688895</v>
      </c>
      <c r="T23" s="178">
        <f t="shared" si="3"/>
        <v>12.688895</v>
      </c>
      <c r="U23" s="178">
        <f t="shared" si="3"/>
        <v>12.688895</v>
      </c>
      <c r="V23" s="178">
        <f t="shared" si="3"/>
        <v>12.688895</v>
      </c>
      <c r="W23" s="178">
        <f t="shared" si="3"/>
        <v>12.688895</v>
      </c>
      <c r="X23" s="178">
        <f t="shared" si="3"/>
        <v>12.688895</v>
      </c>
      <c r="Y23" s="178">
        <f t="shared" si="3"/>
        <v>12.688895</v>
      </c>
      <c r="Z23" s="178">
        <f t="shared" si="3"/>
        <v>12.688895</v>
      </c>
      <c r="AA23" s="178">
        <f t="shared" si="3"/>
        <v>12.688895</v>
      </c>
      <c r="AB23" s="178">
        <f t="shared" si="3"/>
        <v>12.688895</v>
      </c>
      <c r="AC23" s="178">
        <f t="shared" si="3"/>
        <v>12.688895</v>
      </c>
      <c r="AD23" s="178">
        <f t="shared" si="3"/>
        <v>12.688895</v>
      </c>
      <c r="AE23" s="179">
        <f t="shared" si="3"/>
        <v>12.688895</v>
      </c>
      <c r="AG23" s="171" t="s">
        <v>193</v>
      </c>
      <c r="AH23" s="172"/>
      <c r="AI23" s="172"/>
      <c r="AJ23" s="172"/>
      <c r="AK23" s="59" t="s">
        <v>196</v>
      </c>
      <c r="AL23" s="177">
        <f>SUM(AL21:AL22)</f>
        <v>10.688895</v>
      </c>
      <c r="AM23" s="60" t="s">
        <v>195</v>
      </c>
    </row>
    <row r="24" spans="1:39" ht="17" thickBot="1" x14ac:dyDescent="0.25">
      <c r="A24" s="190" t="s">
        <v>226</v>
      </c>
      <c r="B24" s="61">
        <v>20.5</v>
      </c>
      <c r="C24" s="62">
        <v>20.5</v>
      </c>
      <c r="D24" s="62">
        <v>20.5</v>
      </c>
      <c r="E24" s="62">
        <v>20.5</v>
      </c>
      <c r="F24" s="62">
        <v>20.5</v>
      </c>
      <c r="G24" s="62">
        <v>20.5</v>
      </c>
      <c r="H24" s="62">
        <v>20.5</v>
      </c>
      <c r="I24" s="62">
        <v>20.5</v>
      </c>
      <c r="J24" s="62">
        <v>20.5</v>
      </c>
      <c r="K24" s="62">
        <v>20.5</v>
      </c>
      <c r="L24" s="62">
        <v>20.5</v>
      </c>
      <c r="M24" s="62">
        <v>20.5</v>
      </c>
      <c r="N24" s="61">
        <f>'Model Preparation'!B109+'Model Preparation'!B103</f>
        <v>20.5</v>
      </c>
      <c r="O24" s="62">
        <v>20.5</v>
      </c>
      <c r="P24" s="62">
        <v>20.5</v>
      </c>
      <c r="Q24" s="62">
        <v>20.5</v>
      </c>
      <c r="R24" s="62">
        <v>20.5</v>
      </c>
      <c r="S24" s="62">
        <v>20.5</v>
      </c>
      <c r="T24" s="62">
        <v>20.5</v>
      </c>
      <c r="U24" s="62">
        <v>20.5</v>
      </c>
      <c r="V24" s="62">
        <v>20.5</v>
      </c>
      <c r="W24" s="62">
        <v>20.5</v>
      </c>
      <c r="X24" s="62">
        <v>20.5</v>
      </c>
      <c r="Y24" s="62">
        <v>20.5</v>
      </c>
      <c r="Z24" s="62">
        <v>20.5</v>
      </c>
      <c r="AA24" s="62">
        <v>20.5</v>
      </c>
      <c r="AB24" s="62">
        <v>20.5</v>
      </c>
      <c r="AC24" s="62">
        <v>20.5</v>
      </c>
      <c r="AD24" s="62">
        <v>20.5</v>
      </c>
      <c r="AE24" s="63">
        <v>20.5</v>
      </c>
      <c r="AG24" s="171"/>
      <c r="AH24" s="172"/>
      <c r="AI24" s="172"/>
      <c r="AJ24" s="172"/>
      <c r="AK24" s="59" t="s">
        <v>197</v>
      </c>
      <c r="AL24" s="177">
        <f>'Model Preparation'!B104</f>
        <v>2</v>
      </c>
      <c r="AM24" s="60" t="s">
        <v>195</v>
      </c>
    </row>
    <row r="25" spans="1:39" ht="17" thickBot="1" x14ac:dyDescent="0.25">
      <c r="A25" s="49"/>
      <c r="AG25" s="173"/>
      <c r="AH25" s="174"/>
      <c r="AI25" s="174"/>
      <c r="AJ25" s="174"/>
      <c r="AK25" s="175" t="s">
        <v>198</v>
      </c>
      <c r="AL25" s="259">
        <f>SUM(AL23:AL24)</f>
        <v>12.688895</v>
      </c>
      <c r="AM25" s="176" t="s">
        <v>195</v>
      </c>
    </row>
    <row r="26" spans="1:39" x14ac:dyDescent="0.2">
      <c r="A26" s="49" t="s">
        <v>204</v>
      </c>
      <c r="B26">
        <v>2500</v>
      </c>
      <c r="C26">
        <v>2500</v>
      </c>
      <c r="D26">
        <v>2500</v>
      </c>
      <c r="E26">
        <v>2500</v>
      </c>
      <c r="F26">
        <v>2500</v>
      </c>
      <c r="G26">
        <v>2500</v>
      </c>
      <c r="H26">
        <v>2500</v>
      </c>
      <c r="I26">
        <v>2500</v>
      </c>
      <c r="J26">
        <v>2500</v>
      </c>
      <c r="K26">
        <v>2500</v>
      </c>
      <c r="L26">
        <v>2500</v>
      </c>
      <c r="M26">
        <v>2500</v>
      </c>
      <c r="N26" s="186">
        <v>2500</v>
      </c>
      <c r="O26" s="187">
        <v>2500</v>
      </c>
      <c r="P26" s="187">
        <v>2500</v>
      </c>
      <c r="Q26" s="187">
        <v>2500</v>
      </c>
      <c r="R26" s="187">
        <v>2500</v>
      </c>
      <c r="S26" s="187">
        <v>2500</v>
      </c>
      <c r="T26" s="187">
        <v>2500</v>
      </c>
      <c r="U26" s="187">
        <v>2500</v>
      </c>
      <c r="V26" s="187">
        <v>2500</v>
      </c>
      <c r="W26" s="187">
        <v>2500</v>
      </c>
      <c r="X26" s="187">
        <v>2500</v>
      </c>
      <c r="Y26" s="187">
        <v>2500</v>
      </c>
      <c r="Z26" s="187">
        <v>2500</v>
      </c>
      <c r="AA26" s="187">
        <v>2500</v>
      </c>
      <c r="AB26" s="187">
        <v>2500</v>
      </c>
      <c r="AC26" s="187">
        <v>2500</v>
      </c>
      <c r="AD26" s="187">
        <v>2500</v>
      </c>
      <c r="AE26" s="188">
        <v>2500</v>
      </c>
    </row>
    <row r="28" spans="1:39" s="6" customFormat="1" ht="21" x14ac:dyDescent="0.25">
      <c r="A28" s="191" t="s">
        <v>208</v>
      </c>
    </row>
    <row r="30" spans="1:39" x14ac:dyDescent="0.2">
      <c r="A30" t="s">
        <v>211</v>
      </c>
    </row>
    <row r="31" spans="1:39" x14ac:dyDescent="0.2">
      <c r="A31" t="s">
        <v>212</v>
      </c>
    </row>
    <row r="32" spans="1:39" x14ac:dyDescent="0.2">
      <c r="A32" t="s">
        <v>213</v>
      </c>
    </row>
    <row r="33" spans="1:31" x14ac:dyDescent="0.2">
      <c r="A33" t="s">
        <v>214</v>
      </c>
    </row>
    <row r="34" spans="1:31" x14ac:dyDescent="0.2">
      <c r="A34" t="s">
        <v>215</v>
      </c>
    </row>
    <row r="35" spans="1:31" x14ac:dyDescent="0.2">
      <c r="A35" t="s">
        <v>385</v>
      </c>
    </row>
    <row r="36" spans="1:31" s="236" customFormat="1" x14ac:dyDescent="0.2">
      <c r="A36" s="236" t="s">
        <v>386</v>
      </c>
    </row>
    <row r="37" spans="1:31" x14ac:dyDescent="0.2">
      <c r="N37" s="229"/>
    </row>
    <row r="38" spans="1:31" s="6" customFormat="1" ht="21" x14ac:dyDescent="0.25">
      <c r="A38" s="191" t="s">
        <v>206</v>
      </c>
    </row>
    <row r="39" spans="1:31" ht="17" thickBot="1" x14ac:dyDescent="0.25"/>
    <row r="40" spans="1:31" x14ac:dyDescent="0.2">
      <c r="A40" s="180" t="s">
        <v>205</v>
      </c>
    </row>
    <row r="41" spans="1:31" ht="17" thickBot="1" x14ac:dyDescent="0.25">
      <c r="A41" s="181">
        <f>SUMPRODUCT(N6:AE8,N45:AE47)-SUMPRODUCT(N26:AE26,N78:AE78)</f>
        <v>22631522.321983684</v>
      </c>
    </row>
    <row r="43" spans="1:31" ht="17" thickBot="1" x14ac:dyDescent="0.25">
      <c r="A43" s="49" t="s">
        <v>136</v>
      </c>
      <c r="B43" s="49" t="s">
        <v>137</v>
      </c>
      <c r="C43" s="49"/>
      <c r="D43" s="49"/>
      <c r="E43" s="49"/>
      <c r="F43" s="49"/>
      <c r="G43" s="49"/>
      <c r="H43" s="49"/>
      <c r="I43" s="49"/>
      <c r="J43" s="49"/>
      <c r="K43" s="49"/>
      <c r="L43" s="49"/>
      <c r="M43" s="49"/>
      <c r="N43" s="49" t="s">
        <v>209</v>
      </c>
    </row>
    <row r="44" spans="1:31" ht="17" thickBot="1" x14ac:dyDescent="0.25">
      <c r="A44" s="49" t="s">
        <v>138</v>
      </c>
      <c r="B44">
        <v>1</v>
      </c>
      <c r="C44">
        <v>2</v>
      </c>
      <c r="D44">
        <v>3</v>
      </c>
      <c r="E44">
        <v>4</v>
      </c>
      <c r="F44">
        <v>5</v>
      </c>
      <c r="G44">
        <v>6</v>
      </c>
      <c r="H44">
        <v>7</v>
      </c>
      <c r="I44">
        <v>8</v>
      </c>
      <c r="J44">
        <v>9</v>
      </c>
      <c r="K44">
        <v>10</v>
      </c>
      <c r="L44">
        <v>11</v>
      </c>
      <c r="M44">
        <v>12</v>
      </c>
      <c r="N44" s="183">
        <v>13</v>
      </c>
      <c r="O44" s="184">
        <v>14</v>
      </c>
      <c r="P44" s="184">
        <v>15</v>
      </c>
      <c r="Q44" s="184">
        <v>16</v>
      </c>
      <c r="R44" s="184">
        <v>17</v>
      </c>
      <c r="S44" s="184">
        <v>18</v>
      </c>
      <c r="T44" s="184">
        <v>19</v>
      </c>
      <c r="U44" s="184">
        <v>20</v>
      </c>
      <c r="V44" s="184">
        <v>21</v>
      </c>
      <c r="W44" s="184">
        <v>22</v>
      </c>
      <c r="X44" s="184">
        <v>23</v>
      </c>
      <c r="Y44" s="184">
        <v>24</v>
      </c>
      <c r="Z44" s="184">
        <v>25</v>
      </c>
      <c r="AA44" s="184">
        <v>26</v>
      </c>
      <c r="AB44" s="184">
        <v>27</v>
      </c>
      <c r="AC44" s="184">
        <v>28</v>
      </c>
      <c r="AD44" s="184">
        <v>29</v>
      </c>
      <c r="AE44" s="185">
        <v>30</v>
      </c>
    </row>
    <row r="45" spans="1:31" x14ac:dyDescent="0.2">
      <c r="A45" s="49" t="s">
        <v>224</v>
      </c>
      <c r="B45" s="51"/>
      <c r="C45" s="52"/>
      <c r="D45" s="52"/>
      <c r="E45" s="52"/>
      <c r="F45" s="52"/>
      <c r="G45" s="52"/>
      <c r="H45" s="52"/>
      <c r="I45" s="52"/>
      <c r="J45" s="52"/>
      <c r="K45" s="52"/>
      <c r="L45" s="52"/>
      <c r="M45" s="52"/>
      <c r="N45" s="193">
        <v>255972.60213696898</v>
      </c>
      <c r="O45" s="194">
        <v>238727.26448433672</v>
      </c>
      <c r="P45" s="194">
        <v>255587.1398282428</v>
      </c>
      <c r="Q45" s="194">
        <v>263032.91841408686</v>
      </c>
      <c r="R45" s="194">
        <v>274298.46445289173</v>
      </c>
      <c r="S45" s="194">
        <v>278272.00676305714</v>
      </c>
      <c r="T45" s="194">
        <v>228949.95712217366</v>
      </c>
      <c r="U45" s="194">
        <v>256983.41553166017</v>
      </c>
      <c r="V45" s="194">
        <v>226329.93549650637</v>
      </c>
      <c r="W45" s="194">
        <v>247906.59829373323</v>
      </c>
      <c r="X45" s="194">
        <v>264536.83651754737</v>
      </c>
      <c r="Y45" s="194">
        <v>253117.51562153787</v>
      </c>
      <c r="Z45" s="194">
        <v>237307.40996948141</v>
      </c>
      <c r="AA45" s="194">
        <v>255922.36901694839</v>
      </c>
      <c r="AB45" s="194">
        <v>262714.09187681624</v>
      </c>
      <c r="AC45" s="194">
        <v>213675.28991428716</v>
      </c>
      <c r="AD45" s="194">
        <v>261277.8347105257</v>
      </c>
      <c r="AE45" s="195">
        <v>226213.06660503091</v>
      </c>
    </row>
    <row r="46" spans="1:31" x14ac:dyDescent="0.2">
      <c r="A46" s="49" t="s">
        <v>225</v>
      </c>
      <c r="B46" s="53"/>
      <c r="C46" s="50"/>
      <c r="D46" s="50"/>
      <c r="E46" s="50"/>
      <c r="F46" s="50"/>
      <c r="G46" s="50"/>
      <c r="H46" s="50"/>
      <c r="I46" s="50"/>
      <c r="J46" s="50"/>
      <c r="K46" s="50"/>
      <c r="L46" s="50"/>
      <c r="M46" s="50"/>
      <c r="N46" s="196">
        <v>52209.397863030972</v>
      </c>
      <c r="O46" s="197">
        <v>48691.735515663306</v>
      </c>
      <c r="P46" s="197">
        <v>52130.860171757209</v>
      </c>
      <c r="Q46" s="197">
        <v>53649.08158591314</v>
      </c>
      <c r="R46" s="197">
        <v>55946.535547108244</v>
      </c>
      <c r="S46" s="197">
        <v>56756.993236942857</v>
      </c>
      <c r="T46" s="197">
        <v>113975.04287782634</v>
      </c>
      <c r="U46" s="197">
        <v>52415.584468339832</v>
      </c>
      <c r="V46" s="197">
        <v>46163.064503493631</v>
      </c>
      <c r="W46" s="197">
        <v>50563.40170626677</v>
      </c>
      <c r="X46" s="197">
        <v>53956.163482452634</v>
      </c>
      <c r="Y46" s="197">
        <v>51626.484378462133</v>
      </c>
      <c r="Z46" s="197">
        <v>48401.590030518593</v>
      </c>
      <c r="AA46" s="197">
        <v>52198.630983051611</v>
      </c>
      <c r="AB46" s="197">
        <v>53583.908123183763</v>
      </c>
      <c r="AC46" s="197">
        <v>43581.710085712839</v>
      </c>
      <c r="AD46" s="197">
        <v>53291.165289474302</v>
      </c>
      <c r="AE46" s="198">
        <v>46138.933394969092</v>
      </c>
    </row>
    <row r="47" spans="1:31" ht="17" thickBot="1" x14ac:dyDescent="0.25">
      <c r="A47" s="49" t="s">
        <v>226</v>
      </c>
      <c r="B47" s="54"/>
      <c r="C47" s="55"/>
      <c r="D47" s="55"/>
      <c r="E47" s="55"/>
      <c r="F47" s="55"/>
      <c r="G47" s="55"/>
      <c r="H47" s="55"/>
      <c r="I47" s="55"/>
      <c r="J47" s="55"/>
      <c r="K47" s="55"/>
      <c r="L47" s="55"/>
      <c r="M47" s="55"/>
      <c r="N47" s="196">
        <v>0</v>
      </c>
      <c r="O47" s="197">
        <v>0</v>
      </c>
      <c r="P47" s="197">
        <v>0</v>
      </c>
      <c r="Q47" s="197">
        <v>0</v>
      </c>
      <c r="R47" s="197">
        <v>0</v>
      </c>
      <c r="S47" s="197">
        <v>0</v>
      </c>
      <c r="T47" s="197">
        <v>0</v>
      </c>
      <c r="U47" s="197">
        <v>0</v>
      </c>
      <c r="V47" s="197">
        <v>0</v>
      </c>
      <c r="W47" s="197">
        <v>0</v>
      </c>
      <c r="X47" s="197">
        <v>0</v>
      </c>
      <c r="Y47" s="197">
        <v>0</v>
      </c>
      <c r="Z47" s="197">
        <v>0</v>
      </c>
      <c r="AA47" s="197">
        <v>0</v>
      </c>
      <c r="AB47" s="197">
        <v>0</v>
      </c>
      <c r="AC47" s="197">
        <v>0</v>
      </c>
      <c r="AD47" s="197">
        <v>0</v>
      </c>
      <c r="AE47" s="198">
        <v>0</v>
      </c>
    </row>
    <row r="48" spans="1:31" x14ac:dyDescent="0.2">
      <c r="A48" t="s">
        <v>99</v>
      </c>
      <c r="B48" s="162">
        <f t="shared" ref="B48:AE48" si="4">SUM(B45:B47)</f>
        <v>0</v>
      </c>
      <c r="C48" s="162">
        <f t="shared" si="4"/>
        <v>0</v>
      </c>
      <c r="D48" s="162">
        <f t="shared" si="4"/>
        <v>0</v>
      </c>
      <c r="E48" s="162">
        <f t="shared" si="4"/>
        <v>0</v>
      </c>
      <c r="F48" s="162">
        <f t="shared" si="4"/>
        <v>0</v>
      </c>
      <c r="G48" s="162">
        <f t="shared" si="4"/>
        <v>0</v>
      </c>
      <c r="H48" s="162">
        <f t="shared" si="4"/>
        <v>0</v>
      </c>
      <c r="I48" s="162">
        <f t="shared" si="4"/>
        <v>0</v>
      </c>
      <c r="J48" s="162">
        <f t="shared" si="4"/>
        <v>0</v>
      </c>
      <c r="K48" s="162">
        <f t="shared" si="4"/>
        <v>0</v>
      </c>
      <c r="L48" s="162">
        <f t="shared" si="4"/>
        <v>0</v>
      </c>
      <c r="M48" s="162">
        <f t="shared" si="4"/>
        <v>0</v>
      </c>
      <c r="N48" s="199">
        <f t="shared" si="4"/>
        <v>308181.99999999994</v>
      </c>
      <c r="O48" s="200">
        <f t="shared" si="4"/>
        <v>287419</v>
      </c>
      <c r="P48" s="200">
        <f t="shared" si="4"/>
        <v>307718</v>
      </c>
      <c r="Q48" s="200">
        <f t="shared" si="4"/>
        <v>316682</v>
      </c>
      <c r="R48" s="200">
        <f t="shared" si="4"/>
        <v>330245</v>
      </c>
      <c r="S48" s="200">
        <f t="shared" si="4"/>
        <v>335029</v>
      </c>
      <c r="T48" s="200">
        <f t="shared" si="4"/>
        <v>342925</v>
      </c>
      <c r="U48" s="200">
        <f t="shared" si="4"/>
        <v>309399</v>
      </c>
      <c r="V48" s="200">
        <f t="shared" si="4"/>
        <v>272493</v>
      </c>
      <c r="W48" s="200">
        <f t="shared" si="4"/>
        <v>298470</v>
      </c>
      <c r="X48" s="200">
        <f t="shared" si="4"/>
        <v>318493</v>
      </c>
      <c r="Y48" s="200">
        <f t="shared" si="4"/>
        <v>304744</v>
      </c>
      <c r="Z48" s="200">
        <f t="shared" si="4"/>
        <v>285709</v>
      </c>
      <c r="AA48" s="200">
        <f t="shared" si="4"/>
        <v>308121</v>
      </c>
      <c r="AB48" s="200">
        <f t="shared" si="4"/>
        <v>316298</v>
      </c>
      <c r="AC48" s="200">
        <f t="shared" si="4"/>
        <v>257257</v>
      </c>
      <c r="AD48" s="200">
        <f t="shared" si="4"/>
        <v>314569</v>
      </c>
      <c r="AE48" s="201">
        <f t="shared" si="4"/>
        <v>272352</v>
      </c>
    </row>
    <row r="49" spans="1:31" x14ac:dyDescent="0.2">
      <c r="B49" s="56" t="s">
        <v>141</v>
      </c>
      <c r="C49" s="56" t="s">
        <v>141</v>
      </c>
      <c r="D49" s="56" t="s">
        <v>141</v>
      </c>
      <c r="E49" s="56" t="s">
        <v>141</v>
      </c>
      <c r="F49" s="56" t="s">
        <v>141</v>
      </c>
      <c r="G49" s="56" t="s">
        <v>141</v>
      </c>
      <c r="H49" s="56" t="s">
        <v>141</v>
      </c>
      <c r="I49" s="56" t="s">
        <v>141</v>
      </c>
      <c r="J49" s="56" t="s">
        <v>141</v>
      </c>
      <c r="K49" s="56" t="s">
        <v>141</v>
      </c>
      <c r="L49" s="56" t="s">
        <v>141</v>
      </c>
      <c r="M49" s="56" t="s">
        <v>141</v>
      </c>
      <c r="N49" s="202" t="s">
        <v>141</v>
      </c>
      <c r="O49" s="203" t="s">
        <v>141</v>
      </c>
      <c r="P49" s="203" t="s">
        <v>141</v>
      </c>
      <c r="Q49" s="203" t="s">
        <v>141</v>
      </c>
      <c r="R49" s="203" t="s">
        <v>141</v>
      </c>
      <c r="S49" s="203" t="s">
        <v>141</v>
      </c>
      <c r="T49" s="203" t="s">
        <v>141</v>
      </c>
      <c r="U49" s="203" t="s">
        <v>141</v>
      </c>
      <c r="V49" s="203" t="s">
        <v>141</v>
      </c>
      <c r="W49" s="203" t="s">
        <v>141</v>
      </c>
      <c r="X49" s="203" t="s">
        <v>141</v>
      </c>
      <c r="Y49" s="203" t="s">
        <v>141</v>
      </c>
      <c r="Z49" s="203" t="s">
        <v>141</v>
      </c>
      <c r="AA49" s="203" t="s">
        <v>141</v>
      </c>
      <c r="AB49" s="203" t="s">
        <v>141</v>
      </c>
      <c r="AC49" s="203" t="s">
        <v>141</v>
      </c>
      <c r="AD49" s="203" t="s">
        <v>141</v>
      </c>
      <c r="AE49" s="204" t="s">
        <v>141</v>
      </c>
    </row>
    <row r="50" spans="1:31" x14ac:dyDescent="0.2">
      <c r="A50" t="s">
        <v>31</v>
      </c>
      <c r="B50" s="163">
        <v>286387</v>
      </c>
      <c r="C50" s="163">
        <v>307453</v>
      </c>
      <c r="D50" s="163">
        <v>288095</v>
      </c>
      <c r="E50" s="163">
        <v>267987</v>
      </c>
      <c r="F50" s="163">
        <v>288652</v>
      </c>
      <c r="G50" s="163">
        <v>327752</v>
      </c>
      <c r="H50" s="163">
        <v>260029</v>
      </c>
      <c r="I50" s="163">
        <v>278243</v>
      </c>
      <c r="J50" s="163">
        <v>299058</v>
      </c>
      <c r="K50" s="163">
        <v>323536</v>
      </c>
      <c r="L50" s="163">
        <v>269299</v>
      </c>
      <c r="M50" s="163">
        <v>275672</v>
      </c>
      <c r="N50" s="205">
        <v>308182</v>
      </c>
      <c r="O50" s="206">
        <v>287419</v>
      </c>
      <c r="P50" s="206">
        <v>307718</v>
      </c>
      <c r="Q50" s="206">
        <v>316682</v>
      </c>
      <c r="R50" s="206">
        <v>330245</v>
      </c>
      <c r="S50" s="206">
        <v>335029</v>
      </c>
      <c r="T50" s="206">
        <v>342925</v>
      </c>
      <c r="U50" s="206">
        <v>309399</v>
      </c>
      <c r="V50" s="206">
        <v>272493</v>
      </c>
      <c r="W50" s="206">
        <v>298470</v>
      </c>
      <c r="X50" s="206">
        <v>318493</v>
      </c>
      <c r="Y50" s="206">
        <v>304744</v>
      </c>
      <c r="Z50" s="206">
        <v>285709</v>
      </c>
      <c r="AA50" s="206">
        <v>308121</v>
      </c>
      <c r="AB50" s="206">
        <v>316298</v>
      </c>
      <c r="AC50" s="206">
        <v>257257</v>
      </c>
      <c r="AD50" s="206">
        <v>314569</v>
      </c>
      <c r="AE50" s="207">
        <v>272352</v>
      </c>
    </row>
    <row r="51" spans="1:31" x14ac:dyDescent="0.2">
      <c r="B51" s="56"/>
      <c r="C51" s="56"/>
      <c r="D51" s="56"/>
      <c r="E51" s="56"/>
      <c r="F51" s="56"/>
      <c r="G51" s="56"/>
      <c r="H51" s="56"/>
      <c r="I51" s="56"/>
      <c r="J51" s="56"/>
      <c r="K51" s="56"/>
      <c r="L51" s="56"/>
      <c r="M51" s="56"/>
      <c r="N51" s="192"/>
      <c r="O51" s="192"/>
      <c r="P51" s="192"/>
      <c r="Q51" s="192"/>
      <c r="R51" s="192"/>
      <c r="S51" s="192"/>
      <c r="T51" s="192"/>
      <c r="U51" s="192"/>
      <c r="V51" s="192"/>
      <c r="W51" s="192"/>
      <c r="X51" s="192"/>
      <c r="Y51" s="192"/>
      <c r="Z51" s="192"/>
      <c r="AA51" s="192"/>
      <c r="AB51" s="192"/>
      <c r="AC51" s="192"/>
      <c r="AD51" s="192"/>
      <c r="AE51" s="192"/>
    </row>
    <row r="52" spans="1:31" x14ac:dyDescent="0.2">
      <c r="A52" t="s">
        <v>139</v>
      </c>
      <c r="B52" s="6">
        <f t="shared" ref="B52:AE52" si="5">B45</f>
        <v>0</v>
      </c>
      <c r="C52" s="6">
        <f t="shared" si="5"/>
        <v>0</v>
      </c>
      <c r="D52" s="6">
        <f t="shared" si="5"/>
        <v>0</v>
      </c>
      <c r="E52" s="6">
        <f t="shared" si="5"/>
        <v>0</v>
      </c>
      <c r="F52" s="6">
        <f t="shared" si="5"/>
        <v>0</v>
      </c>
      <c r="G52" s="6">
        <f t="shared" si="5"/>
        <v>0</v>
      </c>
      <c r="H52" s="6">
        <f t="shared" si="5"/>
        <v>0</v>
      </c>
      <c r="I52" s="6">
        <f t="shared" si="5"/>
        <v>0</v>
      </c>
      <c r="J52" s="6">
        <f t="shared" si="5"/>
        <v>0</v>
      </c>
      <c r="K52" s="6">
        <f t="shared" si="5"/>
        <v>0</v>
      </c>
      <c r="L52" s="6">
        <f t="shared" si="5"/>
        <v>0</v>
      </c>
      <c r="M52" s="6">
        <f t="shared" si="5"/>
        <v>0</v>
      </c>
      <c r="N52" s="208">
        <f t="shared" si="5"/>
        <v>255972.60213696898</v>
      </c>
      <c r="O52" s="209">
        <f t="shared" si="5"/>
        <v>238727.26448433672</v>
      </c>
      <c r="P52" s="209">
        <f t="shared" si="5"/>
        <v>255587.1398282428</v>
      </c>
      <c r="Q52" s="209">
        <f t="shared" si="5"/>
        <v>263032.91841408686</v>
      </c>
      <c r="R52" s="209">
        <f t="shared" si="5"/>
        <v>274298.46445289173</v>
      </c>
      <c r="S52" s="209">
        <f t="shared" si="5"/>
        <v>278272.00676305714</v>
      </c>
      <c r="T52" s="209">
        <f t="shared" si="5"/>
        <v>228949.95712217366</v>
      </c>
      <c r="U52" s="209">
        <f t="shared" si="5"/>
        <v>256983.41553166017</v>
      </c>
      <c r="V52" s="209">
        <f t="shared" si="5"/>
        <v>226329.93549650637</v>
      </c>
      <c r="W52" s="209">
        <f t="shared" si="5"/>
        <v>247906.59829373323</v>
      </c>
      <c r="X52" s="209">
        <f t="shared" si="5"/>
        <v>264536.83651754737</v>
      </c>
      <c r="Y52" s="209">
        <f t="shared" si="5"/>
        <v>253117.51562153787</v>
      </c>
      <c r="Z52" s="209">
        <f t="shared" si="5"/>
        <v>237307.40996948141</v>
      </c>
      <c r="AA52" s="209">
        <f t="shared" si="5"/>
        <v>255922.36901694839</v>
      </c>
      <c r="AB52" s="209">
        <f t="shared" si="5"/>
        <v>262714.09187681624</v>
      </c>
      <c r="AC52" s="209">
        <f t="shared" si="5"/>
        <v>213675.28991428716</v>
      </c>
      <c r="AD52" s="209">
        <f t="shared" si="5"/>
        <v>261277.8347105257</v>
      </c>
      <c r="AE52" s="210">
        <f t="shared" si="5"/>
        <v>226213.06660503091</v>
      </c>
    </row>
    <row r="53" spans="1:31" x14ac:dyDescent="0.2">
      <c r="B53" s="56" t="s">
        <v>181</v>
      </c>
      <c r="C53" s="56" t="s">
        <v>181</v>
      </c>
      <c r="D53" s="56" t="s">
        <v>181</v>
      </c>
      <c r="E53" s="56" t="s">
        <v>181</v>
      </c>
      <c r="F53" s="56" t="s">
        <v>181</v>
      </c>
      <c r="G53" s="56" t="s">
        <v>181</v>
      </c>
      <c r="H53" s="56" t="s">
        <v>181</v>
      </c>
      <c r="I53" s="56" t="s">
        <v>181</v>
      </c>
      <c r="J53" s="56" t="s">
        <v>181</v>
      </c>
      <c r="K53" s="56" t="s">
        <v>181</v>
      </c>
      <c r="L53" s="56" t="s">
        <v>181</v>
      </c>
      <c r="M53" s="56" t="s">
        <v>181</v>
      </c>
      <c r="N53" s="202" t="s">
        <v>207</v>
      </c>
      <c r="O53" s="203" t="s">
        <v>207</v>
      </c>
      <c r="P53" s="203" t="s">
        <v>207</v>
      </c>
      <c r="Q53" s="203" t="s">
        <v>207</v>
      </c>
      <c r="R53" s="203" t="s">
        <v>207</v>
      </c>
      <c r="S53" s="203" t="s">
        <v>207</v>
      </c>
      <c r="T53" s="203" t="s">
        <v>207</v>
      </c>
      <c r="U53" s="203" t="s">
        <v>207</v>
      </c>
      <c r="V53" s="203" t="s">
        <v>207</v>
      </c>
      <c r="W53" s="203" t="s">
        <v>207</v>
      </c>
      <c r="X53" s="203" t="s">
        <v>207</v>
      </c>
      <c r="Y53" s="203" t="s">
        <v>207</v>
      </c>
      <c r="Z53" s="203" t="s">
        <v>207</v>
      </c>
      <c r="AA53" s="203" t="s">
        <v>207</v>
      </c>
      <c r="AB53" s="203" t="s">
        <v>207</v>
      </c>
      <c r="AC53" s="203" t="s">
        <v>207</v>
      </c>
      <c r="AD53" s="203" t="s">
        <v>207</v>
      </c>
      <c r="AE53" s="204" t="s">
        <v>207</v>
      </c>
    </row>
    <row r="54" spans="1:31" x14ac:dyDescent="0.2">
      <c r="A54" t="s">
        <v>182</v>
      </c>
      <c r="B54" s="163">
        <f>95%*B63</f>
        <v>237870.22594685003</v>
      </c>
      <c r="C54" s="163">
        <f t="shared" ref="C54:AE54" si="6">95%*C63</f>
        <v>255367.75436529773</v>
      </c>
      <c r="D54" s="163">
        <f t="shared" si="6"/>
        <v>239289.05529599063</v>
      </c>
      <c r="E54" s="163">
        <f t="shared" si="6"/>
        <v>222587.05547214777</v>
      </c>
      <c r="F54" s="163">
        <f t="shared" si="6"/>
        <v>239751.40503331897</v>
      </c>
      <c r="G54" s="163">
        <f t="shared" si="6"/>
        <v>272227.6297092039</v>
      </c>
      <c r="H54" s="163">
        <f t="shared" si="6"/>
        <v>215977.81210949647</v>
      </c>
      <c r="I54" s="163">
        <f t="shared" si="6"/>
        <v>231106.18256127951</v>
      </c>
      <c r="J54" s="163">
        <f t="shared" si="6"/>
        <v>248394.57717392896</v>
      </c>
      <c r="K54" s="163">
        <f t="shared" si="6"/>
        <v>268725.66362779908</v>
      </c>
      <c r="L54" s="163">
        <f t="shared" si="6"/>
        <v>223676.80662687062</v>
      </c>
      <c r="M54" s="163">
        <f t="shared" si="6"/>
        <v>228970.76237756573</v>
      </c>
      <c r="N54" s="211">
        <f t="shared" si="6"/>
        <v>255972.60213696893</v>
      </c>
      <c r="O54" s="212">
        <f t="shared" si="6"/>
        <v>238727.26448433669</v>
      </c>
      <c r="P54" s="212">
        <f t="shared" si="6"/>
        <v>255587.13982824286</v>
      </c>
      <c r="Q54" s="212">
        <f t="shared" si="6"/>
        <v>263032.91841408686</v>
      </c>
      <c r="R54" s="212">
        <f t="shared" si="6"/>
        <v>274298.46445289173</v>
      </c>
      <c r="S54" s="212">
        <f t="shared" si="6"/>
        <v>278272.00676305714</v>
      </c>
      <c r="T54" s="212">
        <f t="shared" si="6"/>
        <v>284829.99183997361</v>
      </c>
      <c r="U54" s="212">
        <f t="shared" si="6"/>
        <v>256983.41553166017</v>
      </c>
      <c r="V54" s="212">
        <f t="shared" si="6"/>
        <v>226329.93549650637</v>
      </c>
      <c r="W54" s="212">
        <f t="shared" si="6"/>
        <v>247906.59829373323</v>
      </c>
      <c r="X54" s="212">
        <f t="shared" si="6"/>
        <v>264536.83651754737</v>
      </c>
      <c r="Y54" s="212">
        <f t="shared" si="6"/>
        <v>253117.51562153787</v>
      </c>
      <c r="Z54" s="212">
        <f t="shared" si="6"/>
        <v>237307.40996948141</v>
      </c>
      <c r="AA54" s="212">
        <f t="shared" si="6"/>
        <v>255922.3690169488</v>
      </c>
      <c r="AB54" s="212">
        <f t="shared" si="6"/>
        <v>262714.09187681618</v>
      </c>
      <c r="AC54" s="212">
        <f t="shared" si="6"/>
        <v>213675.28991428713</v>
      </c>
      <c r="AD54" s="212">
        <f t="shared" si="6"/>
        <v>261277.8347105257</v>
      </c>
      <c r="AE54" s="213">
        <f t="shared" si="6"/>
        <v>226213.06660503091</v>
      </c>
    </row>
    <row r="55" spans="1:31" s="164" customFormat="1" x14ac:dyDescent="0.2">
      <c r="A55" s="164" t="s">
        <v>183</v>
      </c>
      <c r="B55" s="165">
        <f>B63-B54</f>
        <v>12519.485576150008</v>
      </c>
      <c r="C55" s="165">
        <f t="shared" ref="C55:AE55" si="7">C63-C54</f>
        <v>13440.40812448936</v>
      </c>
      <c r="D55" s="165">
        <f t="shared" si="7"/>
        <v>12594.160805052146</v>
      </c>
      <c r="E55" s="165">
        <f t="shared" si="7"/>
        <v>11715.108182744618</v>
      </c>
      <c r="F55" s="165">
        <f t="shared" si="7"/>
        <v>12618.495001753647</v>
      </c>
      <c r="G55" s="165">
        <f t="shared" si="7"/>
        <v>14327.769984694954</v>
      </c>
      <c r="H55" s="165">
        <f t="shared" si="7"/>
        <v>11367.253268920875</v>
      </c>
      <c r="I55" s="165">
        <f t="shared" si="7"/>
        <v>12163.483292698918</v>
      </c>
      <c r="J55" s="165">
        <f t="shared" si="7"/>
        <v>13073.398798627866</v>
      </c>
      <c r="K55" s="165">
        <f t="shared" si="7"/>
        <v>14143.455980410508</v>
      </c>
      <c r="L55" s="165">
        <f t="shared" si="7"/>
        <v>11772.463506677421</v>
      </c>
      <c r="M55" s="165">
        <f t="shared" si="7"/>
        <v>12051.092756714002</v>
      </c>
      <c r="N55" s="214">
        <f t="shared" si="7"/>
        <v>13472.242217735213</v>
      </c>
      <c r="O55" s="215">
        <f t="shared" si="7"/>
        <v>12564.592867596686</v>
      </c>
      <c r="P55" s="215">
        <f t="shared" si="7"/>
        <v>13451.95472780228</v>
      </c>
      <c r="Q55" s="215">
        <f t="shared" si="7"/>
        <v>13843.83781126776</v>
      </c>
      <c r="R55" s="215">
        <f t="shared" si="7"/>
        <v>14436.761286994326</v>
      </c>
      <c r="S55" s="215">
        <f t="shared" si="7"/>
        <v>14645.895092792518</v>
      </c>
      <c r="T55" s="215">
        <f t="shared" si="7"/>
        <v>14991.052202103892</v>
      </c>
      <c r="U55" s="215">
        <f t="shared" si="7"/>
        <v>13525.442922718968</v>
      </c>
      <c r="V55" s="215">
        <f t="shared" si="7"/>
        <v>11912.101868237194</v>
      </c>
      <c r="W55" s="215">
        <f t="shared" si="7"/>
        <v>13047.715699670196</v>
      </c>
      <c r="X55" s="215">
        <f t="shared" si="7"/>
        <v>13922.991395660385</v>
      </c>
      <c r="Y55" s="215">
        <f t="shared" si="7"/>
        <v>13321.974506396742</v>
      </c>
      <c r="Z55" s="215">
        <f t="shared" si="7"/>
        <v>12489.863682604308</v>
      </c>
      <c r="AA55" s="215">
        <f t="shared" si="7"/>
        <v>13469.598369313113</v>
      </c>
      <c r="AB55" s="215">
        <f t="shared" si="7"/>
        <v>13827.057467200852</v>
      </c>
      <c r="AC55" s="215">
        <f t="shared" si="7"/>
        <v>11246.067890225648</v>
      </c>
      <c r="AD55" s="215">
        <f t="shared" si="7"/>
        <v>13751.46498476452</v>
      </c>
      <c r="AE55" s="216">
        <f t="shared" si="7"/>
        <v>11905.950873949012</v>
      </c>
    </row>
    <row r="56" spans="1:31" s="164" customFormat="1" x14ac:dyDescent="0.2">
      <c r="B56" s="165"/>
      <c r="C56" s="165"/>
      <c r="D56" s="165"/>
      <c r="E56" s="165"/>
      <c r="F56" s="165"/>
      <c r="G56" s="165"/>
      <c r="H56" s="165"/>
      <c r="I56" s="165"/>
      <c r="J56" s="165"/>
      <c r="K56" s="165"/>
      <c r="L56" s="165"/>
      <c r="M56" s="165"/>
      <c r="N56" s="217"/>
      <c r="O56" s="217"/>
      <c r="P56" s="217"/>
      <c r="Q56" s="217"/>
      <c r="R56" s="217"/>
      <c r="S56" s="217"/>
      <c r="T56" s="217"/>
      <c r="U56" s="217"/>
      <c r="V56" s="217"/>
      <c r="W56" s="217"/>
      <c r="X56" s="217"/>
      <c r="Y56" s="217"/>
      <c r="Z56" s="217"/>
      <c r="AA56" s="217"/>
      <c r="AB56" s="217"/>
      <c r="AC56" s="217"/>
      <c r="AD56" s="217"/>
      <c r="AE56" s="217"/>
    </row>
    <row r="57" spans="1:31" s="164" customFormat="1" x14ac:dyDescent="0.2">
      <c r="A57" s="164" t="s">
        <v>140</v>
      </c>
      <c r="B57" s="162">
        <f t="shared" ref="B57:AE57" si="8">B47</f>
        <v>0</v>
      </c>
      <c r="C57" s="162">
        <f t="shared" si="8"/>
        <v>0</v>
      </c>
      <c r="D57" s="162">
        <f t="shared" si="8"/>
        <v>0</v>
      </c>
      <c r="E57" s="162">
        <f t="shared" si="8"/>
        <v>0</v>
      </c>
      <c r="F57" s="162">
        <f t="shared" si="8"/>
        <v>0</v>
      </c>
      <c r="G57" s="162">
        <f t="shared" si="8"/>
        <v>0</v>
      </c>
      <c r="H57" s="162">
        <f t="shared" si="8"/>
        <v>0</v>
      </c>
      <c r="I57" s="162">
        <f t="shared" si="8"/>
        <v>0</v>
      </c>
      <c r="J57" s="162">
        <f t="shared" si="8"/>
        <v>0</v>
      </c>
      <c r="K57" s="162">
        <f t="shared" si="8"/>
        <v>0</v>
      </c>
      <c r="L57" s="162">
        <f t="shared" si="8"/>
        <v>0</v>
      </c>
      <c r="M57" s="162">
        <f t="shared" si="8"/>
        <v>0</v>
      </c>
      <c r="N57" s="199">
        <f t="shared" si="8"/>
        <v>0</v>
      </c>
      <c r="O57" s="200">
        <f t="shared" si="8"/>
        <v>0</v>
      </c>
      <c r="P57" s="200">
        <f t="shared" si="8"/>
        <v>0</v>
      </c>
      <c r="Q57" s="200">
        <f t="shared" si="8"/>
        <v>0</v>
      </c>
      <c r="R57" s="200">
        <f t="shared" si="8"/>
        <v>0</v>
      </c>
      <c r="S57" s="200">
        <f t="shared" si="8"/>
        <v>0</v>
      </c>
      <c r="T57" s="200">
        <f t="shared" si="8"/>
        <v>0</v>
      </c>
      <c r="U57" s="200">
        <f t="shared" si="8"/>
        <v>0</v>
      </c>
      <c r="V57" s="200">
        <f t="shared" si="8"/>
        <v>0</v>
      </c>
      <c r="W57" s="200">
        <f t="shared" si="8"/>
        <v>0</v>
      </c>
      <c r="X57" s="200">
        <f t="shared" si="8"/>
        <v>0</v>
      </c>
      <c r="Y57" s="200">
        <f t="shared" si="8"/>
        <v>0</v>
      </c>
      <c r="Z57" s="200">
        <f t="shared" si="8"/>
        <v>0</v>
      </c>
      <c r="AA57" s="200">
        <f t="shared" si="8"/>
        <v>0</v>
      </c>
      <c r="AB57" s="200">
        <f t="shared" si="8"/>
        <v>0</v>
      </c>
      <c r="AC57" s="200">
        <f t="shared" si="8"/>
        <v>0</v>
      </c>
      <c r="AD57" s="200">
        <f t="shared" si="8"/>
        <v>0</v>
      </c>
      <c r="AE57" s="201">
        <f t="shared" si="8"/>
        <v>0</v>
      </c>
    </row>
    <row r="58" spans="1:31" s="164" customFormat="1" x14ac:dyDescent="0.2">
      <c r="B58" s="56" t="s">
        <v>181</v>
      </c>
      <c r="C58" s="56" t="s">
        <v>181</v>
      </c>
      <c r="D58" s="56" t="s">
        <v>181</v>
      </c>
      <c r="E58" s="56" t="s">
        <v>181</v>
      </c>
      <c r="F58" s="56" t="s">
        <v>181</v>
      </c>
      <c r="G58" s="56" t="s">
        <v>181</v>
      </c>
      <c r="H58" s="56" t="s">
        <v>181</v>
      </c>
      <c r="I58" s="56" t="s">
        <v>181</v>
      </c>
      <c r="J58" s="56" t="s">
        <v>181</v>
      </c>
      <c r="K58" s="56" t="s">
        <v>181</v>
      </c>
      <c r="L58" s="56" t="s">
        <v>181</v>
      </c>
      <c r="M58" s="56" t="s">
        <v>181</v>
      </c>
      <c r="N58" s="202" t="s">
        <v>207</v>
      </c>
      <c r="O58" s="203" t="s">
        <v>207</v>
      </c>
      <c r="P58" s="203" t="s">
        <v>207</v>
      </c>
      <c r="Q58" s="203" t="s">
        <v>207</v>
      </c>
      <c r="R58" s="203" t="s">
        <v>207</v>
      </c>
      <c r="S58" s="203" t="s">
        <v>207</v>
      </c>
      <c r="T58" s="203" t="s">
        <v>207</v>
      </c>
      <c r="U58" s="203" t="s">
        <v>207</v>
      </c>
      <c r="V58" s="203" t="s">
        <v>207</v>
      </c>
      <c r="W58" s="203" t="s">
        <v>207</v>
      </c>
      <c r="X58" s="203" t="s">
        <v>207</v>
      </c>
      <c r="Y58" s="203" t="s">
        <v>207</v>
      </c>
      <c r="Z58" s="203" t="s">
        <v>207</v>
      </c>
      <c r="AA58" s="203" t="s">
        <v>207</v>
      </c>
      <c r="AB58" s="203" t="s">
        <v>207</v>
      </c>
      <c r="AC58" s="203" t="s">
        <v>207</v>
      </c>
      <c r="AD58" s="203" t="s">
        <v>207</v>
      </c>
      <c r="AE58" s="204" t="s">
        <v>207</v>
      </c>
    </row>
    <row r="59" spans="1:31" s="164" customFormat="1" x14ac:dyDescent="0.2">
      <c r="A59" s="164" t="s">
        <v>184</v>
      </c>
      <c r="B59" s="163">
        <f>(1-B63/B62)*B62</f>
        <v>35997.288476999958</v>
      </c>
      <c r="C59" s="163">
        <f t="shared" ref="C59:AE59" si="9">(1-C63/C62)*C62</f>
        <v>38644.837510212921</v>
      </c>
      <c r="D59" s="163">
        <f t="shared" si="9"/>
        <v>36211.783898957234</v>
      </c>
      <c r="E59" s="163">
        <f t="shared" si="9"/>
        <v>33684.836345107615</v>
      </c>
      <c r="F59" s="163">
        <f t="shared" si="9"/>
        <v>36282.09996492738</v>
      </c>
      <c r="G59" s="163">
        <f t="shared" si="9"/>
        <v>41196.600306101158</v>
      </c>
      <c r="H59" s="163">
        <f t="shared" si="9"/>
        <v>32683.934621582659</v>
      </c>
      <c r="I59" s="163">
        <f t="shared" si="9"/>
        <v>34973.334146021582</v>
      </c>
      <c r="J59" s="163">
        <f t="shared" si="9"/>
        <v>37590.024027443178</v>
      </c>
      <c r="K59" s="163">
        <f t="shared" si="9"/>
        <v>40666.880391790401</v>
      </c>
      <c r="L59" s="163">
        <f t="shared" si="9"/>
        <v>33849.729866451955</v>
      </c>
      <c r="M59" s="163">
        <f t="shared" si="9"/>
        <v>34650.144865720285</v>
      </c>
      <c r="N59" s="205">
        <f>(1-N63/N62)*N62</f>
        <v>38737.155645295876</v>
      </c>
      <c r="O59" s="206">
        <f t="shared" si="9"/>
        <v>36127.142648066641</v>
      </c>
      <c r="P59" s="206">
        <f t="shared" si="9"/>
        <v>38678.905443954878</v>
      </c>
      <c r="Q59" s="206">
        <f t="shared" si="9"/>
        <v>39805.243774645387</v>
      </c>
      <c r="R59" s="206">
        <f t="shared" si="9"/>
        <v>41509.774260113962</v>
      </c>
      <c r="S59" s="206">
        <f t="shared" si="9"/>
        <v>42111.098144150354</v>
      </c>
      <c r="T59" s="206">
        <f t="shared" si="9"/>
        <v>43103.955957922502</v>
      </c>
      <c r="U59" s="206">
        <f t="shared" si="9"/>
        <v>38890.141545620878</v>
      </c>
      <c r="V59" s="206">
        <f t="shared" si="9"/>
        <v>34250.962635256423</v>
      </c>
      <c r="W59" s="206">
        <f t="shared" si="9"/>
        <v>37515.686006596559</v>
      </c>
      <c r="X59" s="206">
        <f t="shared" si="9"/>
        <v>40033.172086792234</v>
      </c>
      <c r="Y59" s="206">
        <f t="shared" si="9"/>
        <v>38304.509872065406</v>
      </c>
      <c r="Z59" s="206">
        <f t="shared" si="9"/>
        <v>35911.726347914293</v>
      </c>
      <c r="AA59" s="206">
        <f t="shared" si="9"/>
        <v>38729.032613738105</v>
      </c>
      <c r="AB59" s="206">
        <f t="shared" si="9"/>
        <v>39756.850655982962</v>
      </c>
      <c r="AC59" s="206">
        <f t="shared" si="9"/>
        <v>32335.64219548722</v>
      </c>
      <c r="AD59" s="206">
        <f t="shared" si="9"/>
        <v>39539.700304709775</v>
      </c>
      <c r="AE59" s="207">
        <f t="shared" si="9"/>
        <v>34232.982521020087</v>
      </c>
    </row>
    <row r="61" spans="1:31" s="228" customFormat="1" x14ac:dyDescent="0.2">
      <c r="A61" s="228" t="s">
        <v>142</v>
      </c>
      <c r="B61" s="228">
        <f>0.7*B62</f>
        <v>200470.9</v>
      </c>
      <c r="C61" s="228">
        <f t="shared" ref="C61:AE61" si="10">0.7*C62</f>
        <v>215217.09999999998</v>
      </c>
      <c r="D61" s="228">
        <f t="shared" si="10"/>
        <v>201666.5</v>
      </c>
      <c r="E61" s="228">
        <f t="shared" si="10"/>
        <v>187590.9</v>
      </c>
      <c r="F61" s="228">
        <f t="shared" si="10"/>
        <v>202056.4</v>
      </c>
      <c r="G61" s="228">
        <f t="shared" si="10"/>
        <v>229426.4</v>
      </c>
      <c r="H61" s="228">
        <f t="shared" si="10"/>
        <v>182020.3</v>
      </c>
      <c r="I61" s="228">
        <f t="shared" si="10"/>
        <v>194770.09999999998</v>
      </c>
      <c r="J61" s="228">
        <f t="shared" si="10"/>
        <v>209340.59999999998</v>
      </c>
      <c r="K61" s="228">
        <f t="shared" si="10"/>
        <v>226475.19999999998</v>
      </c>
      <c r="L61" s="228">
        <f t="shared" si="10"/>
        <v>188509.3</v>
      </c>
      <c r="M61" s="228">
        <f t="shared" si="10"/>
        <v>192970.4</v>
      </c>
      <c r="N61" s="230">
        <f t="shared" si="10"/>
        <v>215727.4</v>
      </c>
      <c r="O61" s="231">
        <f t="shared" si="10"/>
        <v>201193.3</v>
      </c>
      <c r="P61" s="231">
        <f t="shared" si="10"/>
        <v>215402.59999999998</v>
      </c>
      <c r="Q61" s="231">
        <f t="shared" si="10"/>
        <v>221677.4</v>
      </c>
      <c r="R61" s="231">
        <f t="shared" si="10"/>
        <v>231171.49999999997</v>
      </c>
      <c r="S61" s="231">
        <f t="shared" si="10"/>
        <v>234520.3</v>
      </c>
      <c r="T61" s="231">
        <f t="shared" si="10"/>
        <v>240047.49999999997</v>
      </c>
      <c r="U61" s="231">
        <f t="shared" si="10"/>
        <v>216579.3</v>
      </c>
      <c r="V61" s="231">
        <f t="shared" si="10"/>
        <v>190745.09999999998</v>
      </c>
      <c r="W61" s="231">
        <f t="shared" si="10"/>
        <v>208929</v>
      </c>
      <c r="X61" s="231">
        <f t="shared" si="10"/>
        <v>222945.09999999998</v>
      </c>
      <c r="Y61" s="231">
        <f t="shared" si="10"/>
        <v>213320.8</v>
      </c>
      <c r="Z61" s="231">
        <f t="shared" si="10"/>
        <v>199996.3</v>
      </c>
      <c r="AA61" s="231">
        <f t="shared" si="10"/>
        <v>215684.69999999998</v>
      </c>
      <c r="AB61" s="231">
        <f t="shared" si="10"/>
        <v>221408.59999999998</v>
      </c>
      <c r="AC61" s="231">
        <f t="shared" si="10"/>
        <v>180079.9</v>
      </c>
      <c r="AD61" s="231">
        <f t="shared" si="10"/>
        <v>220198.3</v>
      </c>
      <c r="AE61" s="232">
        <f t="shared" si="10"/>
        <v>190646.39999999999</v>
      </c>
    </row>
    <row r="62" spans="1:31" x14ac:dyDescent="0.2">
      <c r="A62" t="s">
        <v>143</v>
      </c>
      <c r="B62" s="56">
        <v>286387</v>
      </c>
      <c r="C62" s="56">
        <v>307453</v>
      </c>
      <c r="D62" s="56">
        <v>288095</v>
      </c>
      <c r="E62" s="56">
        <v>267987</v>
      </c>
      <c r="F62" s="56">
        <v>288652</v>
      </c>
      <c r="G62" s="56">
        <v>327752</v>
      </c>
      <c r="H62" s="56">
        <v>260029</v>
      </c>
      <c r="I62" s="56">
        <v>278243</v>
      </c>
      <c r="J62" s="56">
        <v>299058</v>
      </c>
      <c r="K62" s="56">
        <v>323536</v>
      </c>
      <c r="L62" s="56">
        <v>269299</v>
      </c>
      <c r="M62" s="56">
        <v>275672</v>
      </c>
      <c r="N62" s="202">
        <v>308182</v>
      </c>
      <c r="O62" s="203">
        <v>287419</v>
      </c>
      <c r="P62" s="203">
        <v>307718</v>
      </c>
      <c r="Q62" s="203">
        <v>316682</v>
      </c>
      <c r="R62" s="203">
        <v>330245</v>
      </c>
      <c r="S62" s="203">
        <v>335029</v>
      </c>
      <c r="T62" s="203">
        <v>342925</v>
      </c>
      <c r="U62" s="203">
        <v>309399</v>
      </c>
      <c r="V62" s="203">
        <v>272493</v>
      </c>
      <c r="W62" s="203">
        <v>298470</v>
      </c>
      <c r="X62" s="203">
        <v>318493</v>
      </c>
      <c r="Y62" s="203">
        <v>304744</v>
      </c>
      <c r="Z62" s="203">
        <v>285709</v>
      </c>
      <c r="AA62" s="203">
        <v>308121</v>
      </c>
      <c r="AB62" s="203">
        <v>316298</v>
      </c>
      <c r="AC62" s="203">
        <v>257257</v>
      </c>
      <c r="AD62" s="203">
        <v>314569</v>
      </c>
      <c r="AE62" s="204">
        <v>272352</v>
      </c>
    </row>
    <row r="63" spans="1:31" x14ac:dyDescent="0.2">
      <c r="A63" t="s">
        <v>180</v>
      </c>
      <c r="B63" s="56">
        <v>250389.71152300003</v>
      </c>
      <c r="C63" s="56">
        <v>268808.16248978709</v>
      </c>
      <c r="D63" s="56">
        <v>251883.21610104278</v>
      </c>
      <c r="E63" s="56">
        <v>234302.16365489239</v>
      </c>
      <c r="F63" s="56">
        <v>252369.90003507261</v>
      </c>
      <c r="G63" s="56">
        <v>286555.39969389886</v>
      </c>
      <c r="H63" s="56">
        <v>227345.06537841735</v>
      </c>
      <c r="I63" s="56">
        <v>243269.66585397843</v>
      </c>
      <c r="J63" s="56">
        <v>261467.97597255683</v>
      </c>
      <c r="K63" s="56">
        <v>282869.11960820958</v>
      </c>
      <c r="L63" s="56">
        <v>235449.27013354804</v>
      </c>
      <c r="M63" s="56">
        <v>241021.85513427973</v>
      </c>
      <c r="N63" s="233">
        <v>269444.84435470414</v>
      </c>
      <c r="O63" s="234">
        <v>251291.85735193337</v>
      </c>
      <c r="P63" s="234">
        <v>269039.09455604514</v>
      </c>
      <c r="Q63" s="234">
        <v>276876.75622535462</v>
      </c>
      <c r="R63" s="234">
        <v>288735.22573988605</v>
      </c>
      <c r="S63" s="234">
        <v>292917.90185584966</v>
      </c>
      <c r="T63" s="234">
        <v>299821.0440420775</v>
      </c>
      <c r="U63" s="234">
        <v>270508.85845437914</v>
      </c>
      <c r="V63" s="234">
        <v>238242.03736474356</v>
      </c>
      <c r="W63" s="234">
        <v>260954.31399340343</v>
      </c>
      <c r="X63" s="234">
        <v>278459.82791320776</v>
      </c>
      <c r="Y63" s="234">
        <v>266439.49012793461</v>
      </c>
      <c r="Z63" s="234">
        <v>249797.27365208571</v>
      </c>
      <c r="AA63" s="234">
        <v>269391.96738626191</v>
      </c>
      <c r="AB63" s="234">
        <v>276541.14934401703</v>
      </c>
      <c r="AC63" s="234">
        <v>224921.35780451278</v>
      </c>
      <c r="AD63" s="234">
        <v>275029.29969529022</v>
      </c>
      <c r="AE63" s="235">
        <v>238119.01747897992</v>
      </c>
    </row>
    <row r="64" spans="1:31" ht="17" thickBot="1" x14ac:dyDescent="0.25">
      <c r="B64" s="56"/>
      <c r="C64" s="56"/>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row>
    <row r="65" spans="1:39" ht="17" thickBot="1" x14ac:dyDescent="0.25">
      <c r="A65" t="s">
        <v>146</v>
      </c>
      <c r="B65">
        <v>1</v>
      </c>
      <c r="C65">
        <v>2</v>
      </c>
      <c r="D65">
        <v>3</v>
      </c>
      <c r="E65">
        <v>4</v>
      </c>
      <c r="F65">
        <v>5</v>
      </c>
      <c r="G65">
        <v>6</v>
      </c>
      <c r="H65">
        <v>7</v>
      </c>
      <c r="I65">
        <v>8</v>
      </c>
      <c r="J65">
        <v>9</v>
      </c>
      <c r="K65">
        <v>10</v>
      </c>
      <c r="L65">
        <v>11</v>
      </c>
      <c r="M65">
        <v>12</v>
      </c>
      <c r="N65" s="183">
        <v>13</v>
      </c>
      <c r="O65" s="184">
        <v>14</v>
      </c>
      <c r="P65" s="184">
        <v>15</v>
      </c>
      <c r="Q65" s="184">
        <v>16</v>
      </c>
      <c r="R65" s="184">
        <v>17</v>
      </c>
      <c r="S65" s="184">
        <v>18</v>
      </c>
      <c r="T65" s="184">
        <v>19</v>
      </c>
      <c r="U65" s="184">
        <v>20</v>
      </c>
      <c r="V65" s="184">
        <v>21</v>
      </c>
      <c r="W65" s="184">
        <v>22</v>
      </c>
      <c r="X65" s="184">
        <v>23</v>
      </c>
      <c r="Y65" s="184">
        <v>24</v>
      </c>
      <c r="Z65" s="184">
        <v>25</v>
      </c>
      <c r="AA65" s="184">
        <v>26</v>
      </c>
      <c r="AB65" s="184">
        <v>27</v>
      </c>
      <c r="AC65" s="184">
        <v>28</v>
      </c>
      <c r="AD65" s="184">
        <v>29</v>
      </c>
      <c r="AE65" s="185">
        <v>30</v>
      </c>
      <c r="AG65" s="84" t="s">
        <v>210</v>
      </c>
      <c r="AH65" s="39"/>
      <c r="AI65" s="39"/>
      <c r="AJ65" s="39"/>
      <c r="AK65" s="39"/>
      <c r="AL65" s="39"/>
      <c r="AM65" s="40"/>
    </row>
    <row r="66" spans="1:39" x14ac:dyDescent="0.2">
      <c r="A66" t="s">
        <v>185</v>
      </c>
      <c r="B66" s="66">
        <f t="shared" ref="B66:M66" si="11">63%*B46</f>
        <v>0</v>
      </c>
      <c r="C66" s="67">
        <f t="shared" si="11"/>
        <v>0</v>
      </c>
      <c r="D66" s="67">
        <f t="shared" si="11"/>
        <v>0</v>
      </c>
      <c r="E66" s="67">
        <f t="shared" si="11"/>
        <v>0</v>
      </c>
      <c r="F66" s="67">
        <f t="shared" si="11"/>
        <v>0</v>
      </c>
      <c r="G66" s="67">
        <f t="shared" si="11"/>
        <v>0</v>
      </c>
      <c r="H66" s="67">
        <f t="shared" si="11"/>
        <v>0</v>
      </c>
      <c r="I66" s="67">
        <f t="shared" si="11"/>
        <v>0</v>
      </c>
      <c r="J66" s="67">
        <f t="shared" si="11"/>
        <v>0</v>
      </c>
      <c r="K66" s="67">
        <f t="shared" si="11"/>
        <v>0</v>
      </c>
      <c r="L66" s="67">
        <f t="shared" si="11"/>
        <v>0</v>
      </c>
      <c r="M66" s="67">
        <f t="shared" si="11"/>
        <v>0</v>
      </c>
      <c r="N66" s="218">
        <f t="shared" ref="N66:AE66" si="12">$AH$72*N46</f>
        <v>32894.877496630557</v>
      </c>
      <c r="O66" s="219">
        <f t="shared" si="12"/>
        <v>30678.550997429447</v>
      </c>
      <c r="P66" s="219">
        <f t="shared" si="12"/>
        <v>32845.394303200585</v>
      </c>
      <c r="Q66" s="219">
        <f t="shared" si="12"/>
        <v>33801.959777532247</v>
      </c>
      <c r="R66" s="219">
        <f t="shared" si="12"/>
        <v>35249.485887791699</v>
      </c>
      <c r="S66" s="219">
        <f t="shared" si="12"/>
        <v>35760.12013209486</v>
      </c>
      <c r="T66" s="219">
        <f t="shared" si="12"/>
        <v>71810.731910280956</v>
      </c>
      <c r="U66" s="219">
        <f t="shared" si="12"/>
        <v>33024.786735210066</v>
      </c>
      <c r="V66" s="219">
        <f t="shared" si="12"/>
        <v>29085.345050239212</v>
      </c>
      <c r="W66" s="219">
        <f t="shared" si="12"/>
        <v>31857.806698022043</v>
      </c>
      <c r="X66" s="219">
        <f t="shared" si="12"/>
        <v>33995.438763721671</v>
      </c>
      <c r="Y66" s="219">
        <f t="shared" si="12"/>
        <v>32527.608988452579</v>
      </c>
      <c r="Z66" s="219">
        <f t="shared" si="12"/>
        <v>30495.742909600609</v>
      </c>
      <c r="AA66" s="219">
        <f t="shared" si="12"/>
        <v>32888.093752468805</v>
      </c>
      <c r="AB66" s="219">
        <f t="shared" si="12"/>
        <v>33760.896804959026</v>
      </c>
      <c r="AC66" s="219">
        <f t="shared" si="12"/>
        <v>27458.945573825949</v>
      </c>
      <c r="AD66" s="219">
        <f t="shared" si="12"/>
        <v>33576.452240435363</v>
      </c>
      <c r="AE66" s="220">
        <f t="shared" si="12"/>
        <v>29070.14108522021</v>
      </c>
      <c r="AG66" s="58" t="s">
        <v>199</v>
      </c>
      <c r="AH66" s="59"/>
      <c r="AI66" s="59"/>
      <c r="AJ66" s="59"/>
      <c r="AK66" s="246" t="s">
        <v>187</v>
      </c>
      <c r="AL66" s="248">
        <f>93.45/2000</f>
        <v>4.6725000000000003E-2</v>
      </c>
      <c r="AM66" s="247" t="s">
        <v>221</v>
      </c>
    </row>
    <row r="67" spans="1:39" ht="17" thickBot="1" x14ac:dyDescent="0.25">
      <c r="A67" t="s">
        <v>186</v>
      </c>
      <c r="B67" s="68">
        <f t="shared" ref="B67:AE67" si="13">B46-B66</f>
        <v>0</v>
      </c>
      <c r="C67" s="69">
        <f t="shared" si="13"/>
        <v>0</v>
      </c>
      <c r="D67" s="69">
        <f t="shared" si="13"/>
        <v>0</v>
      </c>
      <c r="E67" s="69">
        <f t="shared" si="13"/>
        <v>0</v>
      </c>
      <c r="F67" s="69">
        <f t="shared" si="13"/>
        <v>0</v>
      </c>
      <c r="G67" s="69">
        <f t="shared" si="13"/>
        <v>0</v>
      </c>
      <c r="H67" s="69">
        <f t="shared" si="13"/>
        <v>0</v>
      </c>
      <c r="I67" s="69">
        <f t="shared" si="13"/>
        <v>0</v>
      </c>
      <c r="J67" s="69">
        <f t="shared" si="13"/>
        <v>0</v>
      </c>
      <c r="K67" s="69">
        <f t="shared" si="13"/>
        <v>0</v>
      </c>
      <c r="L67" s="69">
        <f t="shared" si="13"/>
        <v>0</v>
      </c>
      <c r="M67" s="69">
        <f t="shared" si="13"/>
        <v>0</v>
      </c>
      <c r="N67" s="221">
        <f t="shared" si="13"/>
        <v>19314.520366400415</v>
      </c>
      <c r="O67" s="222">
        <f t="shared" si="13"/>
        <v>18013.184518233858</v>
      </c>
      <c r="P67" s="222">
        <f t="shared" si="13"/>
        <v>19285.465868556625</v>
      </c>
      <c r="Q67" s="222">
        <f t="shared" si="13"/>
        <v>19847.121808380893</v>
      </c>
      <c r="R67" s="222">
        <f t="shared" si="13"/>
        <v>20697.049659316544</v>
      </c>
      <c r="S67" s="222">
        <f t="shared" si="13"/>
        <v>20996.873104847997</v>
      </c>
      <c r="T67" s="222">
        <f t="shared" si="13"/>
        <v>42164.310967545389</v>
      </c>
      <c r="U67" s="222">
        <f t="shared" si="13"/>
        <v>19390.797733129766</v>
      </c>
      <c r="V67" s="222">
        <f t="shared" si="13"/>
        <v>17077.71945325442</v>
      </c>
      <c r="W67" s="222">
        <f t="shared" si="13"/>
        <v>18705.595008244727</v>
      </c>
      <c r="X67" s="222">
        <f t="shared" si="13"/>
        <v>19960.724718730962</v>
      </c>
      <c r="Y67" s="222">
        <f t="shared" si="13"/>
        <v>19098.875390009554</v>
      </c>
      <c r="Z67" s="222">
        <f t="shared" si="13"/>
        <v>17905.847120917984</v>
      </c>
      <c r="AA67" s="222">
        <f t="shared" si="13"/>
        <v>19310.537230582806</v>
      </c>
      <c r="AB67" s="222">
        <f t="shared" si="13"/>
        <v>19823.011318224737</v>
      </c>
      <c r="AC67" s="222">
        <f t="shared" si="13"/>
        <v>16122.76451188689</v>
      </c>
      <c r="AD67" s="222">
        <f t="shared" si="13"/>
        <v>19714.713049038939</v>
      </c>
      <c r="AE67" s="223">
        <f t="shared" si="13"/>
        <v>17068.792309748882</v>
      </c>
      <c r="AG67" s="58" t="s">
        <v>216</v>
      </c>
      <c r="AH67" s="59"/>
      <c r="AI67" s="59"/>
      <c r="AJ67" s="59"/>
      <c r="AK67" s="246" t="s">
        <v>220</v>
      </c>
      <c r="AL67" s="248">
        <f>54.87/2000</f>
        <v>2.7434999999999998E-2</v>
      </c>
      <c r="AM67" s="247" t="s">
        <v>221</v>
      </c>
    </row>
    <row r="68" spans="1:39" ht="17" thickBot="1" x14ac:dyDescent="0.25">
      <c r="B68" s="56"/>
      <c r="C68" s="56"/>
      <c r="D68" s="56"/>
      <c r="E68" s="56"/>
      <c r="F68" s="56"/>
      <c r="G68" s="56"/>
      <c r="H68" s="56"/>
      <c r="I68" s="56"/>
      <c r="J68" s="56"/>
      <c r="K68" s="56"/>
      <c r="L68" s="56"/>
      <c r="M68" s="56"/>
      <c r="N68" s="249"/>
      <c r="O68" s="249"/>
      <c r="P68" s="56"/>
      <c r="Q68" s="56"/>
      <c r="R68" s="56"/>
      <c r="S68" s="56"/>
      <c r="T68" s="56"/>
      <c r="U68" s="56"/>
      <c r="V68" s="56"/>
      <c r="W68" s="56"/>
      <c r="X68" s="56"/>
      <c r="Y68" s="56"/>
      <c r="Z68" s="56"/>
      <c r="AA68" s="56"/>
      <c r="AB68" s="56"/>
      <c r="AC68" s="56"/>
      <c r="AD68" s="56"/>
      <c r="AE68" s="56"/>
      <c r="AG68" s="58" t="s">
        <v>217</v>
      </c>
      <c r="AH68" s="59"/>
      <c r="AI68" s="59"/>
      <c r="AJ68" s="59"/>
      <c r="AK68" s="246" t="s">
        <v>196</v>
      </c>
      <c r="AL68" s="248">
        <f>SUM(AL66:AL67)</f>
        <v>7.4160000000000004E-2</v>
      </c>
      <c r="AM68" s="247" t="s">
        <v>221</v>
      </c>
    </row>
    <row r="69" spans="1:39" ht="17" thickBot="1" x14ac:dyDescent="0.25">
      <c r="A69" s="49" t="s">
        <v>225</v>
      </c>
      <c r="B69">
        <v>1</v>
      </c>
      <c r="C69">
        <v>2</v>
      </c>
      <c r="D69">
        <v>3</v>
      </c>
      <c r="E69">
        <v>4</v>
      </c>
      <c r="F69">
        <v>5</v>
      </c>
      <c r="G69">
        <v>6</v>
      </c>
      <c r="H69">
        <v>7</v>
      </c>
      <c r="I69">
        <v>8</v>
      </c>
      <c r="J69">
        <v>9</v>
      </c>
      <c r="K69">
        <v>10</v>
      </c>
      <c r="L69">
        <v>11</v>
      </c>
      <c r="M69">
        <v>12</v>
      </c>
      <c r="N69" s="183">
        <v>13</v>
      </c>
      <c r="O69" s="184">
        <v>14</v>
      </c>
      <c r="P69" s="184">
        <v>15</v>
      </c>
      <c r="Q69" s="184">
        <v>16</v>
      </c>
      <c r="R69" s="184">
        <v>17</v>
      </c>
      <c r="S69" s="184">
        <v>18</v>
      </c>
      <c r="T69" s="184">
        <v>19</v>
      </c>
      <c r="U69" s="184">
        <v>20</v>
      </c>
      <c r="V69" s="184">
        <v>21</v>
      </c>
      <c r="W69" s="184">
        <v>22</v>
      </c>
      <c r="X69" s="184">
        <v>23</v>
      </c>
      <c r="Y69" s="184">
        <v>24</v>
      </c>
      <c r="Z69" s="184">
        <v>25</v>
      </c>
      <c r="AA69" s="184">
        <v>26</v>
      </c>
      <c r="AB69" s="184">
        <v>27</v>
      </c>
      <c r="AC69" s="184">
        <v>28</v>
      </c>
      <c r="AD69" s="184">
        <v>29</v>
      </c>
      <c r="AE69" s="185">
        <v>30</v>
      </c>
      <c r="AG69" s="58"/>
      <c r="AH69" s="59"/>
      <c r="AI69" s="59"/>
      <c r="AJ69" s="59"/>
      <c r="AK69" s="59"/>
      <c r="AL69" s="59"/>
      <c r="AM69" s="60"/>
    </row>
    <row r="70" spans="1:39" x14ac:dyDescent="0.2">
      <c r="A70" s="49" t="s">
        <v>187</v>
      </c>
      <c r="B70" s="66">
        <f>B66*0.046725</f>
        <v>0</v>
      </c>
      <c r="C70" s="67">
        <f t="shared" ref="C70:AE70" si="14">C66*0.046725</f>
        <v>0</v>
      </c>
      <c r="D70" s="67">
        <f t="shared" si="14"/>
        <v>0</v>
      </c>
      <c r="E70" s="67">
        <f t="shared" si="14"/>
        <v>0</v>
      </c>
      <c r="F70" s="67">
        <f t="shared" si="14"/>
        <v>0</v>
      </c>
      <c r="G70" s="67">
        <f t="shared" si="14"/>
        <v>0</v>
      </c>
      <c r="H70" s="67">
        <f t="shared" si="14"/>
        <v>0</v>
      </c>
      <c r="I70" s="67">
        <f t="shared" si="14"/>
        <v>0</v>
      </c>
      <c r="J70" s="67">
        <f t="shared" si="14"/>
        <v>0</v>
      </c>
      <c r="K70" s="67">
        <f t="shared" si="14"/>
        <v>0</v>
      </c>
      <c r="L70" s="67">
        <f t="shared" si="14"/>
        <v>0</v>
      </c>
      <c r="M70" s="67">
        <f t="shared" si="14"/>
        <v>0</v>
      </c>
      <c r="N70" s="218">
        <f>N66*0.046725</f>
        <v>1537.0131510300628</v>
      </c>
      <c r="O70" s="219">
        <f t="shared" si="14"/>
        <v>1433.4552953548909</v>
      </c>
      <c r="P70" s="219">
        <f t="shared" si="14"/>
        <v>1534.7010488170474</v>
      </c>
      <c r="Q70" s="219">
        <f t="shared" si="14"/>
        <v>1579.3965706051943</v>
      </c>
      <c r="R70" s="219">
        <f t="shared" si="14"/>
        <v>1647.0322281070673</v>
      </c>
      <c r="S70" s="219">
        <f t="shared" si="14"/>
        <v>1670.8916131721323</v>
      </c>
      <c r="T70" s="219">
        <f t="shared" si="14"/>
        <v>3355.3564485078778</v>
      </c>
      <c r="U70" s="219">
        <f t="shared" si="14"/>
        <v>1543.0831602026904</v>
      </c>
      <c r="V70" s="219">
        <f t="shared" si="14"/>
        <v>1359.0127474724272</v>
      </c>
      <c r="W70" s="219">
        <f t="shared" si="14"/>
        <v>1488.5560179650799</v>
      </c>
      <c r="X70" s="219">
        <f t="shared" si="14"/>
        <v>1588.4368762348952</v>
      </c>
      <c r="Y70" s="219">
        <f t="shared" si="14"/>
        <v>1519.8525299854468</v>
      </c>
      <c r="Z70" s="219">
        <f t="shared" si="14"/>
        <v>1424.9135874510885</v>
      </c>
      <c r="AA70" s="219">
        <f t="shared" si="14"/>
        <v>1536.6961805841049</v>
      </c>
      <c r="AB70" s="219">
        <f t="shared" si="14"/>
        <v>1577.4779032117106</v>
      </c>
      <c r="AC70" s="219">
        <f t="shared" si="14"/>
        <v>1283.0192319370176</v>
      </c>
      <c r="AD70" s="219">
        <f t="shared" si="14"/>
        <v>1568.8597309343425</v>
      </c>
      <c r="AE70" s="220">
        <f t="shared" si="14"/>
        <v>1358.3023422069143</v>
      </c>
      <c r="AG70" s="58" t="s">
        <v>218</v>
      </c>
      <c r="AH70" s="59"/>
      <c r="AI70" s="59"/>
      <c r="AJ70" s="59"/>
      <c r="AK70" s="59"/>
      <c r="AL70" s="59"/>
      <c r="AM70" s="60"/>
    </row>
    <row r="71" spans="1:39" ht="17" thickBot="1" x14ac:dyDescent="0.25">
      <c r="A71" s="49" t="s">
        <v>188</v>
      </c>
      <c r="B71" s="68">
        <f>B67*0.027435</f>
        <v>0</v>
      </c>
      <c r="C71" s="69">
        <f t="shared" ref="C71:AE71" si="15">C67*0.027435</f>
        <v>0</v>
      </c>
      <c r="D71" s="69">
        <f t="shared" si="15"/>
        <v>0</v>
      </c>
      <c r="E71" s="69">
        <f t="shared" si="15"/>
        <v>0</v>
      </c>
      <c r="F71" s="69">
        <f t="shared" si="15"/>
        <v>0</v>
      </c>
      <c r="G71" s="69">
        <f t="shared" si="15"/>
        <v>0</v>
      </c>
      <c r="H71" s="69">
        <f t="shared" si="15"/>
        <v>0</v>
      </c>
      <c r="I71" s="69">
        <f t="shared" si="15"/>
        <v>0</v>
      </c>
      <c r="J71" s="69">
        <f t="shared" si="15"/>
        <v>0</v>
      </c>
      <c r="K71" s="69">
        <f t="shared" si="15"/>
        <v>0</v>
      </c>
      <c r="L71" s="69">
        <f t="shared" si="15"/>
        <v>0</v>
      </c>
      <c r="M71" s="69">
        <f t="shared" si="15"/>
        <v>0</v>
      </c>
      <c r="N71" s="221">
        <f t="shared" si="15"/>
        <v>529.89386625219538</v>
      </c>
      <c r="O71" s="222">
        <f t="shared" si="15"/>
        <v>494.19171725774595</v>
      </c>
      <c r="P71" s="222">
        <f t="shared" si="15"/>
        <v>529.09675610385102</v>
      </c>
      <c r="Q71" s="222">
        <f t="shared" si="15"/>
        <v>544.50578681292984</v>
      </c>
      <c r="R71" s="222">
        <f t="shared" si="15"/>
        <v>567.82355740334947</v>
      </c>
      <c r="S71" s="222">
        <f t="shared" si="15"/>
        <v>576.04921363150481</v>
      </c>
      <c r="T71" s="222">
        <f t="shared" si="15"/>
        <v>1156.7778713946077</v>
      </c>
      <c r="U71" s="222">
        <f t="shared" si="15"/>
        <v>531.98653580841517</v>
      </c>
      <c r="V71" s="222">
        <f t="shared" si="15"/>
        <v>468.52723320003503</v>
      </c>
      <c r="W71" s="222">
        <f t="shared" si="15"/>
        <v>513.18799905119408</v>
      </c>
      <c r="X71" s="222">
        <f t="shared" si="15"/>
        <v>547.622482658384</v>
      </c>
      <c r="Y71" s="222">
        <f t="shared" si="15"/>
        <v>523.97764632491214</v>
      </c>
      <c r="Z71" s="222">
        <f t="shared" si="15"/>
        <v>491.2469157623849</v>
      </c>
      <c r="AA71" s="222">
        <f t="shared" si="15"/>
        <v>529.78458892103924</v>
      </c>
      <c r="AB71" s="222">
        <f t="shared" si="15"/>
        <v>543.84431551549562</v>
      </c>
      <c r="AC71" s="222">
        <f t="shared" si="15"/>
        <v>442.32804438361683</v>
      </c>
      <c r="AD71" s="222">
        <f t="shared" si="15"/>
        <v>540.8731525003833</v>
      </c>
      <c r="AE71" s="223">
        <f t="shared" si="15"/>
        <v>468.28231701796062</v>
      </c>
      <c r="AG71" s="238" t="s">
        <v>219</v>
      </c>
      <c r="AH71" s="237"/>
      <c r="AI71" s="59"/>
      <c r="AJ71" s="59"/>
      <c r="AK71" s="59"/>
      <c r="AL71" s="59"/>
      <c r="AM71" s="60"/>
    </row>
    <row r="72" spans="1:39" s="164" customFormat="1" x14ac:dyDescent="0.2">
      <c r="B72" s="166"/>
      <c r="C72" s="166"/>
      <c r="D72" s="166"/>
      <c r="E72" s="166"/>
      <c r="F72" s="166"/>
      <c r="G72" s="166"/>
      <c r="H72" s="166"/>
      <c r="I72" s="166"/>
      <c r="J72" s="166"/>
      <c r="K72" s="166"/>
      <c r="L72" s="166"/>
      <c r="M72" s="166"/>
      <c r="N72" s="166"/>
      <c r="O72" s="166"/>
      <c r="P72" s="166"/>
      <c r="Q72" s="166"/>
      <c r="R72" s="166"/>
      <c r="S72" s="166"/>
      <c r="T72" s="166"/>
      <c r="U72" s="166"/>
      <c r="V72" s="166"/>
      <c r="W72" s="166"/>
      <c r="X72" s="166"/>
      <c r="Y72" s="166"/>
      <c r="Z72" s="166"/>
      <c r="AA72" s="166"/>
      <c r="AB72" s="166"/>
      <c r="AC72" s="166"/>
      <c r="AD72" s="166"/>
      <c r="AE72" s="166"/>
      <c r="AG72" s="242" t="s">
        <v>222</v>
      </c>
      <c r="AH72" s="243">
        <f>100%*AL66/AL68</f>
        <v>0.63005663430420711</v>
      </c>
      <c r="AI72" s="167"/>
      <c r="AJ72" s="167"/>
      <c r="AK72" s="167"/>
      <c r="AL72" s="167"/>
      <c r="AM72" s="239"/>
    </row>
    <row r="73" spans="1:39" s="164" customFormat="1" ht="17" thickBot="1" x14ac:dyDescent="0.25">
      <c r="A73" s="167" t="s">
        <v>188</v>
      </c>
      <c r="B73" s="166">
        <f>B71</f>
        <v>0</v>
      </c>
      <c r="C73" s="166">
        <f t="shared" ref="C73:AE73" si="16">C71</f>
        <v>0</v>
      </c>
      <c r="D73" s="166">
        <f t="shared" si="16"/>
        <v>0</v>
      </c>
      <c r="E73" s="166">
        <f t="shared" si="16"/>
        <v>0</v>
      </c>
      <c r="F73" s="166">
        <f t="shared" si="16"/>
        <v>0</v>
      </c>
      <c r="G73" s="166">
        <f t="shared" si="16"/>
        <v>0</v>
      </c>
      <c r="H73" s="166">
        <f t="shared" si="16"/>
        <v>0</v>
      </c>
      <c r="I73" s="166">
        <f t="shared" si="16"/>
        <v>0</v>
      </c>
      <c r="J73" s="166">
        <f t="shared" si="16"/>
        <v>0</v>
      </c>
      <c r="K73" s="166">
        <f t="shared" si="16"/>
        <v>0</v>
      </c>
      <c r="L73" s="166">
        <f t="shared" si="16"/>
        <v>0</v>
      </c>
      <c r="M73" s="166">
        <f t="shared" si="16"/>
        <v>0</v>
      </c>
      <c r="N73" s="199">
        <f t="shared" si="16"/>
        <v>529.89386625219538</v>
      </c>
      <c r="O73" s="200">
        <f t="shared" si="16"/>
        <v>494.19171725774595</v>
      </c>
      <c r="P73" s="200">
        <f t="shared" si="16"/>
        <v>529.09675610385102</v>
      </c>
      <c r="Q73" s="200">
        <f t="shared" si="16"/>
        <v>544.50578681292984</v>
      </c>
      <c r="R73" s="200">
        <f t="shared" si="16"/>
        <v>567.82355740334947</v>
      </c>
      <c r="S73" s="200">
        <f t="shared" si="16"/>
        <v>576.04921363150481</v>
      </c>
      <c r="T73" s="200">
        <f t="shared" si="16"/>
        <v>1156.7778713946077</v>
      </c>
      <c r="U73" s="200">
        <f t="shared" si="16"/>
        <v>531.98653580841517</v>
      </c>
      <c r="V73" s="200">
        <f t="shared" si="16"/>
        <v>468.52723320003503</v>
      </c>
      <c r="W73" s="200">
        <f t="shared" si="16"/>
        <v>513.18799905119408</v>
      </c>
      <c r="X73" s="200">
        <f t="shared" si="16"/>
        <v>547.622482658384</v>
      </c>
      <c r="Y73" s="200">
        <f t="shared" si="16"/>
        <v>523.97764632491214</v>
      </c>
      <c r="Z73" s="200">
        <f t="shared" si="16"/>
        <v>491.2469157623849</v>
      </c>
      <c r="AA73" s="200">
        <f t="shared" si="16"/>
        <v>529.78458892103924</v>
      </c>
      <c r="AB73" s="200">
        <f t="shared" si="16"/>
        <v>543.84431551549562</v>
      </c>
      <c r="AC73" s="200">
        <f t="shared" si="16"/>
        <v>442.32804438361683</v>
      </c>
      <c r="AD73" s="200">
        <f t="shared" si="16"/>
        <v>540.8731525003833</v>
      </c>
      <c r="AE73" s="201">
        <f t="shared" si="16"/>
        <v>468.28231701796062</v>
      </c>
      <c r="AG73" s="244" t="s">
        <v>223</v>
      </c>
      <c r="AH73" s="245">
        <f>100%-AH72</f>
        <v>0.36994336569579289</v>
      </c>
      <c r="AI73" s="240"/>
      <c r="AJ73" s="240"/>
      <c r="AK73" s="240"/>
      <c r="AL73" s="240"/>
      <c r="AM73" s="241"/>
    </row>
    <row r="74" spans="1:39" s="164" customFormat="1" x14ac:dyDescent="0.2">
      <c r="B74" s="166" t="s">
        <v>144</v>
      </c>
      <c r="C74" s="166" t="s">
        <v>144</v>
      </c>
      <c r="D74" s="166" t="s">
        <v>144</v>
      </c>
      <c r="E74" s="166" t="s">
        <v>144</v>
      </c>
      <c r="F74" s="166" t="s">
        <v>144</v>
      </c>
      <c r="G74" s="166" t="s">
        <v>144</v>
      </c>
      <c r="H74" s="166" t="s">
        <v>144</v>
      </c>
      <c r="I74" s="166" t="s">
        <v>144</v>
      </c>
      <c r="J74" s="166" t="s">
        <v>144</v>
      </c>
      <c r="K74" s="166" t="s">
        <v>144</v>
      </c>
      <c r="L74" s="166" t="s">
        <v>144</v>
      </c>
      <c r="M74" s="166" t="s">
        <v>144</v>
      </c>
      <c r="N74" s="202" t="s">
        <v>207</v>
      </c>
      <c r="O74" s="203" t="s">
        <v>207</v>
      </c>
      <c r="P74" s="203" t="s">
        <v>207</v>
      </c>
      <c r="Q74" s="203" t="s">
        <v>207</v>
      </c>
      <c r="R74" s="203" t="s">
        <v>207</v>
      </c>
      <c r="S74" s="203" t="s">
        <v>207</v>
      </c>
      <c r="T74" s="203" t="s">
        <v>207</v>
      </c>
      <c r="U74" s="203" t="s">
        <v>207</v>
      </c>
      <c r="V74" s="203" t="s">
        <v>207</v>
      </c>
      <c r="W74" s="203" t="s">
        <v>207</v>
      </c>
      <c r="X74" s="203" t="s">
        <v>207</v>
      </c>
      <c r="Y74" s="203" t="s">
        <v>207</v>
      </c>
      <c r="Z74" s="203" t="s">
        <v>207</v>
      </c>
      <c r="AA74" s="203" t="s">
        <v>207</v>
      </c>
      <c r="AB74" s="203" t="s">
        <v>207</v>
      </c>
      <c r="AC74" s="203" t="s">
        <v>207</v>
      </c>
      <c r="AD74" s="203" t="s">
        <v>207</v>
      </c>
      <c r="AE74" s="204" t="s">
        <v>207</v>
      </c>
    </row>
    <row r="75" spans="1:39" s="164" customFormat="1" x14ac:dyDescent="0.2">
      <c r="A75" s="167" t="s">
        <v>190</v>
      </c>
      <c r="B75" s="166">
        <f>10000*B78</f>
        <v>0</v>
      </c>
      <c r="C75" s="166">
        <f t="shared" ref="C75:AE75" si="17">10000*C78</f>
        <v>0</v>
      </c>
      <c r="D75" s="166">
        <f t="shared" si="17"/>
        <v>0</v>
      </c>
      <c r="E75" s="166">
        <f t="shared" si="17"/>
        <v>0</v>
      </c>
      <c r="F75" s="166">
        <f t="shared" si="17"/>
        <v>0</v>
      </c>
      <c r="G75" s="166">
        <f t="shared" si="17"/>
        <v>0</v>
      </c>
      <c r="H75" s="166">
        <f t="shared" si="17"/>
        <v>0</v>
      </c>
      <c r="I75" s="166">
        <f t="shared" si="17"/>
        <v>0</v>
      </c>
      <c r="J75" s="166">
        <f t="shared" si="17"/>
        <v>0</v>
      </c>
      <c r="K75" s="166">
        <f t="shared" si="17"/>
        <v>0</v>
      </c>
      <c r="L75" s="166">
        <f t="shared" si="17"/>
        <v>0</v>
      </c>
      <c r="M75" s="166">
        <f t="shared" si="17"/>
        <v>0</v>
      </c>
      <c r="N75" s="205">
        <f t="shared" si="17"/>
        <v>10000</v>
      </c>
      <c r="O75" s="206">
        <f t="shared" si="17"/>
        <v>10000</v>
      </c>
      <c r="P75" s="206">
        <f t="shared" si="17"/>
        <v>10000</v>
      </c>
      <c r="Q75" s="206">
        <f t="shared" si="17"/>
        <v>10000</v>
      </c>
      <c r="R75" s="206">
        <f t="shared" si="17"/>
        <v>10000</v>
      </c>
      <c r="S75" s="206">
        <f t="shared" si="17"/>
        <v>10000</v>
      </c>
      <c r="T75" s="206">
        <f t="shared" si="17"/>
        <v>10000</v>
      </c>
      <c r="U75" s="206">
        <f t="shared" si="17"/>
        <v>10000</v>
      </c>
      <c r="V75" s="206">
        <f t="shared" si="17"/>
        <v>10000</v>
      </c>
      <c r="W75" s="206">
        <f t="shared" si="17"/>
        <v>10000</v>
      </c>
      <c r="X75" s="206">
        <f t="shared" si="17"/>
        <v>10000</v>
      </c>
      <c r="Y75" s="206">
        <f t="shared" si="17"/>
        <v>10000</v>
      </c>
      <c r="Z75" s="206">
        <f t="shared" si="17"/>
        <v>10000</v>
      </c>
      <c r="AA75" s="206">
        <f t="shared" si="17"/>
        <v>10000</v>
      </c>
      <c r="AB75" s="206">
        <f t="shared" si="17"/>
        <v>10000</v>
      </c>
      <c r="AC75" s="206">
        <f t="shared" si="17"/>
        <v>10000</v>
      </c>
      <c r="AD75" s="206">
        <f t="shared" si="17"/>
        <v>10000</v>
      </c>
      <c r="AE75" s="207">
        <f t="shared" si="17"/>
        <v>10000</v>
      </c>
    </row>
    <row r="76" spans="1:39" s="164" customFormat="1" ht="17" thickBot="1" x14ac:dyDescent="0.25">
      <c r="B76" s="166"/>
      <c r="C76" s="166"/>
      <c r="D76" s="166"/>
      <c r="E76" s="166"/>
      <c r="F76" s="166"/>
      <c r="G76" s="166"/>
      <c r="H76" s="166"/>
      <c r="I76" s="166"/>
      <c r="J76" s="166"/>
      <c r="K76" s="166"/>
      <c r="L76" s="166"/>
      <c r="M76" s="166"/>
      <c r="N76" s="166"/>
      <c r="O76" s="166"/>
      <c r="P76" s="166"/>
      <c r="Q76" s="166"/>
      <c r="R76" s="166"/>
      <c r="S76" s="166"/>
      <c r="T76" s="166"/>
      <c r="U76" s="166"/>
      <c r="V76" s="166"/>
      <c r="W76" s="166"/>
      <c r="X76" s="166"/>
      <c r="Y76" s="166"/>
      <c r="Z76" s="166"/>
      <c r="AA76" s="166"/>
      <c r="AB76" s="166"/>
      <c r="AC76" s="166"/>
      <c r="AD76" s="166"/>
      <c r="AE76" s="166"/>
    </row>
    <row r="77" spans="1:39" s="164" customFormat="1" ht="17" thickBot="1" x14ac:dyDescent="0.25">
      <c r="A77" s="167"/>
      <c r="B77">
        <v>1</v>
      </c>
      <c r="C77">
        <v>2</v>
      </c>
      <c r="D77">
        <v>3</v>
      </c>
      <c r="E77">
        <v>4</v>
      </c>
      <c r="F77">
        <v>5</v>
      </c>
      <c r="G77">
        <v>6</v>
      </c>
      <c r="H77">
        <v>7</v>
      </c>
      <c r="I77">
        <v>8</v>
      </c>
      <c r="J77">
        <v>9</v>
      </c>
      <c r="K77">
        <v>10</v>
      </c>
      <c r="L77">
        <v>11</v>
      </c>
      <c r="M77">
        <v>12</v>
      </c>
      <c r="N77" s="250" t="s">
        <v>336</v>
      </c>
      <c r="O77" s="251" t="s">
        <v>337</v>
      </c>
      <c r="P77" s="251" t="s">
        <v>338</v>
      </c>
      <c r="Q77" s="251" t="s">
        <v>339</v>
      </c>
      <c r="R77" s="251" t="s">
        <v>340</v>
      </c>
      <c r="S77" s="251" t="s">
        <v>341</v>
      </c>
      <c r="T77" s="251" t="s">
        <v>359</v>
      </c>
      <c r="U77" s="251" t="s">
        <v>360</v>
      </c>
      <c r="V77" s="251" t="s">
        <v>361</v>
      </c>
      <c r="W77" s="251" t="s">
        <v>362</v>
      </c>
      <c r="X77" s="251" t="s">
        <v>363</v>
      </c>
      <c r="Y77" s="251" t="s">
        <v>364</v>
      </c>
      <c r="Z77" s="251" t="s">
        <v>365</v>
      </c>
      <c r="AA77" s="251" t="s">
        <v>366</v>
      </c>
      <c r="AB77" s="251" t="s">
        <v>367</v>
      </c>
      <c r="AC77" s="251" t="s">
        <v>368</v>
      </c>
      <c r="AD77" s="251" t="s">
        <v>369</v>
      </c>
      <c r="AE77" s="252" t="s">
        <v>370</v>
      </c>
    </row>
    <row r="78" spans="1:39" ht="17" thickBot="1" x14ac:dyDescent="0.25">
      <c r="A78" s="227" t="s">
        <v>189</v>
      </c>
      <c r="B78" s="168"/>
      <c r="C78" s="169"/>
      <c r="D78" s="169"/>
      <c r="E78" s="169"/>
      <c r="F78" s="169"/>
      <c r="G78" s="169"/>
      <c r="H78" s="169"/>
      <c r="I78" s="169"/>
      <c r="J78" s="169"/>
      <c r="K78" s="169"/>
      <c r="L78" s="169"/>
      <c r="M78" s="169"/>
      <c r="N78" s="168">
        <v>1</v>
      </c>
      <c r="O78" s="169">
        <v>1</v>
      </c>
      <c r="P78" s="169">
        <v>1</v>
      </c>
      <c r="Q78" s="169">
        <v>1</v>
      </c>
      <c r="R78" s="169">
        <v>1</v>
      </c>
      <c r="S78" s="169">
        <v>1</v>
      </c>
      <c r="T78" s="169">
        <v>1</v>
      </c>
      <c r="U78" s="169">
        <v>1</v>
      </c>
      <c r="V78" s="169">
        <v>1</v>
      </c>
      <c r="W78" s="169">
        <v>1</v>
      </c>
      <c r="X78" s="169">
        <v>1</v>
      </c>
      <c r="Y78" s="169">
        <v>1</v>
      </c>
      <c r="Z78" s="169">
        <v>1</v>
      </c>
      <c r="AA78" s="169">
        <v>1</v>
      </c>
      <c r="AB78" s="169">
        <v>1</v>
      </c>
      <c r="AC78" s="169">
        <v>1</v>
      </c>
      <c r="AD78" s="169">
        <v>1</v>
      </c>
      <c r="AE78" s="170">
        <v>1</v>
      </c>
    </row>
    <row r="79" spans="1:39" s="164" customFormat="1" x14ac:dyDescent="0.2">
      <c r="B79" s="166"/>
      <c r="C79" s="166"/>
      <c r="D79" s="166"/>
      <c r="E79" s="166"/>
      <c r="F79" s="166"/>
      <c r="G79" s="166"/>
      <c r="H79" s="166"/>
      <c r="I79" s="166"/>
      <c r="J79" s="166"/>
      <c r="K79" s="166"/>
      <c r="L79" s="166"/>
      <c r="M79" s="166"/>
      <c r="N79" s="166"/>
      <c r="O79" s="166"/>
      <c r="P79" s="166"/>
      <c r="Q79" s="166"/>
      <c r="R79" s="166"/>
      <c r="S79" s="166"/>
      <c r="T79" s="166"/>
      <c r="U79" s="166"/>
      <c r="V79" s="166"/>
      <c r="W79" s="166"/>
      <c r="X79" s="166"/>
      <c r="Y79" s="166"/>
      <c r="Z79" s="166"/>
      <c r="AA79" s="166"/>
      <c r="AB79" s="166"/>
      <c r="AC79" s="166"/>
      <c r="AD79" s="166"/>
      <c r="AE79" s="166"/>
    </row>
    <row r="80" spans="1:39" x14ac:dyDescent="0.2">
      <c r="A80" t="s">
        <v>145</v>
      </c>
      <c r="E80" s="56"/>
      <c r="F80" s="56"/>
      <c r="G80" s="56"/>
      <c r="H80" s="56"/>
      <c r="I80" s="56"/>
      <c r="J80" s="56"/>
      <c r="K80" s="56"/>
      <c r="L80" s="56"/>
      <c r="M80" s="56"/>
      <c r="N80" s="224">
        <f>SUM(B73:AE73)</f>
        <v>10000.000000000005</v>
      </c>
      <c r="O80" s="225" t="s">
        <v>207</v>
      </c>
      <c r="P80" s="226">
        <v>10000</v>
      </c>
      <c r="Q80" s="56"/>
      <c r="R80" s="56"/>
      <c r="S80" s="56"/>
      <c r="T80" s="56"/>
      <c r="U80" s="56"/>
      <c r="V80" s="56"/>
      <c r="W80" s="56"/>
      <c r="X80" s="56"/>
      <c r="Y80" s="56"/>
      <c r="Z80" s="56"/>
      <c r="AA80" s="56"/>
      <c r="AB80" s="56"/>
      <c r="AC80" s="56"/>
      <c r="AD80" s="56"/>
      <c r="AE80" s="56"/>
    </row>
    <row r="81" spans="2:31" x14ac:dyDescent="0.2">
      <c r="E81" s="56"/>
      <c r="F81" s="56"/>
      <c r="G81" s="56"/>
      <c r="H81" s="56"/>
      <c r="I81" s="56"/>
      <c r="J81" s="56"/>
      <c r="K81" s="56"/>
      <c r="L81" s="56"/>
      <c r="M81" s="56"/>
      <c r="N81" s="10"/>
      <c r="O81" s="56"/>
      <c r="P81" s="10"/>
      <c r="Q81" s="56"/>
      <c r="R81" s="56"/>
      <c r="S81" s="56"/>
      <c r="T81" s="56"/>
      <c r="U81" s="56"/>
      <c r="V81" s="56"/>
      <c r="W81" s="56"/>
      <c r="X81" s="56"/>
      <c r="Y81" s="56"/>
      <c r="Z81" s="56"/>
      <c r="AA81" s="56"/>
      <c r="AB81" s="56"/>
      <c r="AC81" s="56"/>
      <c r="AD81" s="56"/>
      <c r="AE81" s="56"/>
    </row>
    <row r="82" spans="2:31" x14ac:dyDescent="0.2">
      <c r="E82" s="56"/>
      <c r="F82" s="56"/>
      <c r="G82" s="56"/>
      <c r="H82" s="56"/>
      <c r="I82" s="56"/>
      <c r="J82" s="56"/>
      <c r="K82" s="56"/>
      <c r="L82" s="56"/>
      <c r="M82" s="56"/>
      <c r="N82" s="10"/>
      <c r="O82" s="56"/>
      <c r="P82" s="10"/>
      <c r="Q82" s="56"/>
      <c r="R82" s="56"/>
      <c r="S82" s="56"/>
      <c r="T82" s="56"/>
      <c r="U82" s="56"/>
      <c r="V82" s="56"/>
      <c r="W82" s="56"/>
      <c r="X82" s="56"/>
      <c r="Y82" s="56"/>
      <c r="Z82" s="56"/>
      <c r="AA82" s="56"/>
      <c r="AB82" s="56"/>
      <c r="AC82" s="56"/>
      <c r="AD82" s="56"/>
      <c r="AE82" s="56"/>
    </row>
    <row r="83" spans="2:31" x14ac:dyDescent="0.2">
      <c r="B83" s="56"/>
      <c r="C83" s="56"/>
      <c r="D83" s="5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row>
    <row r="84" spans="2:31" x14ac:dyDescent="0.2">
      <c r="B84" s="56"/>
      <c r="C84" s="56"/>
      <c r="D84" s="5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row>
    <row r="85" spans="2:31" x14ac:dyDescent="0.2">
      <c r="B85" s="56"/>
      <c r="C85" s="56"/>
      <c r="D85" s="56"/>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row>
    <row r="86" spans="2:31" x14ac:dyDescent="0.2">
      <c r="B86" s="56"/>
      <c r="C86" s="56"/>
      <c r="D86" s="56"/>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row>
    <row r="87" spans="2:31" x14ac:dyDescent="0.2">
      <c r="B87" s="56"/>
      <c r="C87" s="56"/>
      <c r="D87" s="56"/>
      <c r="E87" s="56"/>
      <c r="F87" s="56"/>
      <c r="G87" s="56"/>
      <c r="H87" s="56"/>
      <c r="I87" s="56"/>
      <c r="J87" s="56"/>
      <c r="K87" s="56"/>
      <c r="L87" s="56"/>
      <c r="M87" s="56"/>
      <c r="N87" s="56"/>
      <c r="O87" s="56"/>
      <c r="P87" s="56"/>
      <c r="Q87" s="56"/>
      <c r="R87" s="56"/>
      <c r="S87" s="56"/>
      <c r="T87" s="56"/>
      <c r="U87" s="56"/>
      <c r="V87" s="56"/>
      <c r="W87" s="56"/>
      <c r="X87" s="56"/>
      <c r="Y87" s="56"/>
      <c r="Z87" s="56"/>
      <c r="AA87" s="56"/>
      <c r="AB87" s="56"/>
      <c r="AC87" s="56"/>
      <c r="AD87" s="56"/>
      <c r="AE87" s="56"/>
    </row>
    <row r="88" spans="2:31" x14ac:dyDescent="0.2">
      <c r="B88" s="56"/>
      <c r="C88" s="56"/>
      <c r="D88" s="56"/>
      <c r="E88" s="56"/>
      <c r="F88" s="56"/>
      <c r="G88" s="56"/>
      <c r="H88" s="56"/>
      <c r="I88" s="56"/>
      <c r="J88" s="56"/>
      <c r="K88" s="56"/>
      <c r="L88" s="56"/>
      <c r="M88" s="56"/>
      <c r="N88" s="56"/>
      <c r="O88" s="56"/>
      <c r="P88" s="56"/>
      <c r="Q88" s="56"/>
      <c r="R88" s="56"/>
      <c r="S88" s="56"/>
      <c r="T88" s="56"/>
      <c r="U88" s="56"/>
      <c r="V88" s="56"/>
      <c r="W88" s="56"/>
      <c r="X88" s="56"/>
      <c r="Y88" s="56"/>
      <c r="Z88" s="56"/>
      <c r="AA88" s="56"/>
      <c r="AB88" s="56"/>
      <c r="AC88" s="56"/>
      <c r="AD88" s="56"/>
      <c r="AE88" s="56"/>
    </row>
    <row r="89" spans="2:31" x14ac:dyDescent="0.2">
      <c r="B89" s="56"/>
      <c r="C89" s="56"/>
      <c r="D89" s="56"/>
      <c r="E89" s="56"/>
      <c r="F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row>
    <row r="90" spans="2:31" x14ac:dyDescent="0.2">
      <c r="B90" s="56"/>
      <c r="C90" s="56"/>
      <c r="D90" s="56"/>
      <c r="E90" s="56"/>
      <c r="F90" s="56"/>
      <c r="G90" s="56"/>
      <c r="H90" s="56"/>
      <c r="I90" s="56"/>
      <c r="J90" s="56"/>
      <c r="K90" s="56"/>
      <c r="L90" s="56"/>
      <c r="M90" s="56"/>
      <c r="N90" s="56"/>
      <c r="O90" s="56"/>
      <c r="P90" s="56"/>
      <c r="Q90" s="56"/>
      <c r="R90" s="56"/>
      <c r="S90" s="56"/>
      <c r="T90" s="56"/>
      <c r="U90" s="56"/>
      <c r="V90" s="56"/>
      <c r="W90" s="56"/>
      <c r="X90" s="56"/>
      <c r="Y90" s="56"/>
      <c r="Z90" s="56"/>
      <c r="AA90" s="56"/>
      <c r="AB90" s="56"/>
      <c r="AC90" s="56"/>
      <c r="AD90" s="56"/>
      <c r="AE90" s="56"/>
    </row>
    <row r="91" spans="2:31" x14ac:dyDescent="0.2">
      <c r="B91" s="56"/>
      <c r="C91" s="56"/>
      <c r="D91" s="56"/>
      <c r="E91" s="56"/>
      <c r="F91" s="56"/>
      <c r="G91" s="56"/>
      <c r="H91" s="56"/>
      <c r="I91" s="56"/>
      <c r="J91" s="56"/>
      <c r="K91" s="56"/>
      <c r="L91" s="56"/>
      <c r="M91" s="56"/>
      <c r="N91" s="56"/>
      <c r="O91" s="56"/>
      <c r="P91" s="56"/>
      <c r="Q91" s="56"/>
      <c r="R91" s="56"/>
      <c r="S91" s="56"/>
      <c r="T91" s="56"/>
      <c r="U91" s="56"/>
      <c r="V91" s="56"/>
      <c r="W91" s="56"/>
      <c r="X91" s="56"/>
      <c r="Y91" s="56"/>
      <c r="Z91" s="56"/>
      <c r="AA91" s="56"/>
      <c r="AB91" s="56"/>
      <c r="AC91" s="56"/>
      <c r="AD91" s="56"/>
      <c r="AE91" s="56"/>
    </row>
    <row r="92" spans="2:31" x14ac:dyDescent="0.2">
      <c r="B92" s="56"/>
      <c r="C92" s="56"/>
      <c r="D92" s="56"/>
      <c r="E92" s="56"/>
      <c r="F92" s="56"/>
      <c r="G92" s="56"/>
      <c r="H92" s="56"/>
      <c r="I92" s="56"/>
      <c r="J92" s="56"/>
      <c r="K92" s="56"/>
      <c r="L92" s="56"/>
      <c r="M92" s="56"/>
      <c r="N92" s="56"/>
      <c r="O92" s="56"/>
      <c r="P92" s="56"/>
      <c r="Q92" s="56"/>
      <c r="R92" s="56"/>
      <c r="S92" s="56"/>
      <c r="T92" s="56"/>
      <c r="U92" s="56"/>
      <c r="V92" s="56"/>
      <c r="W92" s="56"/>
      <c r="X92" s="56"/>
      <c r="Y92" s="56"/>
      <c r="Z92" s="56"/>
      <c r="AA92" s="56"/>
      <c r="AB92" s="56"/>
      <c r="AC92" s="56"/>
      <c r="AD92" s="56"/>
      <c r="AE92" s="56"/>
    </row>
    <row r="93" spans="2:31" x14ac:dyDescent="0.2">
      <c r="B93" s="56"/>
      <c r="C93" s="56"/>
      <c r="D93" s="56"/>
      <c r="E93" s="56"/>
      <c r="F93" s="56"/>
      <c r="G93" s="56"/>
      <c r="H93" s="56"/>
      <c r="I93" s="56"/>
      <c r="J93" s="56"/>
      <c r="K93" s="56"/>
      <c r="L93" s="56"/>
      <c r="M93" s="56"/>
      <c r="N93" s="56"/>
      <c r="O93" s="56"/>
      <c r="P93" s="56"/>
      <c r="Q93" s="56"/>
      <c r="R93" s="56"/>
      <c r="S93" s="56"/>
      <c r="T93" s="56"/>
      <c r="U93" s="56"/>
      <c r="V93" s="56"/>
      <c r="W93" s="56"/>
      <c r="X93" s="56"/>
      <c r="Y93" s="56"/>
      <c r="Z93" s="56"/>
      <c r="AA93" s="56"/>
      <c r="AB93" s="56"/>
      <c r="AC93" s="56"/>
      <c r="AD93" s="56"/>
      <c r="AE93" s="56"/>
    </row>
    <row r="94" spans="2:31" x14ac:dyDescent="0.2">
      <c r="B94" s="56"/>
      <c r="C94" s="56"/>
      <c r="D94" s="56"/>
      <c r="E94" s="56"/>
      <c r="F94" s="56"/>
      <c r="G94" s="56"/>
      <c r="H94" s="56"/>
      <c r="I94" s="56"/>
      <c r="J94" s="56"/>
      <c r="K94" s="56"/>
      <c r="L94" s="56"/>
      <c r="M94" s="56"/>
      <c r="N94" s="56"/>
      <c r="O94" s="56"/>
      <c r="P94" s="56"/>
      <c r="Q94" s="56"/>
      <c r="R94" s="56"/>
      <c r="S94" s="56"/>
      <c r="T94" s="56"/>
      <c r="U94" s="56"/>
      <c r="V94" s="56"/>
      <c r="W94" s="56"/>
      <c r="X94" s="56"/>
      <c r="Y94" s="56"/>
      <c r="Z94" s="56"/>
      <c r="AA94" s="56"/>
      <c r="AB94" s="56"/>
      <c r="AC94" s="56"/>
      <c r="AD94" s="56"/>
      <c r="AE94" s="56"/>
    </row>
    <row r="95" spans="2:31" x14ac:dyDescent="0.2">
      <c r="B95" s="56"/>
      <c r="C95" s="56"/>
      <c r="D95" s="56"/>
      <c r="E95" s="56"/>
      <c r="F95" s="56"/>
      <c r="G95" s="56"/>
      <c r="H95" s="56"/>
      <c r="I95" s="56"/>
      <c r="J95" s="56"/>
      <c r="K95" s="56"/>
      <c r="L95" s="56"/>
      <c r="M95" s="56"/>
      <c r="N95" s="56"/>
      <c r="O95" s="56"/>
      <c r="P95" s="56"/>
      <c r="Q95" s="56"/>
      <c r="R95" s="56"/>
      <c r="S95" s="56"/>
      <c r="T95" s="56"/>
      <c r="U95" s="56"/>
      <c r="V95" s="56"/>
      <c r="W95" s="56"/>
      <c r="X95" s="56"/>
      <c r="Y95" s="56"/>
      <c r="Z95" s="56"/>
      <c r="AA95" s="56"/>
      <c r="AB95" s="56"/>
      <c r="AC95" s="56"/>
      <c r="AD95" s="56"/>
      <c r="AE95" s="56"/>
    </row>
    <row r="96" spans="2:31" x14ac:dyDescent="0.2">
      <c r="B96" s="56"/>
      <c r="C96" s="56"/>
      <c r="D96" s="56"/>
      <c r="E96" s="56"/>
      <c r="F96" s="56"/>
      <c r="G96" s="56"/>
      <c r="H96" s="56"/>
      <c r="I96" s="56"/>
      <c r="J96" s="56"/>
      <c r="K96" s="56"/>
      <c r="L96" s="56"/>
      <c r="M96" s="56"/>
      <c r="N96" s="56"/>
      <c r="O96" s="56"/>
      <c r="P96" s="56"/>
      <c r="Q96" s="56"/>
      <c r="R96" s="56"/>
      <c r="S96" s="56"/>
      <c r="T96" s="56"/>
      <c r="U96" s="56"/>
      <c r="V96" s="56"/>
      <c r="W96" s="56"/>
      <c r="X96" s="56"/>
      <c r="Y96" s="56"/>
      <c r="Z96" s="56"/>
      <c r="AA96" s="56"/>
      <c r="AB96" s="56"/>
      <c r="AC96" s="56"/>
      <c r="AD96" s="56"/>
      <c r="AE96" s="56"/>
    </row>
    <row r="97" spans="2:31" x14ac:dyDescent="0.2">
      <c r="B97" s="56"/>
      <c r="C97" s="56"/>
      <c r="D97" s="56"/>
      <c r="E97" s="56"/>
      <c r="F97" s="56"/>
      <c r="G97" s="56"/>
      <c r="H97" s="56"/>
      <c r="I97" s="56"/>
      <c r="J97" s="56"/>
      <c r="K97" s="56"/>
      <c r="L97" s="56"/>
      <c r="M97" s="56"/>
      <c r="N97" s="56"/>
      <c r="O97" s="56"/>
      <c r="P97" s="56"/>
      <c r="Q97" s="56"/>
      <c r="R97" s="56"/>
      <c r="S97" s="56"/>
      <c r="T97" s="56"/>
      <c r="U97" s="56"/>
      <c r="V97" s="56"/>
      <c r="W97" s="56"/>
      <c r="X97" s="56"/>
      <c r="Y97" s="56"/>
      <c r="Z97" s="56"/>
      <c r="AA97" s="56"/>
      <c r="AB97" s="56"/>
      <c r="AC97" s="56"/>
      <c r="AD97" s="56"/>
      <c r="AE97" s="56"/>
    </row>
    <row r="98" spans="2:31" x14ac:dyDescent="0.2">
      <c r="B98" s="56"/>
      <c r="C98" s="56"/>
      <c r="D98" s="56"/>
      <c r="E98" s="56"/>
      <c r="F98" s="56"/>
      <c r="G98" s="56"/>
      <c r="H98" s="56"/>
      <c r="I98" s="56"/>
      <c r="J98" s="56"/>
      <c r="K98" s="56"/>
      <c r="L98" s="56"/>
      <c r="M98" s="56"/>
      <c r="N98" s="56"/>
      <c r="O98" s="56"/>
      <c r="P98" s="56"/>
      <c r="Q98" s="56"/>
      <c r="R98" s="56"/>
      <c r="S98" s="56"/>
      <c r="T98" s="56"/>
      <c r="U98" s="56"/>
      <c r="V98" s="56"/>
      <c r="W98" s="56"/>
      <c r="X98" s="56"/>
      <c r="Y98" s="56"/>
      <c r="Z98" s="56"/>
      <c r="AA98" s="56"/>
      <c r="AB98" s="56"/>
      <c r="AC98" s="56"/>
      <c r="AD98" s="56"/>
      <c r="AE98" s="56"/>
    </row>
    <row r="99" spans="2:31" x14ac:dyDescent="0.2">
      <c r="B99" s="56"/>
      <c r="C99" s="56"/>
      <c r="D99" s="56"/>
      <c r="E99" s="56"/>
      <c r="F99" s="56"/>
      <c r="G99" s="56"/>
      <c r="H99" s="56"/>
      <c r="I99" s="56"/>
      <c r="J99" s="56"/>
      <c r="K99" s="56"/>
      <c r="L99" s="56"/>
      <c r="M99" s="56"/>
      <c r="N99" s="56"/>
      <c r="O99" s="56"/>
      <c r="P99" s="56"/>
      <c r="Q99" s="56"/>
      <c r="R99" s="56"/>
      <c r="S99" s="56"/>
      <c r="T99" s="56"/>
      <c r="U99" s="56"/>
      <c r="V99" s="56"/>
      <c r="W99" s="56"/>
      <c r="X99" s="56"/>
      <c r="Y99" s="56"/>
      <c r="Z99" s="56"/>
      <c r="AA99" s="56"/>
      <c r="AB99" s="56"/>
      <c r="AC99" s="56"/>
      <c r="AD99" s="56"/>
      <c r="AE99" s="56"/>
    </row>
    <row r="100" spans="2:31" x14ac:dyDescent="0.2">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c r="AA100" s="56"/>
      <c r="AB100" s="56"/>
      <c r="AC100" s="56"/>
      <c r="AD100" s="56"/>
      <c r="AE100" s="56"/>
    </row>
  </sheetData>
  <mergeCells count="3">
    <mergeCell ref="N4:AE4"/>
    <mergeCell ref="N13:AE13"/>
    <mergeCell ref="N20:AE20"/>
  </mergeCells>
  <pageMargins left="0.7" right="0.7" top="0.75" bottom="0.75" header="0.3" footer="0.3"/>
  <ignoredErrors>
    <ignoredError sqref="A41" formulaRange="1"/>
  </ignoredErrors>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Model Preparation</vt:lpstr>
      <vt:lpstr>Linear Regression with Dummies</vt:lpstr>
      <vt:lpstr>Demand Forecast (Apr - Sep)</vt:lpstr>
      <vt:lpstr>Est. Daily Demand (Apr)</vt:lpstr>
      <vt:lpstr>Daily Production Model (Apr)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Uživatel Microsoft Office</dc:creator>
  <cp:lastModifiedBy>Uživatel Microsoft Office</cp:lastModifiedBy>
  <dcterms:created xsi:type="dcterms:W3CDTF">2020-03-10T20:20:29Z</dcterms:created>
  <dcterms:modified xsi:type="dcterms:W3CDTF">2020-03-16T15:16:01Z</dcterms:modified>
</cp:coreProperties>
</file>