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ble" sheetId="2" r:id="rId5"/>
    <sheet state="visible" name="info" sheetId="3" r:id="rId6"/>
    <sheet state="visible" name="מיגוניות" sheetId="4" r:id="rId7"/>
    <sheet state="visible" name="age" sheetId="5" r:id="rId8"/>
    <sheet state="visible" name="women" sheetId="6" r:id="rId9"/>
    <sheet state="visible" name="party" sheetId="7" r:id="rId10"/>
    <sheet state="visible" name="tmp" sheetId="8" r:id="rId11"/>
  </sheets>
  <definedNames>
    <definedName hidden="1" localSheetId="1" name="Z_4EE57B77_0F12_4326_8BEB_E871C972C5A9_.wvu.FilterData">Table!$A$1:$L$1204</definedName>
  </definedNames>
  <calcPr/>
  <customWorkbookViews>
    <customWorkbookView activeSheetId="0" maximized="1" windowHeight="0" windowWidth="0" guid="{4EE57B77-0F12-4326-8BEB-E871C972C5A9}" name="ירי רקטי"/>
  </customWorkbookViews>
  <pivotCaches>
    <pivotCache cacheId="0" r:id="rId12"/>
    <pivotCache cacheId="1" r:id="rId13"/>
    <pivotCache cacheId="2" r:id="rId14"/>
    <pivotCache cacheId="3" r:id="rId15"/>
    <pivotCache cacheId="4" r:id="rId16"/>
    <pivotCache cacheId="5" r:id="rId17"/>
    <pivotCache cacheId="6" r:id="rId18"/>
  </pivotCaches>
</workbook>
</file>

<file path=xl/sharedStrings.xml><?xml version="1.0" encoding="utf-8"?>
<sst xmlns="http://schemas.openxmlformats.org/spreadsheetml/2006/main" count="12333" uniqueCount="2913">
  <si>
    <t xml:space="preserve"> </t>
  </si>
  <si>
    <t>עובדת זרה</t>
  </si>
  <si>
    <t>אוקראינה</t>
  </si>
  <si>
    <t>pid</t>
  </si>
  <si>
    <t>fullName</t>
  </si>
  <si>
    <t>age</t>
  </si>
  <si>
    <t>residence</t>
  </si>
  <si>
    <t>sex</t>
  </si>
  <si>
    <t>citizenGroup</t>
  </si>
  <si>
    <t>rank</t>
  </si>
  <si>
    <t>date</t>
  </si>
  <si>
    <t>location</t>
  </si>
  <si>
    <t>category</t>
  </si>
  <si>
    <t>comment</t>
  </si>
  <si>
    <t>eng</t>
  </si>
  <si>
    <t>אוסטרובסקי מיכאל</t>
  </si>
  <si>
    <t>אופקים</t>
  </si>
  <si>
    <t>גבר</t>
  </si>
  <si>
    <t>אזרחים</t>
  </si>
  <si>
    <t>07.10.2023</t>
  </si>
  <si>
    <t>צומת מגן</t>
  </si>
  <si>
    <t>אזרחים וכיתות כוננות</t>
  </si>
  <si>
    <t>Michael Ostrovsky</t>
  </si>
  <si>
    <t>אלטלאקת פאטמה</t>
  </si>
  <si>
    <t>ערערה בנגב</t>
  </si>
  <si>
    <t>אישה</t>
  </si>
  <si>
    <t>צומת מעון</t>
  </si>
  <si>
    <t>Fatma Altlakat</t>
  </si>
  <si>
    <t>ביליה אריאל (אריק)</t>
  </si>
  <si>
    <t>Ariel Bilya</t>
  </si>
  <si>
    <t>בלטי יצחק (איציק)</t>
  </si>
  <si>
    <t>Itzhak Balti</t>
  </si>
  <si>
    <t>בן פורת משה</t>
  </si>
  <si>
    <t>טבריה</t>
  </si>
  <si>
    <t>Moshe Ben Porat</t>
  </si>
  <si>
    <t>ג'מבקוב אנדריי</t>
  </si>
  <si>
    <t>Andrei Jambacov</t>
  </si>
  <si>
    <t>ג'מבקוב זויה</t>
  </si>
  <si>
    <t>Zoya Jambacov</t>
  </si>
  <si>
    <t>גרידסקול ויקטוריה</t>
  </si>
  <si>
    <t>Victoria Gredeskul</t>
  </si>
  <si>
    <t>גרידסקול סרגיי</t>
  </si>
  <si>
    <t>Sergei Gredeskul</t>
  </si>
  <si>
    <t>ויזמן ראובן</t>
  </si>
  <si>
    <t>Reuven Vizman</t>
  </si>
  <si>
    <t>חטיב טארק</t>
  </si>
  <si>
    <t>Zarek Hativ</t>
  </si>
  <si>
    <t>זקוטו אבי</t>
  </si>
  <si>
    <t>Avi Zakuto</t>
  </si>
  <si>
    <t>חטואל אברהם (אבי)</t>
  </si>
  <si>
    <t>Avi Hatuel</t>
  </si>
  <si>
    <t>חייט שמעון</t>
  </si>
  <si>
    <t>אנדרטת חץ שחור</t>
  </si>
  <si>
    <t>פסטיבל נובה</t>
  </si>
  <si>
    <t>Shimi Hayat</t>
  </si>
  <si>
    <t>חיימוב אהרון</t>
  </si>
  <si>
    <t>מגן דוד אדום</t>
  </si>
  <si>
    <t>שוטרים וכוחות הצלה</t>
  </si>
  <si>
    <t>Aharon Haimov</t>
  </si>
  <si>
    <t>יאחנגילוב יפתח</t>
  </si>
  <si>
    <t>Yiftach Yahnagilov</t>
  </si>
  <si>
    <t>יאחנגילוב מריה</t>
  </si>
  <si>
    <t>Maria Yahnagilov</t>
  </si>
  <si>
    <t>ידגרוב יורי</t>
  </si>
  <si>
    <t>Yuri Yadgarov</t>
  </si>
  <si>
    <t>ידגרוב רוזה</t>
  </si>
  <si>
    <t>Rosa Yadgarov</t>
  </si>
  <si>
    <t>מלקמו עדנה</t>
  </si>
  <si>
    <t>Edna Malkamo</t>
  </si>
  <si>
    <t>משייב אנה</t>
  </si>
  <si>
    <t>Anna Mishayev</t>
  </si>
  <si>
    <t>פוליאקוב אמה</t>
  </si>
  <si>
    <t>Emma Poliakov</t>
  </si>
  <si>
    <t>קוסטיצין יליזבטה (ליליה)</t>
  </si>
  <si>
    <t>Yelizabeta Kostitzin</t>
  </si>
  <si>
    <t>רחמים בנימין</t>
  </si>
  <si>
    <t>צומת קרית חינוך מרחבים</t>
  </si>
  <si>
    <t>Binyamin Rahamim</t>
  </si>
  <si>
    <t>אוזן אליהו (אליקו)</t>
  </si>
  <si>
    <t>גילת</t>
  </si>
  <si>
    <t>חוף זיקים; מיגונית</t>
  </si>
  <si>
    <t>Eliyahu Ozen</t>
  </si>
  <si>
    <t>אוזן אריה</t>
  </si>
  <si>
    <t>Aryeh Ozen</t>
  </si>
  <si>
    <t xml:space="preserve">אלזיאדנא עבד אלרחמן עאטף </t>
  </si>
  <si>
    <t>רהט</t>
  </si>
  <si>
    <t>חוף זיקים</t>
  </si>
  <si>
    <t>Alrahman Atef Alziadna Abed</t>
  </si>
  <si>
    <t>אסלנוב ג'ון</t>
  </si>
  <si>
    <t>אשדוד</t>
  </si>
  <si>
    <t>John Aslanov</t>
  </si>
  <si>
    <t>גניש בנימין (בני)</t>
  </si>
  <si>
    <t>אשקלון</t>
  </si>
  <si>
    <t>Benyamin Genish</t>
  </si>
  <si>
    <t>וייסברג אלינה</t>
  </si>
  <si>
    <t>באר שבע</t>
  </si>
  <si>
    <t>ילדה</t>
  </si>
  <si>
    <t>חוף זיקים; שירותים</t>
  </si>
  <si>
    <t>Alina Weissberg</t>
  </si>
  <si>
    <t>חסדאי אבי</t>
  </si>
  <si>
    <t>רמת גן</t>
  </si>
  <si>
    <t>Avi Hasday</t>
  </si>
  <si>
    <t>טייב נדב יוסף חי</t>
  </si>
  <si>
    <t>בית שקמה</t>
  </si>
  <si>
    <t>ילד</t>
  </si>
  <si>
    <t>Nadav Yossef Hai Tayeb</t>
  </si>
  <si>
    <t>ליסובוי יורי</t>
  </si>
  <si>
    <t>Yuri Lisovoy</t>
  </si>
  <si>
    <t>ליסובוי סבטלנה</t>
  </si>
  <si>
    <t>Svetlana Lisovoy</t>
  </si>
  <si>
    <t>צ'בן יוליה</t>
  </si>
  <si>
    <t>Yulia Chaben</t>
  </si>
  <si>
    <t>קימנפלד דניל</t>
  </si>
  <si>
    <t>Denil Kimenfeld</t>
  </si>
  <si>
    <t>קרייף שחף</t>
  </si>
  <si>
    <t>Shahaf Krief</t>
  </si>
  <si>
    <t>קרן טל</t>
  </si>
  <si>
    <t>נתיב העשרה</t>
  </si>
  <si>
    <t>Tal Keren</t>
  </si>
  <si>
    <t>שאולוב רוברט</t>
  </si>
  <si>
    <t>Robert Shaulov</t>
  </si>
  <si>
    <t>תעסה אור</t>
  </si>
  <si>
    <t>Or Tasa</t>
  </si>
  <si>
    <t>אוביץ זיוה</t>
  </si>
  <si>
    <t>עמיעוז</t>
  </si>
  <si>
    <t>ירי רקטי</t>
  </si>
  <si>
    <t>Ziva Ovitz</t>
  </si>
  <si>
    <t>אוחנה עדי</t>
  </si>
  <si>
    <t>מבקיעים</t>
  </si>
  <si>
    <t>ירי בשוגג ליד מבקיעים</t>
  </si>
  <si>
    <t>Adi Ohana</t>
  </si>
  <si>
    <t>בנעים חיימי (חיים)</t>
  </si>
  <si>
    <t>נתיב העשרה - ארז</t>
  </si>
  <si>
    <t>Chaimi Ben Naim</t>
  </si>
  <si>
    <t>גולדין אורן</t>
  </si>
  <si>
    <t>ניר יצחק</t>
  </si>
  <si>
    <t>כיתות כוננות</t>
  </si>
  <si>
    <t>Oren Goldin</t>
  </si>
  <si>
    <t>לוגבינצ'נקו ויטלי</t>
  </si>
  <si>
    <t>צומת גמה</t>
  </si>
  <si>
    <t>Vitaly Lugvinechenko</t>
  </si>
  <si>
    <t>משה רועי</t>
  </si>
  <si>
    <t>כבאות והצלה</t>
  </si>
  <si>
    <t>רס״ל</t>
  </si>
  <si>
    <t>שדות יכיני</t>
  </si>
  <si>
    <t>Roei moshe</t>
  </si>
  <si>
    <t>פופוב ניר (ניקיטה)</t>
  </si>
  <si>
    <t>סמוך למפלסים</t>
  </si>
  <si>
    <t>Nir Popov</t>
  </si>
  <si>
    <t>קפשיטר איתן</t>
  </si>
  <si>
    <t>צומת שער הנגב</t>
  </si>
  <si>
    <t>Ethan Kapshetar</t>
  </si>
  <si>
    <t>קפשיטר אלין</t>
  </si>
  <si>
    <t>Aline Kapshetar</t>
  </si>
  <si>
    <t>קפשיטר דינה</t>
  </si>
  <si>
    <t>Dina Kapshetar</t>
  </si>
  <si>
    <t>קפשיטר יבגני (ג'ניה)</t>
  </si>
  <si>
    <t>Evgeni Kapshetar</t>
  </si>
  <si>
    <t>רפאלי מישקין חגית</t>
  </si>
  <si>
    <t>הוד השרון</t>
  </si>
  <si>
    <t>סמוך לנובה</t>
  </si>
  <si>
    <t>מידברן</t>
  </si>
  <si>
    <t>Hagit Refaeli Mishkin</t>
  </si>
  <si>
    <t>תורג'מן דוד (דודי)</t>
  </si>
  <si>
    <t>שדה ניצן</t>
  </si>
  <si>
    <t>צומת מבטחים</t>
  </si>
  <si>
    <t>David (Dudi) Turgeman</t>
  </si>
  <si>
    <t>Alacre Loreta Lori Villarin</t>
  </si>
  <si>
    <t>פיליפינים</t>
  </si>
  <si>
    <t>אזרחים זרים</t>
  </si>
  <si>
    <t>דרומית לגבים</t>
  </si>
  <si>
    <t>Brema (Boma) Adam Mohammad</t>
  </si>
  <si>
    <t>סודן</t>
  </si>
  <si>
    <t>שדרות</t>
  </si>
  <si>
    <t>Cae Lee Tou</t>
  </si>
  <si>
    <t>תאילנד</t>
  </si>
  <si>
    <t>ניר עוז</t>
  </si>
  <si>
    <t>Chan Udom</t>
  </si>
  <si>
    <t>קמבודיה</t>
  </si>
  <si>
    <t>חולית</t>
  </si>
  <si>
    <t>Chatdamdee Charoon</t>
  </si>
  <si>
    <t>עלומים; מגורי עובדים</t>
  </si>
  <si>
    <t>Clemence Felix Mtenga</t>
  </si>
  <si>
    <t>טנזניה</t>
  </si>
  <si>
    <t>Kusaram Apichart</t>
  </si>
  <si>
    <t>Kusaram Pongthep</t>
  </si>
  <si>
    <t>Kusaram Phongthep</t>
  </si>
  <si>
    <t>Nachanׂ Pichit</t>
  </si>
  <si>
    <t>Nachanׂ pichit</t>
  </si>
  <si>
    <t>Phetkaew Anan</t>
  </si>
  <si>
    <t>Phiia-ia Satawat</t>
  </si>
  <si>
    <t>כיסופים</t>
  </si>
  <si>
    <t>Pinjai Nanthawat</t>
  </si>
  <si>
    <t>Ritthiphon Meechai</t>
  </si>
  <si>
    <t>Sae Wang Nitikorn</t>
  </si>
  <si>
    <t>כפר עזה</t>
  </si>
  <si>
    <t>Surakhai Sakda</t>
  </si>
  <si>
    <t>Tamklang Parinya</t>
  </si>
  <si>
    <t>Thanonphim Phirun</t>
  </si>
  <si>
    <t>Tholaeng Phithak</t>
  </si>
  <si>
    <t>ישע</t>
  </si>
  <si>
    <t>Wisetdonwai Wutthipat</t>
  </si>
  <si>
    <t>חג'בי אליצור צוריאל</t>
  </si>
  <si>
    <t>יכיני</t>
  </si>
  <si>
    <t>Elitzur Tzuriel Hajbi</t>
  </si>
  <si>
    <t>חג'בי יהונתן</t>
  </si>
  <si>
    <t>Yehonathan Hajbi</t>
  </si>
  <si>
    <t>חג'בי יזהר</t>
  </si>
  <si>
    <t>Izhar Hajbi</t>
  </si>
  <si>
    <t>אבו מדיע'ם אוסאמה עלי</t>
  </si>
  <si>
    <t>מזרחית לניר יצחק</t>
  </si>
  <si>
    <t>Osamah Abu Madi'am</t>
  </si>
  <si>
    <t>ירון שיר</t>
  </si>
  <si>
    <t>צוהר</t>
  </si>
  <si>
    <t>Shir Yaron</t>
  </si>
  <si>
    <t>לוי ציון</t>
  </si>
  <si>
    <t>דקל</t>
  </si>
  <si>
    <t>Zion Levy</t>
  </si>
  <si>
    <t>אלמגור מרינה</t>
  </si>
  <si>
    <t>כפר סבא</t>
  </si>
  <si>
    <t>Marina Almagor</t>
  </si>
  <si>
    <t>אקוני אור</t>
  </si>
  <si>
    <t>Or Akuni</t>
  </si>
  <si>
    <t>אקוני אריה</t>
  </si>
  <si>
    <t>Aryeh Akuni</t>
  </si>
  <si>
    <t>אקוני ארלט (רותי)</t>
  </si>
  <si>
    <t>Ruti Akuni</t>
  </si>
  <si>
    <t>ברגר נורית</t>
  </si>
  <si>
    <t>Nurit Berger</t>
  </si>
  <si>
    <t>וובק דני</t>
  </si>
  <si>
    <t>Dani Woveck</t>
  </si>
  <si>
    <t>ינון בלהה</t>
  </si>
  <si>
    <t>Bilha Yinon</t>
  </si>
  <si>
    <t>ינון יעקובי</t>
  </si>
  <si>
    <t>Yaacobi Yinon</t>
  </si>
  <si>
    <t>מולכו איילת</t>
  </si>
  <si>
    <t>Ayelet Nir Molcho</t>
  </si>
  <si>
    <t>מולכו שלמה (שלומי)</t>
  </si>
  <si>
    <t>Shlomi Molcho</t>
  </si>
  <si>
    <t>סגל חויק</t>
  </si>
  <si>
    <t>Havik Segal</t>
  </si>
  <si>
    <t>אלקבץ מוטי</t>
  </si>
  <si>
    <t>יתד</t>
  </si>
  <si>
    <t>מסיבת פסיידאק</t>
  </si>
  <si>
    <t>Moti Elkabatz</t>
  </si>
  <si>
    <t>בן יהודה גלעד</t>
  </si>
  <si>
    <t>נען</t>
  </si>
  <si>
    <t>מיגונית בצומת בארי</t>
  </si>
  <si>
    <t>Gilad Ben-Yehuda</t>
  </si>
  <si>
    <t>בן יהודה יובל</t>
  </si>
  <si>
    <t>סמוך לצומת גמה</t>
  </si>
  <si>
    <t>Yuval Ben Yehuda</t>
  </si>
  <si>
    <t>הדר איתי (יוסטון)</t>
  </si>
  <si>
    <t>חולון</t>
  </si>
  <si>
    <t>שער ניר עוז</t>
  </si>
  <si>
    <t>Itay Hadar Houston</t>
  </si>
  <si>
    <t>זומר דן</t>
  </si>
  <si>
    <t>נס ציונה</t>
  </si>
  <si>
    <t>Dan Zomer</t>
  </si>
  <si>
    <t>זעפרני נוי תפארת</t>
  </si>
  <si>
    <t>נוקדים</t>
  </si>
  <si>
    <t>Noy Zafraani</t>
  </si>
  <si>
    <t>כהן דניאל אשר</t>
  </si>
  <si>
    <t>מדרום לצומת גמה</t>
  </si>
  <si>
    <t>Daniel Asher Cohen</t>
  </si>
  <si>
    <t>מעודי נוי</t>
  </si>
  <si>
    <t>Noy Maodi</t>
  </si>
  <si>
    <t>קדמן שחר גל</t>
  </si>
  <si>
    <t>רנן</t>
  </si>
  <si>
    <t>Shahar Gal Kadman</t>
  </si>
  <si>
    <t>קוסובסקי זלטה</t>
  </si>
  <si>
    <t>קריית גת</t>
  </si>
  <si>
    <t>Zlata Kosovsky</t>
  </si>
  <si>
    <t>קיפר סביון חן</t>
  </si>
  <si>
    <t>קריית אונו</t>
  </si>
  <si>
    <t>Savyon Chen Kipper</t>
  </si>
  <si>
    <t>רביע יובל</t>
  </si>
  <si>
    <t>Yuval Rabia</t>
  </si>
  <si>
    <t>רביע נועם</t>
  </si>
  <si>
    <t>Noam Rabia</t>
  </si>
  <si>
    <t>רוזנברג מתן</t>
  </si>
  <si>
    <t>דימונה</t>
  </si>
  <si>
    <t>Matan Rozeberg</t>
  </si>
  <si>
    <t>שפיר דור חנן</t>
  </si>
  <si>
    <t>מודיעין מכבים רעות</t>
  </si>
  <si>
    <t>Dor Hanan Shafir</t>
  </si>
  <si>
    <t>שרון (שוקרון) דודי</t>
  </si>
  <si>
    <t>נהריה</t>
  </si>
  <si>
    <t>Dudi Sharon</t>
  </si>
  <si>
    <t>אבאסוב שמיל</t>
  </si>
  <si>
    <t>Shamil Abbasov</t>
  </si>
  <si>
    <t>אבדולאייב עדן</t>
  </si>
  <si>
    <t>פסטיבל נובה; מיגונית חניון רעים</t>
  </si>
  <si>
    <t>Eden Abdulayev</t>
  </si>
  <si>
    <t>אבו סבילה מוסא</t>
  </si>
  <si>
    <t>אבו תלול</t>
  </si>
  <si>
    <t>מזרחית לצומת מעון</t>
  </si>
  <si>
    <t>Musa Abu Sabila</t>
  </si>
  <si>
    <t>אבו עאמר אלרזאם סוהייב</t>
  </si>
  <si>
    <t>ירושלים</t>
  </si>
  <si>
    <t>בארי; ארוע בני ערובה</t>
  </si>
  <si>
    <t>Suhaib Abu Ame</t>
  </si>
  <si>
    <t>אבו עסא אוסאמה</t>
  </si>
  <si>
    <t>תל שבע</t>
  </si>
  <si>
    <t>מיגונית בכניסה לרעים (מערב)</t>
  </si>
  <si>
    <t>Osama Ibrahim Abu Asa</t>
  </si>
  <si>
    <t>אבוחצירה אוראל</t>
  </si>
  <si>
    <t>ראש העין</t>
  </si>
  <si>
    <t>פסטיבל נובה; סמוך למכולות הצהובות</t>
  </si>
  <si>
    <t>Orel Abuhatzira</t>
  </si>
  <si>
    <t>אביב נוי</t>
  </si>
  <si>
    <t>אילת</t>
  </si>
  <si>
    <t>מיגונית בכניסה לרעים (מזרח)</t>
  </si>
  <si>
    <t>Aviv Noy</t>
  </si>
  <si>
    <t>אביטן דור</t>
  </si>
  <si>
    <t>Dor Avitan</t>
  </si>
  <si>
    <t>אביר לוטן</t>
  </si>
  <si>
    <t>גן חיים</t>
  </si>
  <si>
    <t>Lotan Abir</t>
  </si>
  <si>
    <t>אבני גיל יוסף</t>
  </si>
  <si>
    <t>קיסריה</t>
  </si>
  <si>
    <t>סמוך למיגונית בצומת גמה (דרום)</t>
  </si>
  <si>
    <t>Gil Avni</t>
  </si>
  <si>
    <t>אברג'יל עודד</t>
  </si>
  <si>
    <t>מרכז שפירא</t>
  </si>
  <si>
    <t>פסטיבל נובה; במה מרכזית</t>
  </si>
  <si>
    <t>Oded Abargel</t>
  </si>
  <si>
    <t>אברהם אילן</t>
  </si>
  <si>
    <t>בית אריה</t>
  </si>
  <si>
    <t>Ilan Avraham</t>
  </si>
  <si>
    <t>אברמוב לאור</t>
  </si>
  <si>
    <t>פרדס חנה-כרכור</t>
  </si>
  <si>
    <t>Laor Abramov</t>
  </si>
  <si>
    <t>אדברג אסף מרדכי</t>
  </si>
  <si>
    <t>חדרה</t>
  </si>
  <si>
    <t>Asaf Edberg</t>
  </si>
  <si>
    <t>אדם מפל</t>
  </si>
  <si>
    <t>תל אביב</t>
  </si>
  <si>
    <t>Mapal Adam</t>
  </si>
  <si>
    <t>אדר גילי</t>
  </si>
  <si>
    <t>לפיד</t>
  </si>
  <si>
    <t>פסטיבל נובה; בר צפוני</t>
  </si>
  <si>
    <t>Gili Adar</t>
  </si>
  <si>
    <t>אוחיון עדן ליז</t>
  </si>
  <si>
    <t>טירת הכרמל</t>
  </si>
  <si>
    <t>Eden Liz Ohayon</t>
  </si>
  <si>
    <t>אוחנה דניאל</t>
  </si>
  <si>
    <t>סמוך לצומת בארי</t>
  </si>
  <si>
    <t>Daniel Ohana</t>
  </si>
  <si>
    <t>אורי בן</t>
  </si>
  <si>
    <t>ראשון לציון</t>
  </si>
  <si>
    <t>Ben Uri</t>
  </si>
  <si>
    <t>אורן אביאל</t>
  </si>
  <si>
    <t>Aviel Oren</t>
  </si>
  <si>
    <t>אזולאי גמליאל גבי גבריאל</t>
  </si>
  <si>
    <t>קריית מלאכי</t>
  </si>
  <si>
    <t>בכניסה לעלומים</t>
  </si>
  <si>
    <t>Gabi Azulay</t>
  </si>
  <si>
    <t>אזולאי יוחאי</t>
  </si>
  <si>
    <t>Yohai Azulay</t>
  </si>
  <si>
    <t>אזולאי יונתן חי</t>
  </si>
  <si>
    <t>מיגונית בכניסה לעלומים</t>
  </si>
  <si>
    <t>Yonatan Chai Azulay</t>
  </si>
  <si>
    <t>אחרק עמרי</t>
  </si>
  <si>
    <t>אליכין</t>
  </si>
  <si>
    <t>סמוך לתל גמה</t>
  </si>
  <si>
    <t>Omri Ahrak</t>
  </si>
  <si>
    <t>אטון אופק</t>
  </si>
  <si>
    <t>ירי בשוגג בעלומים</t>
  </si>
  <si>
    <t>Ofek Aton</t>
  </si>
  <si>
    <t>אטיאס דורין</t>
  </si>
  <si>
    <t>גני תקווה</t>
  </si>
  <si>
    <t>Dorin Atias</t>
  </si>
  <si>
    <t>איטח ליאל</t>
  </si>
  <si>
    <t>ענתות</t>
  </si>
  <si>
    <t>Liel Eitah</t>
  </si>
  <si>
    <t>איטח סיגל</t>
  </si>
  <si>
    <t>Sigal Itah</t>
  </si>
  <si>
    <t>איילון שירה</t>
  </si>
  <si>
    <t>Shira Eylon</t>
  </si>
  <si>
    <t>אילוז אליה אליהו</t>
  </si>
  <si>
    <t>Eliya Iluz</t>
  </si>
  <si>
    <t>אילייב אדם</t>
  </si>
  <si>
    <t>Adam Ilaev</t>
  </si>
  <si>
    <t>איירמנדי סיזר איוון</t>
  </si>
  <si>
    <t>Iván Illarramendi Saizar</t>
  </si>
  <si>
    <t>אליהו יהונתן</t>
  </si>
  <si>
    <t>Yonatan Eliyahu</t>
  </si>
  <si>
    <t>אלפסי שלמה אליהו</t>
  </si>
  <si>
    <t>כביש שער הנגב מפלסים</t>
  </si>
  <si>
    <t>Shlomo Alfasi</t>
  </si>
  <si>
    <t>אלפראחין ח'אלד</t>
  </si>
  <si>
    <t>Khaled al-Farajin</t>
  </si>
  <si>
    <t>אלקיים לוי עינב</t>
  </si>
  <si>
    <t>Einav Elkayam-Levy</t>
  </si>
  <si>
    <t>נסאסרה עבד אלכרים</t>
  </si>
  <si>
    <t>כסייפה</t>
  </si>
  <si>
    <t>סמוך לצומת רעים</t>
  </si>
  <si>
    <t>Abd Al-Karim Nasasra</t>
  </si>
  <si>
    <t>אלשיך שלמה (שלומי) אליהו</t>
  </si>
  <si>
    <t>בני ברק</t>
  </si>
  <si>
    <t>Shlomo Eliyahu Alshich</t>
  </si>
  <si>
    <t>אמין שני</t>
  </si>
  <si>
    <t>Shani Amin</t>
  </si>
  <si>
    <t>אנגלנדר נועה</t>
  </si>
  <si>
    <t>קריית ביאליק</t>
  </si>
  <si>
    <t>Noa Englander</t>
  </si>
  <si>
    <t>אסולין ליאור</t>
  </si>
  <si>
    <t>רעננה</t>
  </si>
  <si>
    <t>Lior Asulin</t>
  </si>
  <si>
    <t>אסולין לירז</t>
  </si>
  <si>
    <t>Liraz Asulin</t>
  </si>
  <si>
    <t>אסייג ליאב</t>
  </si>
  <si>
    <t>עפולה</t>
  </si>
  <si>
    <t>Liav Asayag</t>
  </si>
  <si>
    <t>אפרים ירין משה</t>
  </si>
  <si>
    <t>פתח תקווה</t>
  </si>
  <si>
    <t>Yarin Moshe Efraim</t>
  </si>
  <si>
    <t>אפרים נעם ליאל</t>
  </si>
  <si>
    <t>חד נס</t>
  </si>
  <si>
    <t>Noam Efraim</t>
  </si>
  <si>
    <t>אקשטיין מתן</t>
  </si>
  <si>
    <t>אבן יהודה</t>
  </si>
  <si>
    <t>מיגונית בצומת גמה (צפון)</t>
  </si>
  <si>
    <t>Matan Ekstein</t>
  </si>
  <si>
    <t>ארד אורי</t>
  </si>
  <si>
    <t>Ori Arad</t>
  </si>
  <si>
    <t>ארד נבו</t>
  </si>
  <si>
    <t>סעד</t>
  </si>
  <si>
    <t>Nevo Arad</t>
  </si>
  <si>
    <t>אריאל דן</t>
  </si>
  <si>
    <t>הרצליה</t>
  </si>
  <si>
    <t>מיגונית בצומת גמה (מערב)</t>
  </si>
  <si>
    <t>Dan Ariel</t>
  </si>
  <si>
    <t>ארנין איילת</t>
  </si>
  <si>
    <t>עצמון</t>
  </si>
  <si>
    <t>Ayelet Arnin</t>
  </si>
  <si>
    <t>אשואן סהר</t>
  </si>
  <si>
    <t>נתניה</t>
  </si>
  <si>
    <t>Sahar Ashuan</t>
  </si>
  <si>
    <t>בהט דרור</t>
  </si>
  <si>
    <t>בית אלפא</t>
  </si>
  <si>
    <t>Dror Bahat</t>
  </si>
  <si>
    <t>בובטס בן איון אורטל</t>
  </si>
  <si>
    <t>ortal Bubtas Ben-Ayun</t>
  </si>
  <si>
    <t>בולדס דורון</t>
  </si>
  <si>
    <t>גן השומרון</t>
  </si>
  <si>
    <t>פסטיבל נובה; בר מרכזי</t>
  </si>
  <si>
    <t>Doron Bolds</t>
  </si>
  <si>
    <t>בונגרט סופיה</t>
  </si>
  <si>
    <t>כרמיאל</t>
  </si>
  <si>
    <t>Sofia Bongrat</t>
  </si>
  <si>
    <t>בוסקילה ירדן</t>
  </si>
  <si>
    <t>כפר מסריק</t>
  </si>
  <si>
    <t>Yarden Buskila</t>
  </si>
  <si>
    <t>בועזיז מורלי נטע</t>
  </si>
  <si>
    <t>Neta Boaziz Morali</t>
  </si>
  <si>
    <t>בוקובזה רז</t>
  </si>
  <si>
    <t>בית נחמיה</t>
  </si>
  <si>
    <t>בכניסה לרעים</t>
  </si>
  <si>
    <t>Raz Bokovza</t>
  </si>
  <si>
    <t>בור גלאון ליעם</t>
  </si>
  <si>
    <t>פסטיבל נובה; קמפינג</t>
  </si>
  <si>
    <t>Liam Gallon</t>
  </si>
  <si>
    <t>בורשטיין מטיאס (הרנן)</t>
  </si>
  <si>
    <t>בין נובה לרעים</t>
  </si>
  <si>
    <t>Matias Burstein</t>
  </si>
  <si>
    <t>בורשטיין עינב (חן)</t>
  </si>
  <si>
    <t>Einav (Hen) Burstein</t>
  </si>
  <si>
    <t>ביטון בניהו</t>
  </si>
  <si>
    <t>בארי</t>
  </si>
  <si>
    <t>Benayahu Biton</t>
  </si>
  <si>
    <t>ביטון מאיה</t>
  </si>
  <si>
    <t>פסטיבל נובה; מכולות צהובות</t>
  </si>
  <si>
    <t>Maya Bitton</t>
  </si>
  <si>
    <t>ביטון מרדכי בן אריאל</t>
  </si>
  <si>
    <t>Ariel Ben Mordechai Bitton</t>
  </si>
  <si>
    <t>ביטון נדב</t>
  </si>
  <si>
    <t>צה"ל</t>
  </si>
  <si>
    <t>סמ״ר</t>
  </si>
  <si>
    <t>עיקול נחל בוהו</t>
  </si>
  <si>
    <t>Nadav Biton</t>
  </si>
  <si>
    <t>ביילין אורון</t>
  </si>
  <si>
    <t>עיקול נחל גרר</t>
  </si>
  <si>
    <t>Oron Beiilin</t>
  </si>
  <si>
    <t>ביילין בן צבי שגיב</t>
  </si>
  <si>
    <t>Sagiv Baylin Ben Zvi</t>
  </si>
  <si>
    <t>ביכר נעומי</t>
  </si>
  <si>
    <t>Naomie Bikhar</t>
  </si>
  <si>
    <t>בילמס ספיר</t>
  </si>
  <si>
    <t>Sapir Bilmes</t>
  </si>
  <si>
    <t>בכר יהודה</t>
  </si>
  <si>
    <t>ביתר עלית</t>
  </si>
  <si>
    <t>Yehuda Bachar</t>
  </si>
  <si>
    <t>בן אבי חן</t>
  </si>
  <si>
    <t>מבטחים</t>
  </si>
  <si>
    <t>Chen Ben Avi</t>
  </si>
  <si>
    <t>בן אבידה עמית (יהודה)</t>
  </si>
  <si>
    <t>Amit (Yehuda) Ben Avida</t>
  </si>
  <si>
    <t>בן דוד נגר סלין רחל</t>
  </si>
  <si>
    <t>מיגונית מפלסים</t>
  </si>
  <si>
    <t>Celine Ben-David Nagar</t>
  </si>
  <si>
    <t>בן זינו עידו</t>
  </si>
  <si>
    <t>כביש רעים - אורים</t>
  </si>
  <si>
    <t>Ido Ben Zino</t>
  </si>
  <si>
    <t>בן זכריה יוחאי</t>
  </si>
  <si>
    <t>Yohay Ben Zechariah</t>
  </si>
  <si>
    <t>בן חמו אור חיים</t>
  </si>
  <si>
    <t>רחובות</t>
  </si>
  <si>
    <t>Or Chaim Ben Hemo</t>
  </si>
  <si>
    <t>בן חמו דן</t>
  </si>
  <si>
    <t>פסטיבל נובה; חניה</t>
  </si>
  <si>
    <t>Dan Ben Hemo</t>
  </si>
  <si>
    <t>בן נעים שחר</t>
  </si>
  <si>
    <t>צור משה</t>
  </si>
  <si>
    <t>Shahar Ben Naim</t>
  </si>
  <si>
    <t>בן סניור דניאל</t>
  </si>
  <si>
    <t>אור עקיבא</t>
  </si>
  <si>
    <t>Daniel Ben Senior</t>
  </si>
  <si>
    <t>בן עמי שני</t>
  </si>
  <si>
    <t>Shani Ben-Ami</t>
  </si>
  <si>
    <t>בן פורת אליסף</t>
  </si>
  <si>
    <t>צפת</t>
  </si>
  <si>
    <t>Elyasif Ben Porat</t>
  </si>
  <si>
    <t>בן רובי עדן</t>
  </si>
  <si>
    <t>Eden Ben Rubi</t>
  </si>
  <si>
    <t>בנג'ו איתי</t>
  </si>
  <si>
    <t>חיפה</t>
  </si>
  <si>
    <t>Itay Banjo</t>
  </si>
  <si>
    <t>בר דין נהוראי</t>
  </si>
  <si>
    <t>אחוזת ברק</t>
  </si>
  <si>
    <t>Din Bar</t>
  </si>
  <si>
    <t>בר שהם</t>
  </si>
  <si>
    <t>Shoham Bar</t>
  </si>
  <si>
    <t>בראון יובל</t>
  </si>
  <si>
    <t>כפר יונה</t>
  </si>
  <si>
    <t>Yuval Bar-On</t>
  </si>
  <si>
    <t>בראל גבריאל ישי</t>
  </si>
  <si>
    <t>Gabriel Ishay Barel</t>
  </si>
  <si>
    <t>ברגמן אלדד (אנג'ל)</t>
  </si>
  <si>
    <t>Eldad (Angel) Bergman</t>
  </si>
  <si>
    <t>ברדה לירון</t>
  </si>
  <si>
    <t>שערי תקווה</t>
  </si>
  <si>
    <t>Liron Barda</t>
  </si>
  <si>
    <t>ברזני סתיו</t>
  </si>
  <si>
    <t>גן נר</t>
  </si>
  <si>
    <t>Stav Barazani</t>
  </si>
  <si>
    <t>ברטיק (קליין) טל</t>
  </si>
  <si>
    <t>Tal Bartik</t>
  </si>
  <si>
    <t>ברטל נדב</t>
  </si>
  <si>
    <t>Nadav Bartal</t>
  </si>
  <si>
    <t>אליהו ברנט רומי</t>
  </si>
  <si>
    <t>Romi Eli Bernat</t>
  </si>
  <si>
    <t>ברנשטיין אליהו יעקב</t>
  </si>
  <si>
    <t>מיגונית בצומת גמה (דרום)</t>
  </si>
  <si>
    <t>Eliyahu Ya'akov Bernstein</t>
  </si>
  <si>
    <t>ברנשטיין בן</t>
  </si>
  <si>
    <t>ציפורי</t>
  </si>
  <si>
    <t>מזרחית לחניון רעים</t>
  </si>
  <si>
    <t>Ben Bernstein</t>
  </si>
  <si>
    <t>ברסלבסקי דניאל (דני)</t>
  </si>
  <si>
    <t>Daniel Braslavsky</t>
  </si>
  <si>
    <t>ברעם עילי</t>
  </si>
  <si>
    <t>Ilai Baram</t>
  </si>
  <si>
    <t>ג'ורג'י שיר חנה</t>
  </si>
  <si>
    <t>פסטיבל נובה; אמבולנס</t>
  </si>
  <si>
    <t>Shir Georgy Hanna</t>
  </si>
  <si>
    <t>ג'רפי ליאל</t>
  </si>
  <si>
    <t>Liel Gherafi</t>
  </si>
  <si>
    <t>גבאי שני</t>
  </si>
  <si>
    <t>יקנעם עילית</t>
  </si>
  <si>
    <t>Shani Gabay</t>
  </si>
  <si>
    <t>גוטמן תמר</t>
  </si>
  <si>
    <t>כפר בן נון</t>
  </si>
  <si>
    <t>פסטיבל נובה; גשר נחל גרר</t>
  </si>
  <si>
    <t>Tamar Gutman</t>
  </si>
  <si>
    <t>גולדנברג ניצן</t>
  </si>
  <si>
    <t>מזרחית לכניסה לרעים</t>
  </si>
  <si>
    <t>Nitzan Goldenberg</t>
  </si>
  <si>
    <t>גולדנברג תמר</t>
  </si>
  <si>
    <t>Tamar Goldenberg</t>
  </si>
  <si>
    <t>גולטמן דניאל</t>
  </si>
  <si>
    <t>Daniel Goltman</t>
  </si>
  <si>
    <t>גוסק מרגריטה</t>
  </si>
  <si>
    <t>גן יבנה</t>
  </si>
  <si>
    <t>Margarita Gusak</t>
  </si>
  <si>
    <t>גורביץ' (וסילקובסקי) ליליה</t>
  </si>
  <si>
    <t>עומר</t>
  </si>
  <si>
    <t>כביש רעים - צומת מעון</t>
  </si>
  <si>
    <t>Lilia Gurevich</t>
  </si>
  <si>
    <t>גורדני שרון</t>
  </si>
  <si>
    <t>קדרון</t>
  </si>
  <si>
    <t>Sharon Gordeni</t>
  </si>
  <si>
    <t>גוריונוב אנטון</t>
  </si>
  <si>
    <t>פסטיבל נובה; חסימה בכביש 232</t>
  </si>
  <si>
    <t>Anton Guryonov</t>
  </si>
  <si>
    <t>גורלוב ויקטוריה</t>
  </si>
  <si>
    <t>בת ים</t>
  </si>
  <si>
    <t>Victoria Gorlov</t>
  </si>
  <si>
    <t>גז עדן</t>
  </si>
  <si>
    <t>Eden Guez</t>
  </si>
  <si>
    <t>גטה סתיו</t>
  </si>
  <si>
    <t>Stav Gueta</t>
  </si>
  <si>
    <t>גילר ירוסלב (סלבה)</t>
  </si>
  <si>
    <t>Yaroslav Giler Slava</t>
  </si>
  <si>
    <t>גינדי שחר</t>
  </si>
  <si>
    <t>Shahar Gindi</t>
  </si>
  <si>
    <t>גל שלו</t>
  </si>
  <si>
    <t>Shalev Gal</t>
  </si>
  <si>
    <t>גנדלין איזבלה</t>
  </si>
  <si>
    <t>Izabella Gandlin</t>
  </si>
  <si>
    <t>גנוט אביה</t>
  </si>
  <si>
    <t>צופים</t>
  </si>
  <si>
    <t>Aviya Ganot</t>
  </si>
  <si>
    <t>גנון שירן</t>
  </si>
  <si>
    <t>פסטיבל נובה; פקק ביציאה</t>
  </si>
  <si>
    <t>Shiran Ganon</t>
  </si>
  <si>
    <t>גניס יוסף (ספי)</t>
  </si>
  <si>
    <t>Sefi Yossef Genis</t>
  </si>
  <si>
    <t>גרציאני מאור</t>
  </si>
  <si>
    <t>Maor Graziani</t>
  </si>
  <si>
    <t>גרקוביץ' דפנה</t>
  </si>
  <si>
    <t>Dafna Garcovich</t>
  </si>
  <si>
    <t>דב רחל (רייצ'ל)</t>
  </si>
  <si>
    <t>קריית ים</t>
  </si>
  <si>
    <t>סמוך לכיסופים</t>
  </si>
  <si>
    <t>Rachel Dove</t>
  </si>
  <si>
    <t>דדון אבי</t>
  </si>
  <si>
    <t>Avi Dadon</t>
  </si>
  <si>
    <t>דהן יצחק איציק</t>
  </si>
  <si>
    <t>Itzik Dahan</t>
  </si>
  <si>
    <t>דוד הודיה</t>
  </si>
  <si>
    <t>בית דגן</t>
  </si>
  <si>
    <t>Hodaya David</t>
  </si>
  <si>
    <t>דוד עמית יצחק</t>
  </si>
  <si>
    <t>בית שמש</t>
  </si>
  <si>
    <t>דרומית מזרחית לחניון רעים</t>
  </si>
  <si>
    <t>Amit David</t>
  </si>
  <si>
    <t>דוד תאיר</t>
  </si>
  <si>
    <t>Tair David</t>
  </si>
  <si>
    <t>דוידוב קרינה אלה</t>
  </si>
  <si>
    <t>Karina Ella Davidov</t>
  </si>
  <si>
    <t>דוידי ברק</t>
  </si>
  <si>
    <t>Barak Davidi</t>
  </si>
  <si>
    <t>דויטשוילי שון</t>
  </si>
  <si>
    <t>פסטיבל נובה; שירותים כימיים</t>
  </si>
  <si>
    <t>Sean Deutchvili</t>
  </si>
  <si>
    <t>דור עידן</t>
  </si>
  <si>
    <t>גבעון</t>
  </si>
  <si>
    <t>Idan Dor</t>
  </si>
  <si>
    <t>דייטשמן רונן</t>
  </si>
  <si>
    <t>להבים</t>
  </si>
  <si>
    <t>Ronen Deitchman</t>
  </si>
  <si>
    <t>דמרי דן</t>
  </si>
  <si>
    <t>צוחר</t>
  </si>
  <si>
    <t>Dan Damri</t>
  </si>
  <si>
    <t>דמתי קים</t>
  </si>
  <si>
    <t>גדרה</t>
  </si>
  <si>
    <t>Kim Damti</t>
  </si>
  <si>
    <t>דנגורי גל</t>
  </si>
  <si>
    <t>Gal Danguri</t>
  </si>
  <si>
    <t>דפני לין</t>
  </si>
  <si>
    <t>עין המפרץ</t>
  </si>
  <si>
    <t>Lynn Daphne</t>
  </si>
  <si>
    <t>הירש (אוזן) שרון</t>
  </si>
  <si>
    <t>Sharon Hirsch</t>
  </si>
  <si>
    <t>הלוי אביעד</t>
  </si>
  <si>
    <t>גן הדרום</t>
  </si>
  <si>
    <t>Aviad Halevi</t>
  </si>
  <si>
    <t>הרמן עידן</t>
  </si>
  <si>
    <t>פלמחים</t>
  </si>
  <si>
    <t>Idan Herman</t>
  </si>
  <si>
    <t>הרמתי עידן</t>
  </si>
  <si>
    <t>אלפי מנשה</t>
  </si>
  <si>
    <t>Idan Haramaty</t>
  </si>
  <si>
    <t>ואקנין פרמוטר לימור</t>
  </si>
  <si>
    <t>Limor Vaknin Permuter</t>
  </si>
  <si>
    <t>ודעי דניאל מאיר</t>
  </si>
  <si>
    <t>Daniel Vadai</t>
  </si>
  <si>
    <t>והדי משה</t>
  </si>
  <si>
    <t>Moshe Vadi</t>
  </si>
  <si>
    <t>וולדמן דניאל</t>
  </si>
  <si>
    <t>Danielle Waldman</t>
  </si>
  <si>
    <t>ויגדרגאוז (דובז'נקו) סיימון</t>
  </si>
  <si>
    <t>Simon Vigdergauz</t>
  </si>
  <si>
    <t>ויינברג רון</t>
  </si>
  <si>
    <t>סמוך לצומת מבטחים</t>
  </si>
  <si>
    <t>Ron Weinberg</t>
  </si>
  <si>
    <t>ויינשטיין ליאל</t>
  </si>
  <si>
    <t>סמל</t>
  </si>
  <si>
    <t>Liel Weinstein</t>
  </si>
  <si>
    <t>ולאנו פונטס ברונה</t>
  </si>
  <si>
    <t>Bruna Valeanu</t>
  </si>
  <si>
    <t>וקנין אושר</t>
  </si>
  <si>
    <t>Osher Vaknin</t>
  </si>
  <si>
    <t>וקנין מיכאל</t>
  </si>
  <si>
    <t>Michael Vaknin</t>
  </si>
  <si>
    <t>ורבר אלון</t>
  </si>
  <si>
    <t>צפונית לצומת גמה</t>
  </si>
  <si>
    <t>Alon Werber</t>
  </si>
  <si>
    <t>ורדי לורי</t>
  </si>
  <si>
    <t>Laurie Vardi</t>
  </si>
  <si>
    <t>ורניקוב קרין</t>
  </si>
  <si>
    <t>Karin Vernikov</t>
  </si>
  <si>
    <t>ז'ורנו קארין</t>
  </si>
  <si>
    <t>מזכרת בתיה</t>
  </si>
  <si>
    <t>Karin Journo</t>
  </si>
  <si>
    <t>זגדון רינת הודיה</t>
  </si>
  <si>
    <t>אלעזר</t>
  </si>
  <si>
    <t>Rinat Hodia Zagdon</t>
  </si>
  <si>
    <t>זוארמן מוטי (מרדכי)</t>
  </si>
  <si>
    <t>רמת השרון</t>
  </si>
  <si>
    <t>Motti Zoherman</t>
  </si>
  <si>
    <t>זהר בר</t>
  </si>
  <si>
    <t>כפר ורבורג</t>
  </si>
  <si>
    <t>Bar Zohar</t>
  </si>
  <si>
    <t>זיו אור</t>
  </si>
  <si>
    <t>מצפה עדי</t>
  </si>
  <si>
    <t>Or Ziv</t>
  </si>
  <si>
    <t>זיידמן יונתן (ג'וני)</t>
  </si>
  <si>
    <t>Jonathan Seidmen</t>
  </si>
  <si>
    <t>זנדר נועה</t>
  </si>
  <si>
    <t>Noa Zender</t>
  </si>
  <si>
    <t>זנטי מתן</t>
  </si>
  <si>
    <t>Matan Znati</t>
  </si>
  <si>
    <t>זפרני איתי</t>
  </si>
  <si>
    <t>Itay Zafrani</t>
  </si>
  <si>
    <t>חבני שקד</t>
  </si>
  <si>
    <t>Shaked Habani</t>
  </si>
  <si>
    <t>חג'בי זיו</t>
  </si>
  <si>
    <t>גבים</t>
  </si>
  <si>
    <t>Ziv Hajbi</t>
  </si>
  <si>
    <t>חדד אטיאס ליאור</t>
  </si>
  <si>
    <t>Lior Hadad Atias</t>
  </si>
  <si>
    <t>חיאל גידי</t>
  </si>
  <si>
    <t>Gidon Chiell</t>
  </si>
  <si>
    <t>חיאל נועה</t>
  </si>
  <si>
    <t>Noa Chiell</t>
  </si>
  <si>
    <t>חיים מאיה</t>
  </si>
  <si>
    <t>מערבית לצומת גמה</t>
  </si>
  <si>
    <t>Maya Chaim</t>
  </si>
  <si>
    <t>חליפה גאיה</t>
  </si>
  <si>
    <t>Gaya Halifa</t>
  </si>
  <si>
    <t>חמוי אלה</t>
  </si>
  <si>
    <t>Ella Hamoy</t>
  </si>
  <si>
    <t>חסיד בן בנציון</t>
  </si>
  <si>
    <t>Ben Ben Zion Hassid</t>
  </si>
  <si>
    <t>חפץ אריה אריק</t>
  </si>
  <si>
    <t>רמלה</t>
  </si>
  <si>
    <t>Arie Hefetz</t>
  </si>
  <si>
    <t>טבגן גולדמן קטרינה (קטיה)</t>
  </si>
  <si>
    <t>Katerina Tavgan Goldman</t>
  </si>
  <si>
    <t>טמם אדיר</t>
  </si>
  <si>
    <t>Adir Tamam</t>
  </si>
  <si>
    <t>טקאץ' ליאור</t>
  </si>
  <si>
    <t>Lior Tkach</t>
  </si>
  <si>
    <t>טרבלסי מור</t>
  </si>
  <si>
    <t>Mor Trabelsi</t>
  </si>
  <si>
    <t>יהודאי רון</t>
  </si>
  <si>
    <t>יהוד מונוסון</t>
  </si>
  <si>
    <t>Ron Yehudai</t>
  </si>
  <si>
    <t>יעקב אילן משה</t>
  </si>
  <si>
    <t>Ilan Moshe Yaacov</t>
  </si>
  <si>
    <t>יעקב שהם</t>
  </si>
  <si>
    <t>Shoham Yaakov Gherafi</t>
  </si>
  <si>
    <t>יעקב שובל</t>
  </si>
  <si>
    <t>מחולה</t>
  </si>
  <si>
    <t>Shoval Yaakov</t>
  </si>
  <si>
    <t>יעקב שנהב</t>
  </si>
  <si>
    <t>Shenhav Yaakov Gherafi</t>
  </si>
  <si>
    <t>יעקובוב סאן אמנון</t>
  </si>
  <si>
    <t>San-Amnon Yaacobov</t>
  </si>
  <si>
    <t>יצחקי מאי</t>
  </si>
  <si>
    <t>Mai Itzhaki</t>
  </si>
  <si>
    <t>ישמרני (טמם) שירז שירן</t>
  </si>
  <si>
    <t>Shiraz Shiran Tamam</t>
  </si>
  <si>
    <t>כהן אברהם נריה</t>
  </si>
  <si>
    <t>Avraham Neriya Cohen</t>
  </si>
  <si>
    <t>כהן בן בנימין</t>
  </si>
  <si>
    <t>בית חשמונאי</t>
  </si>
  <si>
    <t>Ben Binyamin Cohen</t>
  </si>
  <si>
    <t>כהן דניאל</t>
  </si>
  <si>
    <t>Daniel Cohen</t>
  </si>
  <si>
    <t>כהן מגורי ליבי</t>
  </si>
  <si>
    <t>Libby Cohen Maguri</t>
  </si>
  <si>
    <t>כהן מור</t>
  </si>
  <si>
    <t>אזור</t>
  </si>
  <si>
    <t>Mor Cohen</t>
  </si>
  <si>
    <t>כהן עמית חיים</t>
  </si>
  <si>
    <t>מיתר</t>
  </si>
  <si>
    <t>מזרחית לרעים</t>
  </si>
  <si>
    <t>Amit Cohen</t>
  </si>
  <si>
    <t>כפיר גלעד</t>
  </si>
  <si>
    <t>Gilad Kfir</t>
  </si>
  <si>
    <t>כץ טל</t>
  </si>
  <si>
    <t>מעלות תרשיחא</t>
  </si>
  <si>
    <t>Tal Katz</t>
  </si>
  <si>
    <t>לביא עומרי יעקב</t>
  </si>
  <si>
    <t>Omri Lavi</t>
  </si>
  <si>
    <t>להב עמית</t>
  </si>
  <si>
    <t>Amit Lahav</t>
  </si>
  <si>
    <t>לוי גיא גבריאל</t>
  </si>
  <si>
    <t>נווה ימין</t>
  </si>
  <si>
    <t>צומת ניר יצחק</t>
  </si>
  <si>
    <t>Guy Gabriel Levy</t>
  </si>
  <si>
    <t>לוי יצחק</t>
  </si>
  <si>
    <t>Itzhak Levy</t>
  </si>
  <si>
    <t>לוי ליבנת</t>
  </si>
  <si>
    <t>Livnat Levy</t>
  </si>
  <si>
    <t>לוי לידור יוסף</t>
  </si>
  <si>
    <t>פרדסיה</t>
  </si>
  <si>
    <t>Lidor Levy</t>
  </si>
  <si>
    <t>לוי נאור</t>
  </si>
  <si>
    <t>Naor Levy</t>
  </si>
  <si>
    <t>לוי ניסים (מעיין)</t>
  </si>
  <si>
    <t>Nissim Levy</t>
  </si>
  <si>
    <t>לוי סיגל</t>
  </si>
  <si>
    <t>Sigal Levy</t>
  </si>
  <si>
    <t>לוי עמית</t>
  </si>
  <si>
    <t>Amit Levi</t>
  </si>
  <si>
    <t>לוי רותם רחל</t>
  </si>
  <si>
    <t>Rotem Rachel Levi</t>
  </si>
  <si>
    <t>לוין אליסיה</t>
  </si>
  <si>
    <t>Alisia Levin</t>
  </si>
  <si>
    <t>ליאור מתן מרדכי</t>
  </si>
  <si>
    <t>שדי חמד</t>
  </si>
  <si>
    <t>Matan Mordechai Lior</t>
  </si>
  <si>
    <t>ליטמן אוריה ריקרדו</t>
  </si>
  <si>
    <t>Oriya Litman Ricardo</t>
  </si>
  <si>
    <t>ליסמן אניטה</t>
  </si>
  <si>
    <t>סמוך למיגונית בצומת גמה (צפון)</t>
  </si>
  <si>
    <t>Anita Lisman</t>
  </si>
  <si>
    <t>ליסצ'וב דוד</t>
  </si>
  <si>
    <t>מצפון לתל גמה</t>
  </si>
  <si>
    <t>David Lischov</t>
  </si>
  <si>
    <t>ליפובסקי אילן</t>
  </si>
  <si>
    <t>Ilan Lipovsky</t>
  </si>
  <si>
    <t>למאי דידנקו יוליה</t>
  </si>
  <si>
    <t>Yulia Didenko Lamai</t>
  </si>
  <si>
    <t>לפידות תפארת</t>
  </si>
  <si>
    <t>חריש</t>
  </si>
  <si>
    <t>Tiferet Lapidot</t>
  </si>
  <si>
    <t>מגנזי עמית</t>
  </si>
  <si>
    <t>Amit Magnezi</t>
  </si>
  <si>
    <t>מדמון ניר</t>
  </si>
  <si>
    <t>פדויים</t>
  </si>
  <si>
    <t>Nir Madmon</t>
  </si>
  <si>
    <t>מדמוני שליו</t>
  </si>
  <si>
    <t>Shalev Madmoni</t>
  </si>
  <si>
    <t>מדר שחק יוסף</t>
  </si>
  <si>
    <t>Shahak Madar</t>
  </si>
  <si>
    <t>מועלם נעמה</t>
  </si>
  <si>
    <t>שדה נחום</t>
  </si>
  <si>
    <t>כביש יכיני יושיביה</t>
  </si>
  <si>
    <t>Naama Moalem</t>
  </si>
  <si>
    <t>מוצפי שי שלום אליאור</t>
  </si>
  <si>
    <t>Shai Shalom Elior Musafi</t>
  </si>
  <si>
    <t>מזרחי אלירן</t>
  </si>
  <si>
    <t>Eliran Mizrahi</t>
  </si>
  <si>
    <t>מזרחי בן מנשה</t>
  </si>
  <si>
    <t>קבוצת יבנה</t>
  </si>
  <si>
    <t>Ben Menashe Mizrahi</t>
  </si>
  <si>
    <t>מזרחי רז</t>
  </si>
  <si>
    <t>Raz Mizrahi</t>
  </si>
  <si>
    <t>מייזל עדי רבקה</t>
  </si>
  <si>
    <t>קרני שומרון</t>
  </si>
  <si>
    <t>Adi Rivka Mayzel</t>
  </si>
  <si>
    <t>מימון ליאור</t>
  </si>
  <si>
    <t>Lior Maimon</t>
  </si>
  <si>
    <t>מליחי אמיתי</t>
  </si>
  <si>
    <t>Amitay Malihi</t>
  </si>
  <si>
    <t>מלכה דור</t>
  </si>
  <si>
    <t>Dor Malka</t>
  </si>
  <si>
    <t>מנצור שחר</t>
  </si>
  <si>
    <t>שוהם</t>
  </si>
  <si>
    <t>Shahar Mantzur</t>
  </si>
  <si>
    <t>מנצורי נורל</t>
  </si>
  <si>
    <t>Norel Manzouri</t>
  </si>
  <si>
    <t>מנצורי רויה</t>
  </si>
  <si>
    <t>Roya Manzouri</t>
  </si>
  <si>
    <t>מסיאס מונטנו אנטוניו יניב</t>
  </si>
  <si>
    <t>Yaniv Macias Montano Antonio</t>
  </si>
  <si>
    <t>מסיקה אדיר</t>
  </si>
  <si>
    <t>Addir Mesika</t>
  </si>
  <si>
    <t>מקרצ'נקו סטיבן</t>
  </si>
  <si>
    <t>Steven Makarchenko</t>
  </si>
  <si>
    <t>מרגלית עדי</t>
  </si>
  <si>
    <t>חניאל</t>
  </si>
  <si>
    <t>Adi Margalit</t>
  </si>
  <si>
    <t>משה עדן דוד</t>
  </si>
  <si>
    <t>Eden David Moshe</t>
  </si>
  <si>
    <t>נאמן דוד יאיר שלום</t>
  </si>
  <si>
    <t>David Yair Shalom Newman</t>
  </si>
  <si>
    <t>נבון גל</t>
  </si>
  <si>
    <t>Gal Navon</t>
  </si>
  <si>
    <t>נזרוב אילקין</t>
  </si>
  <si>
    <t>Ilkin Nazarov</t>
  </si>
  <si>
    <t>נחום דור</t>
  </si>
  <si>
    <t>Dor Nahum</t>
  </si>
  <si>
    <t>נידג'לסקי גלזר חנני</t>
  </si>
  <si>
    <t>Ranani Glazer</t>
  </si>
  <si>
    <t>ניימן רותם</t>
  </si>
  <si>
    <t>כפר הס</t>
  </si>
  <si>
    <t>Rotem Neumann</t>
  </si>
  <si>
    <t>ניסימבוים (כרמלי) ג'ני</t>
  </si>
  <si>
    <t>Jenny Nisimboim Carmeli</t>
  </si>
  <si>
    <t>ניסן לירז</t>
  </si>
  <si>
    <t>Liraz Nissan</t>
  </si>
  <si>
    <t>נעים מאי</t>
  </si>
  <si>
    <t>May Naim</t>
  </si>
  <si>
    <t>נפתלי עדן</t>
  </si>
  <si>
    <t>Eden Naftali</t>
  </si>
  <si>
    <t>נקמולי בר ליאור (ברלי)</t>
  </si>
  <si>
    <t>Bar Lior Nakmoli</t>
  </si>
  <si>
    <t>סבידיה שלומי</t>
  </si>
  <si>
    <t>Shlomi Svidia</t>
  </si>
  <si>
    <t>סוויסה מוריה אור</t>
  </si>
  <si>
    <t>גבעת זאב</t>
  </si>
  <si>
    <t>Moriya Or Swisa</t>
  </si>
  <si>
    <t>סולומון הילי</t>
  </si>
  <si>
    <t>Hilly Solomon</t>
  </si>
  <si>
    <t>סטלזר מנדס קרלה</t>
  </si>
  <si>
    <t>כביש עלומים - בארי</t>
  </si>
  <si>
    <t>Karla Stelzer</t>
  </si>
  <si>
    <t>סטרוסטה תומר</t>
  </si>
  <si>
    <t>Tomer Strosta</t>
  </si>
  <si>
    <t>סלומון יעקב</t>
  </si>
  <si>
    <t>גבעתי</t>
  </si>
  <si>
    <t>Yaakov Salomon</t>
  </si>
  <si>
    <t>סלע רם</t>
  </si>
  <si>
    <t>נווה אור</t>
  </si>
  <si>
    <t>Ram (Nesher) Sela</t>
  </si>
  <si>
    <t>סמואלוב אלעזר</t>
  </si>
  <si>
    <t>Elazar Samuelov</t>
  </si>
  <si>
    <t>סמוילוב אלכסנדר</t>
  </si>
  <si>
    <t>Alexander Samoilov</t>
  </si>
  <si>
    <t>סמט תמר</t>
  </si>
  <si>
    <t>Tamar Samet</t>
  </si>
  <si>
    <t>סעידי צור</t>
  </si>
  <si>
    <t>Zur Saidi</t>
  </si>
  <si>
    <t>סעידיאן משה (מושיקו)</t>
  </si>
  <si>
    <t>יבנה</t>
  </si>
  <si>
    <t>Moshe (Moshiko) Saidian</t>
  </si>
  <si>
    <t>סרודי יניב</t>
  </si>
  <si>
    <t>Yaniv Sarudi</t>
  </si>
  <si>
    <t>עבדוש גל</t>
  </si>
  <si>
    <t>קריית עקרון</t>
  </si>
  <si>
    <t>Gal Abdush</t>
  </si>
  <si>
    <t>עבדוש נאג'י</t>
  </si>
  <si>
    <t>Nagi Abdush</t>
  </si>
  <si>
    <t>עדרי עידן</t>
  </si>
  <si>
    <t>הסוללים</t>
  </si>
  <si>
    <t>Idan Edri</t>
  </si>
  <si>
    <t>עודי עופר</t>
  </si>
  <si>
    <t>Ofer Udi</t>
  </si>
  <si>
    <t>עזר גיא</t>
  </si>
  <si>
    <t>Guy Azar</t>
  </si>
  <si>
    <t>עזרא עוז משה</t>
  </si>
  <si>
    <t>Oz Ezra</t>
  </si>
  <si>
    <t>עטון ליאור</t>
  </si>
  <si>
    <t>Lior Atun</t>
  </si>
  <si>
    <t>עמר חנן (חנניה)</t>
  </si>
  <si>
    <t>Hanan Amar</t>
  </si>
  <si>
    <t>עמר מרסדס אוריה</t>
  </si>
  <si>
    <t>Mercedes Amar</t>
  </si>
  <si>
    <t>פאר יועד</t>
  </si>
  <si>
    <t>Yoad Peer</t>
  </si>
  <si>
    <t>פודר מאיה</t>
  </si>
  <si>
    <t>זכרון יעקב</t>
  </si>
  <si>
    <t>Maya Puder</t>
  </si>
  <si>
    <t>פולבנוב רוני</t>
  </si>
  <si>
    <t>Roni Polanov</t>
  </si>
  <si>
    <t>פוסטל יבגני</t>
  </si>
  <si>
    <t>Evgeni Postel</t>
  </si>
  <si>
    <t>פורטי ניר</t>
  </si>
  <si>
    <t>Nir Forti</t>
  </si>
  <si>
    <t>פטרובסקי רוני</t>
  </si>
  <si>
    <t>Roni Petrovski</t>
  </si>
  <si>
    <t>פטרנקו דניאלה (דנה)</t>
  </si>
  <si>
    <t>Daniela Petrenko</t>
  </si>
  <si>
    <t>פישמן בן</t>
  </si>
  <si>
    <t>Ben Fishman</t>
  </si>
  <si>
    <t>פלחטי אלינה</t>
  </si>
  <si>
    <t>בית שאן</t>
  </si>
  <si>
    <t>Alina Palhati</t>
  </si>
  <si>
    <t>פסו אוראל</t>
  </si>
  <si>
    <t>Orel Pesso</t>
  </si>
  <si>
    <t>פרג' נועה</t>
  </si>
  <si>
    <t>תל מונד</t>
  </si>
  <si>
    <t>Noa Farage</t>
  </si>
  <si>
    <t>פריטיקה קארינה</t>
  </si>
  <si>
    <t>אריאל</t>
  </si>
  <si>
    <t>Karina Pritika</t>
  </si>
  <si>
    <t>פרינץ הדר</t>
  </si>
  <si>
    <t>Hadar Prince</t>
  </si>
  <si>
    <t>פרנקל זיו</t>
  </si>
  <si>
    <t>Ziv Frenkel</t>
  </si>
  <si>
    <t>פרץ אריק (אריה)</t>
  </si>
  <si>
    <t>קריית חיים</t>
  </si>
  <si>
    <t>Eric Perez</t>
  </si>
  <si>
    <t>פרץ עידו</t>
  </si>
  <si>
    <t>Ido Perez</t>
  </si>
  <si>
    <t>פרץ רות הודיה</t>
  </si>
  <si>
    <t>Ruth Perez</t>
  </si>
  <si>
    <t>צפתי חי חיים</t>
  </si>
  <si>
    <t>קריית אתא</t>
  </si>
  <si>
    <t>Haim (Hai) Tzfati</t>
  </si>
  <si>
    <t>צרפתי אופיר</t>
  </si>
  <si>
    <t>קרית אתא</t>
  </si>
  <si>
    <t>עזה; מסגד סמוך לביה"ח שיפא</t>
  </si>
  <si>
    <t>Ofir Tzarfati</t>
  </si>
  <si>
    <t>צרפתי רון</t>
  </si>
  <si>
    <t>סרן</t>
  </si>
  <si>
    <t>Ron Zarfati</t>
  </si>
  <si>
    <t>קונדרוב אירית</t>
  </si>
  <si>
    <t>Irit Konderov</t>
  </si>
  <si>
    <t>קופרווסר שני</t>
  </si>
  <si>
    <t>Shani Kupervaser</t>
  </si>
  <si>
    <t>קיז'נר שגב ישראל</t>
  </si>
  <si>
    <t>Segev Israel Kishner</t>
  </si>
  <si>
    <t>קיילין הילה</t>
  </si>
  <si>
    <t>Hila Keylin</t>
  </si>
  <si>
    <t>קינן לינור</t>
  </si>
  <si>
    <t>Linor Keinan</t>
  </si>
  <si>
    <t>קליכמן מעין</t>
  </si>
  <si>
    <t>ניר בנים</t>
  </si>
  <si>
    <t>Maayan Kalihman</t>
  </si>
  <si>
    <t>קמחי אופק</t>
  </si>
  <si>
    <t>Ofek Kimchi</t>
  </si>
  <si>
    <t>קמחי סתיו</t>
  </si>
  <si>
    <t>תלמי יוסף</t>
  </si>
  <si>
    <t>רעים</t>
  </si>
  <si>
    <t>Stav Kimchi</t>
  </si>
  <si>
    <t>קן דרור יהונתן (מאיר)</t>
  </si>
  <si>
    <t>Jonathan Ken-Dror</t>
  </si>
  <si>
    <t>קסבצ'וק דניאל</t>
  </si>
  <si>
    <t>Daniel Kasavchuck</t>
  </si>
  <si>
    <t>קסרוטי כלפה קשת</t>
  </si>
  <si>
    <t>סמר</t>
  </si>
  <si>
    <t>Keshet Kasroti-Kalfa</t>
  </si>
  <si>
    <t>רביב מוריה</t>
  </si>
  <si>
    <t>קריית מוצקין</t>
  </si>
  <si>
    <t>Moriya Raviv</t>
  </si>
  <si>
    <t>רביע אופק</t>
  </si>
  <si>
    <t>Ofek Revia</t>
  </si>
  <si>
    <t>רגב שי</t>
  </si>
  <si>
    <t>רמת ישי</t>
  </si>
  <si>
    <t>Shai Regev</t>
  </si>
  <si>
    <t>רואימי מיכל</t>
  </si>
  <si>
    <t>נשר</t>
  </si>
  <si>
    <t>Michal Roimi</t>
  </si>
  <si>
    <t>רוביו ורגס איבון עדן פטריסיה</t>
  </si>
  <si>
    <t>Ivonne Patricia Rubio Vargas Eden</t>
  </si>
  <si>
    <t>רוזמן יעל</t>
  </si>
  <si>
    <t>Yael Rozman</t>
  </si>
  <si>
    <t>רום יהונתן</t>
  </si>
  <si>
    <t>מבשרת</t>
  </si>
  <si>
    <t>Yonatan Rom</t>
  </si>
  <si>
    <t>רומשקין אולגה נעמי</t>
  </si>
  <si>
    <t>Olga Naomi Romashkin</t>
  </si>
  <si>
    <t>רחום ניצן</t>
  </si>
  <si>
    <t>Nitzan Rahum</t>
  </si>
  <si>
    <t>רחמים אביאל שלום</t>
  </si>
  <si>
    <t>שפיר</t>
  </si>
  <si>
    <t>Aviel Shalom Rahamim</t>
  </si>
  <si>
    <t>רחמים דביר</t>
  </si>
  <si>
    <t>Dvir Rahamim</t>
  </si>
  <si>
    <t>רפאל (רפאי) אלי</t>
  </si>
  <si>
    <t>Eli Refai</t>
  </si>
  <si>
    <t>רפאי שרון</t>
  </si>
  <si>
    <t>Sharon Refai</t>
  </si>
  <si>
    <t>שאמץ איליה</t>
  </si>
  <si>
    <t>Eliya Shamatz</t>
  </si>
  <si>
    <t>שגב שושן</t>
  </si>
  <si>
    <t>Segev Shushan</t>
  </si>
  <si>
    <t>שגב תומר</t>
  </si>
  <si>
    <t>Tomer Segev</t>
  </si>
  <si>
    <t>שהרבני סיון</t>
  </si>
  <si>
    <t>Sivan Shaharbani</t>
  </si>
  <si>
    <t>שובה משה</t>
  </si>
  <si>
    <t>Moshe Shuva</t>
  </si>
  <si>
    <t>שוורצמן קארין</t>
  </si>
  <si>
    <t>Karin Schwartzman</t>
  </si>
  <si>
    <t>שופן זיו</t>
  </si>
  <si>
    <t>Ziv Shoffen</t>
  </si>
  <si>
    <t>שטרית רוני</t>
  </si>
  <si>
    <t>בית יצחק</t>
  </si>
  <si>
    <t>Roni Shitrit</t>
  </si>
  <si>
    <t>שי נעם</t>
  </si>
  <si>
    <t>כפר תבור</t>
  </si>
  <si>
    <t>Noam Shay</t>
  </si>
  <si>
    <t>שיינקרמן דניאל</t>
  </si>
  <si>
    <t>Daniel Sheinkerman</t>
  </si>
  <si>
    <t>שינדל מארק</t>
  </si>
  <si>
    <t>Mark Schindel</t>
  </si>
  <si>
    <t>שכטר בר</t>
  </si>
  <si>
    <t>קציר</t>
  </si>
  <si>
    <t>Bar Shechter</t>
  </si>
  <si>
    <t>שלו שי</t>
  </si>
  <si>
    <t>Shai Shalev</t>
  </si>
  <si>
    <t>שלום נעם</t>
  </si>
  <si>
    <t>Noam Shalom</t>
  </si>
  <si>
    <t>שלום רם</t>
  </si>
  <si>
    <t>Ram Shalom</t>
  </si>
  <si>
    <t>שלזינגר אסף</t>
  </si>
  <si>
    <t>Asaf Shlezinger</t>
  </si>
  <si>
    <t>שם טוב עינבר</t>
  </si>
  <si>
    <t>Inbar Shem-Tov</t>
  </si>
  <si>
    <t>שמוניס הראל שרונה</t>
  </si>
  <si>
    <t>Sharona Shmunis Harel</t>
  </si>
  <si>
    <t>שמעוני בנימין (בן)</t>
  </si>
  <si>
    <t>Ben Shimoni</t>
  </si>
  <si>
    <t>שמר רון</t>
  </si>
  <si>
    <t>לוד</t>
  </si>
  <si>
    <t>Ron Shemer</t>
  </si>
  <si>
    <t>שניר איתן רפאל</t>
  </si>
  <si>
    <t>Eitan Snir</t>
  </si>
  <si>
    <t>שפירא זיו פפה</t>
  </si>
  <si>
    <t>ניר עם</t>
  </si>
  <si>
    <t>Ziv pepe Shapira</t>
  </si>
  <si>
    <t>שפר רן</t>
  </si>
  <si>
    <t>Ran Sheffer</t>
  </si>
  <si>
    <t>שרם ליאם</t>
  </si>
  <si>
    <t>Liam Shrem</t>
  </si>
  <si>
    <t>תאר דור</t>
  </si>
  <si>
    <t>משמר איילון</t>
  </si>
  <si>
    <t>Dor Toar</t>
  </si>
  <si>
    <t>תומר בר</t>
  </si>
  <si>
    <t>עין שמר</t>
  </si>
  <si>
    <t>Bar Tomer</t>
  </si>
  <si>
    <t>תורג'מן אבידן</t>
  </si>
  <si>
    <t>משואות יצחק</t>
  </si>
  <si>
    <t>Avidan Turgeman</t>
  </si>
  <si>
    <t>תורג'מן שהם ליה</t>
  </si>
  <si>
    <t>Shoham Lia Turgeman</t>
  </si>
  <si>
    <t>תל צור ניב</t>
  </si>
  <si>
    <t>Niv Tel-Tzur</t>
  </si>
  <si>
    <t>זיו דדו</t>
  </si>
  <si>
    <t>רס״ב</t>
  </si>
  <si>
    <t>חיילים</t>
  </si>
  <si>
    <t>Ziv Dedo</t>
  </si>
  <si>
    <t>שפירר תומר</t>
  </si>
  <si>
    <t>Tomer Shpirer</t>
  </si>
  <si>
    <t>אבן אלון</t>
  </si>
  <si>
    <t>Alon Even</t>
  </si>
  <si>
    <t>אבן חן</t>
  </si>
  <si>
    <t>Chen Even</t>
  </si>
  <si>
    <t>אבן עידו</t>
  </si>
  <si>
    <t>Ido Even</t>
  </si>
  <si>
    <t>אבן רינת</t>
  </si>
  <si>
    <t>Rinat Even</t>
  </si>
  <si>
    <t>אוחיון סילביה</t>
  </si>
  <si>
    <t>Silvia Ohayon</t>
  </si>
  <si>
    <t>אור יונת</t>
  </si>
  <si>
    <t>Yonat Or</t>
  </si>
  <si>
    <t>אפטלון יוסי (זיגי)</t>
  </si>
  <si>
    <t>Yossi Aptalon</t>
  </si>
  <si>
    <t>בויום ענבר</t>
  </si>
  <si>
    <t>Inbar Buyum</t>
  </si>
  <si>
    <t>בירה אורון</t>
  </si>
  <si>
    <t>Oron Bira</t>
  </si>
  <si>
    <t>בירה טל</t>
  </si>
  <si>
    <t>Tal Bira</t>
  </si>
  <si>
    <t>בירה יסמין</t>
  </si>
  <si>
    <t>Yasmin Bira</t>
  </si>
  <si>
    <t>בירה תאיר</t>
  </si>
  <si>
    <t>Tair Bira</t>
  </si>
  <si>
    <t>בירה תהל</t>
  </si>
  <si>
    <t>Tahel Bira</t>
  </si>
  <si>
    <t>בכר גאולה</t>
  </si>
  <si>
    <t>Geula Bachar</t>
  </si>
  <si>
    <t>בכר דנה</t>
  </si>
  <si>
    <t>Dana Bachar</t>
  </si>
  <si>
    <t>בכר כרמל</t>
  </si>
  <si>
    <t>Carmel Bachar</t>
  </si>
  <si>
    <t>בכר מזל (מזי)</t>
  </si>
  <si>
    <t>Mezzi Bachar</t>
  </si>
  <si>
    <t>בן עמי חוה</t>
  </si>
  <si>
    <t>Chava Ben-Ami</t>
  </si>
  <si>
    <t>בר יובל</t>
  </si>
  <si>
    <t>Yuval Bar</t>
  </si>
  <si>
    <t>בר מעיין</t>
  </si>
  <si>
    <t>Maayan Bar</t>
  </si>
  <si>
    <t>בר סיני יורם</t>
  </si>
  <si>
    <t>Yoram Bar-Sinai</t>
  </si>
  <si>
    <t>ברוך עידן</t>
  </si>
  <si>
    <t>רב״ט</t>
  </si>
  <si>
    <t>Idan Baruch</t>
  </si>
  <si>
    <t>גודארד (פרג) איילת</t>
  </si>
  <si>
    <t>Ayelet Godard</t>
  </si>
  <si>
    <t>גודארד מני</t>
  </si>
  <si>
    <t>Meni Godard</t>
  </si>
  <si>
    <t>גלסקי יבגני</t>
  </si>
  <si>
    <t>Evgeny Galsky</t>
  </si>
  <si>
    <t>גת כנרת</t>
  </si>
  <si>
    <t>Kinneret Gat</t>
  </si>
  <si>
    <t>דגן עדי</t>
  </si>
  <si>
    <t>Adi Dagan</t>
  </si>
  <si>
    <t>הנד נרקיס</t>
  </si>
  <si>
    <t>Narkis Hand</t>
  </si>
  <si>
    <t>הקר זאב</t>
  </si>
  <si>
    <t>Zeev Haker</t>
  </si>
  <si>
    <t>הקר זהבה</t>
  </si>
  <si>
    <t>Zehava Haker</t>
  </si>
  <si>
    <t>הרן אבשלום (אבשל)</t>
  </si>
  <si>
    <t>Avshalom Haran</t>
  </si>
  <si>
    <t>הרשקוביץ מעיינה</t>
  </si>
  <si>
    <t>Mayana Hershkowitz</t>
  </si>
  <si>
    <t>הרשקוביץ נח</t>
  </si>
  <si>
    <t>Noah Hershkowitz</t>
  </si>
  <si>
    <t>וייס מתי</t>
  </si>
  <si>
    <t>Mati Weiss</t>
  </si>
  <si>
    <t>וייס עמיר</t>
  </si>
  <si>
    <t>Amir Weiss</t>
  </si>
  <si>
    <t>וייס שמואל (שמוליק)</t>
  </si>
  <si>
    <t>Shmulik Weiss</t>
  </si>
  <si>
    <t>זוהר חיים</t>
  </si>
  <si>
    <t>Chaim Zohar</t>
  </si>
  <si>
    <t>זלמנוביץ' הלל</t>
  </si>
  <si>
    <t>נחל גרר מערב</t>
  </si>
  <si>
    <t>Hillel Zalmanovich</t>
  </si>
  <si>
    <t>חצרוני איילה</t>
  </si>
  <si>
    <t>Ayala Hetzroni</t>
  </si>
  <si>
    <t>חצרוני הלר ליאל</t>
  </si>
  <si>
    <t>Liel Hetzroni</t>
  </si>
  <si>
    <t>חרמש עומר</t>
  </si>
  <si>
    <t>Omer Hermesh</t>
  </si>
  <si>
    <t>טרשצ'נסקי ליאור</t>
  </si>
  <si>
    <t>Lior Tarshansky</t>
  </si>
  <si>
    <t>יצחקי יהודית</t>
  </si>
  <si>
    <t>Yehudit Itzhaki</t>
  </si>
  <si>
    <t>כהן אוהד</t>
  </si>
  <si>
    <t>Ohad Cohen</t>
  </si>
  <si>
    <t>כהן יונה</t>
  </si>
  <si>
    <t>Yona Cohen</t>
  </si>
  <si>
    <t>כהן מילה</t>
  </si>
  <si>
    <t>Mila Cohen</t>
  </si>
  <si>
    <t>כהן פסיה (פסי)</t>
  </si>
  <si>
    <t>Pessy Cohen</t>
  </si>
  <si>
    <t>כרסנתי שושנה (שוש)</t>
  </si>
  <si>
    <t>Shoshana Karasenti</t>
  </si>
  <si>
    <t>לוי לודמיר דניאל</t>
  </si>
  <si>
    <t>Daniel Levy</t>
  </si>
  <si>
    <t>לוי רוני</t>
  </si>
  <si>
    <t>Ronnie Levy</t>
  </si>
  <si>
    <t>לוסב איגור</t>
  </si>
  <si>
    <t>Igor Lusev</t>
  </si>
  <si>
    <t>לוסב מרינה</t>
  </si>
  <si>
    <t>Marina Lusev</t>
  </si>
  <si>
    <t>מור אבי</t>
  </si>
  <si>
    <t>Avi Mor</t>
  </si>
  <si>
    <t>מורדו רפאל (רפי)</t>
  </si>
  <si>
    <t>Raffi Mordo</t>
  </si>
  <si>
    <t>מייזנר קרבונה גלית</t>
  </si>
  <si>
    <t>Galit Carbone</t>
  </si>
  <si>
    <t>מילס אלברט (אבלום)</t>
  </si>
  <si>
    <t>Albert Avlom Miles</t>
  </si>
  <si>
    <t>מן עמית</t>
  </si>
  <si>
    <t>נתיבות</t>
  </si>
  <si>
    <t>Amit Mann</t>
  </si>
  <si>
    <t>נווה מרדכי</t>
  </si>
  <si>
    <t>Mordechai Naveh</t>
  </si>
  <si>
    <t>נטע אדריאן</t>
  </si>
  <si>
    <t>Neta Adrian</t>
  </si>
  <si>
    <t>סבירסקי רפי</t>
  </si>
  <si>
    <t>Raffi Svirski</t>
  </si>
  <si>
    <t>סוכמן תמי</t>
  </si>
  <si>
    <t>Tamar Sochman</t>
  </si>
  <si>
    <t>סיטון חנה</t>
  </si>
  <si>
    <t>Hanna Siton</t>
  </si>
  <si>
    <t>סיטון טל</t>
  </si>
  <si>
    <t>Tal Siton</t>
  </si>
  <si>
    <t>סיטון יצחק</t>
  </si>
  <si>
    <t>Itzhak Siton</t>
  </si>
  <si>
    <t>סילבר ויויאן</t>
  </si>
  <si>
    <t>Vivian Silver</t>
  </si>
  <si>
    <t>סלע סבירסקי אורית</t>
  </si>
  <si>
    <t>Orit Svirski</t>
  </si>
  <si>
    <t>פישביין זערור תכלת</t>
  </si>
  <si>
    <t>Tchelet Fishbein</t>
  </si>
  <si>
    <t>פרייליך קפלון מרסל</t>
  </si>
  <si>
    <t>Marcel Frailich</t>
  </si>
  <si>
    <t>פריקר יונה</t>
  </si>
  <si>
    <t>Yona Fricker</t>
  </si>
  <si>
    <t>קוזין יצחק</t>
  </si>
  <si>
    <t>Yitzhak Cozin</t>
  </si>
  <si>
    <t>קידר סמי</t>
  </si>
  <si>
    <t>Sami Keidar</t>
  </si>
  <si>
    <t>קיפניס אביתר (תרי)</t>
  </si>
  <si>
    <t>Evyatar Kipnis</t>
  </si>
  <si>
    <t>קיפניס לילך</t>
  </si>
  <si>
    <t>Lilach Kipnis</t>
  </si>
  <si>
    <t>קלדרון רותם</t>
  </si>
  <si>
    <t>Rotem Kalderon</t>
  </si>
  <si>
    <t>קפלון דרור</t>
  </si>
  <si>
    <t>Dror Kaplun</t>
  </si>
  <si>
    <t>קרול דוד</t>
  </si>
  <si>
    <t>David Carol</t>
  </si>
  <si>
    <t>קריצמן חנה</t>
  </si>
  <si>
    <t>Hanna Kritzman</t>
  </si>
  <si>
    <t>רידר דור</t>
  </si>
  <si>
    <t>Dor Rider</t>
  </si>
  <si>
    <t>רפופורט יונתן</t>
  </si>
  <si>
    <t>Jonathan Rappaport</t>
  </si>
  <si>
    <t>שוש נוי</t>
  </si>
  <si>
    <t>רס״ן</t>
  </si>
  <si>
    <t>Noy Shosh</t>
  </si>
  <si>
    <t>שרעבי יהל</t>
  </si>
  <si>
    <t>Yahel Sharabi</t>
  </si>
  <si>
    <t>שרעבי ליאן</t>
  </si>
  <si>
    <t>Lianne Sharabi</t>
  </si>
  <si>
    <t>שרעבי נויה</t>
  </si>
  <si>
    <t>Noya Sharabi</t>
  </si>
  <si>
    <t>Prodigo Cabrera Gracie</t>
  </si>
  <si>
    <t>Cabrera Gracie</t>
  </si>
  <si>
    <t>Castelvi Paul Vincent</t>
  </si>
  <si>
    <t>Paul Vincent Castelvi</t>
  </si>
  <si>
    <t>Jayathilaka Anula</t>
  </si>
  <si>
    <t>סרי לנקה</t>
  </si>
  <si>
    <t>Anula Jayathilaka</t>
  </si>
  <si>
    <t>Sae Yang Sumchai</t>
  </si>
  <si>
    <t>Yatawara Bandara Susujith</t>
  </si>
  <si>
    <t>אלחרר חלפון ליז</t>
  </si>
  <si>
    <t>Liz Elharar</t>
  </si>
  <si>
    <t>אלחרר מאיר</t>
  </si>
  <si>
    <t>Meir Elharar</t>
  </si>
  <si>
    <t>מתיאס טרואן שחר דבורה (דבי)</t>
  </si>
  <si>
    <t>Shachar Deborah Troen Matias</t>
  </si>
  <si>
    <t>מתיאס שלומי</t>
  </si>
  <si>
    <t>Shlomi Mathias</t>
  </si>
  <si>
    <t>סולטן רולאן</t>
  </si>
  <si>
    <t>Roland Sultan</t>
  </si>
  <si>
    <t>סולטן רונית</t>
  </si>
  <si>
    <t>Ronit Sultan</t>
  </si>
  <si>
    <t>קייסמן לילי</t>
  </si>
  <si>
    <t>Lily Keisman</t>
  </si>
  <si>
    <t>קעטבי תהילה</t>
  </si>
  <si>
    <t>Tehila Katabi</t>
  </si>
  <si>
    <t>קפלון עדי ויטל</t>
  </si>
  <si>
    <t>Adi Kaploun Vital</t>
  </si>
  <si>
    <t>רידלר משה</t>
  </si>
  <si>
    <t>Moshe Ridler</t>
  </si>
  <si>
    <t>Busko Petro</t>
  </si>
  <si>
    <t>מולדובה</t>
  </si>
  <si>
    <t>Bosco Petro</t>
  </si>
  <si>
    <t>גודו תום</t>
  </si>
  <si>
    <t>08.10.2023</t>
  </si>
  <si>
    <t>Tom Godo</t>
  </si>
  <si>
    <t>זק (בן יעיש) אתי</t>
  </si>
  <si>
    <t>Etty Zak</t>
  </si>
  <si>
    <t>זק איתי</t>
  </si>
  <si>
    <t>Etay Zak</t>
  </si>
  <si>
    <t>זק שגיא</t>
  </si>
  <si>
    <t>Sagi Zak</t>
  </si>
  <si>
    <t>חולתי מנוחה</t>
  </si>
  <si>
    <t>Menuha Hulati</t>
  </si>
  <si>
    <t>מור מעיין</t>
  </si>
  <si>
    <t>Maayan Mor</t>
  </si>
  <si>
    <t>סמיאטיץ' ג'ינה</t>
  </si>
  <si>
    <t>Gina Smiatich</t>
  </si>
  <si>
    <t>רון עופר</t>
  </si>
  <si>
    <t>Ofer Ron</t>
  </si>
  <si>
    <t>Jakkaphong Jantharasena</t>
  </si>
  <si>
    <t>Chandrasena Chakkraphong</t>
  </si>
  <si>
    <t>Kaison Aranthit</t>
  </si>
  <si>
    <t>Khunsri Pongsatorn</t>
  </si>
  <si>
    <t>Klangsuwan Theerapong</t>
  </si>
  <si>
    <t>Prakotwong Thanakrit</t>
  </si>
  <si>
    <t>Sanusan Chairat</t>
  </si>
  <si>
    <t>Sophakun Anucha</t>
  </si>
  <si>
    <t>Srithat Kawao</t>
  </si>
  <si>
    <t>אדמוני גיא</t>
  </si>
  <si>
    <t>Guy Admoni</t>
  </si>
  <si>
    <t>אדמוני מיכל</t>
  </si>
  <si>
    <t>Michal Admoni</t>
  </si>
  <si>
    <t>אדרי אביעד אברהם</t>
  </si>
  <si>
    <t>Aviad Avraham Edri</t>
  </si>
  <si>
    <t>אורגד גולדנברג אליהו (אלי)</t>
  </si>
  <si>
    <t>Eliyahu Orgad</t>
  </si>
  <si>
    <t>איתמרי לילי</t>
  </si>
  <si>
    <t>Lili Itamary</t>
  </si>
  <si>
    <t>איתמרי רם</t>
  </si>
  <si>
    <t>Ram Itamary</t>
  </si>
  <si>
    <t>אלקבץ סיון</t>
  </si>
  <si>
    <t>Sivan Elkabets</t>
  </si>
  <si>
    <t>אמיר מודי (מרדכי)</t>
  </si>
  <si>
    <t>Mordechai (Mody) Amir</t>
  </si>
  <si>
    <t>אפשטיין בלהה</t>
  </si>
  <si>
    <t>Bilha Epstein</t>
  </si>
  <si>
    <t>אפשטיין נטע</t>
  </si>
  <si>
    <t>Neta Epstein</t>
  </si>
  <si>
    <t>בויום יובל</t>
  </si>
  <si>
    <t>Yuval Boyum</t>
  </si>
  <si>
    <t>בן דוד (ג'יבלי) מאיה</t>
  </si>
  <si>
    <t>כפר חיים</t>
  </si>
  <si>
    <t>Maya Ben David</t>
  </si>
  <si>
    <t>ברדיצ'בסקי (רוזנפלד) הדר</t>
  </si>
  <si>
    <t>Hadar Berdichevsky</t>
  </si>
  <si>
    <t>ברדיצ'בסקי איתי</t>
  </si>
  <si>
    <t>Itay Berdichevsky</t>
  </si>
  <si>
    <t>גולדשטיין אלמוג ים</t>
  </si>
  <si>
    <t>Yam Goldstein Almog</t>
  </si>
  <si>
    <t>גולדשטיין אלמוג נדב</t>
  </si>
  <si>
    <t>Nadav Goldstein</t>
  </si>
  <si>
    <t>גורן ארן</t>
  </si>
  <si>
    <t>Aran Goren</t>
  </si>
  <si>
    <t>גורן טובה</t>
  </si>
  <si>
    <t>Tova Goren</t>
  </si>
  <si>
    <t>דגני נעמי</t>
  </si>
  <si>
    <t>Naomi Dgani</t>
  </si>
  <si>
    <t>וינר יהב</t>
  </si>
  <si>
    <t>Yahav Winner</t>
  </si>
  <si>
    <t>ורטהיים (בר אילן) דורית</t>
  </si>
  <si>
    <t>Dorit Werthheim</t>
  </si>
  <si>
    <t>ורטהיים אביב</t>
  </si>
  <si>
    <t>Aviv Werthheim</t>
  </si>
  <si>
    <t>זיו איתן</t>
  </si>
  <si>
    <t>Eitan Ziv</t>
  </si>
  <si>
    <t>זיני ניראל</t>
  </si>
  <si>
    <t>Nirel Zini</t>
  </si>
  <si>
    <t>חסידים נאור</t>
  </si>
  <si>
    <t>Naor Hassidim</t>
  </si>
  <si>
    <t>חצרוני אביה</t>
  </si>
  <si>
    <t>Avia Hetzroni</t>
  </si>
  <si>
    <t>חצרוני הלר ינאי</t>
  </si>
  <si>
    <t>Yanai Heler Hetzroni</t>
  </si>
  <si>
    <t>ליבשטיין ניצן</t>
  </si>
  <si>
    <t>Nitzan Libstein</t>
  </si>
  <si>
    <t>מור עידן סמדר</t>
  </si>
  <si>
    <t>שב"כ</t>
  </si>
  <si>
    <t>Smadar Idan</t>
  </si>
  <si>
    <t>עידן רועי</t>
  </si>
  <si>
    <t>Roee Idan</t>
  </si>
  <si>
    <t>פלג זיו (נאור) תמי</t>
  </si>
  <si>
    <t>Tammy Peleg Ziv</t>
  </si>
  <si>
    <t>פלד גילה</t>
  </si>
  <si>
    <t>Gila Peled</t>
  </si>
  <si>
    <t>פלד דניאל</t>
  </si>
  <si>
    <t>Daniel Peled</t>
  </si>
  <si>
    <t>פלד יזהר</t>
  </si>
  <si>
    <t>Izhar Peled</t>
  </si>
  <si>
    <t>פלש יגאל</t>
  </si>
  <si>
    <t>Yigal Flash</t>
  </si>
  <si>
    <t>פלש סינתיה תמר (סינדי)</t>
  </si>
  <si>
    <t>Cynthia Tamar Flash</t>
  </si>
  <si>
    <t>פרץ מארק (מרדכי)</t>
  </si>
  <si>
    <t>Mark Peretz</t>
  </si>
  <si>
    <t>צדיקביץ' עומר</t>
  </si>
  <si>
    <t>Omer Zadikevitch</t>
  </si>
  <si>
    <t>קוץ אביב</t>
  </si>
  <si>
    <t>Aviv Kutz</t>
  </si>
  <si>
    <t>קוץ יונתן</t>
  </si>
  <si>
    <t>Yonatan Kutz</t>
  </si>
  <si>
    <t>קוץ יפתח</t>
  </si>
  <si>
    <t>Yiftach Kutz</t>
  </si>
  <si>
    <t>קוץ לבנת</t>
  </si>
  <si>
    <t>Livnat Kutz</t>
  </si>
  <si>
    <t>קוץ רותם</t>
  </si>
  <si>
    <t>Rotem Kutz</t>
  </si>
  <si>
    <t>קציר (קצ'קו) דוד</t>
  </si>
  <si>
    <t>David (Kachko) Katzir</t>
  </si>
  <si>
    <t>רביב ניב</t>
  </si>
  <si>
    <t>Niv Raviv</t>
  </si>
  <si>
    <t>רונן נירה</t>
  </si>
  <si>
    <t>Nira Ronen</t>
  </si>
  <si>
    <t>רייכנשטיין אליהו (אליקו)</t>
  </si>
  <si>
    <t>Eliyahu Reichenstein</t>
  </si>
  <si>
    <t>שוורצמן דוד אלברטו</t>
  </si>
  <si>
    <t>David Schwartzman Pinko</t>
  </si>
  <si>
    <t>שוורצמן פינקו אורלי</t>
  </si>
  <si>
    <t>Orly Schwartzman Pinko</t>
  </si>
  <si>
    <t>שושני אופיר</t>
  </si>
  <si>
    <t>Ofir Shoshani</t>
  </si>
  <si>
    <t>שטהל מירה</t>
  </si>
  <si>
    <t>Mira Shtahl</t>
  </si>
  <si>
    <t>Aguirre Angelyn</t>
  </si>
  <si>
    <t>אליקים נועם</t>
  </si>
  <si>
    <t>נחל עוז</t>
  </si>
  <si>
    <t>Noam Elyakim</t>
  </si>
  <si>
    <t>ברוש שושנה (שושי)</t>
  </si>
  <si>
    <t>Shoshana Brosh</t>
  </si>
  <si>
    <t>זוהר יניב</t>
  </si>
  <si>
    <t>Yaniv Zohar</t>
  </si>
  <si>
    <t>זוהר יסמין</t>
  </si>
  <si>
    <t>Yasmin Zohar</t>
  </si>
  <si>
    <t>זוהר קשת</t>
  </si>
  <si>
    <t>Keshet Zohar</t>
  </si>
  <si>
    <t>זוהר תכלת</t>
  </si>
  <si>
    <t>Tchelet Zohar</t>
  </si>
  <si>
    <t>כץ אפרת</t>
  </si>
  <si>
    <t>בין ניר עוז לגבול</t>
  </si>
  <si>
    <t>Efrat Katz</t>
  </si>
  <si>
    <t>ליבנה חיים</t>
  </si>
  <si>
    <t>Haim Livne</t>
  </si>
  <si>
    <t>עידן מעיין</t>
  </si>
  <si>
    <t>Maayan Idan</t>
  </si>
  <si>
    <t>ערבה אליעז תומר</t>
  </si>
  <si>
    <t>Tomer Arava</t>
  </si>
  <si>
    <t>ערבה דקלה</t>
  </si>
  <si>
    <t>Dikla Arava</t>
  </si>
  <si>
    <t>רון שלמה</t>
  </si>
  <si>
    <t>Shlomo Ron</t>
  </si>
  <si>
    <t>Somkuan Pansa-ard</t>
  </si>
  <si>
    <t>בן חורין רבקה</t>
  </si>
  <si>
    <t>Rebecca Ben-Horin</t>
  </si>
  <si>
    <t>בן צבי אמיתי</t>
  </si>
  <si>
    <t>Amitai Ben-Zvi</t>
  </si>
  <si>
    <t>גורן אבנר</t>
  </si>
  <si>
    <t>מערבית לניר עוז</t>
  </si>
  <si>
    <t>Avner Goren</t>
  </si>
  <si>
    <t>גרוס יוסף (יוסיניו)</t>
  </si>
  <si>
    <t>Yossef Gross</t>
  </si>
  <si>
    <t>דן כרמלה</t>
  </si>
  <si>
    <t>Carmela Sara Dan</t>
  </si>
  <si>
    <t>דן נויה</t>
  </si>
  <si>
    <t>Noya Dan</t>
  </si>
  <si>
    <t>והב יוסף (יוסי)</t>
  </si>
  <si>
    <t>Yossef (Yossi) Vahav</t>
  </si>
  <si>
    <t>טרופנוב ויטלי</t>
  </si>
  <si>
    <t>Vitaly Trupanob</t>
  </si>
  <si>
    <t>כץ רביד</t>
  </si>
  <si>
    <t>Ravid Katz</t>
  </si>
  <si>
    <t>לוינסון ברכה</t>
  </si>
  <si>
    <t>Bracha Levinson</t>
  </si>
  <si>
    <t>מונדר רועי</t>
  </si>
  <si>
    <t>Roey Munder</t>
  </si>
  <si>
    <t>משה סעיד (דוד)</t>
  </si>
  <si>
    <t>Sai'd (David) Moshe</t>
  </si>
  <si>
    <t>נוי שפרה</t>
  </si>
  <si>
    <t>Shifra Noy</t>
  </si>
  <si>
    <t>סילברמן (שניידר) מרגיט</t>
  </si>
  <si>
    <t>Margit Silberman</t>
  </si>
  <si>
    <t>סילברמן יוסף</t>
  </si>
  <si>
    <t>Yosef Yossi Silberman</t>
  </si>
  <si>
    <t>סימן טוב ארבל</t>
  </si>
  <si>
    <t>Arbel Siman-Tov</t>
  </si>
  <si>
    <t>סימן טוב יונתן (ג'וני)</t>
  </si>
  <si>
    <t>Yonatan Siman-Tov</t>
  </si>
  <si>
    <t>סימן טוב עומר</t>
  </si>
  <si>
    <t>Omer Siman-Tov</t>
  </si>
  <si>
    <t>סימן טוב קדם תמר</t>
  </si>
  <si>
    <t>Tamar Kedem Siman-Tov</t>
  </si>
  <si>
    <t>סימן טוב קרול</t>
  </si>
  <si>
    <t>Carol Siman-Tov</t>
  </si>
  <si>
    <t>סימן טוב שחר</t>
  </si>
  <si>
    <t>Shachar Siman-Tov</t>
  </si>
  <si>
    <t>פאוקר גדעון</t>
  </si>
  <si>
    <t>Gidon Pauker</t>
  </si>
  <si>
    <t>קציר אברהם (רמי)</t>
  </si>
  <si>
    <t>Avraham Katzir</t>
  </si>
  <si>
    <t>שלו דוד</t>
  </si>
  <si>
    <t>David Shalev</t>
  </si>
  <si>
    <t>שלו טל</t>
  </si>
  <si>
    <t>Tal Shalev</t>
  </si>
  <si>
    <t>שפיר ירמי (ירמיהו)</t>
  </si>
  <si>
    <t>Yermiyahu Shafir</t>
  </si>
  <si>
    <t>Bohl Caroline</t>
  </si>
  <si>
    <t>גרמניה</t>
  </si>
  <si>
    <t>Carolin Bohl</t>
  </si>
  <si>
    <t>Dachtuyawat Bancha</t>
  </si>
  <si>
    <t>Bancha Dachtuyawat</t>
  </si>
  <si>
    <t>Darlington Daniel (Danny)</t>
  </si>
  <si>
    <t>בריטניה</t>
  </si>
  <si>
    <t>באבאני גדעון</t>
  </si>
  <si>
    <t>נירים</t>
  </si>
  <si>
    <t>Gidon Bavani</t>
  </si>
  <si>
    <t>מאיר דורון</t>
  </si>
  <si>
    <t>Doron Meir</t>
  </si>
  <si>
    <t>מאיר מור</t>
  </si>
  <si>
    <t>Mor Meir</t>
  </si>
  <si>
    <t>פופלוול רועי</t>
  </si>
  <si>
    <t>Roey Popplewell</t>
  </si>
  <si>
    <t>כהן ברנרד (פול)</t>
  </si>
  <si>
    <t>סופה</t>
  </si>
  <si>
    <t>Bernard Cohen</t>
  </si>
  <si>
    <t>גלזברג נועה</t>
  </si>
  <si>
    <t>עין השלושה</t>
  </si>
  <si>
    <t>Noa Glazberg</t>
  </si>
  <si>
    <t>טליה מרסל</t>
  </si>
  <si>
    <t>קריית ארבע</t>
  </si>
  <si>
    <t>Talia Marcel</t>
  </si>
  <si>
    <t>ליפשיץ אולג</t>
  </si>
  <si>
    <t>Olag Lifshitz</t>
  </si>
  <si>
    <t>מרנסקי סילביה</t>
  </si>
  <si>
    <t>Silvia Marnasky</t>
  </si>
  <si>
    <t>Bista Dipesh Raj</t>
  </si>
  <si>
    <t>נפאל</t>
  </si>
  <si>
    <t>Dipesh Raj Bista</t>
  </si>
  <si>
    <t>Chaudhary Ashish</t>
  </si>
  <si>
    <t>Lekendora Sing Dahami</t>
  </si>
  <si>
    <t>Nepali Ganesh Kumar</t>
  </si>
  <si>
    <t>Ganesh Kumar Nepali</t>
  </si>
  <si>
    <t>Neupane Narayan Prasad</t>
  </si>
  <si>
    <t>Phulara Rajan</t>
  </si>
  <si>
    <t>Prabesh Bhandari</t>
  </si>
  <si>
    <t>Shah Ananda</t>
  </si>
  <si>
    <t>Swarnakar Rajesh Kumar</t>
  </si>
  <si>
    <t>Swarnakar Raj Kumar</t>
  </si>
  <si>
    <t>Thapa Padam</t>
  </si>
  <si>
    <t>Padam Thapa</t>
  </si>
  <si>
    <t>אוסטפנקו אליונה</t>
  </si>
  <si>
    <t>משטרה</t>
  </si>
  <si>
    <t>Eliona Astafniko</t>
  </si>
  <si>
    <t>גבאי עמית</t>
  </si>
  <si>
    <t>Amit Gabay</t>
  </si>
  <si>
    <t>הרמתי ורדה</t>
  </si>
  <si>
    <t>Varda Haramati</t>
  </si>
  <si>
    <t>פבר אסף</t>
  </si>
  <si>
    <t>Asaf Fever</t>
  </si>
  <si>
    <t>קרפ דביר</t>
  </si>
  <si>
    <t>Dvir Karp</t>
  </si>
  <si>
    <t>אבדלימוב סמיון</t>
  </si>
  <si>
    <t>Semion Avdalimov</t>
  </si>
  <si>
    <t>אברמוב מיכאל</t>
  </si>
  <si>
    <t>Michael Avramov</t>
  </si>
  <si>
    <t>איליאגוייב סלומון</t>
  </si>
  <si>
    <t>Solomon Ilyaguyev</t>
  </si>
  <si>
    <t>ג'רג'אוי סמי</t>
  </si>
  <si>
    <t>שגב שלום</t>
  </si>
  <si>
    <t>Sammi Elgargawi</t>
  </si>
  <si>
    <t>אשרף חיים</t>
  </si>
  <si>
    <t>Chaim Ashraf</t>
  </si>
  <si>
    <t>ויצמן ליאור</t>
  </si>
  <si>
    <t>צפונית לצומת שער הנגב</t>
  </si>
  <si>
    <t>Lior Weizman</t>
  </si>
  <si>
    <t>טולדנו עמרם אלון</t>
  </si>
  <si>
    <t>Alon Amram Toledano</t>
  </si>
  <si>
    <t>טנבורה אמיר</t>
  </si>
  <si>
    <t>Amir Tanbora</t>
  </si>
  <si>
    <t>לוזובסקי לאוניד</t>
  </si>
  <si>
    <t>Leonid Luzovski</t>
  </si>
  <si>
    <t>מאירי זוהר</t>
  </si>
  <si>
    <t>Meiri Zohar</t>
  </si>
  <si>
    <t>מגירא אבי</t>
  </si>
  <si>
    <t>Avi Megira</t>
  </si>
  <si>
    <t>מורזאחנוב מיכאל</t>
  </si>
  <si>
    <t>Michael Muzarkov</t>
  </si>
  <si>
    <t>מלכה מאיר</t>
  </si>
  <si>
    <t>Meir Malka</t>
  </si>
  <si>
    <t>נווה נתיב מעיין</t>
  </si>
  <si>
    <t>Nativ Maayan Nave</t>
  </si>
  <si>
    <t>סוויסה אודיה</t>
  </si>
  <si>
    <t>Odaya Swisa</t>
  </si>
  <si>
    <t>סוויסה דולב</t>
  </si>
  <si>
    <t>Dolev Swisa</t>
  </si>
  <si>
    <t>סורוקין דמיטרי</t>
  </si>
  <si>
    <t>Dimitri Sorokin</t>
  </si>
  <si>
    <t>פריאנטה קובי</t>
  </si>
  <si>
    <t>יד מרדכי - נתיב העשרה; קבוצת ריצה</t>
  </si>
  <si>
    <t>Kobi Paryante</t>
  </si>
  <si>
    <t>שטרית אזולאי נעמי</t>
  </si>
  <si>
    <t>Neomi Shitrit-Azulay</t>
  </si>
  <si>
    <t>Cao Yongcai</t>
  </si>
  <si>
    <t>סין</t>
  </si>
  <si>
    <t>Cao Yongkai</t>
  </si>
  <si>
    <t>Wan Zhishun</t>
  </si>
  <si>
    <t>Zou Deli</t>
  </si>
  <si>
    <t>ביילין זינאידה (זינה)</t>
  </si>
  <si>
    <t>שדרות; אוטובוס הגמלאים</t>
  </si>
  <si>
    <t>Zinaida Beilin</t>
  </si>
  <si>
    <t>גילר ליליה</t>
  </si>
  <si>
    <t>Lilya Giler</t>
  </si>
  <si>
    <t>זרבאילוב מיכל מראל</t>
  </si>
  <si>
    <t>Michal Zrabailov</t>
  </si>
  <si>
    <t>טומייב נטליה</t>
  </si>
  <si>
    <t>Natalia Tomayev</t>
  </si>
  <si>
    <t>מורטוב יעקב</t>
  </si>
  <si>
    <t>Yaakov Mortov</t>
  </si>
  <si>
    <t>ספרבצ'יקוב נדז'דה</t>
  </si>
  <si>
    <t>Nadejda Spravchikov</t>
  </si>
  <si>
    <t>פופוב ולדימיר</t>
  </si>
  <si>
    <t>Vladimir Popov</t>
  </si>
  <si>
    <t>פופוב סופיה</t>
  </si>
  <si>
    <t>Sonia Popov</t>
  </si>
  <si>
    <t>פורמן לודמילה (לודה)</t>
  </si>
  <si>
    <t>Lyudmila Furman</t>
  </si>
  <si>
    <t>פרידמן ולרי</t>
  </si>
  <si>
    <t>Valerie Friedman</t>
  </si>
  <si>
    <t>קורצר איגור</t>
  </si>
  <si>
    <t>Igor Kortzov</t>
  </si>
  <si>
    <t>שמיאייב לוי ברטה בטסיין</t>
  </si>
  <si>
    <t>Barta Shmeyev</t>
  </si>
  <si>
    <t>שניטמן טטיאנה</t>
  </si>
  <si>
    <t>Tatiana Shnitman</t>
  </si>
  <si>
    <t>אבו ג'מאע יזן זכריה</t>
  </si>
  <si>
    <t>Yazan Zakaria Abu Jama</t>
  </si>
  <si>
    <t>אבו מדיע'ם גאליה</t>
  </si>
  <si>
    <t>דרומית למבטחים</t>
  </si>
  <si>
    <t>Dalia Abu Madi'am</t>
  </si>
  <si>
    <t>אבו סבייח מאי זוהיר</t>
  </si>
  <si>
    <t>כפר כוחלה</t>
  </si>
  <si>
    <t>כוחלה</t>
  </si>
  <si>
    <t>May Abu Sabaakh</t>
  </si>
  <si>
    <t>אבו סבייח פאיזה</t>
  </si>
  <si>
    <t>Faiza Abu Sabaakh</t>
  </si>
  <si>
    <t>אלקרעאן אמין עקל</t>
  </si>
  <si>
    <t>אבו קרינאת</t>
  </si>
  <si>
    <t>Amin Akal Alkra’an</t>
  </si>
  <si>
    <t>אלקרעאן ג'וואד אברהים</t>
  </si>
  <si>
    <t>Jawad Ibrahim Alkra’an</t>
  </si>
  <si>
    <t>אלקרעאן מאלק אברהים</t>
  </si>
  <si>
    <t>Malek Ibrahim Alkra’an</t>
  </si>
  <si>
    <t>אלקרעאן מחמד ד'יב</t>
  </si>
  <si>
    <t>Mahmoud Diab Alkra’an</t>
  </si>
  <si>
    <t>בן ארצי חנה</t>
  </si>
  <si>
    <t>כפר אביב</t>
  </si>
  <si>
    <t>Hana Ben-Artzi</t>
  </si>
  <si>
    <t>ברודש שירז דניאל</t>
  </si>
  <si>
    <t>רמות מאיר</t>
  </si>
  <si>
    <t>Shiraz Brodash</t>
  </si>
  <si>
    <t>גבאי מור</t>
  </si>
  <si>
    <t>Mor Gabay</t>
  </si>
  <si>
    <t>ז'וקוב ולדימיר</t>
  </si>
  <si>
    <t>Vladimir Zukov</t>
  </si>
  <si>
    <t>חטאב יהושוע</t>
  </si>
  <si>
    <t>Yehoshua Hatab</t>
  </si>
  <si>
    <t>מסקאלצ'י נתנאל</t>
  </si>
  <si>
    <t>Rabbi Netanel Maskalatchi</t>
  </si>
  <si>
    <t>מסקאלצ'י רפאל מאיר</t>
  </si>
  <si>
    <t>Rafael Meir Maskalatchi</t>
  </si>
  <si>
    <t>פהימי רפאל</t>
  </si>
  <si>
    <t>Rabbi Rafael Fahimi</t>
  </si>
  <si>
    <t>פרץ אבשלום יאיר</t>
  </si>
  <si>
    <t>רס״מ</t>
  </si>
  <si>
    <t>Avshalom Yair Peretz</t>
  </si>
  <si>
    <t>אבוהרון רוני</t>
  </si>
  <si>
    <t>רנ״ג</t>
  </si>
  <si>
    <t>Roni Abuharon</t>
  </si>
  <si>
    <t>אוחיון אליעד</t>
  </si>
  <si>
    <t>Eliad Ohayon</t>
  </si>
  <si>
    <t>אוחיון משה</t>
  </si>
  <si>
    <t>Moshe Ohayon</t>
  </si>
  <si>
    <t>אילוז יגאל</t>
  </si>
  <si>
    <t>Yigal Iluz</t>
  </si>
  <si>
    <t>אלעזרי יונתן</t>
  </si>
  <si>
    <t>אלון שבות</t>
  </si>
  <si>
    <t>Yonatan Elazari</t>
  </si>
  <si>
    <t>בוזגלו אבי</t>
  </si>
  <si>
    <t>רס״ר</t>
  </si>
  <si>
    <t>Avi Buzaglo</t>
  </si>
  <si>
    <t>גורי אריאל רפאל</t>
  </si>
  <si>
    <t>Refael Ariel Guri</t>
  </si>
  <si>
    <t>גורי רואי חיים</t>
  </si>
  <si>
    <t>Roeh-Haim Guri</t>
  </si>
  <si>
    <t>לוגסי ניסים</t>
  </si>
  <si>
    <t>פקד</t>
  </si>
  <si>
    <t>Nisim Lugasi</t>
  </si>
  <si>
    <t>ליזמי מיכאל</t>
  </si>
  <si>
    <t>Michael Lizmi</t>
  </si>
  <si>
    <t>סעיד נהוראי</t>
  </si>
  <si>
    <t>Nehorai Said</t>
  </si>
  <si>
    <t>צ'אנה ישראל</t>
  </si>
  <si>
    <t>Israel Chana</t>
  </si>
  <si>
    <t>צידון אבי</t>
  </si>
  <si>
    <t>יבול</t>
  </si>
  <si>
    <t>רפ״ק</t>
  </si>
  <si>
    <t>פרי גן</t>
  </si>
  <si>
    <t>Avi Zidon</t>
  </si>
  <si>
    <t>אלטון דרור</t>
  </si>
  <si>
    <t>צורית</t>
  </si>
  <si>
    <t>Dror Alton</t>
  </si>
  <si>
    <t>אלם מארו</t>
  </si>
  <si>
    <t>מוצב הבית הלבן</t>
  </si>
  <si>
    <t>Maro Elem</t>
  </si>
  <si>
    <t>אמיתי נהוראי לוי</t>
  </si>
  <si>
    <t>רינתיה</t>
  </si>
  <si>
    <t>מוצב נחל עוז; מיגונית 13</t>
  </si>
  <si>
    <t>Nehorai Levi Amitay</t>
  </si>
  <si>
    <t>אמר רגב</t>
  </si>
  <si>
    <t>שדה נחמיה</t>
  </si>
  <si>
    <t>Regev Amar</t>
  </si>
  <si>
    <t>אסתו אור</t>
  </si>
  <si>
    <t>מוצב כיסופים; מיגונית</t>
  </si>
  <si>
    <t>Or Esto</t>
  </si>
  <si>
    <t>ארז אריאל</t>
  </si>
  <si>
    <t>עמקה</t>
  </si>
  <si>
    <t>מעבר ארז</t>
  </si>
  <si>
    <t>Ariel Erez</t>
  </si>
  <si>
    <t>באלוי עידן</t>
  </si>
  <si>
    <t>מוצב נחל עוז; חמ"ל</t>
  </si>
  <si>
    <t>Idan Balui</t>
  </si>
  <si>
    <t>בוגלה אדיר אישטו</t>
  </si>
  <si>
    <t>מוצב נחל עוז; ש.ג.</t>
  </si>
  <si>
    <t>Adir Ishto Bogla</t>
  </si>
  <si>
    <t>בוחניק לביא</t>
  </si>
  <si>
    <t>Lavie Buchnik</t>
  </si>
  <si>
    <t>בזגודוב דניאל</t>
  </si>
  <si>
    <t>מוצב סופה</t>
  </si>
  <si>
    <t>Daniel Bezgodov</t>
  </si>
  <si>
    <t>ביבי אוריאל</t>
  </si>
  <si>
    <t>שלומית</t>
  </si>
  <si>
    <t>Oriel Bibi</t>
  </si>
  <si>
    <t>ביננשטוק עידו</t>
  </si>
  <si>
    <t>מוצב פגה</t>
  </si>
  <si>
    <t>Ido Binenstock</t>
  </si>
  <si>
    <t>בליך ודים</t>
  </si>
  <si>
    <t>סנ״צ</t>
  </si>
  <si>
    <t>Vadim Blich</t>
  </si>
  <si>
    <t>בן דוד ברק</t>
  </si>
  <si>
    <t>Barak Ben-David</t>
  </si>
  <si>
    <t>בן יהודה איתמר</t>
  </si>
  <si>
    <t>Itamar Ben-Yehuda</t>
  </si>
  <si>
    <t>בן יעקב יעד</t>
  </si>
  <si>
    <t>מוצב נחל עוז; נמ"ר</t>
  </si>
  <si>
    <t>Ya'ad Ben-Yakov</t>
  </si>
  <si>
    <t>בן משה (מושיאשוילי) מיכאל</t>
  </si>
  <si>
    <t>מערבית לזיקים</t>
  </si>
  <si>
    <t>Michael Ben-Moshe (Moshiasvhili)</t>
  </si>
  <si>
    <t>בר (בן מוחה) ליאון</t>
  </si>
  <si>
    <t>צה"ל (מיל')</t>
  </si>
  <si>
    <t>אל״ם</t>
  </si>
  <si>
    <t>Leon Bar</t>
  </si>
  <si>
    <t>בר עם נטע</t>
  </si>
  <si>
    <t>מוצב נחל עוז; בלונאים</t>
  </si>
  <si>
    <t>Neta Baram</t>
  </si>
  <si>
    <t>ברנס שלו</t>
  </si>
  <si>
    <t>כפר ברוך</t>
  </si>
  <si>
    <t>Shalev Baranes</t>
  </si>
  <si>
    <t>ברק תומר</t>
  </si>
  <si>
    <t>Tomer Barak</t>
  </si>
  <si>
    <t>גאורי אדיר</t>
  </si>
  <si>
    <t>סגן</t>
  </si>
  <si>
    <t>Adir Gaori</t>
  </si>
  <si>
    <t>גבאי יובל</t>
  </si>
  <si>
    <t>מזרחית למחנה עופר</t>
  </si>
  <si>
    <t>Yuval Gabay</t>
  </si>
  <si>
    <t>גברה עומר</t>
  </si>
  <si>
    <t>צומת שדרות דרום</t>
  </si>
  <si>
    <t>Omer Gavra</t>
  </si>
  <si>
    <t>גדליה יוסף מלאכי</t>
  </si>
  <si>
    <t>Yosef Malachi Guedalia</t>
  </si>
  <si>
    <t>גואטה עמית</t>
  </si>
  <si>
    <t>Amit Gueta</t>
  </si>
  <si>
    <t>גליסקו איתי אופק</t>
  </si>
  <si>
    <t>Itay Ofek Glisko</t>
  </si>
  <si>
    <t>גמזו אילי</t>
  </si>
  <si>
    <t>ilay Gamzo</t>
  </si>
  <si>
    <t>דגן שלו</t>
  </si>
  <si>
    <t>Shalev Dagan</t>
  </si>
  <si>
    <t>דהן שקד</t>
  </si>
  <si>
    <t>Shaked Dahan</t>
  </si>
  <si>
    <t>דוידוביץ׳ שלומי</t>
  </si>
  <si>
    <t>Shlomi Davidovich</t>
  </si>
  <si>
    <t>דיין ירון מוריס</t>
  </si>
  <si>
    <t>שדרות; תחנת משטרה</t>
  </si>
  <si>
    <t>Yaron Dayan Moris</t>
  </si>
  <si>
    <t>וולף עומר</t>
  </si>
  <si>
    <t>גבעת חיים איחוד</t>
  </si>
  <si>
    <t>Omer Wolf</t>
  </si>
  <si>
    <t>זוהר ירון</t>
  </si>
  <si>
    <t>מוצב ק2</t>
  </si>
  <si>
    <t>Yaron Zohar</t>
  </si>
  <si>
    <t>זכאי דביר</t>
  </si>
  <si>
    <t>Dvir Zakai</t>
  </si>
  <si>
    <t>חובלאשוילי אברהם</t>
  </si>
  <si>
    <t>Avraham Hobelashvili</t>
  </si>
  <si>
    <t>טהר יוסף (יוסי)</t>
  </si>
  <si>
    <t>ביצרון</t>
  </si>
  <si>
    <t>Yossi Tahar</t>
  </si>
  <si>
    <t>יאנג נתנאל</t>
  </si>
  <si>
    <t>Nethanel Young</t>
  </si>
  <si>
    <t>יואב מיכאל</t>
  </si>
  <si>
    <t>Michael Yoav</t>
  </si>
  <si>
    <t>יונה בנימין גבריאל</t>
  </si>
  <si>
    <t>Benyamin Gabriel Yona</t>
  </si>
  <si>
    <t>יענקלוב בר</t>
  </si>
  <si>
    <t>Bar Yancolov</t>
  </si>
  <si>
    <t>ירוחין אופיר</t>
  </si>
  <si>
    <t>גבעת שמואל</t>
  </si>
  <si>
    <t>09.10.2023</t>
  </si>
  <si>
    <t>Ofir Yeruhin</t>
  </si>
  <si>
    <t>כהן איתמר</t>
  </si>
  <si>
    <t>Itamar Cohen</t>
  </si>
  <si>
    <t>כהן דנית</t>
  </si>
  <si>
    <t>מחנה אורים</t>
  </si>
  <si>
    <t>Danit Cohen</t>
  </si>
  <si>
    <t>לב בנימין</t>
  </si>
  <si>
    <t>Benyamin Lev</t>
  </si>
  <si>
    <t>לביא אמיר</t>
  </si>
  <si>
    <t>Amir Lavi</t>
  </si>
  <si>
    <t>לוגאסי שמעון יוחאי</t>
  </si>
  <si>
    <t>עכו</t>
  </si>
  <si>
    <t>Shimon Lugassi</t>
  </si>
  <si>
    <t>לוי טל</t>
  </si>
  <si>
    <t>Tal Levi</t>
  </si>
  <si>
    <t>לוי יקיר</t>
  </si>
  <si>
    <t>מורשת</t>
  </si>
  <si>
    <t>Yakir Levy</t>
  </si>
  <si>
    <t>ליאר נתן חי</t>
  </si>
  <si>
    <t>כרם שלום</t>
  </si>
  <si>
    <t>Natan Lier Chai</t>
  </si>
  <si>
    <t>מזרחי אור</t>
  </si>
  <si>
    <t>Or Mizrahi</t>
  </si>
  <si>
    <t>מוצב כרם שלום</t>
  </si>
  <si>
    <t>מידאני סהר</t>
  </si>
  <si>
    <t>Sahar Midani</t>
  </si>
  <si>
    <t>מלכה אור</t>
  </si>
  <si>
    <t>ממן טל</t>
  </si>
  <si>
    <t>רס״ם</t>
  </si>
  <si>
    <t>Tal Maman</t>
  </si>
  <si>
    <t>מקייס לידור</t>
  </si>
  <si>
    <t>Lidor Makayes</t>
  </si>
  <si>
    <t>מרציאנו אריק יהודה</t>
  </si>
  <si>
    <t>Arik Yehuda Marciano</t>
  </si>
  <si>
    <t>נגר תומר</t>
  </si>
  <si>
    <t>סמוך למוצב כיסופים</t>
  </si>
  <si>
    <t>Tomer Nagar</t>
  </si>
  <si>
    <t>נידם שוהם שלמה</t>
  </si>
  <si>
    <t>קריית שמונה</t>
  </si>
  <si>
    <t>מוצב נחל עוז; סמוך לבלונאים</t>
  </si>
  <si>
    <t>Shoham Shlomo Nidam</t>
  </si>
  <si>
    <t>סמוילוב אמיל</t>
  </si>
  <si>
    <t>Emil Samoilov</t>
  </si>
  <si>
    <t>סעודין סהר</t>
  </si>
  <si>
    <t>Sahar Saudin</t>
  </si>
  <si>
    <t>סקורי אמיר</t>
  </si>
  <si>
    <t>Amir Skoury</t>
  </si>
  <si>
    <t>סקיפקביץ' ויטלי</t>
  </si>
  <si>
    <t>Vitaly Skipkavich</t>
  </si>
  <si>
    <t>סקריסבסקי רודי</t>
  </si>
  <si>
    <t>אוהד</t>
  </si>
  <si>
    <t>Rodolfo (Rody) Fabián Skariszewski</t>
  </si>
  <si>
    <t>עדן חיים מאיר</t>
  </si>
  <si>
    <t>Haim Meir Eden</t>
  </si>
  <si>
    <t>עזיזוב ליאור</t>
  </si>
  <si>
    <t>Lior Azizov</t>
  </si>
  <si>
    <t>פרץ עמרי</t>
  </si>
  <si>
    <t>Omri Peretz</t>
  </si>
  <si>
    <t>צ'אפל רועי</t>
  </si>
  <si>
    <t>Roey Chapell</t>
  </si>
  <si>
    <t>צור יהונתן</t>
  </si>
  <si>
    <t>קדומים</t>
  </si>
  <si>
    <t>סא״ל</t>
  </si>
  <si>
    <t>Yonatan Tzur</t>
  </si>
  <si>
    <t>צור עדי</t>
  </si>
  <si>
    <t>Adi Tzur</t>
  </si>
  <si>
    <t>ציוני אופיר</t>
  </si>
  <si>
    <t>מש"א ארז</t>
  </si>
  <si>
    <t>Ofir Tzioni</t>
  </si>
  <si>
    <t>צירינג אריה שלמה</t>
  </si>
  <si>
    <t>מוצב יפתח</t>
  </si>
  <si>
    <t>Aryeh Shlomo Ziring</t>
  </si>
  <si>
    <t>צפיר דדו</t>
  </si>
  <si>
    <t>Dedo Tzafir</t>
  </si>
  <si>
    <t>קוצרו נתיב</t>
  </si>
  <si>
    <t>מעלה אדומים</t>
  </si>
  <si>
    <t>Nativ Kotzro</t>
  </si>
  <si>
    <t>קיעאן חביב</t>
  </si>
  <si>
    <t>חורה</t>
  </si>
  <si>
    <t>Haviv Qyan</t>
  </si>
  <si>
    <t>ראשד דניאל</t>
  </si>
  <si>
    <t>שפרעם</t>
  </si>
  <si>
    <t>Daniel Rashad</t>
  </si>
  <si>
    <t>רבינוב מקס</t>
  </si>
  <si>
    <t>Max Rabinov</t>
  </si>
  <si>
    <t>רסלר דביר חיים</t>
  </si>
  <si>
    <t>מו"פ דרום</t>
  </si>
  <si>
    <t>Dvir Haim Resler</t>
  </si>
  <si>
    <t>רפאל שלום מאור</t>
  </si>
  <si>
    <t>ערוגות</t>
  </si>
  <si>
    <t>Maor Shalom</t>
  </si>
  <si>
    <t>רשטניקוב שלמה</t>
  </si>
  <si>
    <t>Shlomo Reshetnikov</t>
  </si>
  <si>
    <t>רתנר דוד</t>
  </si>
  <si>
    <t>David Rathner</t>
  </si>
  <si>
    <t>שי ירון אורי</t>
  </si>
  <si>
    <t>קדימה צורן</t>
  </si>
  <si>
    <t>Yaron Oree Shay</t>
  </si>
  <si>
    <t>שלומי רום</t>
  </si>
  <si>
    <t>גנות</t>
  </si>
  <si>
    <t>מחנה רעים</t>
  </si>
  <si>
    <t>Rom Shlomi</t>
  </si>
  <si>
    <t>ישראל שני עידו</t>
  </si>
  <si>
    <t>בין סופה לחולית</t>
  </si>
  <si>
    <t>Ido Israel-Shani</t>
  </si>
  <si>
    <t>שפרבר דניאל</t>
  </si>
  <si>
    <t>Daniel Shperber</t>
  </si>
  <si>
    <t>שקותאי גלי רועי</t>
  </si>
  <si>
    <t>צופר</t>
  </si>
  <si>
    <t>Gali Roi Shakotai</t>
  </si>
  <si>
    <t>טהר אדיר</t>
  </si>
  <si>
    <t>Adir Tahar</t>
  </si>
  <si>
    <t>אהרן יוגב</t>
  </si>
  <si>
    <t>Yogev Aharon</t>
  </si>
  <si>
    <t>אוחיון אביתר</t>
  </si>
  <si>
    <t>Evyatar Ohayon</t>
  </si>
  <si>
    <t>בזק גיא</t>
  </si>
  <si>
    <t>כוכב יאיר</t>
  </si>
  <si>
    <t>Guy Bazak</t>
  </si>
  <si>
    <t>בטיטו ראם מאיר</t>
  </si>
  <si>
    <t>מוצב כיסופים</t>
  </si>
  <si>
    <t>Re'em Meir-Betito</t>
  </si>
  <si>
    <t>בלאי בנימין</t>
  </si>
  <si>
    <t>Benyamin Blay</t>
  </si>
  <si>
    <t>בן חמו מיכאל</t>
  </si>
  <si>
    <t>Michael Ben Chemo</t>
  </si>
  <si>
    <t>בן מוחה עילי נועם</t>
  </si>
  <si>
    <t xml:space="preserve">Ilay Noam Ben Muha </t>
  </si>
  <si>
    <t>טקה בנימין טשגר</t>
  </si>
  <si>
    <t>Benjamin Taka Tashgar</t>
  </si>
  <si>
    <t>מיטלמן דוד</t>
  </si>
  <si>
    <t>מודיעין עילית</t>
  </si>
  <si>
    <t>David Mittleman</t>
  </si>
  <si>
    <t>סביצקי יונתן</t>
  </si>
  <si>
    <t>Jonathan Savitsky</t>
  </si>
  <si>
    <t>סגל אוריאל</t>
  </si>
  <si>
    <t>Uriel Segal</t>
  </si>
  <si>
    <t>פלד עמית</t>
  </si>
  <si>
    <t>Amit Peled</t>
  </si>
  <si>
    <t>פרץ רז (רזיאל)</t>
  </si>
  <si>
    <t>Raz Peretz</t>
  </si>
  <si>
    <t>רובין עמיחי שמעון</t>
  </si>
  <si>
    <t>Amichay Shimon Rubin</t>
  </si>
  <si>
    <t>רוזנשטיין בר</t>
  </si>
  <si>
    <t>סמוך לכביש 2424</t>
  </si>
  <si>
    <t>Bar Rosenstein</t>
  </si>
  <si>
    <t>שני אורי מרדכי</t>
  </si>
  <si>
    <t>Ori Mordechay Shani</t>
  </si>
  <si>
    <t>ששון אלעד מיכאל</t>
  </si>
  <si>
    <t>מוצא עלית</t>
  </si>
  <si>
    <t>Elad Michael Sasson</t>
  </si>
  <si>
    <t>ראוכברגר שילה</t>
  </si>
  <si>
    <t>עלי</t>
  </si>
  <si>
    <t>Shilo Rauchberger</t>
  </si>
  <si>
    <t>אברמוביץ' נועם</t>
  </si>
  <si>
    <t>גבעת ברנר</t>
  </si>
  <si>
    <t>מוצב נחל עוז; מיגונית בנות</t>
  </si>
  <si>
    <t>Noam Abramovich</t>
  </si>
  <si>
    <t>איל אמיר</t>
  </si>
  <si>
    <t>Amir Eyal</t>
  </si>
  <si>
    <t>אילת שיר</t>
  </si>
  <si>
    <t>כפר שמואל</t>
  </si>
  <si>
    <t>Shir Eilat</t>
  </si>
  <si>
    <t>אמויאל דולב</t>
  </si>
  <si>
    <t>Dolev Amouyal</t>
  </si>
  <si>
    <t>אסראף סיון שמחה</t>
  </si>
  <si>
    <t>Sivan Asraf</t>
  </si>
  <si>
    <t>אשל רוני</t>
  </si>
  <si>
    <t>צור יצחק</t>
  </si>
  <si>
    <t>Roni Eshel</t>
  </si>
  <si>
    <t>אשרם שי</t>
  </si>
  <si>
    <t>Shai Ashram</t>
  </si>
  <si>
    <t>ביטון שיר</t>
  </si>
  <si>
    <t>מוצב נחל עוז; מגורים</t>
  </si>
  <si>
    <t>Shir Biton</t>
  </si>
  <si>
    <t>בן שטרית שמעון אלרואי</t>
  </si>
  <si>
    <t>Elroy Ben Shitrit</t>
  </si>
  <si>
    <t>גלס ים</t>
  </si>
  <si>
    <t>Yam Glass</t>
  </si>
  <si>
    <t>גרומן עדי</t>
  </si>
  <si>
    <t>חוגלה</t>
  </si>
  <si>
    <t>Adi Gruman</t>
  </si>
  <si>
    <t>דוכן יוחאי</t>
  </si>
  <si>
    <t>Yohai Dukhan</t>
  </si>
  <si>
    <t>הר אבן שילה</t>
  </si>
  <si>
    <t>עלמון</t>
  </si>
  <si>
    <t>Shilo Har-Even</t>
  </si>
  <si>
    <t>ויאלובו פולו מיה</t>
  </si>
  <si>
    <t>גבעתיים</t>
  </si>
  <si>
    <t>Mia Viallovo Polo</t>
  </si>
  <si>
    <t>חג'ג' אביב</t>
  </si>
  <si>
    <t>Aviv Hajaj</t>
  </si>
  <si>
    <t>חיים פור שיראל</t>
  </si>
  <si>
    <t>Shirel Haim Pour</t>
  </si>
  <si>
    <t>יוגב בועז מנשה</t>
  </si>
  <si>
    <t>טלמון</t>
  </si>
  <si>
    <t>מוצב נחל עוז; מיגונית צמא</t>
  </si>
  <si>
    <t>Boaz Menashe Yoggev</t>
  </si>
  <si>
    <t>יעבץ יפתח</t>
  </si>
  <si>
    <t>כביש סעד - נחל עוז</t>
  </si>
  <si>
    <t>Yiftach Yavetz</t>
  </si>
  <si>
    <t>כהן הדר מרים</t>
  </si>
  <si>
    <t>זיתן</t>
  </si>
  <si>
    <t>Hadar Miriam Cohen</t>
  </si>
  <si>
    <t>כרמי אורי</t>
  </si>
  <si>
    <t>Ori Karmi</t>
  </si>
  <si>
    <t>לזימי דור</t>
  </si>
  <si>
    <t>Dor Lazimi</t>
  </si>
  <si>
    <t>לייבושור יעל</t>
  </si>
  <si>
    <t>גיאה</t>
  </si>
  <si>
    <t>Yael Leibushor</t>
  </si>
  <si>
    <t>לנדמן עדי</t>
  </si>
  <si>
    <t>Adi Landman</t>
  </si>
  <si>
    <t>מור שיראל</t>
  </si>
  <si>
    <t>Shirel Mor</t>
  </si>
  <si>
    <t>נימרי עדן</t>
  </si>
  <si>
    <t>Eden Nimri</t>
  </si>
  <si>
    <t>ניסני שחף</t>
  </si>
  <si>
    <t>Shahaf Nissani</t>
  </si>
  <si>
    <t>סיבוני נאור</t>
  </si>
  <si>
    <t>Naor Sivoni</t>
  </si>
  <si>
    <t>עמר שירת ים</t>
  </si>
  <si>
    <t>Shirat-Yam Amar</t>
  </si>
  <si>
    <t>פיטוסי ישי</t>
  </si>
  <si>
    <t>Yishai Fitussi</t>
  </si>
  <si>
    <t>פלד ירין מארי</t>
  </si>
  <si>
    <t>Yarin Marie Peled</t>
  </si>
  <si>
    <t>פרייס נועה</t>
  </si>
  <si>
    <t>מבועים</t>
  </si>
  <si>
    <t>Noa Price</t>
  </si>
  <si>
    <t>קרסנינסקי יעקב (יענקי) שלמה</t>
  </si>
  <si>
    <t>Yakov Shlomo Karsninski</t>
  </si>
  <si>
    <t>רון איתי אברהם</t>
  </si>
  <si>
    <t>Itay Ron</t>
  </si>
  <si>
    <t>שוחט שירה</t>
  </si>
  <si>
    <t>Shira Shohat</t>
  </si>
  <si>
    <t>דקל נחמן</t>
  </si>
  <si>
    <t>עמנואל</t>
  </si>
  <si>
    <t>Nahman Dekel</t>
  </si>
  <si>
    <t>מוסט עמית</t>
  </si>
  <si>
    <t>Amit Most</t>
  </si>
  <si>
    <t>מלמן אופיר</t>
  </si>
  <si>
    <t>Ofir Melman</t>
  </si>
  <si>
    <t>סעדון הלל שמואל</t>
  </si>
  <si>
    <t>מעלה מכמש</t>
  </si>
  <si>
    <t>Hallel Shmuel Saadon</t>
  </si>
  <si>
    <t>שוורץ שגב</t>
  </si>
  <si>
    <t>Segev Schwartz</t>
  </si>
  <si>
    <t>סויסה דקל</t>
  </si>
  <si>
    <t>בר-גיורא</t>
  </si>
  <si>
    <t>Dekel Swisa</t>
  </si>
  <si>
    <t>פרי רועי</t>
  </si>
  <si>
    <t>Roey Peri</t>
  </si>
  <si>
    <t>אסייג רווית חנה</t>
  </si>
  <si>
    <t>סמ״ש</t>
  </si>
  <si>
    <t>Ravit Hana Assayag</t>
  </si>
  <si>
    <t>סאלם פלג</t>
  </si>
  <si>
    <t>Peleg Salem</t>
  </si>
  <si>
    <t>אביטל גיל</t>
  </si>
  <si>
    <t>Gil Avital</t>
  </si>
  <si>
    <t>בן יעקב ליאור</t>
  </si>
  <si>
    <t>Lior Ben-Yakov</t>
  </si>
  <si>
    <t>אסולין דן</t>
  </si>
  <si>
    <t>Dan Asulin</t>
  </si>
  <si>
    <t>נחמיאס איתי</t>
  </si>
  <si>
    <t>Itay Nahmias</t>
  </si>
  <si>
    <t>בהרב רבינוביץ' עדי</t>
  </si>
  <si>
    <t>Adi Baharav</t>
  </si>
  <si>
    <t>דולב תומר</t>
  </si>
  <si>
    <t>ירי בשוגג בדרך לנתיב העשרה</t>
  </si>
  <si>
    <t>Tomer Dolev</t>
  </si>
  <si>
    <t>וקס יגאל</t>
  </si>
  <si>
    <t>Yigal Vaks</t>
  </si>
  <si>
    <t>וקס עמית</t>
  </si>
  <si>
    <t>Amit Vaks</t>
  </si>
  <si>
    <t>שטרן אורן</t>
  </si>
  <si>
    <t>Oren Stern</t>
  </si>
  <si>
    <t>תעסה גיל</t>
  </si>
  <si>
    <t>Gil Tasa</t>
  </si>
  <si>
    <t>כהן אביעד גד</t>
  </si>
  <si>
    <t>Aviad Gad Cohen</t>
  </si>
  <si>
    <t>סויד בכור חי</t>
  </si>
  <si>
    <t>Bechor Sueid</t>
  </si>
  <si>
    <t>שישפורטיש ראובן</t>
  </si>
  <si>
    <t>Reuven Shishportish</t>
  </si>
  <si>
    <t>דוידיאן אופיר</t>
  </si>
  <si>
    <t>פטיש</t>
  </si>
  <si>
    <t>Ofir Davidyan</t>
  </si>
  <si>
    <t>לוי ליאור</t>
  </si>
  <si>
    <t>Lior Levy</t>
  </si>
  <si>
    <t>עיש איתמר</t>
  </si>
  <si>
    <t>Itamar Ayish</t>
  </si>
  <si>
    <t>פרבוסודובה אלינה</t>
  </si>
  <si>
    <t>Alina Pravosudova</t>
  </si>
  <si>
    <t>פרש אהרון</t>
  </si>
  <si>
    <t>Aharon Fresh</t>
  </si>
  <si>
    <t>שלמה שיר</t>
  </si>
  <si>
    <t>Shir Shlomo</t>
  </si>
  <si>
    <t>אביטל אור</t>
  </si>
  <si>
    <t>מרום גולן</t>
  </si>
  <si>
    <t>מוצב נחל עוז; טנק א</t>
  </si>
  <si>
    <t>Or Avital</t>
  </si>
  <si>
    <t>אלון לוי עדן</t>
  </si>
  <si>
    <t>נירית</t>
  </si>
  <si>
    <t>מחנה זיקים</t>
  </si>
  <si>
    <t>Eden Alon-Levy</t>
  </si>
  <si>
    <t>בוני נעמה</t>
  </si>
  <si>
    <t>Naama Boni</t>
  </si>
  <si>
    <t>בן סימון אדר</t>
  </si>
  <si>
    <t>נווה זיו</t>
  </si>
  <si>
    <t>Adar Ben-Simon</t>
  </si>
  <si>
    <t>בר שדה עילי</t>
  </si>
  <si>
    <t>Ilai Bar-Sadeh</t>
  </si>
  <si>
    <t>גולן יונתן</t>
  </si>
  <si>
    <t>Yonatan Golan</t>
  </si>
  <si>
    <t>טל סהר</t>
  </si>
  <si>
    <t>צרעה</t>
  </si>
  <si>
    <t>Sahar Tal</t>
  </si>
  <si>
    <t>טסטה אופיר</t>
  </si>
  <si>
    <t>Ofir Tasta</t>
  </si>
  <si>
    <t>לוקר אורי</t>
  </si>
  <si>
    <t>Ori Locker</t>
  </si>
  <si>
    <t>ליבוביץ' תומר</t>
  </si>
  <si>
    <t>מוצב נחל עוז; טנק ב</t>
  </si>
  <si>
    <t>Tomer Leibovitz</t>
  </si>
  <si>
    <t>לישה דביר</t>
  </si>
  <si>
    <t>ניצן</t>
  </si>
  <si>
    <t>Dvir Lisha</t>
  </si>
  <si>
    <t>מאור איתי</t>
  </si>
  <si>
    <t>Itay Maor</t>
  </si>
  <si>
    <t>מוזס אור</t>
  </si>
  <si>
    <t>Or Moses</t>
  </si>
  <si>
    <t>מלייב יואב</t>
  </si>
  <si>
    <t>Yoav Meliev</t>
  </si>
  <si>
    <t>משה אוראל</t>
  </si>
  <si>
    <t>רכסים</t>
  </si>
  <si>
    <t>Orel Moshe</t>
  </si>
  <si>
    <t>נגרי נריה אהרון</t>
  </si>
  <si>
    <t xml:space="preserve">Neria Aaron Nagari </t>
  </si>
  <si>
    <t>עבודי אדיר</t>
  </si>
  <si>
    <t>Adir Abudi</t>
  </si>
  <si>
    <t>ניב פיירשטיין עומרי</t>
  </si>
  <si>
    <t>Omri Niv- Fierstein</t>
  </si>
  <si>
    <t>צור עמית</t>
  </si>
  <si>
    <t>Amit Tzur</t>
  </si>
  <si>
    <t>קמינקא ינאי</t>
  </si>
  <si>
    <t>צור הדסה</t>
  </si>
  <si>
    <t>Yanai Kaminka</t>
  </si>
  <si>
    <t>בן יעקב יובל</t>
  </si>
  <si>
    <t>כפר מנחם</t>
  </si>
  <si>
    <t>Yuval Ben-Yaakov</t>
  </si>
  <si>
    <t>הרוש עידו</t>
  </si>
  <si>
    <t>מצפה רמון</t>
  </si>
  <si>
    <t>Ido Harush</t>
  </si>
  <si>
    <t>אבן מרעי סלמאן</t>
  </si>
  <si>
    <t>Salaman Eban Merei</t>
  </si>
  <si>
    <t>אברהם אוריאל</t>
  </si>
  <si>
    <t>Uriel Avraham</t>
  </si>
  <si>
    <t>אברהם דבי (דבורה)</t>
  </si>
  <si>
    <t>משטרה (מיל')</t>
  </si>
  <si>
    <t>Dvora Avraham</t>
  </si>
  <si>
    <t>בלוכמן יקיר</t>
  </si>
  <si>
    <t>Yakir Blochman</t>
  </si>
  <si>
    <t>ברזילי אושר שמחה</t>
  </si>
  <si>
    <t>Osher (Simcha) Barzilay</t>
  </si>
  <si>
    <t>הנקין אברהם</t>
  </si>
  <si>
    <t>אלון</t>
  </si>
  <si>
    <t>Avraham Henkin</t>
  </si>
  <si>
    <t>ח'רובה איברהים</t>
  </si>
  <si>
    <t>מע'אר</t>
  </si>
  <si>
    <t>Ibrahim Kharuba</t>
  </si>
  <si>
    <t>יהושע עידו</t>
  </si>
  <si>
    <t>איילת השחר</t>
  </si>
  <si>
    <t>Ido Yehoshua</t>
  </si>
  <si>
    <t>ינין סיון</t>
  </si>
  <si>
    <t>ערד</t>
  </si>
  <si>
    <t>Yenin Sivan</t>
  </si>
  <si>
    <t>יפרח אליאור</t>
  </si>
  <si>
    <t>Elior Yifrach</t>
  </si>
  <si>
    <t>כהן יוראי אליהו</t>
  </si>
  <si>
    <t>Yorai Eliyahu Cohen</t>
  </si>
  <si>
    <t>מחלוף סהר ציון</t>
  </si>
  <si>
    <t>Sahar Zion Machaluf</t>
  </si>
  <si>
    <t>שלמה משהאל</t>
  </si>
  <si>
    <t>Shlomo Moshe-El</t>
  </si>
  <si>
    <t>סיון בר</t>
  </si>
  <si>
    <t>Bar Sivan</t>
  </si>
  <si>
    <t>עזר עילי</t>
  </si>
  <si>
    <t>שפיים</t>
  </si>
  <si>
    <t>Ilay Azar</t>
  </si>
  <si>
    <t>עמאר נתאי</t>
  </si>
  <si>
    <t>עלומים</t>
  </si>
  <si>
    <t>Nitay Amar</t>
  </si>
  <si>
    <t>פלורס גרסיה ברנדו דוד</t>
  </si>
  <si>
    <t>David Flores Gracia</t>
  </si>
  <si>
    <t>רז עידן</t>
  </si>
  <si>
    <t>Idan Raz</t>
  </si>
  <si>
    <t>שיינקמן סטניסלב</t>
  </si>
  <si>
    <t>באר יעקב</t>
  </si>
  <si>
    <t>Stas Sheinkman</t>
  </si>
  <si>
    <t>שמעיה אושר</t>
  </si>
  <si>
    <t>סמוך למחנה רעים</t>
  </si>
  <si>
    <t>Osher Shmaya</t>
  </si>
  <si>
    <t>אדרי עידו</t>
  </si>
  <si>
    <t>Ido Edri</t>
  </si>
  <si>
    <t>אליהו אביב</t>
  </si>
  <si>
    <t>אלקוש</t>
  </si>
  <si>
    <t>Aviv Eliyahu</t>
  </si>
  <si>
    <t>אלמלם מתן (קידו)</t>
  </si>
  <si>
    <t>Matan (Kido) Elmalem</t>
  </si>
  <si>
    <t>ארביב אופק</t>
  </si>
  <si>
    <t>Ofek Arbiv</t>
  </si>
  <si>
    <t>באוסי איתי יהודה</t>
  </si>
  <si>
    <t>Itai Yehuda Bausi</t>
  </si>
  <si>
    <t>דוקרקר קים</t>
  </si>
  <si>
    <t>Kim Dukarker</t>
  </si>
  <si>
    <t>דראושה עווד</t>
  </si>
  <si>
    <t>איכסאל</t>
  </si>
  <si>
    <t>Awad Darawshe</t>
  </si>
  <si>
    <t>ווקסר דאונוב יוליה</t>
  </si>
  <si>
    <t>Yulia Vakser</t>
  </si>
  <si>
    <t>חושן הדר</t>
  </si>
  <si>
    <t>Hadar Hoshen</t>
  </si>
  <si>
    <t>חנום חזי (יחזקאל)</t>
  </si>
  <si>
    <t>Hezi (Yechezkel) Hanom</t>
  </si>
  <si>
    <t>טוויג יפתח דן</t>
  </si>
  <si>
    <t>עזריה</t>
  </si>
  <si>
    <t>Yiftach Twig</t>
  </si>
  <si>
    <t>טויטו עדיאל</t>
  </si>
  <si>
    <t>Adiel Twitto</t>
  </si>
  <si>
    <t>טיברג אברהם גלעד</t>
  </si>
  <si>
    <t>Avraham Gilad Tiberg</t>
  </si>
  <si>
    <t>טשרניחובסקי אורי</t>
  </si>
  <si>
    <t>Ori Tchernichovsky</t>
  </si>
  <si>
    <t>לוק אלכסנדר (אלכס)</t>
  </si>
  <si>
    <t>קנדה</t>
  </si>
  <si>
    <t>Alexandre look</t>
  </si>
  <si>
    <t>ליבוביץ' שרון</t>
  </si>
  <si>
    <t>אבשלום</t>
  </si>
  <si>
    <t>Sharon Leibovitz</t>
  </si>
  <si>
    <t>מרלו ג'ייק</t>
  </si>
  <si>
    <t>כביש רעים - בארי</t>
  </si>
  <si>
    <t>Jake Marlowe</t>
  </si>
  <si>
    <t>נחמן עילי</t>
  </si>
  <si>
    <t>Ilay Nahman</t>
  </si>
  <si>
    <t>סאסי אבי</t>
  </si>
  <si>
    <t>לוס אנג׳לס</t>
  </si>
  <si>
    <t>Avi Sasi</t>
  </si>
  <si>
    <t>קנפו שי אל</t>
  </si>
  <si>
    <t>Shai El Knafo</t>
  </si>
  <si>
    <t>קרסיק ויטלי</t>
  </si>
  <si>
    <t>Vitaly Karasik</t>
  </si>
  <si>
    <t>רחמני שרון</t>
  </si>
  <si>
    <t>Sharon Rachmani</t>
  </si>
  <si>
    <t>ריבלין אביעד שר שלום</t>
  </si>
  <si>
    <t>עתניאל</t>
  </si>
  <si>
    <t>Aviad Rivlin</t>
  </si>
  <si>
    <t>ריבלין גדעון הראל</t>
  </si>
  <si>
    <t>Gideon Rivlin</t>
  </si>
  <si>
    <t>ריכטר יונתן (שפיק)</t>
  </si>
  <si>
    <t>עין הוד</t>
  </si>
  <si>
    <t>Yonatan Richter</t>
  </si>
  <si>
    <t>רם עמרי</t>
  </si>
  <si>
    <t>עשרת</t>
  </si>
  <si>
    <t>Omri Ram</t>
  </si>
  <si>
    <t>שפירא ענר אליקים</t>
  </si>
  <si>
    <t>Aner Elyakim Shapira</t>
  </si>
  <si>
    <t>נעים אמיר</t>
  </si>
  <si>
    <t>ארז</t>
  </si>
  <si>
    <t>סמוך לארז</t>
  </si>
  <si>
    <t>Amir Naim</t>
  </si>
  <si>
    <t>אבני חגי</t>
  </si>
  <si>
    <t>Haggai Avni</t>
  </si>
  <si>
    <t>אברג'יל אלירן</t>
  </si>
  <si>
    <t>Eliran Abargil</t>
  </si>
  <si>
    <t>אוחנה אריאל</t>
  </si>
  <si>
    <t>רבדים</t>
  </si>
  <si>
    <t>Ariel Ohana</t>
  </si>
  <si>
    <t>אליהו אריאל</t>
  </si>
  <si>
    <t>מצפה יריחו</t>
  </si>
  <si>
    <t>עמדה 91</t>
  </si>
  <si>
    <t>Ariel Eliyahu</t>
  </si>
  <si>
    <t>בויום גיל</t>
  </si>
  <si>
    <t>Gil Buyum</t>
  </si>
  <si>
    <t>בלקין עמרי</t>
  </si>
  <si>
    <t>Omri Belkin</t>
  </si>
  <si>
    <t>בן דוד נריה</t>
  </si>
  <si>
    <t>Neria Ben-David</t>
  </si>
  <si>
    <t>גוטין יונתן</t>
  </si>
  <si>
    <t>Yonatan Gutin</t>
  </si>
  <si>
    <t>גולן שגיא</t>
  </si>
  <si>
    <t>Sagi Golan</t>
  </si>
  <si>
    <t>גינסברג אלי</t>
  </si>
  <si>
    <t>דברת</t>
  </si>
  <si>
    <t>Eli Ginsberg</t>
  </si>
  <si>
    <t>גנות דן</t>
  </si>
  <si>
    <t>Dan Ganot</t>
  </si>
  <si>
    <t>גנסיה ולנטין (אלי)</t>
  </si>
  <si>
    <t>Valentin (Eli) Ghnassia</t>
  </si>
  <si>
    <t>דוידוב ג'יאר</t>
  </si>
  <si>
    <t>נצ״מ</t>
  </si>
  <si>
    <t>Jayar Davidov</t>
  </si>
  <si>
    <t>דנילוב בוריס</t>
  </si>
  <si>
    <t>Boris Danilov</t>
  </si>
  <si>
    <t>חדד איתן</t>
  </si>
  <si>
    <t>Eitan Hadad</t>
  </si>
  <si>
    <t>טרקינסקי בנימין (בנג׳י)</t>
  </si>
  <si>
    <t>Benjamin Trakeniski</t>
  </si>
  <si>
    <t>יהושע איתי</t>
  </si>
  <si>
    <t>חדיד</t>
  </si>
  <si>
    <t>סרן (במיל')</t>
  </si>
  <si>
    <t>Itay Yehoshua</t>
  </si>
  <si>
    <t>כהן אהד (בודי)</t>
  </si>
  <si>
    <t>עידן</t>
  </si>
  <si>
    <t>כהן שילה</t>
  </si>
  <si>
    <t>Shilo Cohen</t>
  </si>
  <si>
    <t>לקס נווה אלעזר</t>
  </si>
  <si>
    <t>Naveh Eliezer Lax</t>
  </si>
  <si>
    <t>מאיר דוד חיים</t>
  </si>
  <si>
    <t>David Haim Meir</t>
  </si>
  <si>
    <t>מולוגטה גדיף</t>
  </si>
  <si>
    <t>Gadif Mologota</t>
  </si>
  <si>
    <t>מנגדי דור</t>
  </si>
  <si>
    <t>Dor Mangadi</t>
  </si>
  <si>
    <t>נגרי רועי</t>
  </si>
  <si>
    <t>Roee Negri</t>
  </si>
  <si>
    <t>עמר אבי</t>
  </si>
  <si>
    <t>עוצם</t>
  </si>
  <si>
    <t>Avi Amar</t>
  </si>
  <si>
    <t>צמח שחר</t>
  </si>
  <si>
    <t>Shachar Zemach</t>
  </si>
  <si>
    <t>קלמנזון אלחנן מאיר</t>
  </si>
  <si>
    <t>Meir Elhanan Clemanzon</t>
  </si>
  <si>
    <t>קראוניק אריה (אריק)</t>
  </si>
  <si>
    <t>Eric kraunik</t>
  </si>
  <si>
    <t>רוסו אופק</t>
  </si>
  <si>
    <t>Ofek Rousso</t>
  </si>
  <si>
    <t>אלון אוראל שלום</t>
  </si>
  <si>
    <t>Orel Alon</t>
  </si>
  <si>
    <t>מונס אלמוסנינו לירן</t>
  </si>
  <si>
    <t>כמהין</t>
  </si>
  <si>
    <t>Liran Almosnino</t>
  </si>
  <si>
    <t>גורני יפתח</t>
  </si>
  <si>
    <t>באר מילכה</t>
  </si>
  <si>
    <t>בין יתד לאמיתי</t>
  </si>
  <si>
    <t>Yiftach Gorny</t>
  </si>
  <si>
    <t>כצמן חיים ישורון</t>
  </si>
  <si>
    <t>Haim Katzman</t>
  </si>
  <si>
    <t>קורין אברהם גבריאל</t>
  </si>
  <si>
    <t>Avraham Gabriel Korin</t>
  </si>
  <si>
    <t>חוברה עידו</t>
  </si>
  <si>
    <t>Ido Hubara</t>
  </si>
  <si>
    <t>מלכה מתן</t>
  </si>
  <si>
    <t>גשר הזיו</t>
  </si>
  <si>
    <t>Matan Malka</t>
  </si>
  <si>
    <t>מרגוליס סער</t>
  </si>
  <si>
    <t>Saar Margolis</t>
  </si>
  <si>
    <t>אביאני שחר</t>
  </si>
  <si>
    <t>Shachar Aviani</t>
  </si>
  <si>
    <t>אילון טל</t>
  </si>
  <si>
    <t>Tal Eilon</t>
  </si>
  <si>
    <t>ברגשטיין שחף</t>
  </si>
  <si>
    <t>Shachaf Bergstein</t>
  </si>
  <si>
    <t>ברונשטיין בן</t>
  </si>
  <si>
    <t>Ben Bronshtein</t>
  </si>
  <si>
    <t>ברעם אביב</t>
  </si>
  <si>
    <t>Aviv Baram</t>
  </si>
  <si>
    <t>דושי רותם</t>
  </si>
  <si>
    <t>שמשית</t>
  </si>
  <si>
    <t>Rotem Dushi</t>
  </si>
  <si>
    <t>הנדי אברהם חננאל</t>
  </si>
  <si>
    <t>Avraham Hananel Hindi</t>
  </si>
  <si>
    <t>ונינו עמיחי יעקב</t>
  </si>
  <si>
    <t>קצרין</t>
  </si>
  <si>
    <t>Amichai Yakov-Vaninu</t>
  </si>
  <si>
    <t>זיסר עילי</t>
  </si>
  <si>
    <t>גבעת אלה</t>
  </si>
  <si>
    <t>Ilay Zisser</t>
  </si>
  <si>
    <t>כהן טל</t>
  </si>
  <si>
    <t>גני טל</t>
  </si>
  <si>
    <t>Tal Cohen</t>
  </si>
  <si>
    <t>ליבשטיין אופיר</t>
  </si>
  <si>
    <t>Ofir Libstein</t>
  </si>
  <si>
    <t>מיכאלי עמרי</t>
  </si>
  <si>
    <t>Omri Michaeli</t>
  </si>
  <si>
    <t>נהרי רועי</t>
  </si>
  <si>
    <t>אורה</t>
  </si>
  <si>
    <t>Roey Nahari</t>
  </si>
  <si>
    <t>סלומון יובל</t>
  </si>
  <si>
    <t>Yuval Salomon</t>
  </si>
  <si>
    <t>עדני איליי</t>
  </si>
  <si>
    <t>Eily Adani</t>
  </si>
  <si>
    <t>עמיקם נדב</t>
  </si>
  <si>
    <t>Nadav Amikam</t>
  </si>
  <si>
    <t>פישר אמיר</t>
  </si>
  <si>
    <t>Amir Fisher</t>
  </si>
  <si>
    <t>צור אמיר</t>
  </si>
  <si>
    <t>Amir Tzur</t>
  </si>
  <si>
    <t>קמה הדר</t>
  </si>
  <si>
    <t>גבעת שפירא</t>
  </si>
  <si>
    <t>Hadar Kamah</t>
  </si>
  <si>
    <t>רוסו אורי שמעון</t>
  </si>
  <si>
    <t>Uri Shimon Russo</t>
  </si>
  <si>
    <t>רן אור יוסף</t>
  </si>
  <si>
    <t>איתמר</t>
  </si>
  <si>
    <t>Or Yossef Ran</t>
  </si>
  <si>
    <t>בן הרוש שהם משה</t>
  </si>
  <si>
    <t>חספין</t>
  </si>
  <si>
    <t>Shoham Moshe Ben-Harush</t>
  </si>
  <si>
    <t>וייזר רועי חיים</t>
  </si>
  <si>
    <t>אפרת</t>
  </si>
  <si>
    <t>Roey Weiser</t>
  </si>
  <si>
    <t>ויצן ישראל עמיחי</t>
  </si>
  <si>
    <t>Amichai Israel Vitzan</t>
  </si>
  <si>
    <t>רזיאל (רוזנברג) ידידיה משה</t>
  </si>
  <si>
    <t>Yedidya Moshe Raziel</t>
  </si>
  <si>
    <t>שוהם תומר</t>
  </si>
  <si>
    <t>שריגים</t>
  </si>
  <si>
    <t>צפונית לכרם שלום</t>
  </si>
  <si>
    <t>Tomer Shoham</t>
  </si>
  <si>
    <t>שטיינברג יהונתן</t>
  </si>
  <si>
    <t>שומריה</t>
  </si>
  <si>
    <t>Jonathan Steinberg</t>
  </si>
  <si>
    <t>ירון אופיר מרדכי</t>
  </si>
  <si>
    <t>מגן</t>
  </si>
  <si>
    <t>צומת מועצה אזורית אשכול</t>
  </si>
  <si>
    <t>Ofir Mordechai Yaron</t>
  </si>
  <si>
    <t>פליישר אברהם (אבי)</t>
  </si>
  <si>
    <t>Avi Fleisher</t>
  </si>
  <si>
    <t>בוכריס חן</t>
  </si>
  <si>
    <t>Chen Buchris</t>
  </si>
  <si>
    <t>ברקת רועי</t>
  </si>
  <si>
    <t>Roi Bareket</t>
  </si>
  <si>
    <t>ירחי דור</t>
  </si>
  <si>
    <t>Dor Yarchi</t>
  </si>
  <si>
    <t>פוסלושני רן</t>
  </si>
  <si>
    <t>Ran Poslushni</t>
  </si>
  <si>
    <t>פיורנטינו אילן</t>
  </si>
  <si>
    <t>Ilan Fiorentino</t>
  </si>
  <si>
    <t>רוזנטל אפיק</t>
  </si>
  <si>
    <t>Afik Rozental</t>
  </si>
  <si>
    <t>אברהם בועז</t>
  </si>
  <si>
    <t>Avraham Boaz</t>
  </si>
  <si>
    <t>ארזי אופק</t>
  </si>
  <si>
    <t>Ofek Arazi</t>
  </si>
  <si>
    <t>חיימי טל</t>
  </si>
  <si>
    <t>Tal Chaimi</t>
  </si>
  <si>
    <t>שחר ירון ויקטור</t>
  </si>
  <si>
    <t>Yaron Shahar</t>
  </si>
  <si>
    <t>אצילי אביב</t>
  </si>
  <si>
    <t>Aviv Atzili</t>
  </si>
  <si>
    <t>אברג'יל מתן</t>
  </si>
  <si>
    <t>חרמש</t>
  </si>
  <si>
    <t>מערבית לניר עם</t>
  </si>
  <si>
    <t>Matan Abarjil</t>
  </si>
  <si>
    <t>גנדל רומן</t>
  </si>
  <si>
    <t>Roman Gendel</t>
  </si>
  <si>
    <t>אגמון אדם</t>
  </si>
  <si>
    <t>כמון</t>
  </si>
  <si>
    <t>Adam Agmon</t>
  </si>
  <si>
    <t>אחימס תומר יעקב</t>
  </si>
  <si>
    <t>Tomer Yaakov Ahimas</t>
  </si>
  <si>
    <t>אלפסי אורן</t>
  </si>
  <si>
    <t>Oran Elfassi</t>
  </si>
  <si>
    <t>ברודסקי קיריל</t>
  </si>
  <si>
    <t>Kiril Brodski</t>
  </si>
  <si>
    <t>חממי אסף</t>
  </si>
  <si>
    <t>Asaf Hamami</t>
  </si>
  <si>
    <t>פוזדניאקוב אליק</t>
  </si>
  <si>
    <t>Alik Pozdnyakov</t>
  </si>
  <si>
    <t>ארז אופיר</t>
  </si>
  <si>
    <t>Ofir Erez</t>
  </si>
  <si>
    <t>יעקב מזרחי תומר</t>
  </si>
  <si>
    <t>הושעיה</t>
  </si>
  <si>
    <t>Tomer Yaakov Mizrahi</t>
  </si>
  <si>
    <t>קליין אייל</t>
  </si>
  <si>
    <t>כפר הרי"ף</t>
  </si>
  <si>
    <t>Eyal Klein</t>
  </si>
  <si>
    <t>נגבי רם</t>
  </si>
  <si>
    <t>Rami Negbi</t>
  </si>
  <si>
    <t>כהן איתי</t>
  </si>
  <si>
    <t>Itay Cohen</t>
  </si>
  <si>
    <t>סלוטקי ישי</t>
  </si>
  <si>
    <t>Yishai Slotki</t>
  </si>
  <si>
    <t>סלוטקי נועם</t>
  </si>
  <si>
    <t>Noam Slotki</t>
  </si>
  <si>
    <t>רוזנטל עידו</t>
  </si>
  <si>
    <t>בן שמן</t>
  </si>
  <si>
    <t>Ido Rosental</t>
  </si>
  <si>
    <t>אוחנדוב אמין</t>
  </si>
  <si>
    <t>Amin Ohanadov</t>
  </si>
  <si>
    <t>בודובסקי אלכסיי</t>
  </si>
  <si>
    <t>Alexy Budovski</t>
  </si>
  <si>
    <t>בוזוקושווילי יצחק (בוזוקה)</t>
  </si>
  <si>
    <t>Itzhak Bazuka-Shvili</t>
  </si>
  <si>
    <t>בן בסט יותם</t>
  </si>
  <si>
    <t>בת חפר</t>
  </si>
  <si>
    <t>Yotam Ben-Basat</t>
  </si>
  <si>
    <t>בן משה אריאל</t>
  </si>
  <si>
    <t>Ariel Ben Moshe</t>
  </si>
  <si>
    <t>ברד אלון</t>
  </si>
  <si>
    <t>Alon Barad</t>
  </si>
  <si>
    <t>לוי רועי יוסף</t>
  </si>
  <si>
    <t>שבי ציון</t>
  </si>
  <si>
    <t>Roey Yosef Levy</t>
  </si>
  <si>
    <t>מרקוביצ'י אהרון ארתור</t>
  </si>
  <si>
    <t>Aharon Arthur Marcovichi</t>
  </si>
  <si>
    <t>פושיבאי אנדריי</t>
  </si>
  <si>
    <t>Andrei Poshivay</t>
  </si>
  <si>
    <t>קרים מליק</t>
  </si>
  <si>
    <t>Malik Karim</t>
  </si>
  <si>
    <t>רוטנברג נועם אלימלך</t>
  </si>
  <si>
    <t>Noam Elimelech Rotenberg</t>
  </si>
  <si>
    <t>שמחי גיא</t>
  </si>
  <si>
    <t>Guy Simhi</t>
  </si>
  <si>
    <t>שמיר מרדכי (מוטי)</t>
  </si>
  <si>
    <t>חוות יאיר</t>
  </si>
  <si>
    <t>Mordechai (moti) Shamir</t>
  </si>
  <si>
    <t>שמעיה יעקב (קובי)</t>
  </si>
  <si>
    <t>Kobi Shmaya</t>
  </si>
  <si>
    <t>אבו סבילה עאמר</t>
  </si>
  <si>
    <t>Amer Abu Sabila Odeh</t>
  </si>
  <si>
    <t>אברג'ל מאיר</t>
  </si>
  <si>
    <t>Meir Abragil</t>
  </si>
  <si>
    <t>בלנקי דניס</t>
  </si>
  <si>
    <t>Denis Belinki</t>
  </si>
  <si>
    <t>בן דיין דוד</t>
  </si>
  <si>
    <t>ניר עקיבא</t>
  </si>
  <si>
    <t>David Ben-Dayan</t>
  </si>
  <si>
    <t>ברוכים יוסף איתמר</t>
  </si>
  <si>
    <t>Yosef Itamar-Bruchim</t>
  </si>
  <si>
    <t>גולימה סמצאו שמואל</t>
  </si>
  <si>
    <t>Shmuel Gulima</t>
  </si>
  <si>
    <t>גרושקה טל</t>
  </si>
  <si>
    <t>כביש מפלסים - כפר עזה</t>
  </si>
  <si>
    <t>Tal Grushka</t>
  </si>
  <si>
    <t>הרוש אליהו מיכאל</t>
  </si>
  <si>
    <t>Eliyahu Michael Harush</t>
  </si>
  <si>
    <t>מרציאנו איתי אליהו</t>
  </si>
  <si>
    <t>בית עריף</t>
  </si>
  <si>
    <t>Itay-Eliyahu Marchiano</t>
  </si>
  <si>
    <t>נאמן איתן מנחם</t>
  </si>
  <si>
    <t>טנא</t>
  </si>
  <si>
    <t>Eitan Neeman</t>
  </si>
  <si>
    <t>נחמיאס חן</t>
  </si>
  <si>
    <t>Chen Nahmias</t>
  </si>
  <si>
    <t>צבאן שלום</t>
  </si>
  <si>
    <t>סגן טפסר</t>
  </si>
  <si>
    <t>Shalom Tzaban</t>
  </si>
  <si>
    <t>קאדר יהודה</t>
  </si>
  <si>
    <t>עין בשור</t>
  </si>
  <si>
    <t>Yehuda Kedar</t>
  </si>
  <si>
    <t>קוזמיצקס מרטין</t>
  </si>
  <si>
    <t>Martin Kuzmickas</t>
  </si>
  <si>
    <t>רובינשטיין בן</t>
  </si>
  <si>
    <t>Ben Rubinstein</t>
  </si>
  <si>
    <t>שלמה אדיר</t>
  </si>
  <si>
    <t>Adir Shlomo</t>
  </si>
  <si>
    <t>שמקלוב אלכסיי</t>
  </si>
  <si>
    <t>Alexei Shmakalov</t>
  </si>
  <si>
    <t>שקורי מור</t>
  </si>
  <si>
    <t>Mor Shkuri</t>
  </si>
  <si>
    <t>אילוז גיא</t>
  </si>
  <si>
    <t>14.10.2023</t>
  </si>
  <si>
    <t>דיר אל בלח; בי"ח חללי אל אקצא</t>
  </si>
  <si>
    <t>Guy Illouz</t>
  </si>
  <si>
    <t>טאללקה סאמר פואד</t>
  </si>
  <si>
    <t>15.12.2023</t>
  </si>
  <si>
    <t>ירי בשוגג בשג'אעיה</t>
  </si>
  <si>
    <t>Samar Fouad Talalka</t>
  </si>
  <si>
    <t>אנגל רונן</t>
  </si>
  <si>
    <t>Ronen Engel</t>
  </si>
  <si>
    <t>בייזר ניק</t>
  </si>
  <si>
    <t>10.11.2023</t>
  </si>
  <si>
    <t>ג'באליה</t>
  </si>
  <si>
    <t>Nik Beizer</t>
  </si>
  <si>
    <t>ברוך סהר</t>
  </si>
  <si>
    <t>08.12.2023</t>
  </si>
  <si>
    <t>רצועת עזה</t>
  </si>
  <si>
    <t>Sahar Baruch</t>
  </si>
  <si>
    <t>גורן מיה</t>
  </si>
  <si>
    <t>Maya Goren</t>
  </si>
  <si>
    <t>וייס יהודית</t>
  </si>
  <si>
    <t>עזה; מבנה סמוך לביה"ח שיפא</t>
  </si>
  <si>
    <t>Judith Weiss</t>
  </si>
  <si>
    <t>זכריה עדן</t>
  </si>
  <si>
    <t>Eden Zecharya</t>
  </si>
  <si>
    <t>זלמנוביץ' אריה</t>
  </si>
  <si>
    <t>17.11.2023</t>
  </si>
  <si>
    <t>חאן יונס; ביה"ח נאצר</t>
  </si>
  <si>
    <t>Arye Zalmanovich</t>
  </si>
  <si>
    <t>חיים יותם</t>
  </si>
  <si>
    <t>Yotam Haim</t>
  </si>
  <si>
    <t>טולדנו אליה</t>
  </si>
  <si>
    <t>Elia Toledano</t>
  </si>
  <si>
    <t>לוי איתן</t>
  </si>
  <si>
    <t>Eitan Levy</t>
  </si>
  <si>
    <t>לוק שני ניקול</t>
  </si>
  <si>
    <t>Shani Louk</t>
  </si>
  <si>
    <t>מרגלית אליהו (צ'רצ'יל)</t>
  </si>
  <si>
    <t>Eliyahu Margalit</t>
  </si>
  <si>
    <t>מרציאנו נועה</t>
  </si>
  <si>
    <t>09.11.2023</t>
  </si>
  <si>
    <t>עזה; ביה"ח שיפא</t>
  </si>
  <si>
    <t>Noa Marciano</t>
  </si>
  <si>
    <t>סמרנו יונתן מרדכי</t>
  </si>
  <si>
    <t>Yonatan Samerano</t>
  </si>
  <si>
    <t>קידר עופרה</t>
  </si>
  <si>
    <t>בארי הישנה</t>
  </si>
  <si>
    <t>Ofra Kedar</t>
  </si>
  <si>
    <t>שמריז אלון (לולו)</t>
  </si>
  <si>
    <t>Alon Lulu Shamriz</t>
  </si>
  <si>
    <t>שרמן רון</t>
  </si>
  <si>
    <t>Ron Scherman</t>
  </si>
  <si>
    <t>Mollel Joshua Loitu</t>
  </si>
  <si>
    <t>אברהים מאג'ד</t>
  </si>
  <si>
    <t>אבו גוש</t>
  </si>
  <si>
    <t>Majed Ibrahim</t>
  </si>
  <si>
    <t>אבו קרינאת נעאמה</t>
  </si>
  <si>
    <t>one day old baby Abu Rashed</t>
  </si>
  <si>
    <t>Natalia Demidova</t>
  </si>
  <si>
    <t>הייניק ראובן</t>
  </si>
  <si>
    <t>Reuven Heinek</t>
  </si>
  <si>
    <t>וייס אילן</t>
  </si>
  <si>
    <t>Ilan Weiss</t>
  </si>
  <si>
    <t>הלל יותם</t>
  </si>
  <si>
    <t>ברקת</t>
  </si>
  <si>
    <t>Yotam Hillel</t>
  </si>
  <si>
    <t>כהן עמית</t>
  </si>
  <si>
    <t>אמסלם אביחי</t>
  </si>
  <si>
    <t>Avichai Amsalem</t>
  </si>
  <si>
    <t>הימן ענבר</t>
  </si>
  <si>
    <t>מטע סמוך לבארי</t>
  </si>
  <si>
    <t>Inbar Haiman</t>
  </si>
  <si>
    <t>דנינו דניאל משה</t>
  </si>
  <si>
    <t>Daniel Moshe-Danino</t>
  </si>
  <si>
    <t>איוס ניב</t>
  </si>
  <si>
    <t>ירי בשוגג ליד צומת ניצן</t>
  </si>
  <si>
    <t>Niv Ayos</t>
  </si>
  <si>
    <t>הליבני יובל</t>
  </si>
  <si>
    <t>משגב דב</t>
  </si>
  <si>
    <t>Yuval Halivni</t>
  </si>
  <si>
    <t>ויינשטיין ג'ודי</t>
  </si>
  <si>
    <t>Judy Weinstein Haggai</t>
  </si>
  <si>
    <t>חגי גדי</t>
  </si>
  <si>
    <t>Gadi Haggai</t>
  </si>
  <si>
    <t>אדר תמיר</t>
  </si>
  <si>
    <t>Tamir Adar</t>
  </si>
  <si>
    <t>מאסלי אלכסנדר</t>
  </si>
  <si>
    <t>סמוך למחלף שורק</t>
  </si>
  <si>
    <t>Alexander Masli</t>
  </si>
  <si>
    <t>שדה דור</t>
  </si>
  <si>
    <t>Dor Sade</t>
  </si>
  <si>
    <t>מלקמו אביאל</t>
  </si>
  <si>
    <t>Aviel Malkamu</t>
  </si>
  <si>
    <t>Diawthaisong Jakkapan</t>
  </si>
  <si>
    <t>Diawtmaisong Jakkapan</t>
  </si>
  <si>
    <t>Champasim Saksit</t>
  </si>
  <si>
    <t>Raksanon Chaiya</t>
  </si>
  <si>
    <t>Ruksanon Chaiya</t>
  </si>
  <si>
    <t>Homsorn Settha</t>
  </si>
  <si>
    <t xml:space="preserve">Homsorn Settha </t>
  </si>
  <si>
    <t>Kraisorn Thumyoma</t>
  </si>
  <si>
    <t>Yotthongdee Tianchai</t>
  </si>
  <si>
    <t>Seayang Dua</t>
  </si>
  <si>
    <t>Saethao Thawatchai</t>
  </si>
  <si>
    <t>Pongkhrurea Paphonthanai</t>
  </si>
  <si>
    <t>Pankitvanitjaroen Sarayuth</t>
  </si>
  <si>
    <t>Patee Kiattisak</t>
  </si>
  <si>
    <t>עלוש דני</t>
  </si>
  <si>
    <t>ירי בשוגג בצומת אבשלום</t>
  </si>
  <si>
    <t>Dani Alush</t>
  </si>
  <si>
    <t>דניאלי טל</t>
  </si>
  <si>
    <t>Tal Danieli</t>
  </si>
  <si>
    <t>סבירסקי איתי</t>
  </si>
  <si>
    <t>14.01.2024</t>
  </si>
  <si>
    <t>נוסייראת</t>
  </si>
  <si>
    <t>Itay Svirski</t>
  </si>
  <si>
    <t>שרעבי יוסי</t>
  </si>
  <si>
    <t>10.01.2024</t>
  </si>
  <si>
    <t>Yossi Sharabi</t>
  </si>
  <si>
    <t>לוינסון שי</t>
  </si>
  <si>
    <t>גבעת אבני</t>
  </si>
  <si>
    <t>סמ"ר</t>
  </si>
  <si>
    <t>Shai Levinson</t>
  </si>
  <si>
    <t>Goyitom Gebrehiyet</t>
  </si>
  <si>
    <t>אריתריאה</t>
  </si>
  <si>
    <t>Berhe Wolderaphael Hagos</t>
  </si>
  <si>
    <t>גואילי רן</t>
  </si>
  <si>
    <t>רס"ל</t>
  </si>
  <si>
    <t>Ran Guili</t>
  </si>
  <si>
    <t>יעקב יאיר</t>
  </si>
  <si>
    <t>Yaakov Yair</t>
  </si>
  <si>
    <t>דניאל עוז</t>
  </si>
  <si>
    <t>Oz Daniel</t>
  </si>
  <si>
    <t>חן איתי</t>
  </si>
  <si>
    <t>Itay Hen</t>
  </si>
  <si>
    <t>פרץ דניאל</t>
  </si>
  <si>
    <t>יד בנימין</t>
  </si>
  <si>
    <t>Daniel Perets</t>
  </si>
  <si>
    <t>ברוך אוריאל</t>
  </si>
  <si>
    <t>טבעון</t>
  </si>
  <si>
    <t>Uriel Baruch</t>
  </si>
  <si>
    <t>בראווי האשם</t>
  </si>
  <si>
    <t>עזה</t>
  </si>
  <si>
    <t>Hashem Barawi</t>
  </si>
  <si>
    <t>מסרי סוהייל</t>
  </si>
  <si>
    <t>Suheil Masri</t>
  </si>
  <si>
    <t>אלמסרי חורי</t>
  </si>
  <si>
    <t>Huri Elmasri</t>
  </si>
  <si>
    <t>אלעטאר סלימאן</t>
  </si>
  <si>
    <t>Suliman Elatar</t>
  </si>
  <si>
    <t>גאנם זיאד</t>
  </si>
  <si>
    <t>Ziad Ganem</t>
  </si>
  <si>
    <t>קציר אלעד</t>
  </si>
  <si>
    <t>15.01.2024</t>
  </si>
  <si>
    <t>חאן יונס</t>
  </si>
  <si>
    <t>Elad Katzir</t>
  </si>
  <si>
    <t>אור דרור</t>
  </si>
  <si>
    <t>Dror Or</t>
  </si>
  <si>
    <t>ליבמן אליקים</t>
  </si>
  <si>
    <t>קרית ארבע</t>
  </si>
  <si>
    <t>Elyakim Libman</t>
  </si>
  <si>
    <t>רודאיף ליאור</t>
  </si>
  <si>
    <t>Lior Rudaeff</t>
  </si>
  <si>
    <t>Shi Zhenhong</t>
  </si>
  <si>
    <t>Zanhung Chi</t>
  </si>
  <si>
    <t>Liu Jianhe</t>
  </si>
  <si>
    <t>Jianhe Liu</t>
  </si>
  <si>
    <t>Liu Zhiguo</t>
  </si>
  <si>
    <t>Zhiguo Liu</t>
  </si>
  <si>
    <t>Oakkharasri Sonthaya</t>
  </si>
  <si>
    <t>מטעים של בארי (מגורי עובדים)</t>
  </si>
  <si>
    <t>Sonthaya Oakkharasri</t>
  </si>
  <si>
    <t>Rinthalak Sudthisak</t>
  </si>
  <si>
    <t>Sudthisak Rinthalak</t>
  </si>
  <si>
    <t>בוסקילה עמית</t>
  </si>
  <si>
    <t>Amit Esther Buskila</t>
  </si>
  <si>
    <t>גלרנטר יצחק (איציק)</t>
  </si>
  <si>
    <t>אירוס</t>
  </si>
  <si>
    <t>Itzhak Gelerenter</t>
  </si>
  <si>
    <t>בנימין רון</t>
  </si>
  <si>
    <t>Ron Binyamin</t>
  </si>
  <si>
    <t>ניסנבאום מישל</t>
  </si>
  <si>
    <t>Michel Nisenbaum</t>
  </si>
  <si>
    <t>ראדו אוריון הרננדס</t>
  </si>
  <si>
    <t>מקסיקו</t>
  </si>
  <si>
    <t>Orión Hernández Radoux</t>
  </si>
  <si>
    <t>יבלונקה חנן</t>
  </si>
  <si>
    <t>Chanan Yablonka</t>
  </si>
  <si>
    <t>יהוד דולב</t>
  </si>
  <si>
    <t>Dolev Yehoud</t>
  </si>
  <si>
    <t>פופלוול נדב</t>
  </si>
  <si>
    <t>Nadav Popplewell</t>
  </si>
  <si>
    <t>קופר עמירם</t>
  </si>
  <si>
    <t>Amiram Cooper</t>
  </si>
  <si>
    <t>פרי חיים</t>
  </si>
  <si>
    <t>Chaim Peri</t>
  </si>
  <si>
    <t>מצגר יורם</t>
  </si>
  <si>
    <t>Yoram Metzger</t>
  </si>
  <si>
    <t>חסיד שרגא</t>
  </si>
  <si>
    <t>אשקלון; בי"ח ברזילי</t>
  </si>
  <si>
    <t>Shraga Hasid</t>
  </si>
  <si>
    <t>אלאטרש מחמד</t>
  </si>
  <si>
    <t>סעווה</t>
  </si>
  <si>
    <t>בין בארי לגבול</t>
  </si>
  <si>
    <t>Muhammad Alatrash</t>
  </si>
  <si>
    <t>אלכסנדר דנציג</t>
  </si>
  <si>
    <t>Alexander Dancyg</t>
  </si>
  <si>
    <t>בוכשטב יגב</t>
  </si>
  <si>
    <t>Yegev Buchshtab</t>
  </si>
  <si>
    <t>מונדר אברהם</t>
  </si>
  <si>
    <t>Abraham Munder</t>
  </si>
  <si>
    <t>גת כרמל</t>
  </si>
  <si>
    <t>29.8.2024</t>
  </si>
  <si>
    <t>רפיח</t>
  </si>
  <si>
    <t>Carmel Gat</t>
  </si>
  <si>
    <t>ירושלמי עדן</t>
  </si>
  <si>
    <t>Eden Yerushalmi</t>
  </si>
  <si>
    <t>גולדברג-פולין הירש</t>
  </si>
  <si>
    <t>Hersh Goldberg-Polin</t>
  </si>
  <si>
    <t>לובנוב אלכסנדר</t>
  </si>
  <si>
    <t>Alexander Lubnov</t>
  </si>
  <si>
    <t>סרוסי אלמוג</t>
  </si>
  <si>
    <t>Almog Sarusi</t>
  </si>
  <si>
    <t>דנינו אורי</t>
  </si>
  <si>
    <t>Ori Danino</t>
  </si>
  <si>
    <t>שתיוי עידן</t>
  </si>
  <si>
    <t>Idan Shtivi</t>
  </si>
  <si>
    <t>עורכים:</t>
  </si>
  <si>
    <t>יובל הרפז</t>
  </si>
  <si>
    <t>@yuvharpaz</t>
  </si>
  <si>
    <t>אנא שלחו הערות ותיקונים ב DM (טוויטר)</t>
  </si>
  <si>
    <t>שגיא אור</t>
  </si>
  <si>
    <t>קרן ילין מור</t>
  </si>
  <si>
    <t>עזר:</t>
  </si>
  <si>
    <t>גדי אלכסנדרוביץ'</t>
  </si>
  <si>
    <t>קישור:</t>
  </si>
  <si>
    <t>מפת הנופלים והנרצחים ב 7-9 לאוק'</t>
  </si>
  <si>
    <t>נרצחים במיגונית</t>
  </si>
  <si>
    <t>סה"כ</t>
  </si>
  <si>
    <t>age_group</t>
  </si>
  <si>
    <t>age sorted</t>
  </si>
  <si>
    <t>קטגוריה</t>
  </si>
  <si>
    <t>עשור</t>
  </si>
  <si>
    <t>COUNTA of age_group</t>
  </si>
  <si>
    <t>year</t>
  </si>
  <si>
    <t>decade</t>
  </si>
  <si>
    <t>Grand Total</t>
  </si>
  <si>
    <t>adult</t>
  </si>
  <si>
    <t>child</t>
  </si>
  <si>
    <t>senior</t>
  </si>
  <si>
    <t>teen</t>
  </si>
  <si>
    <t>כוחות ביטחון</t>
  </si>
  <si>
    <t>child &lt; 13</t>
  </si>
  <si>
    <t>נער</t>
  </si>
  <si>
    <t>teen 13-18</t>
  </si>
  <si>
    <t>בוגר</t>
  </si>
  <si>
    <t>ותיק</t>
  </si>
  <si>
    <t>senior 65+</t>
  </si>
  <si>
    <t>מתחת לגיל 18</t>
  </si>
  <si>
    <t>ילד: עד גיל 12. נער: עד גיל 18 למעט חיילים. אזרח ותיק: מעל גיל 65</t>
  </si>
  <si>
    <t>COUNTA of קטגוריה</t>
  </si>
  <si>
    <t>תינוק</t>
  </si>
  <si>
    <t>פעוט</t>
  </si>
  <si>
    <t>COUNTA of fullName</t>
  </si>
  <si>
    <t>גיל</t>
  </si>
  <si>
    <t>נרצחות</t>
  </si>
  <si>
    <t>0-18</t>
  </si>
  <si>
    <t>19-28</t>
  </si>
  <si>
    <t>29-40</t>
  </si>
  <si>
    <t>41-50</t>
  </si>
  <si>
    <t>51-60</t>
  </si>
  <si>
    <t>61-70</t>
  </si>
  <si>
    <t>71-80</t>
  </si>
  <si>
    <t>81-90</t>
  </si>
  <si>
    <t>nova</t>
  </si>
  <si>
    <t>psyduck</t>
  </si>
  <si>
    <t>Alacre Loreta Lori Villarin ?</t>
  </si>
  <si>
    <t>ברכב</t>
  </si>
  <si>
    <t>בשדה ?</t>
  </si>
  <si>
    <t>ברכב ?</t>
  </si>
  <si>
    <t>Chi Zanhung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</si>
</sst>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  <font>
      <color rgb="FFFF0000"/>
      <name val="Arial"/>
      <scheme val="minor"/>
    </font>
    <font>
      <sz val="18.0"/>
      <color theme="1"/>
      <name val="Arial"/>
      <scheme val="minor"/>
    </font>
    <font>
      <u/>
      <sz val="18.0"/>
      <color rgb="FF0000FF"/>
    </font>
    <font>
      <u/>
      <sz val="18.0"/>
      <color rgb="FF0000FF"/>
    </font>
    <font>
      <sz val="14.0"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13" fillId="3" fontId="8" numFmtId="0" xfId="0" applyAlignment="1" applyBorder="1" applyFill="1" applyFont="1">
      <alignment horizontal="right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4" fontId="2" numFmtId="0" xfId="0" applyAlignment="1" applyFill="1" applyFont="1">
      <alignment readingOrder="0"/>
    </xf>
    <xf borderId="0" fillId="5" fontId="9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6.xml"/><Relationship Id="rId16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7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נופלים ונרצחים לפי גיל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age!$J$11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age!$I$12:$I$15</c:f>
            </c:strRef>
          </c:cat>
          <c:val>
            <c:numRef>
              <c:f>age!$J$12:$J$15</c:f>
              <c:numCache/>
            </c:numRef>
          </c:val>
        </c:ser>
        <c:ser>
          <c:idx val="1"/>
          <c:order val="1"/>
          <c:tx>
            <c:strRef>
              <c:f>age!$K$11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age!$I$12:$I$15</c:f>
            </c:strRef>
          </c:cat>
          <c:val>
            <c:numRef>
              <c:f>age!$K$12:$K$15</c:f>
              <c:numCache/>
            </c:numRef>
          </c:val>
        </c:ser>
        <c:overlap val="100"/>
        <c:axId val="722967977"/>
        <c:axId val="231087290"/>
      </c:barChart>
      <c:catAx>
        <c:axId val="722967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231087290"/>
      </c:catAx>
      <c:valAx>
        <c:axId val="231087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722967977"/>
      </c:valAx>
    </c:plotArea>
    <c:legend>
      <c:legendPos val="l"/>
      <c:layout>
        <c:manualLayout>
          <c:xMode val="edge"/>
          <c:yMode val="edge"/>
          <c:x val="0.25425000000000003"/>
          <c:y val="0.18575920934411497"/>
        </c:manualLayout>
      </c:layout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Murdered and fallen by age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civilians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age!$L$12:$L$15</c:f>
            </c:strRef>
          </c:cat>
          <c:val>
            <c:numRef>
              <c:f>age!$J$12:$J$15</c:f>
              <c:numCache/>
            </c:numRef>
          </c:val>
        </c:ser>
        <c:ser>
          <c:idx val="1"/>
          <c:order val="1"/>
          <c:tx>
            <c:v>armed forces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age!$L$12:$L$15</c:f>
            </c:strRef>
          </c:cat>
          <c:val>
            <c:numRef>
              <c:f>age!$K$12:$K$15</c:f>
              <c:numCache/>
            </c:numRef>
          </c:val>
        </c:ser>
        <c:overlap val="100"/>
        <c:axId val="724876120"/>
        <c:axId val="311009588"/>
      </c:barChart>
      <c:catAx>
        <c:axId val="724876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311009588"/>
      </c:catAx>
      <c:valAx>
        <c:axId val="311009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24876120"/>
      </c:valAx>
    </c:plotArea>
    <c:legend>
      <c:legendPos val="l"/>
      <c:layout>
        <c:manualLayout>
          <c:xMode val="edge"/>
          <c:yMode val="edge"/>
          <c:x val="0.25425000000000003"/>
          <c:y val="0.18575920934411497"/>
        </c:manualLayout>
      </c:layout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גיל הנרצחות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women!$E$1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women!$D$2:$D$75</c:f>
            </c:strRef>
          </c:cat>
          <c:val>
            <c:numRef>
              <c:f>women!$E$2:$E$75</c:f>
              <c:numCache/>
            </c:numRef>
          </c:val>
        </c:ser>
        <c:axId val="1530414373"/>
        <c:axId val="1905158159"/>
      </c:barChart>
      <c:catAx>
        <c:axId val="1530414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גיל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905158159"/>
      </c:catAx>
      <c:valAx>
        <c:axId val="1905158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נרצחות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530414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נרצחות לפי קבוצות גיל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women!$I$1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women!$H$2:$H$9</c:f>
            </c:strRef>
          </c:cat>
          <c:val>
            <c:numRef>
              <c:f>women!$I$2:$I$9</c:f>
              <c:numCache/>
            </c:numRef>
          </c:val>
        </c:ser>
        <c:axId val="1702246008"/>
        <c:axId val="678652288"/>
      </c:barChart>
      <c:catAx>
        <c:axId val="170224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גיל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8652288"/>
      </c:catAx>
      <c:valAx>
        <c:axId val="678652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נרצחות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246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485775</xdr:colOff>
      <xdr:row>9</xdr:row>
      <xdr:rowOff>38100</xdr:rowOff>
    </xdr:from>
    <xdr:ext cx="5753100" cy="379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457200</xdr:colOff>
      <xdr:row>9</xdr:row>
      <xdr:rowOff>38100</xdr:rowOff>
    </xdr:from>
    <xdr:ext cx="5753100" cy="3790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82</xdr:row>
      <xdr:rowOff>114300</xdr:rowOff>
    </xdr:from>
    <xdr:ext cx="141160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523875</xdr:colOff>
      <xdr:row>1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188" sheet="data"/>
  </cacheSource>
  <cacheFields>
    <cacheField name="pid" numFmtId="0">
      <sharedItems containsSemiMixedTypes="0" containsString="0" containsNumber="1" containsInteger="1">
        <n v="1719.0"/>
        <n v="1363.0"/>
        <n v="976.0"/>
        <n v="974.0"/>
        <n v="1005.0"/>
        <n v="987.0"/>
        <n v="1720.0"/>
        <n v="1500.0"/>
        <n v="1501.0"/>
        <n v="1717.0"/>
        <n v="985.0"/>
        <n v="999.0"/>
        <n v="1718.0"/>
        <n v="1608.0"/>
        <n v="984.0"/>
        <n v="1030.0"/>
        <n v="1029.0"/>
        <n v="1487.0"/>
        <n v="1488.0"/>
        <n v="1001.0"/>
        <n v="1002.0"/>
        <n v="1722.0"/>
        <n v="1721.0"/>
        <n v="992.0"/>
        <n v="1359.0"/>
        <n v="1360.0"/>
        <n v="1210.0"/>
        <n v="1676.0"/>
        <n v="1207.0"/>
        <n v="883.0"/>
        <n v="1208.0"/>
        <n v="1211.0"/>
        <n v="1463.0"/>
        <n v="1462.0"/>
        <n v="1558.0"/>
        <n v="1209.0"/>
        <n v="1492.0"/>
        <n v="507.0"/>
        <n v="1675.0"/>
        <n v="515.0"/>
        <n v="1420.0"/>
        <n v="2001.0"/>
        <n v="517.0"/>
        <n v="652.0"/>
        <n v="1596.0"/>
        <n v="1591.0"/>
        <n v="1629.0"/>
        <n v="498.0"/>
        <n v="500.0"/>
        <n v="497.0"/>
        <n v="499.0"/>
        <n v="143.0"/>
        <n v="1370.0"/>
        <n v="146.0"/>
        <n v="1698.0"/>
        <n v="1396.0"/>
        <n v="1696.0"/>
        <n v="1401.0"/>
        <n v="1682.0"/>
        <n v="1413.0"/>
        <n v="1409.0"/>
        <n v="1412.0"/>
        <n v="1419.0"/>
        <n v="1404.0"/>
        <n v="1397.0"/>
        <n v="1398.0"/>
        <n v="1411.0"/>
        <n v="1415.0"/>
        <n v="1399.0"/>
        <n v="1414.0"/>
        <n v="1403.0"/>
        <n v="1402.0"/>
        <n v="1564.0"/>
        <n v="1451.0"/>
        <n v="1563.0"/>
        <n v="1362.0"/>
        <n v="1524.0"/>
        <n v="1625.0"/>
        <n v="504.0"/>
        <n v="502.0"/>
        <n v="501.0"/>
        <n v="503.0"/>
        <n v="506.0"/>
        <n v="531.0"/>
        <n v="532.0"/>
        <n v="533.0"/>
        <n v="510.0"/>
        <n v="511.0"/>
        <n v="512.0"/>
        <n v="1039.0"/>
        <n v="1036.0"/>
        <n v="707.0"/>
        <n v="1040.0"/>
        <n v="1051.0"/>
        <n v="1044.0"/>
        <n v="1037.0"/>
        <n v="1043.0"/>
        <n v="1041.0"/>
        <n v="1042.0"/>
        <n v="1048.0"/>
        <n v="1046.0"/>
        <n v="1045.0"/>
        <n v="1047.0"/>
        <n v="1049.0"/>
        <n v="1050.0"/>
        <n v="912.0"/>
        <n v="735.0"/>
        <n v="1384.0"/>
        <n v="1432.0"/>
        <n v="1383.0"/>
        <n v="672.0"/>
        <n v="890.0"/>
        <n v="1438.0"/>
        <n v="1421.0"/>
        <n v="1521.0"/>
        <n v="1304.0"/>
        <n v="1490.0"/>
        <n v="1470.0"/>
        <n v="1393.0"/>
        <n v="673.0"/>
        <n v="674.0"/>
        <n v="817.0"/>
        <n v="816.0"/>
        <n v="820.0"/>
        <n v="819.0"/>
        <n v="891.0"/>
        <n v="690.0"/>
        <n v="689.0"/>
        <n v="1519.0"/>
        <n v="686.0"/>
        <n v="733.0"/>
        <n v="738.0"/>
        <n v="739.0"/>
        <n v="687.0"/>
        <n v="776.0"/>
        <n v="1575.0"/>
        <n v="383.0"/>
        <n v="743.0"/>
        <n v="1595.0"/>
        <n v="1381.0"/>
        <n v="745.0"/>
        <n v="1380.0"/>
        <n v="1616.0"/>
        <n v="676.0"/>
        <n v="747.0"/>
        <n v="684.0"/>
        <n v="685.0"/>
        <n v="682.0"/>
        <n v="1478.0"/>
        <n v="1433.0"/>
        <n v="740.0"/>
        <n v="679.0"/>
        <n v="678.0"/>
        <n v="681.0"/>
        <n v="1536.0"/>
        <n v="683.0"/>
        <n v="1504.0"/>
        <n v="715.0"/>
        <n v="1485.0"/>
        <n v="1499.0"/>
        <n v="717.0"/>
        <n v="713.0"/>
        <n v="915.0"/>
        <n v="1389.0"/>
        <n v="1436.0"/>
        <n v="1435.0"/>
        <n v="711.0"/>
        <n v="1526.0"/>
        <n v="913.0"/>
        <n v="712.0"/>
        <n v="701.0"/>
        <n v="1339.0"/>
        <n v="710.0"/>
        <n v="1583.0"/>
        <n v="691.0"/>
        <n v="886.0"/>
        <n v="922.0"/>
        <n v="703.0"/>
        <n v="1531.0"/>
        <n v="1590.0"/>
        <n v="1522.0"/>
        <n v="704.0"/>
        <n v="1557.0"/>
        <n v="706.0"/>
        <n v="702.0"/>
        <n v="1082.0"/>
        <n v="705.0"/>
        <n v="1446.0"/>
        <n v="692.0"/>
        <n v="693.0"/>
        <n v="695.0"/>
        <n v="1617.0"/>
        <n v="1303.0"/>
        <n v="698.0"/>
        <n v="1390.0"/>
        <n v="700.0"/>
        <n v="699.0"/>
        <n v="1422.0"/>
        <n v="1517.0"/>
        <n v="709.0"/>
        <n v="1550.0"/>
        <n v="697.0"/>
        <n v="755.0"/>
        <n v="1428.0"/>
        <n v="751.0"/>
        <n v="766.0"/>
        <n v="759.0"/>
        <n v="760.0"/>
        <n v="761.0"/>
        <n v="1445.0"/>
        <n v="882.0"/>
        <n v="1618.0"/>
        <n v="1503.0"/>
        <n v="763.0"/>
        <n v="764.0"/>
        <n v="1391.0"/>
        <n v="757.0"/>
        <n v="758.0"/>
        <n v="1568.0"/>
        <n v="752.0"/>
        <n v="754.0"/>
        <n v="753.0"/>
        <n v="1440.0"/>
        <n v="1392.0"/>
        <n v="1314.0"/>
        <n v="1547.0"/>
        <n v="885.0"/>
        <n v="723.0"/>
        <n v="728.0"/>
        <n v="1534.0"/>
        <n v="729.0"/>
        <n v="1549.0"/>
        <n v="730.0"/>
        <n v="731.0"/>
        <n v="1299.0"/>
        <n v="1619.0"/>
        <n v="1457.0"/>
        <n v="724.0"/>
        <n v="725.0"/>
        <n v="727.0"/>
        <n v="902.0"/>
        <n v="769.0"/>
        <n v="1424.0"/>
        <n v="896.0"/>
        <n v="1358.0"/>
        <n v="951.0"/>
        <n v="892.0"/>
        <n v="959.0"/>
        <n v="958.0"/>
        <n v="1493.0"/>
        <n v="1507.0"/>
        <n v="954.0"/>
        <n v="953.0"/>
        <n v="952.0"/>
        <n v="960.0"/>
        <n v="955.0"/>
        <n v="957.0"/>
        <n v="779.0"/>
        <n v="1486.0"/>
        <n v="1621.0"/>
        <n v="970.0"/>
        <n v="1622.0"/>
        <n v="852.0"/>
        <n v="1426.0"/>
        <n v="901.0"/>
        <n v="967.0"/>
        <n v="919.0"/>
        <n v="768.0"/>
        <n v="1453.0"/>
        <n v="718.0"/>
        <n v="719.0"/>
        <n v="1728.0"/>
        <n v="770.0"/>
        <n v="1456.0"/>
        <n v="708.0"/>
        <n v="1302.0"/>
        <n v="875.0"/>
        <n v="873.0"/>
        <n v="906.0"/>
        <n v="1553.0"/>
        <n v="966.0"/>
        <n v="1529.0"/>
        <n v="962.0"/>
        <n v="1423.0"/>
        <n v="1427.0"/>
        <n v="961.0"/>
        <n v="777.0"/>
        <n v="874.0"/>
        <n v="1572.0"/>
        <n v="917.0"/>
        <n v="721.0"/>
        <n v="903.0"/>
        <n v="1483.0"/>
        <n v="1730.0"/>
        <n v="508.0"/>
        <n v="1624.0"/>
        <n v="1520.0"/>
        <n v="788.0"/>
        <n v="791.0"/>
        <n v="792.0"/>
        <n v="1301.0"/>
        <n v="793.0"/>
        <n v="794.0"/>
        <n v="795.0"/>
        <n v="797.0"/>
        <n v="905.0"/>
        <n v="911.0"/>
        <n v="790.0"/>
        <n v="1505.0"/>
        <n v="838.0"/>
        <n v="800.0"/>
        <n v="895.0"/>
        <n v="799.0"/>
        <n v="732.0"/>
        <n v="789.0"/>
        <n v="1592.0"/>
        <n v="1626.0"/>
        <n v="802.0"/>
        <n v="1388.0"/>
        <n v="1506.0"/>
        <n v="855.0"/>
        <n v="1527.0"/>
        <n v="1627.0"/>
        <n v="1454.0"/>
        <n v="889.0"/>
        <n v="803.0"/>
        <n v="1502.0"/>
        <n v="804.0"/>
        <n v="805.0"/>
        <n v="806.0"/>
        <n v="807.0"/>
        <n v="677.0"/>
        <n v="1476.0"/>
        <n v="1552.0"/>
        <n v="1548.0"/>
        <n v="1356.0"/>
        <n v="963.0"/>
        <n v="1441.0"/>
        <n v="900.0"/>
        <n v="887.0"/>
        <n v="813.0"/>
        <n v="1471.0"/>
        <n v="815.0"/>
        <n v="814.0"/>
        <n v="812.0"/>
        <n v="811.0"/>
        <n v="918.0"/>
        <n v="871.0"/>
        <n v="872.0"/>
        <n v="897.0"/>
        <n v="1523.0"/>
        <n v="870.0"/>
        <n v="2003.0"/>
        <n v="1533.0"/>
        <n v="909.0"/>
        <n v="845.0"/>
        <n v="844.0"/>
        <n v="971.0"/>
        <n v="920.0"/>
        <n v="846.0"/>
        <n v="670.0"/>
        <n v="671.0"/>
        <n v="736.0"/>
        <n v="1309.0"/>
        <n v="688.0"/>
        <n v="1628.0"/>
        <n v="908.0"/>
        <n v="675.0"/>
        <n v="1577.0"/>
        <n v="822.0"/>
        <n v="808.0"/>
        <n v="1305.0"/>
        <n v="828.0"/>
        <n v="749.0"/>
        <n v="1323.0"/>
        <n v="826.0"/>
        <n v="748.0"/>
        <n v="827.0"/>
        <n v="1631.0"/>
        <n v="1455.0"/>
        <n v="821.0"/>
        <n v="1430.0"/>
        <n v="750.0"/>
        <n v="823.0"/>
        <n v="824.0"/>
        <n v="825.0"/>
        <n v="1570.0"/>
        <n v="29.0"/>
        <n v="1296.0"/>
        <n v="784.0"/>
        <n v="787.0"/>
        <n v="1535.0"/>
        <n v="1537.0"/>
        <n v="782.0"/>
        <n v="1300.0"/>
        <n v="1429.0"/>
        <n v="1067.0"/>
        <n v="783.0"/>
        <n v="1140.0"/>
        <n v="781.0"/>
        <n v="832.0"/>
        <n v="837.0"/>
        <n v="836.0"/>
        <n v="840.0"/>
        <n v="778.0"/>
        <n v="843.0"/>
        <n v="841.0"/>
        <n v="842.0"/>
        <n v="830.0"/>
        <n v="1530.0"/>
        <n v="829.0"/>
        <n v="1593.0"/>
        <n v="833.0"/>
        <n v="858.0"/>
        <n v="867.0"/>
        <n v="851.0"/>
        <n v="1431.0"/>
        <n v="868.0"/>
        <n v="850.0"/>
        <n v="124.0"/>
        <n v="863.0"/>
        <n v="853.0"/>
        <n v="860.0"/>
        <n v="849.0"/>
        <n v="1480.0"/>
        <n v="854.0"/>
        <n v="857.0"/>
        <n v="1528.0"/>
        <n v="864.0"/>
        <n v="861.0"/>
        <n v="865.0"/>
        <n v="862.0"/>
        <n v="907.0"/>
        <n v="869.0"/>
        <n v="859.0"/>
        <n v="123.0"/>
        <n v="866.0"/>
        <n v="1332.0"/>
        <n v="879.0"/>
        <n v="880.0"/>
        <n v="1509.0"/>
        <n v="876.0"/>
        <n v="1703.0"/>
        <n v="1368.0"/>
        <n v="68.0"/>
        <n v="69.0"/>
        <n v="70.0"/>
        <n v="71.0"/>
        <n v="110.0"/>
        <n v="141.0"/>
        <n v="32.0"/>
        <n v="55.0"/>
        <n v="48.0"/>
        <n v="51.0"/>
        <n v="52.0"/>
        <n v="50.0"/>
        <n v="49.0"/>
        <n v="39.0"/>
        <n v="38.0"/>
        <n v="37.0"/>
        <n v="40.0"/>
        <n v="47.0"/>
        <n v="42.0"/>
        <n v="41.0"/>
        <n v="43.0"/>
        <n v="44.0"/>
        <n v="77.0"/>
        <n v="78.0"/>
        <n v="1367.0"/>
        <n v="75.0"/>
        <n v="64.0"/>
        <n v="84.0"/>
        <n v="81.0"/>
        <n v="82.0"/>
        <n v="36.0"/>
        <n v="86.0"/>
        <n v="87.0"/>
        <n v="184.0"/>
        <n v="182.0"/>
        <n v="185.0"/>
        <n v="188.0"/>
        <n v="1442.0"/>
        <n v="155.0"/>
        <n v="158.0"/>
        <n v="313.0"/>
        <n v="147.0"/>
        <n v="89.0"/>
        <n v="140.0"/>
        <n v="62.0"/>
        <n v="60.0"/>
        <n v="61.0"/>
        <n v="92.0"/>
        <n v="65.0"/>
        <n v="99.0"/>
        <n v="101.0"/>
        <n v="102.0"/>
        <n v="105.0"/>
        <n v="106.0"/>
        <n v="57.0"/>
        <n v="596.0"/>
        <n v="103.0"/>
        <n v="108.0"/>
        <n v="31.0"/>
        <n v="137.0"/>
        <n v="134.0"/>
        <n v="131.0"/>
        <n v="133.0"/>
        <n v="132.0"/>
        <n v="1330.0"/>
        <n v="136.0"/>
        <n v="72.0"/>
        <n v="73.0"/>
        <n v="1479.0"/>
        <n v="63.0"/>
        <n v="93.0"/>
        <n v="96.0"/>
        <n v="95.0"/>
        <n v="90.0"/>
        <n v="91.0"/>
        <n v="58.0"/>
        <n v="148.0"/>
        <n v="113.0"/>
        <n v="112.0"/>
        <n v="129.0"/>
        <n v="121.0"/>
        <n v="119.0"/>
        <n v="120.0"/>
        <n v="56.0"/>
        <n v="144.0"/>
        <n v="145.0"/>
        <n v="1681.0"/>
        <n v="1511.0"/>
        <n v="268.0"/>
        <n v="269.0"/>
        <n v="277.0"/>
        <n v="278.0"/>
        <n v="281.0"/>
        <n v="282.0"/>
        <n v="275.0"/>
        <n v="273.0"/>
        <n v="272.0"/>
        <n v="280.0"/>
        <n v="279.0"/>
        <n v="375.0"/>
        <n v="393.0"/>
        <n v="394.0"/>
        <n v="395.0"/>
        <n v="378.0"/>
        <n v="810.0"/>
        <n v="381.0"/>
        <n v="379.0"/>
        <n v="1405.0"/>
        <n v="1687.0"/>
        <n v="1416.0"/>
        <n v="1417.0"/>
        <n v="1407.0"/>
        <n v="1418.0"/>
        <n v="1410.0"/>
        <n v="1408.0"/>
        <n v="288.0"/>
        <n v="289.0"/>
        <n v="348.0"/>
        <n v="344.0"/>
        <n v="317.0"/>
        <n v="318.0"/>
        <n v="300.0"/>
        <n v="351.0"/>
        <n v="1365.0"/>
        <n v="301.0"/>
        <n v="345.0"/>
        <n v="1444.0"/>
        <n v="294.0"/>
        <n v="295.0"/>
        <n v="307.0"/>
        <n v="308.0"/>
        <n v="1449.0"/>
        <n v="1450.0"/>
        <n v="298.0"/>
        <n v="369.0"/>
        <n v="368.0"/>
        <n v="367.0"/>
        <n v="373.0"/>
        <n v="372.0"/>
        <n v="312.0"/>
        <n v="88.0"/>
        <n v="152.0"/>
        <n v="326.0"/>
        <n v="316.0"/>
        <n v="315.0"/>
        <n v="333.0"/>
        <n v="331.0"/>
        <n v="330.0"/>
        <n v="332.0"/>
        <n v="1727.0"/>
        <n v="302.0"/>
        <n v="1473.0"/>
        <n v="371.0"/>
        <n v="321.0"/>
        <n v="325.0"/>
        <n v="324.0"/>
        <n v="322.0"/>
        <n v="323.0"/>
        <n v="320.0"/>
        <n v="335.0"/>
        <n v="350.0"/>
        <n v="336.0"/>
        <n v="347.0"/>
        <n v="346.0"/>
        <n v="338.0"/>
        <n v="339.0"/>
        <n v="1699.0"/>
        <n v="411.0"/>
        <n v="409.0"/>
        <n v="457.0"/>
        <n v="458.0"/>
        <n v="455.0"/>
        <n v="456.0"/>
        <n v="581.0"/>
        <n v="419.0"/>
        <n v="430.0"/>
        <n v="406.0"/>
        <n v="405.0"/>
        <n v="426.0"/>
        <n v="1400.0"/>
        <n v="549.0"/>
        <n v="550.0"/>
        <n v="568.0"/>
        <n v="630.0"/>
        <n v="559.0"/>
        <n v="558.0"/>
        <n v="628.0"/>
        <n v="626.0"/>
        <n v="582.0"/>
        <n v="629.0"/>
        <n v="602.0"/>
        <n v="610.0"/>
        <n v="614.0"/>
        <n v="615.0"/>
        <n v="616.0"/>
        <n v="617.0"/>
        <n v="622.0"/>
        <n v="619.0"/>
        <n v="621.0"/>
        <n v="618.0"/>
        <n v="620.0"/>
        <n v="566.0"/>
        <n v="583.0"/>
        <n v="612.0"/>
        <n v="613.0"/>
        <n v="611.0"/>
        <n v="631.0"/>
        <n v="1395.0"/>
        <n v="563.0"/>
        <n v="662.0"/>
        <n v="664.0"/>
        <n v="663.0"/>
        <n v="667.0"/>
        <n v="1174.0"/>
        <n v="201.0"/>
        <n v="202.0"/>
        <n v="1610.0"/>
        <n v="203.0"/>
        <n v="11.0"/>
        <n v="14.0"/>
        <n v="16.0"/>
        <n v="12.0"/>
        <n v="17.0"/>
        <n v="15.0"/>
        <n v="22.0"/>
        <n v="20.0"/>
        <n v="21.0"/>
        <n v="13.0"/>
        <n v="1731.0"/>
        <n v="1059.0"/>
        <n v="1061.0"/>
        <n v="1058.0"/>
        <n v="1056.0"/>
        <n v="1372.0"/>
        <n v="1162.0"/>
        <n v="1148.0"/>
        <n v="1469.0"/>
        <n v="1164.0"/>
        <n v="1166.0"/>
        <n v="1474.0"/>
        <n v="1145.0"/>
        <n v="1165.0"/>
        <n v="1168.0"/>
        <n v="1163.0"/>
        <n v="1597.0"/>
        <n v="1167.0"/>
        <n v="2006.0"/>
        <n v="1147.0"/>
        <n v="1146.0"/>
        <n v="1607.0"/>
        <n v="1491.0"/>
        <n v="1489.0"/>
        <n v="2007.0"/>
        <n v="1701.0"/>
        <n v="1700.0"/>
        <n v="1151.0"/>
        <n v="981.0"/>
        <n v="1031.0"/>
        <n v="1149.0"/>
        <n v="1000.0"/>
        <n v="1150.0"/>
        <n v="1515.0"/>
        <n v="1516.0"/>
        <n v="1512.0"/>
        <n v="1514.0"/>
        <n v="1152.0"/>
        <n v="995.0"/>
        <n v="1513.0"/>
        <n v="1373.0"/>
        <n v="1361.0"/>
        <n v="1386.0"/>
        <n v="1379.0"/>
        <n v="1376.0"/>
        <n v="1375.0"/>
        <n v="1374.0"/>
        <n v="1377.0"/>
        <n v="1567.0"/>
        <n v="714.0"/>
        <n v="516.0"/>
        <n v="1261.0"/>
        <n v="1614.0"/>
        <n v="1541.0"/>
        <n v="1542.0"/>
        <n v="1540.0"/>
        <n v="1560.0"/>
        <n v="1182.0"/>
        <n v="990.0"/>
        <n v="991.0"/>
        <n v="986.0"/>
        <n v="1640.0"/>
        <n v="977.0"/>
        <n v="982.0"/>
        <n v="983.0"/>
        <n v="1604.0"/>
        <n v="988.0"/>
        <n v="993.0"/>
        <n v="978.0"/>
        <n v="1716.0"/>
        <n v="1186.0"/>
        <n v="222.0"/>
        <n v="479.0"/>
        <n v="1556.0"/>
        <n v="224.0"/>
        <n v="257.0"/>
        <n v="407.0"/>
        <n v="475.0"/>
        <n v="1275.0"/>
        <n v="216.0"/>
        <n v="1032.0"/>
        <n v="1354.0"/>
        <n v="53.0"/>
        <n v="468.0"/>
        <n v="470.0"/>
        <n v="469.0"/>
        <n v="1612.0"/>
        <n v="401.0"/>
        <n v="465.0"/>
        <n v="1274.0"/>
        <n v="467.0"/>
        <n v="1709.0"/>
        <n v="226.0"/>
        <n v="2008.0"/>
        <n v="260.0"/>
        <n v="230.0"/>
        <n v="487.0"/>
        <n v="228.0"/>
        <n v="669.0"/>
        <n v="1666.0"/>
        <n v="1498.0"/>
        <n v="1185.0"/>
        <n v="247.0"/>
        <n v="253.0"/>
        <n v="1582.0"/>
        <n v="234.0"/>
        <n v="1693.0"/>
        <n v="496.0"/>
        <n v="1306.0"/>
        <n v="227.0"/>
        <n v="1295.0"/>
        <n v="250.0"/>
        <n v="1579.0"/>
        <n v="1137.0"/>
        <n v="235.0"/>
        <n v="1179.0"/>
        <n v="481.0"/>
        <n v="1714.0"/>
        <n v="480.0"/>
        <n v="1280.0"/>
        <n v="484.0"/>
        <n v="264.0"/>
        <n v="2009.0"/>
        <n v="2010.0"/>
        <n v="403.0"/>
        <n v="259.0"/>
        <n v="1562.0"/>
        <n v="1282.0"/>
        <n v="1284.0"/>
        <n v="1723.0"/>
        <n v="1288.0"/>
        <n v="1437.0"/>
        <n v="1144.0"/>
        <n v="1554.0"/>
        <n v="1704.0"/>
        <n v="1581.0"/>
        <n v="1555.0"/>
        <n v="1539.0"/>
        <n v="246.0"/>
        <n v="382.0"/>
        <n v="245.0"/>
        <n v="252.0"/>
        <n v="1609.0"/>
        <n v="418.0"/>
        <n v="489.0"/>
        <n v="1461.0"/>
        <n v="490.0"/>
        <n v="493.0"/>
        <n v="1298.0"/>
        <n v="492.0"/>
        <n v="491.0"/>
        <n v="286.0"/>
        <n v="994.0"/>
        <n v="1279.0"/>
        <n v="1496.0"/>
        <n v="242.0"/>
        <n v="1585.0"/>
        <n v="254.0"/>
        <n v="1725.0"/>
        <n v="213.0"/>
        <n v="483.0"/>
        <n v="374.0"/>
        <n v="1443.0"/>
        <n v="2011.0"/>
        <n v="1294.0"/>
        <n v="1712.0"/>
        <n v="392.0"/>
        <n v="380.0"/>
        <n v="397.0"/>
        <n v="398.0"/>
        <n v="1733.0"/>
        <n v="1285.0"/>
        <n v="2012.0"/>
        <n v="1287.0"/>
        <n v="1732.0"/>
        <n v="459.0"/>
        <n v="473.0"/>
        <n v="1544.0"/>
        <n v="1497.0"/>
        <n v="464.0"/>
        <n v="1313.0"/>
        <n v="463.0"/>
        <n v="217.0"/>
        <n v="1378.0"/>
        <n v="1495.0"/>
        <n v="474.0"/>
        <n v="1605.0"/>
        <n v="416.0"/>
        <n v="1642.0"/>
        <n v="1641.0"/>
        <n v="1394.0"/>
        <n v="1181.0"/>
        <n v="248.0"/>
        <n v="472.0"/>
        <n v="476.0"/>
        <n v="477.0"/>
        <n v="478.0"/>
        <n v="1518.0"/>
        <n v="1543.0"/>
        <n v="1475.0"/>
        <n v="486.0"/>
        <n v="495.0"/>
        <n v="461.0"/>
        <n v="414.0"/>
        <n v="420.0"/>
        <n v="488.0"/>
        <n v="1139.0"/>
        <n v="1606.0"/>
        <n v="494.0"/>
        <n v="221.0"/>
        <n v="1715.0"/>
        <n v="1180.0"/>
        <n v="1659.0"/>
        <n v="1289.0"/>
        <n v="1293.0"/>
        <n v="422.0"/>
        <n v="1191.0"/>
        <n v="1192.0"/>
        <n v="1204.0"/>
        <n v="1206.0"/>
        <n v="1364.0"/>
        <n v="1366.0"/>
        <n v="505.0"/>
        <n v="1615.0"/>
        <n v="530.0"/>
        <n v="529.0"/>
        <n v="513.0"/>
        <n v="514.0"/>
        <n v="1033.0"/>
        <n v="1035.0"/>
        <n v="1034.0"/>
        <n v="220.0"/>
        <n v="236.0"/>
        <n v="212.0"/>
        <n v="1460.0"/>
        <n v="980.0"/>
        <n v="1291.0"/>
        <n v="211.0"/>
        <n v="1262.0"/>
        <n v="1264.0"/>
        <n v="1263.0"/>
        <n v="466.0"/>
        <n v="229.0"/>
        <n v="266.0"/>
        <n v="139.0"/>
        <n v="509.0"/>
        <n v="429.0"/>
        <n v="237.0"/>
        <n v="1266.0"/>
        <n v="1268.0"/>
        <n v="1267.0"/>
        <n v="1269.0"/>
        <n v="210.0"/>
        <n v="209.0"/>
        <n v="1270.0"/>
        <n v="255.0"/>
        <n v="1265.0"/>
        <n v="258.0"/>
        <n v="232.0"/>
        <n v="1281.0"/>
        <n v="1586.0"/>
        <n v="973.0"/>
        <n v="1658.0"/>
        <n v="1355.0"/>
        <n v="233.0"/>
        <n v="1434.0"/>
        <n v="249.0"/>
        <n v="646.0"/>
        <n v="1076.0"/>
        <n v="1184.0"/>
        <n v="238.0"/>
        <n v="239.0"/>
        <n v="1143.0"/>
        <n v="1077.0"/>
        <n v="26.0"/>
        <n v="1277.0"/>
        <n v="1580.0"/>
        <n v="244.0"/>
        <n v="1066.0"/>
        <n v="737.0"/>
        <n v="742.0"/>
        <n v="746.0"/>
        <n v="256.0"/>
        <n v="1708.0"/>
        <n v="1569.0"/>
        <n v="1468.0"/>
        <n v="956.0"/>
        <n v="774.0"/>
        <n v="1425.0"/>
        <n v="916.0"/>
        <n v="881.0"/>
        <n v="877.0"/>
        <n v="910.0"/>
        <n v="894.0"/>
        <n v="998.0"/>
        <n v="893.0"/>
        <n v="1477.0"/>
        <n v="847.0"/>
        <n v="1057.0"/>
        <n v="1188.0"/>
        <n v="1729.0"/>
        <n v="1643.0"/>
        <n v="921.0"/>
        <n v="839.0"/>
        <n v="831.0"/>
        <n v="744.0"/>
        <n v="206.0"/>
        <n v="35.0"/>
        <n v="30.0"/>
        <n v="109.0"/>
        <n v="1545.0"/>
        <n v="54.0"/>
        <n v="214.0"/>
        <n v="215.0"/>
        <n v="231.0"/>
        <n v="79.0"/>
        <n v="1178.0"/>
        <n v="1578.0"/>
        <n v="76.0"/>
        <n v="979.0"/>
        <n v="149.0"/>
        <n v="80.0"/>
        <n v="138.0"/>
        <n v="186.0"/>
        <n v="219.0"/>
        <n v="1138.0"/>
        <n v="223.0"/>
        <n v="154.0"/>
        <n v="150.0"/>
        <n v="151.0"/>
        <n v="107.0"/>
        <n v="1705.0"/>
        <n v="187.0"/>
        <n v="59.0"/>
        <n v="97.0"/>
        <n v="116.0"/>
        <n v="142.0"/>
        <n v="267.0"/>
        <n v="1561.0"/>
        <n v="274.0"/>
        <n v="276.0"/>
        <n v="1176.0"/>
        <n v="261.0"/>
        <n v="396.0"/>
        <n v="291.0"/>
        <n v="299.0"/>
        <n v="296.0"/>
        <n v="1472.0"/>
        <n v="293.0"/>
        <n v="1588.0"/>
        <n v="311.0"/>
        <n v="370.0"/>
        <n v="1710.0"/>
        <n v="297.0"/>
        <n v="327.0"/>
        <n v="328.0"/>
        <n v="329.0"/>
        <n v="343.0"/>
        <n v="1571.0"/>
        <n v="290.0"/>
        <n v="225.0"/>
        <n v="1711.0"/>
        <n v="319.0"/>
        <n v="337.0"/>
        <n v="334.0"/>
        <n v="1707.0"/>
        <n v="1439.0"/>
        <n v="287.0"/>
        <n v="283.0"/>
        <n v="285.0"/>
        <n v="284.0"/>
        <n v="400.0"/>
        <n v="399.0"/>
        <n v="218.0"/>
        <n v="1538.0"/>
        <n v="1508.0"/>
        <n v="423.0"/>
        <n v="413.0"/>
        <n v="265.0"/>
        <n v="651.0"/>
        <n v="650.0"/>
        <n v="653.0"/>
        <n v="660.0"/>
        <n v="546.0"/>
        <n v="535.0"/>
        <n v="536.0"/>
        <n v="1551.0"/>
        <n v="1664.0"/>
        <n v="661.0"/>
        <n v="1665.0"/>
        <n v="1668.0"/>
        <n v="1190.0"/>
        <n v="1175.0"/>
        <n v="1574.0"/>
        <n v="1713.0"/>
        <n v="204.0"/>
        <n v="1038.0"/>
        <n v="28.0"/>
        <n v="27.0"/>
        <n v="1079.0"/>
        <n v="1064.0"/>
        <n v="1183.0"/>
        <n v="975.0"/>
        <n v="1053.0"/>
        <n v="1692.0"/>
        <n v="1052.0"/>
        <n v="1063.0"/>
        <n v="1611.0"/>
        <n v="241.0"/>
        <n v="1062.0"/>
        <n v="1286.0"/>
        <n v="1447.0"/>
        <n v="1290.0"/>
        <n v="1065.0"/>
        <n v="1385.0"/>
        <n v="208.0"/>
        <n v="1135.0"/>
        <n v="1136.0"/>
        <n v="1078.0"/>
        <n v="1566.0"/>
        <n v="309.0"/>
        <n v="1565.0"/>
        <n v="1633.0"/>
        <n v="1283.0"/>
        <n v="240.0"/>
        <n v="1369.0"/>
        <n v="1189.0"/>
        <n v="1141.0"/>
        <n v="115.0"/>
        <n v="1142.0"/>
        <n v="243.0"/>
        <n v="1459.0"/>
        <n v="775.0"/>
        <n v="1690.0"/>
        <n v="543.0"/>
        <n v="192.0"/>
        <n v="1452.0"/>
        <n v="569.0"/>
        <n v="183.0"/>
        <n v="968.0"/>
        <n v="648.0"/>
        <n v="310.0"/>
        <n v="878.0"/>
        <n v="98.0"/>
        <n v="801.0"/>
        <n v="565.0"/>
        <n v="482.0"/>
        <n v="1326.0"/>
        <n v="1601.0"/>
        <n v="1327.0"/>
        <n v="193.0"/>
        <n v="1694.0"/>
        <n v="2013.0"/>
        <n v="2014.0"/>
        <n v="2015.0"/>
        <n v="376.0"/>
        <n v="1333.0"/>
        <n v="1187.0"/>
        <n v="720.0"/>
        <n v="1273.0"/>
        <n v="767.0"/>
        <n v="485.0"/>
        <n v="2016.0"/>
        <n v="1278.0"/>
        <n v="639.0"/>
        <n v="567.0"/>
        <n v="538.0"/>
        <n v="263.0"/>
        <n v="2017.0"/>
        <n v="1587.0"/>
        <n v="1678.0"/>
        <n v="1680.0"/>
        <n v="1679.0"/>
        <n v="1686.0"/>
        <n v="1685.0"/>
        <n v="1677.0"/>
        <n v="1684.0"/>
        <n v="1683.0"/>
        <n v="2019.0"/>
        <n v="1689.0"/>
        <n v="1688.0"/>
        <n v="2020.0"/>
        <n v="2021.0"/>
        <n v="135.0"/>
        <n v="122.0"/>
        <n v="1706.0"/>
        <n v="1697.0"/>
        <n v="2023.0"/>
        <n v="23.0"/>
        <n v="644.0"/>
        <n v="1726.0"/>
        <n v="428.0"/>
        <n v="1599.0"/>
        <n v="1338.0"/>
        <n v="2024.0"/>
        <n v="2027.0"/>
        <n v="2028.0"/>
        <n v="2029.0"/>
        <n v="2030.0"/>
        <n v="584.0"/>
        <n v="1320.0"/>
        <n v="798.0"/>
        <n v="659.0"/>
        <n v="1702.0"/>
        <n v="2031.0"/>
        <n v="2032.0"/>
        <n v="1734.0"/>
        <n v="1735.0"/>
        <n v="716.0"/>
        <n v="1600.0"/>
        <n v="402.0"/>
        <n v="605.0"/>
        <n v="1589.0"/>
        <n v="1335.0"/>
        <n v="562.0"/>
      </sharedItems>
    </cacheField>
    <cacheField name="fullName" numFmtId="0">
      <sharedItems>
        <s v="אוסטרובסקי מיכאל"/>
        <s v="אלטלאקת פאטמה"/>
        <s v="ביליה אריאל (אריק)"/>
        <s v="בלטי יצחק (איציק)"/>
        <s v="בן פורת משה"/>
        <s v="ג'מבקוב אנדריי"/>
        <s v="ג'מבקוב זויה"/>
        <s v="גרידסקול ויקטוריה"/>
        <s v="גרידסקול סרגיי"/>
        <s v="ויזמן ראובן"/>
        <s v="חטיב טארק"/>
        <s v="זקוטו אבי"/>
        <s v="חטואל אברהם (אבי)"/>
        <s v="חייט שמעון"/>
        <s v="חיימוב אהרון"/>
        <s v="יאחנגילוב יפתח"/>
        <s v="יאחנגילוב מריה"/>
        <s v="ידגרוב יורי"/>
        <s v="ידגרוב רוזה"/>
        <s v="מלקמו עדנה"/>
        <s v="משייב אנה"/>
        <s v="פוליאקוב אמה"/>
        <s v="קוסטיצין יליזבטה (ליליה)"/>
        <s v="רחמים בנימין"/>
        <s v="אוזן אליהו (אליקו)"/>
        <s v="אוזן אריה"/>
        <s v="אלזיאדנא עבד אלרחמן עאטף"/>
        <s v="אסלנוב ג'ון"/>
        <s v="גניש בנימין (בני)"/>
        <s v="וייסברג אלינה"/>
        <s v="חסדאי אבי"/>
        <s v="טייב נדב יוסף חי"/>
        <s v="ליסובוי יורי"/>
        <s v="ליסובוי סבטלנה"/>
        <s v="צ'בן יוליה"/>
        <s v="קימנפלד דניל"/>
        <s v="קרייף שחף"/>
        <s v="קרן טל"/>
        <s v="שאולוב רוברט"/>
        <s v="תעסה אור"/>
        <s v="אוביץ זיוה"/>
        <s v="אוחנה עדי"/>
        <s v="בנעים חיימי (חיים)"/>
        <s v="גולדין אורן"/>
        <s v="לוגבינצ'נקו ויטלי"/>
        <s v="משה רועי"/>
        <s v="פופוב ניר (ניקיטה)"/>
        <s v="קפשיטר איתן"/>
        <s v="קפשיטר אלין"/>
        <s v="קפשיטר דינה"/>
        <s v="קפשיטר יבגני (ג'ניה)"/>
        <s v="רפאלי מישקין חגית"/>
        <s v="תורג'מן דוד (דודי)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חג'בי אליצור צוריאל"/>
        <s v="חג'בי יהונתן"/>
        <s v="חג'בי יזהר"/>
        <s v="אבו מדיע'ם אוסאמה עלי"/>
        <s v="ירון שיר"/>
        <s v="לוי ציון"/>
        <s v="אלמגור מרינה"/>
        <s v="אקוני אור"/>
        <s v="אקוני אריה"/>
        <s v="אקוני ארלט (רותי)"/>
        <s v="ברגר נורית"/>
        <s v="וובק דני"/>
        <s v="ינון בלהה"/>
        <s v="ינון יעקובי"/>
        <s v="מולכו איילת"/>
        <s v="מולכו שלמה (שלומי)"/>
        <s v="סגל חויק"/>
        <s v="אלקבץ מוטי"/>
        <s v="בן יהודה גלעד"/>
        <s v="בן יהודה יובל"/>
        <s v="הדר איתי (יוסטון)"/>
        <s v="זומר דן"/>
        <s v="זעפרני נוי תפארת"/>
        <s v="כהן דניאל אשר"/>
        <s v="מעודי נוי"/>
        <s v="קדמן שחר גל"/>
        <s v="קוסובסקי זלטה"/>
        <s v="קיפר סביון חן"/>
        <s v="רביע יובל"/>
        <s v="רביע נועם"/>
        <s v="רוזנברג מתן"/>
        <s v="שפיר דור חנן"/>
        <s v="שרון (שוקרון) דודי"/>
        <s v="אבאסוב שמיל"/>
        <s v="אבדולאייב עדן"/>
        <s v="אבו סבילה מוסא"/>
        <s v="אבו עאמר אלרזאם סוהייב"/>
        <s v="אבו עסא אוסאמה"/>
        <s v="אבוחצירה אוראל"/>
        <s v="אביב נוי"/>
        <s v="אביטן דור"/>
        <s v="אביר לוטן"/>
        <s v="אבני גיל יוסף"/>
        <s v="אברג'יל עודד"/>
        <s v="אברהם אילן"/>
        <s v="אברמוב לאור"/>
        <s v="אדברג אסף מרדכי"/>
        <s v="אדם מפל"/>
        <s v="אדר גילי"/>
        <s v="אוחיון עדן ליז"/>
        <s v="אוחנה דניאל"/>
        <s v="אורי בן"/>
        <s v="אורן אביאל"/>
        <s v="אזולאי גמליאל גבי גבריאל"/>
        <s v="אזולאי יוחאי"/>
        <s v="אזולאי יונתן חי"/>
        <s v="אחרק עמרי"/>
        <s v="אטון אופק"/>
        <s v="אטיאס דורין"/>
        <s v="איטח ליאל"/>
        <s v="איטח סיגל"/>
        <s v="איילון שירה"/>
        <s v="אילוז אליה אליהו"/>
        <s v="אילייב אדם"/>
        <s v="איירמנדי סיזר איוון"/>
        <s v="אליהו יהונתן"/>
        <s v="אלפסי שלמה אליהו"/>
        <s v="אלפראחין ח'אלד"/>
        <s v="אלקיים לוי עינב"/>
        <s v="נסאסרה עבד אלכרים"/>
        <s v="אלשיך שלמה (שלומי) אליהו"/>
        <s v="אמין שני"/>
        <s v="אנגלנדר נועה"/>
        <s v="אסולין ליאור"/>
        <s v="אסולין לירז"/>
        <s v="אסייג ליאב"/>
        <s v="אפרים ירין משה"/>
        <s v="אפרים נעם ליאל"/>
        <s v="אקשטיין מתן"/>
        <s v="ארד אורי"/>
        <s v="ארד נבו"/>
        <s v="אריאל דן"/>
        <s v="ארנין איילת"/>
        <s v="אשואן סהר"/>
        <s v="בהט דרור"/>
        <s v="בובטס בן איון אורטל"/>
        <s v="בולדס דורון"/>
        <s v="בונגרט סופיה"/>
        <s v="בוסקילה ירדן"/>
        <s v="בועזיז מורלי נטע"/>
        <s v="בוקובזה רז"/>
        <s v="בור גלאון ליעם"/>
        <s v="בורשטיין מטיאס (הרנן)"/>
        <s v="בורשטיין עינב (חן)"/>
        <s v="ביטון בניהו"/>
        <s v="ביטון מאיה"/>
        <s v="ביטון מרדכי בן אריאל"/>
        <s v="ביטון נדב"/>
        <s v="ביילין אורון"/>
        <s v="ביילין בן צבי שגיב"/>
        <s v="ביכר נעומי"/>
        <s v="בילמס ספיר"/>
        <s v="בכר יהודה"/>
        <s v="בן אבי חן"/>
        <s v="בן אבידה עמית (יהודה)"/>
        <s v="בן דוד נגר סלין רחל"/>
        <s v="בן זינו עידו"/>
        <s v="בן זכריה יוחאי"/>
        <s v="בן חמו אור חיים"/>
        <s v="בן חמו דן"/>
        <s v="בן נעים שחר"/>
        <s v="בן סניור דניאל"/>
        <s v="בן עמי שני"/>
        <s v="בן פורת אליסף"/>
        <s v="בן רובי עדן"/>
        <s v="בנג'ו איתי"/>
        <s v="בר דין נהוראי"/>
        <s v="בר שהם"/>
        <s v="בראון יובל"/>
        <s v="בראל גבריאל ישי"/>
        <s v="ברגמן אלדד (אנג'ל)"/>
        <s v="ברדה לירון"/>
        <s v="ברזני סתיו"/>
        <s v="ברטיק (קליין) טל"/>
        <s v="ברטל נדב"/>
        <s v="אליהו ברנט רומי"/>
        <s v="ברנשטיין אליהו יעקב"/>
        <s v="ברנשטיין בן"/>
        <s v="ברסלבסקי דניאל (דני)"/>
        <s v="ברעם עילי"/>
        <s v="ג'ורג'י שיר חנה"/>
        <s v="ג'רפי ליאל"/>
        <s v="גבאי שני"/>
        <s v="גוטמן תמר"/>
        <s v="גולדנברג ניצן"/>
        <s v="גולדנברג תמר"/>
        <s v="גולטמן דניאל"/>
        <s v="גוסק מרגריטה"/>
        <s v="גורביץ' (וסילקובסקי) ליליה"/>
        <s v="גורדני שרון"/>
        <s v="גוריונוב אנטון"/>
        <s v="גורלוב ויקטוריה"/>
        <s v="גז עדן"/>
        <s v="גטה סתיו"/>
        <s v="גילר ירוסלב (סלבה)"/>
        <s v="גינדי שחר"/>
        <s v="גל שלו"/>
        <s v="גנדלין איזבלה"/>
        <s v="גנוט אביה"/>
        <s v="גנון שירן"/>
        <s v="גניס יוסף (ספי)"/>
        <s v="גרציאני מאור"/>
        <s v="גרקוביץ' דפנה"/>
        <s v="דב רחל (רייצ'ל)"/>
        <s v="דדון אבי"/>
        <s v="דהן יצחק איציק"/>
        <s v="דוד הודיה"/>
        <s v="דוד עמית יצחק"/>
        <s v="דוד תאיר"/>
        <s v="דוידוב קרינה אלה"/>
        <s v="דוידי ברק"/>
        <s v="דויטשוילי שון"/>
        <s v="דור עידן"/>
        <s v="דייטשמן רונן"/>
        <s v="דמרי דן"/>
        <s v="דמתי קים"/>
        <s v="דנגורי גל"/>
        <s v="דפני לין"/>
        <s v="הירש (אוזן) שרון"/>
        <s v="הלוי אביעד"/>
        <s v="הרמן עידן"/>
        <s v="הרמתי עידן"/>
        <s v="ואקנין פרמוטר לימור"/>
        <s v="ודעי דניאל מאיר"/>
        <s v="והדי משה"/>
        <s v="וולדמן דניאל"/>
        <s v="ויגדרגאוז (דובז'נקו) סיימון"/>
        <s v="ויינברג רון"/>
        <s v="ויינשטיין ליאל"/>
        <s v="ולאנו פונטס ברונה"/>
        <s v="וקנין אושר"/>
        <s v="וקנין מיכאל"/>
        <s v="ורבר אלון"/>
        <s v="ורדי לורי"/>
        <s v="ורניקוב קרין"/>
        <s v="ז'ורנו קארין"/>
        <s v="זגדון רינת הודיה"/>
        <s v="זוארמן מוטי (מרדכי)"/>
        <s v="זהר בר"/>
        <s v="זיו אור"/>
        <s v="זיידמן יונתן (ג'וני)"/>
        <s v="זנדר נועה"/>
        <s v="זנטי מתן"/>
        <s v="זפרני איתי"/>
        <s v="חבני שקד"/>
        <s v="חג'בי זיו"/>
        <s v="חדד אטיאס ליאור"/>
        <s v="חיאל גידי"/>
        <s v="חיאל נועה"/>
        <s v="חיים מאיה"/>
        <s v="חליפה גאיה"/>
        <s v="חמוי אלה"/>
        <s v="חסיד בן בנציון"/>
        <s v="חפץ אריה אריק"/>
        <s v="טבגן גולדמן קטרינה (קטיה)"/>
        <s v="טמם אדיר"/>
        <s v="טקאץ' ליאור"/>
        <s v="טרבלסי מור"/>
        <s v="יהודאי רון"/>
        <s v="יעקב אילן משה"/>
        <s v="יעקב שהם"/>
        <s v="יעקב שובל"/>
        <s v="יעקב שנהב"/>
        <s v="יעקובוב סאן אמנון"/>
        <s v="יצחקי מאי"/>
        <s v="ישמרני (טמם) שירז שירן"/>
        <s v="כהן אברהם נריה"/>
        <s v="כהן בן בנימין"/>
        <s v="כהן דניאל"/>
        <s v="כהן מגורי ליבי"/>
        <s v="כהן מור"/>
        <s v="כהן עמית חיים"/>
        <s v="כפיר גלעד"/>
        <s v="כץ טל"/>
        <s v="לביא עומרי יעקב"/>
        <s v="להב עמית"/>
        <s v="לוי גיא גבריאל"/>
        <s v="לוי יצחק"/>
        <s v="לוי ליבנת"/>
        <s v="לוי לידור יוסף"/>
        <s v="לוי נאור"/>
        <s v="לוי ניסים (מעיין)"/>
        <s v="לוי סיגל"/>
        <s v="לוי עמית"/>
        <s v="לוי רותם רחל"/>
        <s v="לוין אליסיה"/>
        <s v="ליאור מתן מרדכי"/>
        <s v="ליטמן אוריה ריקרדו"/>
        <s v="ליסמן אניטה"/>
        <s v="ליסצ'וב דוד"/>
        <s v="ליפובסקי אילן"/>
        <s v="למאי דידנקו יוליה"/>
        <s v="לפידות תפארת"/>
        <s v="מגנזי עמית"/>
        <s v="מדמון ניר"/>
        <s v="מדמוני שליו"/>
        <s v="מדר שחק יוסף"/>
        <s v="מועלם נעמה"/>
        <s v="מוצפי שי שלום אליאור"/>
        <s v="מזרחי אלירן"/>
        <s v="מזרחי בן מנשה"/>
        <s v="מזרחי רז"/>
        <s v="מייזל עדי רבקה"/>
        <s v="מימון ליאור"/>
        <s v="מליחי אמיתי"/>
        <s v="מלכה דור"/>
        <s v="מנצור שחר"/>
        <s v="מנצורי נורל"/>
        <s v="מנצורי רויה"/>
        <s v="מסיאס מונטנו אנטוניו יניב"/>
        <s v="מסיקה אדיר"/>
        <s v="מקרצ'נקו סטיבן"/>
        <s v="מרגלית עדי"/>
        <s v="משה עדן דוד"/>
        <s v="נאמן דוד יאיר שלום"/>
        <s v="נבון גל"/>
        <s v="נזרוב אילקין"/>
        <s v="נחום דור"/>
        <s v="נידג'לסקי גלזר חנני"/>
        <s v="ניימן רותם"/>
        <s v="ניסימבוים (כרמלי) ג'ני"/>
        <s v="ניסן לירז"/>
        <s v="נעים מאי"/>
        <s v="נפתלי עדן"/>
        <s v="נקמולי בר ליאור (ברלי)"/>
        <s v="סבידיה שלומי"/>
        <s v="סוויסה מוריה אור"/>
        <s v="סולומון הילי"/>
        <s v="סטלזר מנדס קרלה"/>
        <s v="סטרוסטה תומר"/>
        <s v="סלומון יעקב"/>
        <s v="סלע רם"/>
        <s v="סמואלוב אלעזר"/>
        <s v="סמוילוב אלכסנדר"/>
        <s v="סמט תמר"/>
        <s v="סעידי צור"/>
        <s v="סעידיאן משה (מושיקו)"/>
        <s v="סרודי יניב"/>
        <s v="עבדוש גל"/>
        <s v="עבדוש נאג'י"/>
        <s v="עדרי עידן"/>
        <s v="עודי עופר"/>
        <s v="עזר גיא"/>
        <s v="עזרא עוז משה"/>
        <s v="עטון ליאור"/>
        <s v="עמר חנן (חנניה)"/>
        <s v="עמר מרסדס אוריה"/>
        <s v="פאר יועד"/>
        <s v="פודר מאיה"/>
        <s v="פולבנוב רוני"/>
        <s v="פוסטל יבגני"/>
        <s v="פורטי ניר"/>
        <s v="פטרובסקי רוני"/>
        <s v="פטרנקו דניאלה (דנה)"/>
        <s v="פישמן בן"/>
        <s v="פלחטי אלינה"/>
        <s v="פסו אוראל"/>
        <s v="פרג' נועה"/>
        <s v="פריטיקה קארינה"/>
        <s v="פרינץ הדר"/>
        <s v="פרנקל זיו"/>
        <s v="פרץ אריק (אריה)"/>
        <s v="פרץ עידו"/>
        <s v="פרץ רות הודיה"/>
        <s v="צפתי חי חיים"/>
        <s v="צרפתי אופיר"/>
        <s v="צרפתי רון"/>
        <s v="קונדרוב אירית"/>
        <s v="קופרווסר שני"/>
        <s v="קיז'נר שגב ישראל"/>
        <s v="קיילין הילה"/>
        <s v="קינן לינור"/>
        <s v="קליכמן מעין"/>
        <s v="קמחי אופק"/>
        <s v="קמחי סתיו"/>
        <s v="קן דרור יהונתן (מאיר)"/>
        <s v="קסבצ'וק דניאל"/>
        <s v="קסרוטי כלפה קשת"/>
        <s v="רביב מוריה"/>
        <s v="רביע אופק"/>
        <s v="רגב שי"/>
        <s v="רואימי מיכל"/>
        <s v="רוביו ורגס איבון עדן פטריסיה"/>
        <s v="רוזמן יעל"/>
        <s v="רום יהונתן"/>
        <s v="רומשקין אולגה נעמי"/>
        <s v="רחום ניצן"/>
        <s v="רחמים אביאל שלום"/>
        <s v="רחמים דביר"/>
        <s v="רפאל (רפאי) אלי"/>
        <s v="רפאי שרון"/>
        <s v="שאמץ איליה"/>
        <s v="שגב שושן"/>
        <s v="שגב תומר"/>
        <s v="שהרבני סיון"/>
        <s v="שובה משה"/>
        <s v="שוורצמן קארין"/>
        <s v="שופן זיו"/>
        <s v="שטרית רוני"/>
        <s v="שי נעם"/>
        <s v="שיינקרמן דניאל"/>
        <s v="שינדל מארק"/>
        <s v="שכטר בר"/>
        <s v="שלו שי"/>
        <s v="שלום נעם"/>
        <s v="שלום רם"/>
        <s v="שלזינגר אסף"/>
        <s v="שם טוב עינבר"/>
        <s v="שמוניס הראל שרונה"/>
        <s v="שמעוני בנימין (בן)"/>
        <s v="שמר רון"/>
        <s v="שניר איתן רפאל"/>
        <s v="שפירא זיו פפה"/>
        <s v="שפר רן"/>
        <s v="שרם ליאם"/>
        <s v="תאר דור"/>
        <s v="תומר בר"/>
        <s v="תורג'מן אבידן"/>
        <s v="תורג'מן שהם ליה"/>
        <s v="תל צור ניב"/>
        <s v="זיו דדו"/>
        <s v="שפירר תומר"/>
        <s v="אבן אלון"/>
        <s v="אבן חן"/>
        <s v="אבן עידו"/>
        <s v="אבן רינת"/>
        <s v="אוחיון סילביה"/>
        <s v="אור יונת"/>
        <s v="אפטלון יוסי (זיגי)"/>
        <s v="בויום ענבר"/>
        <s v="בירה אורון"/>
        <s v="בירה טל"/>
        <s v="בירה יסמין"/>
        <s v="בירה תאיר"/>
        <s v="בירה תהל"/>
        <s v="בכר גאולה"/>
        <s v="בכר דנה"/>
        <s v="בכר כרמל"/>
        <s v="בכר מזל (מזי)"/>
        <s v="בן עמי חוה"/>
        <s v="בר יובל"/>
        <s v="בר מעיין"/>
        <s v="בר סיני יורם"/>
        <s v="ברוך עידן"/>
        <s v="גודארד (פרג) איילת"/>
        <s v="גודארד מני"/>
        <s v="גלסקי יבגני"/>
        <s v="גת כנרת"/>
        <s v="דגן עדי"/>
        <s v="הנד נרקיס"/>
        <s v="הקר זאב"/>
        <s v="הקר זהבה"/>
        <s v="הרן אבשלום (אבשל)"/>
        <s v="הרשקוביץ מעיינה"/>
        <s v="הרשקוביץ נח"/>
        <s v="וייס מתי"/>
        <s v="וייס עמיר"/>
        <s v="וייס שמואל (שמוליק)"/>
        <s v="זוהר חיים"/>
        <s v="זלמנוביץ' הלל"/>
        <s v="חצרוני איילה"/>
        <s v="חצרוני הלר ליאל"/>
        <s v="חרמש עומר"/>
        <s v="טרשצ'נסקי ליאור"/>
        <s v="יצחקי יהודית"/>
        <s v="כהן אוהד"/>
        <s v="כהן יונה"/>
        <s v="כהן מילה"/>
        <s v="כהן פסיה (פסי)"/>
        <s v="כרסנתי שושנה (שוש)"/>
        <s v="לוי לודמיר דניאל"/>
        <s v="לוי רוני"/>
        <s v="לוסב איגור"/>
        <s v="לוסב מרינה"/>
        <s v="מור אבי"/>
        <s v="מורדו רפאל (רפי)"/>
        <s v="מייזנר קרבונה גלית"/>
        <s v="מילס אלברט (אבלום)"/>
        <s v="מן עמית"/>
        <s v="נווה מרדכי"/>
        <s v="נטע אדריאן"/>
        <s v="סבירסקי רפי"/>
        <s v="סוכמן תמי"/>
        <s v="סיטון חנה"/>
        <s v="סיטון טל"/>
        <s v="סיטון יצחק"/>
        <s v="סילבר ויויאן"/>
        <s v="סלע סבירסקי אורית"/>
        <s v="פישביין זערור תכלת"/>
        <s v="פרייליך קפלון מרסל"/>
        <s v="פריקר יונה"/>
        <s v="קוזין יצחק"/>
        <s v="קידר סמי"/>
        <s v="קיפניס אביתר (תרי)"/>
        <s v="קיפניס לילך"/>
        <s v="קלדרון רותם"/>
        <s v="קפלון דרור"/>
        <s v="קרול דוד"/>
        <s v="קריצמן חנה"/>
        <s v="רידר דור"/>
        <s v="רפופורט יונתן"/>
        <s v="שוש נוי"/>
        <s v="שרעבי יהל"/>
        <s v="שרעבי ליאן"/>
        <s v="שרעבי נויה"/>
        <s v="Prodigo Cabrera Gracie"/>
        <s v="Castelvi Paul Vincent"/>
        <s v="Jayathilaka Anula"/>
        <s v="Sae Yang Sumchai"/>
        <s v="Yatawara Bandara Susujith"/>
        <s v="אלחרר חלפון ליז"/>
        <s v="אלחרר מאיר"/>
        <s v="מתיאס טרואן שחר דבורה (דבי)"/>
        <s v="מתיאס שלומי"/>
        <s v="סולטן רולאן"/>
        <s v="סולטן רונית"/>
        <s v="קייסמן לילי"/>
        <s v="קעטבי תהילה"/>
        <s v="קפלון עדי ויטל"/>
        <s v="רידלר משה"/>
        <s v="Busko Petro"/>
        <s v="גודו תום"/>
        <s v="זק (בן יעיש) אתי"/>
        <s v="זק איתי"/>
        <s v="זק שגיא"/>
        <s v="חולתי מנוחה"/>
        <s v="מור מעיין"/>
        <s v="סמיאטיץ' ג'ינה"/>
        <s v="רון עופר"/>
        <s v="Jakkaphong Jantharasena"/>
        <s v="Kaison Aranthit"/>
        <s v="Khunsri Pongsatorn"/>
        <s v="Klangsuwan Theerapong"/>
        <s v="Prakotwong Thanakrit"/>
        <s v="Sanusan Chairat"/>
        <s v="Sophakun Anucha"/>
        <s v="Srithat Kawao"/>
        <s v="אדמוני גיא"/>
        <s v="אדמוני מיכל"/>
        <s v="אדרי אביעד אברהם"/>
        <s v="אורגד גולדנברג אליהו (אלי)"/>
        <s v="איתמרי לילי"/>
        <s v="איתמרי רם"/>
        <s v="אלקבץ סיון"/>
        <s v="אמיר מודי (מרדכי)"/>
        <s v="אפשטיין בלהה"/>
        <s v="אפשטיין נטע"/>
        <s v="בויום יובל"/>
        <s v="בן דוד (ג'יבלי) מאיה"/>
        <s v="ברדיצ'בסקי (רוזנפלד) הדר"/>
        <s v="ברדיצ'בסקי איתי"/>
        <s v="גולדשטיין אלמוג ים"/>
        <s v="גולדשטיין אלמוג נדב"/>
        <s v="גורן ארן"/>
        <s v="גורן טובה"/>
        <s v="דגני נעמי"/>
        <s v="וינר יהב"/>
        <s v="ורטהיים (בר אילן) דורית"/>
        <s v="ורטהיים אביב"/>
        <s v="זיו איתן"/>
        <s v="זיני ניראל"/>
        <s v="חסידים נאור"/>
        <s v="חצרוני אביה"/>
        <s v="חצרוני הלר ינאי"/>
        <s v="ליבשטיין ניצן"/>
        <s v="מור עידן סמדר"/>
        <s v="עידן רועי"/>
        <s v="פלג זיו (נאור) תמי"/>
        <s v="פלד גילה"/>
        <s v="פלד דניאל"/>
        <s v="פלד יזהר"/>
        <s v="פלש יגאל"/>
        <s v="פלש סינתיה תמר (סינדי)"/>
        <s v="פרץ מארק (מרדכי)"/>
        <s v="צדיקביץ' עומר"/>
        <s v="קוץ אביב"/>
        <s v="קוץ יונתן"/>
        <s v="קוץ יפתח"/>
        <s v="קוץ לבנת"/>
        <s v="קוץ רותם"/>
        <s v="קציר (קצ'קו) דוד"/>
        <s v="רביב ניב"/>
        <s v="רונן נירה"/>
        <s v="רייכנשטיין אליהו (אליקו)"/>
        <s v="שוורצמן דוד אלברטו"/>
        <s v="שוורצמן פינקו אורלי"/>
        <s v="שושני אופיר"/>
        <s v="שטהל מירה"/>
        <s v="Aguirre Angelyn"/>
        <s v="אליקים נועם"/>
        <s v="ברוש שושנה (שושי)"/>
        <s v="זוהר יניב"/>
        <s v="זוהר יסמין"/>
        <s v="זוהר קשת"/>
        <s v="זוהר תכלת"/>
        <s v="כץ אפרת"/>
        <s v="ליבנה חיים"/>
        <s v="עידן מעיין"/>
        <s v="ערבה אליעז תומר"/>
        <s v="ערבה דקלה"/>
        <s v="רון שלמה"/>
        <s v="Somkuan Pansa-ard"/>
        <s v="בן חורין רבקה"/>
        <s v="בן צבי אמיתי"/>
        <s v="גורן אבנר"/>
        <s v="גרוס יוסף (יוסיניו)"/>
        <s v="דן כרמלה"/>
        <s v="דן נויה"/>
        <s v="והב יוסף (יוסי)"/>
        <s v="טרופנוב ויטלי"/>
        <s v="כץ רביד"/>
        <s v="לוינסון ברכה"/>
        <s v="מונדר רועי"/>
        <s v="משה סעיד (דוד)"/>
        <s v="נוי שפרה"/>
        <s v="סילברמן (שניידר) מרגיט"/>
        <s v="סילברמן יוסף"/>
        <s v="סימן טוב ארבל"/>
        <s v="סימן טוב יונתן (ג'וני)"/>
        <s v="סימן טוב עומר"/>
        <s v="סימן טוב קדם תמר"/>
        <s v="סימן טוב קרול"/>
        <s v="סימן טוב שחר"/>
        <s v="פאוקר גדעון"/>
        <s v="קציר אברהם (רמי)"/>
        <s v="שלו דוד"/>
        <s v="שלו טל"/>
        <s v="שפיר ירמי (ירמיהו)"/>
        <s v="Bohl Caroline"/>
        <s v="Dachtuyawat Bancha"/>
        <s v="Darlington Daniel (Danny)"/>
        <s v="באבאני גדעון"/>
        <s v="מאיר דורון"/>
        <s v="מאיר מור"/>
        <s v="פופלוול רועי"/>
        <s v="כהן ברנרד (פול)"/>
        <s v="גלזברג נועה"/>
        <s v="טליה מרסל"/>
        <s v="ליפשיץ אולג"/>
        <s v="מרנסקי סילביה"/>
        <s v="Bista Dipesh Raj"/>
        <s v="Chaudhary Ashish"/>
        <s v="Lekendora Sing Dahami"/>
        <s v="Nepali Ganesh Kumar"/>
        <s v="Neupane Narayan Prasad"/>
        <s v="Phulara Rajan"/>
        <s v="Prabesh Bhandari"/>
        <s v="Shah Ananda"/>
        <s v="Swarnakar Rajesh Kumar"/>
        <s v="Thapa Padam"/>
        <s v="אוסטפנקו אליונה"/>
        <s v="גבאי עמית"/>
        <s v="הרמתי ורדה"/>
        <s v="פבר אסף"/>
        <s v="קרפ דביר"/>
        <s v="אבדלימוב סמיון"/>
        <s v="אברמוב מיכאל"/>
        <s v="איליאגוייב סלומון"/>
        <s v="ג'רג'אוי סמי"/>
        <s v="אשרף חיים"/>
        <s v="ויצמן ליאור"/>
        <s v="טולדנו עמרם אלון"/>
        <s v="טנבורה אמיר"/>
        <s v="לוזובסקי לאוניד"/>
        <s v="מאירי זוהר"/>
        <s v="מגירא אבי"/>
        <s v="מורזאחנוב מיכאל"/>
        <s v="מלכה מאיר"/>
        <s v="נווה נתיב מעיין"/>
        <s v="סוויסה אודיה"/>
        <s v="סוויסה דולב"/>
        <s v="סורוקין דמיטרי"/>
        <s v="פריאנטה קובי"/>
        <s v="שטרית אזולאי נעמי"/>
        <s v="Cao Yongcai"/>
        <s v="Wan Zhishun"/>
        <s v="Zou Deli"/>
        <s v="ביילין זינאידה (זינה)"/>
        <s v="גילר ליליה"/>
        <s v="זרבאילוב מיכל מראל"/>
        <s v="טומייב נטליה"/>
        <s v="מורטוב יעקב"/>
        <s v="ספרבצ'יקוב נדז'דה"/>
        <s v="פופוב ולדימיר"/>
        <s v="פופוב סופיה"/>
        <s v="פורמן לודמילה (לודה)"/>
        <s v="פרידמן ולרי"/>
        <s v="קורצר איגור"/>
        <s v="שמיאייב לוי ברטה בטסיין"/>
        <s v="שניטמן טטיאנה"/>
        <s v="אבו ג'מאע יזן זכריה"/>
        <s v="אבו מדיע'ם גאליה"/>
        <s v="אבו סבייח מאי זוהיר"/>
        <s v="אבו סבייח פאיזה"/>
        <s v="אלקרעאן אמין עקל"/>
        <s v="אלקרעאן ג'וואד אברהים"/>
        <s v="אלקרעאן מאלק אברהים"/>
        <s v="אלקרעאן מחמד ד'יב"/>
        <s v="בן ארצי חנה"/>
        <s v="ברודש שירז דניאל"/>
        <s v="גבאי מור"/>
        <s v="ז'וקוב ולדימיר"/>
        <s v="חטאב יהושוע"/>
        <s v="מסקאלצ'י נתנאל"/>
        <s v="מסקאלצ'י רפאל מאיר"/>
        <s v="פהימי רפאל"/>
        <s v="פרץ אבשלום יאיר"/>
        <s v="אבוהרון רוני"/>
        <s v="אוחיון אליעד"/>
        <s v="אוחיון משה"/>
        <s v="אילוז יגאל"/>
        <s v="אלעזרי יונתן"/>
        <s v="בוזגלו אבי"/>
        <s v="גורי אריאל רפאל"/>
        <s v="גורי רואי חיים"/>
        <s v="לוגסי ניסים"/>
        <s v="ליזמי מיכאל"/>
        <s v="סעיד נהוראי"/>
        <s v="צ'אנה ישראל"/>
        <s v="צידון אבי"/>
        <s v="אלטון דרור"/>
        <s v="אלם מארו"/>
        <s v="אמיתי נהוראי לוי"/>
        <s v="אמר רגב"/>
        <s v="אסתו אור"/>
        <s v="ארז אריאל"/>
        <s v="באלוי עידן"/>
        <s v="בוגלה אדיר אישטו"/>
        <s v="בוחניק לביא"/>
        <s v="בזגודוב דניאל"/>
        <s v="ביבי אוריאל"/>
        <s v="ביננשטוק עידו"/>
        <s v="בליך ודים"/>
        <s v="בן דוד ברק"/>
        <s v="בן יהודה איתמר"/>
        <s v="בן יעקב יעד"/>
        <s v="בן משה (מושיאשוילי) מיכאל"/>
        <s v="בר (בן מוחה) ליאון"/>
        <s v="בר עם נטע"/>
        <s v="ברנס שלו"/>
        <s v="ברק תומר"/>
        <s v="גאורי אדיר"/>
        <s v="גבאי יובל"/>
        <s v="גברה עומר"/>
        <s v="גדליה יוסף מלאכי"/>
        <s v="גואטה עמית"/>
        <s v="גליסקו איתי אופק"/>
        <s v="גמזו אילי"/>
        <s v="דגן שלו"/>
        <s v="דהן שקד"/>
        <s v="דוידוביץ׳ שלומי"/>
        <s v="דיין ירון מוריס"/>
        <s v="וולף עומר"/>
        <s v="זוהר ירון"/>
        <s v="זכאי דביר"/>
        <s v="חובלאשוילי אברהם"/>
        <s v="טהר יוסף (יוסי)"/>
        <s v="יאנג נתנאל"/>
        <s v="יואב מיכאל"/>
        <s v="יונה בנימין גבריאל"/>
        <s v="יענקלוב בר"/>
        <s v="ירוחין אופיר"/>
        <s v="כהן איתמר"/>
        <s v="כהן דנית"/>
        <s v="לב בנימין"/>
        <s v="לביא אמיר"/>
        <s v="לוגאסי שמעון יוחאי"/>
        <s v="לוי טל"/>
        <s v="לוי יקיר"/>
        <s v="ליאר נתן חי"/>
        <s v="מזרחי אור"/>
        <s v="מידאני סהר"/>
        <s v="מלכה אור"/>
        <s v="ממן טל"/>
        <s v="מקייס לידור"/>
        <s v="מרציאנו אריק יהודה"/>
        <s v="נגר תומר"/>
        <s v="נידם שוהם שלמה"/>
        <s v="סמוילוב אמיל"/>
        <s v="סעודין סהר"/>
        <s v="סקורי אמיר"/>
        <s v="סקיפקביץ' ויטלי"/>
        <s v="סקריסבסקי רודי"/>
        <s v="עדן חיים מאיר"/>
        <s v="עזיזוב ליאור"/>
        <s v="פרץ עמרי"/>
        <s v="צ'אפל רועי"/>
        <s v="צור יהונתן"/>
        <s v="צור עדי"/>
        <s v="ציוני אופיר"/>
        <s v="צירינג אריה שלמה"/>
        <s v="צפיר דדו"/>
        <s v="קוצרו נתיב"/>
        <s v="קיעאן חביב"/>
        <s v="ראשד דניאל"/>
        <s v="רבינוב מקס"/>
        <s v="רסלר דביר חיים"/>
        <s v="רפאל שלום מאור"/>
        <s v="רשטניקוב שלמה"/>
        <s v="רתנר דוד"/>
        <s v="שי ירון אורי"/>
        <s v="שלומי רום"/>
        <s v="ישראל שני עידו"/>
        <s v="שפרבר דניאל"/>
        <s v="שקותאי גלי רועי"/>
        <s v="טהר אדיר"/>
        <s v="אהרן יוגב"/>
        <s v="אוחיון אביתר"/>
        <s v="בזק גיא"/>
        <s v="בטיטו ראם מאיר"/>
        <s v="בלאי בנימין"/>
        <s v="בן חמו מיכאל"/>
        <s v="בן מוחה עילי נועם"/>
        <s v="טקה בנימין טשגר"/>
        <s v="מיטלמן דוד"/>
        <s v="סביצקי יונתן"/>
        <s v="סגל אוריאל"/>
        <s v="פלד עמית"/>
        <s v="פרץ רז (רזיאל)"/>
        <s v="רובין עמיחי שמעון"/>
        <s v="רוזנשטיין בר"/>
        <s v="שני אורי מרדכי"/>
        <s v="ששון אלעד מיכאל"/>
        <s v="ראוכברגר שילה"/>
        <s v="אברמוביץ' נועם"/>
        <s v="איל אמיר"/>
        <s v="אילת שיר"/>
        <s v="אמויאל דולב"/>
        <s v="אסראף סיון שמחה"/>
        <s v="אשל רוני"/>
        <s v="אשרם שי"/>
        <s v="ביטון שיר"/>
        <s v="בן שטרית שמעון אלרואי"/>
        <s v="גלס ים"/>
        <s v="גרומן עדי"/>
        <s v="דוכן יוחאי"/>
        <s v="הר אבן שילה"/>
        <s v="ויאלובו פולו מיה"/>
        <s v="חג'ג' אביב"/>
        <s v="חיים פור שיראל"/>
        <s v="יוגב בועז מנשה"/>
        <s v="יעבץ יפתח"/>
        <s v="כהן הדר מרים"/>
        <s v="כרמי אורי"/>
        <s v="לזימי דור"/>
        <s v="לייבושור יעל"/>
        <s v="לנדמן עדי"/>
        <s v="מור שיראל"/>
        <s v="נימרי עדן"/>
        <s v="ניסני שחף"/>
        <s v="סיבוני נאור"/>
        <s v="עמר שירת ים"/>
        <s v="פיטוסי ישי"/>
        <s v="פלד ירין מארי"/>
        <s v="פרייס נועה"/>
        <s v="קרסנינסקי יעקב (יענקי) שלמה"/>
        <s v="רון איתי אברהם"/>
        <s v="שוחט שירה"/>
        <s v="דקל נחמן"/>
        <s v="מוסט עמית"/>
        <s v="מלמן אופיר"/>
        <s v="סעדון הלל שמואל"/>
        <s v="שוורץ שגב"/>
        <s v="סויסה דקל"/>
        <s v="פרי רועי"/>
        <s v="אסייג רווית חנה"/>
        <s v="סאלם פלג"/>
        <s v="אביטל גיל"/>
        <s v="בן יעקב ליאור"/>
        <s v="אסולין דן"/>
        <s v="נחמיאס איתי"/>
        <s v="בהרב רבינוביץ' עדי"/>
        <s v="דולב תומר"/>
        <s v="וקס יגאל"/>
        <s v="וקס עמית"/>
        <s v="שטרן אורן"/>
        <s v="תעסה גיל"/>
        <s v="כהן אביעד גד"/>
        <s v="סויד בכור חי"/>
        <s v="שישפורטיש ראובן"/>
        <s v="דוידיאן אופיר"/>
        <s v="לוי ליאור"/>
        <s v="עיש איתמר"/>
        <s v="פרבוסודובה אלינה"/>
        <s v="פרש אהרון"/>
        <s v="שלמה שיר"/>
        <s v="אביטל אור"/>
        <s v="אלון לוי עדן"/>
        <s v="בוני נעמה"/>
        <s v="בן סימון אדר"/>
        <s v="בר שדה עילי"/>
        <s v="גולן יונתן"/>
        <s v="טל סהר"/>
        <s v="טסטה אופיר"/>
        <s v="לוקר אורי"/>
        <s v="ליבוביץ' תומר"/>
        <s v="לישה דביר"/>
        <s v="מאור איתי"/>
        <s v="מוזס אור"/>
        <s v="מלייב יואב"/>
        <s v="משה אוראל"/>
        <s v="נגרי נריה אהרון"/>
        <s v="עבודי אדיר"/>
        <s v="ניב פיירשטיין עומרי"/>
        <s v="צור עמית"/>
        <s v="קמינקא ינאי"/>
        <s v="בן יעקב יובל"/>
        <s v="הרוש עידו"/>
        <s v="אבן מרעי סלמאן"/>
        <s v="אברהם אוריאל"/>
        <s v="אברהם דבי (דבורה)"/>
        <s v="בלוכמן יקיר"/>
        <s v="ברזילי אושר שמחה"/>
        <s v="הנקין אברהם"/>
        <s v="ח'רובה איברהים"/>
        <s v="יהושע עידו"/>
        <s v="ינין סיון"/>
        <s v="יפרח אליאור"/>
        <s v="כהן יוראי אליהו"/>
        <s v="מחלוף סהר ציון"/>
        <s v="שלמה משהאל"/>
        <s v="סיון בר"/>
        <s v="עזר עילי"/>
        <s v="עמאר נתאי"/>
        <s v="פלורס גרסיה ברנדו דוד"/>
        <s v="רז עידן"/>
        <s v="שיינקמן סטניסלב"/>
        <s v="שמעיה אושר"/>
        <s v="אדרי עידו"/>
        <s v="אליהו אביב"/>
        <s v="אלמלם מתן (קידו)"/>
        <s v="ארביב אופק"/>
        <s v="באוסי איתי יהודה"/>
        <s v="דוקרקר קים"/>
        <s v="דראושה עווד"/>
        <s v="ווקסר דאונוב יוליה"/>
        <s v="חושן הדר"/>
        <s v="חנום חזי (יחזקאל)"/>
        <s v="טוויג יפתח דן"/>
        <s v="טויטו עדיאל"/>
        <s v="טיברג אברהם גלעד"/>
        <s v="טשרניחובסקי אורי"/>
        <s v="לוק אלכסנדר (אלכס)"/>
        <s v="ליבוביץ' שרון"/>
        <s v="מרלו ג'ייק"/>
        <s v="נחמן עילי"/>
        <s v="סאסי אבי"/>
        <s v="קנפו שי אל"/>
        <s v="קרסיק ויטלי"/>
        <s v="רחמני שרון"/>
        <s v="ריבלין אביעד שר שלום"/>
        <s v="ריבלין גדעון הראל"/>
        <s v="ריכטר יונתן (שפיק)"/>
        <s v="רם עמרי"/>
        <s v="שפירא ענר אליקים"/>
        <s v="נעים אמיר"/>
        <s v="אבני חגי"/>
        <s v="אברג'יל אלירן"/>
        <s v="אוחנה אריאל"/>
        <s v="אליהו אריאל"/>
        <s v="בויום גיל"/>
        <s v="בלקין עמרי"/>
        <s v="בן דוד נריה"/>
        <s v="גוטין יונתן"/>
        <s v="גולן שגיא"/>
        <s v="גינסברג אלי"/>
        <s v="גנות דן"/>
        <s v="גנסיה ולנטין (אלי)"/>
        <s v="דוידוב ג'יאר"/>
        <s v="דנילוב בוריס"/>
        <s v="חדד איתן"/>
        <s v="טרקינסקי בנימין (בנג׳י)"/>
        <s v="יהושע איתי"/>
        <s v="כהן אהד (בודי)"/>
        <s v="כהן שילה"/>
        <s v="לקס נווה אלעזר"/>
        <s v="מאיר דוד חיים"/>
        <s v="מולוגטה גדיף"/>
        <s v="מנגדי דור"/>
        <s v="נגרי רועי"/>
        <s v="עמר אבי"/>
        <s v="צמח שחר"/>
        <s v="קלמנזון אלחנן מאיר"/>
        <s v="קראוניק אריה (אריק)"/>
        <s v="רוסו אופק"/>
        <s v="אלון אוראל שלום"/>
        <s v="מונס אלמוסנינו לירן"/>
        <s v="גורני יפתח"/>
        <s v="כצמן חיים ישורון"/>
        <s v="קורין אברהם גבריאל"/>
        <s v="חוברה עידו"/>
        <s v="מלכה מתן"/>
        <s v="מרגוליס סער"/>
        <s v="אביאני שחר"/>
        <s v="אילון טל"/>
        <s v="ברגשטיין שחף"/>
        <s v="ברונשטיין בן"/>
        <s v="ברעם אביב"/>
        <s v="דושי רותם"/>
        <s v="הנדי אברהם חננאל"/>
        <s v="ונינו עמיחי יעקב"/>
        <s v="זיסר עילי"/>
        <s v="כהן טל"/>
        <s v="ליבשטיין אופיר"/>
        <s v="מיכאלי עמרי"/>
        <s v="נהרי רועי"/>
        <s v="סלומון יובל"/>
        <s v="עדני איליי"/>
        <s v="עמיקם נדב"/>
        <s v="פישר אמיר"/>
        <s v="צור אמיר"/>
        <s v="קמה הדר"/>
        <s v="רוסו אורי שמעון"/>
        <s v="רן אור יוסף"/>
        <s v="בן הרוש שהם משה"/>
        <s v="וייזר רועי חיים"/>
        <s v="ויצן ישראל עמיחי"/>
        <s v="רזיאל (רוזנברג) ידידיה משה"/>
        <s v="שוהם תומר"/>
        <s v="שטיינברג יהונתן"/>
        <s v="ירון אופיר מרדכי"/>
        <s v="פליישר אברהם (אבי)"/>
        <s v="בוכריס חן"/>
        <s v="ברקת רועי"/>
        <s v="ירחי דור"/>
        <s v="פוסלושני רן"/>
        <s v="פיורנטינו אילן"/>
        <s v="רוזנטל אפיק"/>
        <s v="אברהם בועז"/>
        <s v="ארזי אופק"/>
        <s v="חיימי טל"/>
        <s v="שחר ירון ויקטור"/>
        <s v="אצילי אביב"/>
        <s v="אברג'יל מתן"/>
        <s v="גנדל רומן"/>
        <s v="אגמון אדם"/>
        <s v="אחימס תומר יעקב"/>
        <s v="אלפסי אורן"/>
        <s v="ברודסקי קיריל"/>
        <s v="חממי אסף"/>
        <s v="פוזדניאקוב אליק"/>
        <s v="ארז אופיר"/>
        <s v="יעקב מזרחי תומר"/>
        <s v="קליין אייל"/>
        <s v="נגבי רם"/>
        <s v="כהן איתי"/>
        <s v="סלוטקי ישי"/>
        <s v="סלוטקי נועם"/>
        <s v="רוזנטל עידו"/>
        <s v="אוחנדוב אמין"/>
        <s v="בודובסקי אלכסיי"/>
        <s v="בוזוקושווילי יצחק (בוזוקה)"/>
        <s v="בן בסט יותם"/>
        <s v="בן משה אריאל"/>
        <s v="ברד אלון"/>
        <s v="לוי רועי יוסף"/>
        <s v="מרקוביצ'י אהרון ארתור"/>
        <s v="פושיבאי אנדריי"/>
        <s v="קרים מליק"/>
        <s v="רוטנברג נועם אלימלך"/>
        <s v="שמחי גיא"/>
        <s v="שמיר מרדכי (מוטי)"/>
        <s v="שמעיה יעקב (קובי)"/>
        <s v="אבו סבילה עאמר"/>
        <s v="אברג'ל מאיר"/>
        <s v="בלנקי דניס"/>
        <s v="בן דיין דוד"/>
        <s v="ברוכים יוסף איתמר"/>
        <s v="גולימה סמצאו שמואל"/>
        <s v="גרושקה טל"/>
        <s v="הרוש אליהו מיכאל"/>
        <s v="מרציאנו איתי אליהו"/>
        <s v="נאמן איתן מנחם"/>
        <s v="נחמיאס חן"/>
        <s v="צבאן שלום"/>
        <s v="קאדר יהודה"/>
        <s v="קוזמיצקס מרטין"/>
        <s v="רובינשטיין בן"/>
        <s v="שלמה אדיר"/>
        <s v="שמקלוב אלכסיי"/>
        <s v="שקורי מור"/>
        <s v="אילוז גיא"/>
        <s v="טאללקה סאמר פואד"/>
        <s v="אנגל רונן"/>
        <s v="בייזר ניק"/>
        <s v="ברוך סהר"/>
        <s v="גורן מיה"/>
        <s v="וייס יהודית"/>
        <s v="זכריה עדן"/>
        <s v="זלמנוביץ' אריה"/>
        <s v="חיים יותם"/>
        <s v="טולדנו אליה"/>
        <s v="לוי איתן"/>
        <s v="לוק שני ניקול"/>
        <s v="מרגלית אליהו (צ'רצ'יל)"/>
        <s v="מרציאנו נועה"/>
        <s v="סמרנו יונתן מרדכי"/>
        <s v="קידר עופרה"/>
        <s v="שמריז אלון (לולו)"/>
        <s v="שרמן רון"/>
        <s v="Mollel Joshua Loitu"/>
        <s v="אברהים מאג'ד"/>
        <s v="אבו קרינאת נעאמה"/>
        <s v="Natalia Demidova"/>
        <s v="הייניק ראובן"/>
        <s v="וייס אילן"/>
        <s v="הלל יותם"/>
        <s v="כהן עמית"/>
        <s v="אמסלם אביחי"/>
        <s v="הימן ענבר"/>
        <s v="דנינו דניאל משה"/>
        <s v="איוס ניב"/>
        <s v="הליבני יובל"/>
        <s v="ויינשטיין ג'ודי"/>
        <s v="חגי גדי"/>
        <s v="אדר תמיר"/>
        <s v="מאסלי אלכסנדר"/>
        <s v="שדה דור"/>
        <s v="מלקמו אביאל"/>
        <s v="Diawthaisong Jakkapan"/>
        <s v="Champasim Saksit"/>
        <s v="Ra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עלוש דני"/>
        <s v="דניאלי טל"/>
        <s v="סבירסקי איתי"/>
        <s v="שרעבי יוסי"/>
        <s v="לוינסון שי"/>
        <s v="Goyitom Gebrehiyet"/>
        <s v="Berhe Wolderaphael Hagos"/>
        <s v="גואילי רן"/>
        <s v="יעקב יאיר"/>
        <s v="דניאל עוז"/>
        <s v="חן איתי"/>
        <s v="פרץ דניאל"/>
        <s v="ברוך אוריאל"/>
        <s v="בראווי האשם"/>
        <s v="מסרי סוהייל"/>
        <s v="אלמסרי חורי"/>
        <s v="אלעטאר סלימאן"/>
        <s v="גאנם זיאד"/>
        <s v="קציר אלעד"/>
        <s v="אור דרור"/>
        <s v="ליבמן אליקים"/>
        <s v="רודאיף ליאור"/>
        <s v="Shi Zhenhong"/>
        <s v="Liu Jianhe"/>
        <s v="Liu Zhiguo"/>
        <s v="Oakkharasri Sonthaya"/>
        <s v="Rinthalak Sudthisak"/>
        <s v="בוסקילה עמית"/>
        <s v="גלרנטר יצחק (איציק)"/>
        <s v="בנימין רון"/>
        <s v="ניסנבאום מישל"/>
        <s v="ראדו אוריון הרננדס"/>
        <s v="יבלונקה חנן"/>
        <s v="יהוד דולב"/>
      </sharedItems>
    </cacheField>
    <cacheField name="age" numFmtId="0">
      <sharedItems containsString="0" containsBlank="1" containsNumber="1" containsInteger="1">
        <n v="77.0"/>
        <n v="35.0"/>
        <n v="28.0"/>
        <n v="53.0"/>
        <n v="58.0"/>
        <n v="39.0"/>
        <n v="45.0"/>
        <n v="81.0"/>
        <n v="56.0"/>
        <n v="43.0"/>
        <n v="52.0"/>
        <n v="29.0"/>
        <n v="25.0"/>
        <n v="66.0"/>
        <n v="61.0"/>
        <n v="76.0"/>
        <n v="65.0"/>
        <n v="86.0"/>
        <n v="78.0"/>
        <n v="40.0"/>
        <n v="68.0"/>
        <n v="71.0"/>
        <n v="70.0"/>
        <n v="17.0"/>
        <n v="63.0"/>
        <n v="24.0"/>
        <n v="64.0"/>
        <n v="33.0"/>
        <n v="34.0"/>
        <n v="36.0"/>
        <n v="4.0"/>
        <n v="7.0"/>
        <n v="48.0"/>
        <n v="26.0"/>
        <n v="49.0"/>
        <n v="47.0"/>
        <n v="38.0"/>
        <n v="22.0"/>
        <n v="27.0"/>
        <n v="42.0"/>
        <n v="31.0"/>
        <n v="37.0"/>
        <n v="54.0"/>
        <n v="60.0"/>
        <n v="18.0"/>
        <n v="21.0"/>
        <n v="72.0"/>
        <n v="32.0"/>
        <n v="67.0"/>
        <n v="59.0"/>
        <n v="62.0"/>
        <n v="30.0"/>
        <n v="23.0"/>
        <n v="41.0"/>
        <n v="57.0"/>
        <n v="20.0"/>
        <n v="44.0"/>
        <n v="46.0"/>
        <n v="50.0"/>
        <n v="19.0"/>
        <n v="74.0"/>
        <n v="16.0"/>
        <n v="14.0"/>
        <n v="51.0"/>
        <n v="15.0"/>
        <n v="75.0"/>
        <n v="73.0"/>
        <n v="69.0"/>
        <n v="12.0"/>
        <n v="0.0"/>
        <n v="87.0"/>
        <n v="80.0"/>
        <n v="84.0"/>
        <n v="88.0"/>
        <n v="13.0"/>
        <n v="91.0"/>
        <n v="90.0"/>
        <n v="85.0"/>
        <n v="79.0"/>
        <n v="5.0"/>
        <n v="2.0"/>
        <n v="55.0"/>
        <n v="9.0"/>
        <m/>
      </sharedItems>
    </cacheField>
    <cacheField name="residence" numFmtId="0">
      <sharedItems>
        <s v="אופקים"/>
        <s v="ערערה בנגב"/>
        <s v="טבריה"/>
        <s v="גילת"/>
        <s v="רהט"/>
        <s v="אשדוד"/>
        <s v="אשקלון"/>
        <s v="באר שבע"/>
        <s v="רמת גן"/>
        <s v="בית שקמה"/>
        <s v="נתיב העשרה"/>
        <s v="עמיעוז"/>
        <s v="מבקיעים"/>
        <s v="ניר יצחק"/>
        <s v="הוד השרון"/>
        <s v="שדה ניצן"/>
        <s v="פיליפינים"/>
        <s v="סודן"/>
        <s v="תאילנד"/>
        <s v="קמבודיה"/>
        <s v="טנזניה"/>
        <s v="יכיני"/>
        <s v="צוהר"/>
        <s v="דקל"/>
        <s v="כפר סבא"/>
        <s v="יתד"/>
        <s v="נען"/>
        <s v="חולון"/>
        <s v="נס ציונה"/>
        <s v="נוקדים"/>
        <s v="רנן"/>
        <s v="קריית גת"/>
        <s v="קריית אונו"/>
        <s v="ישע"/>
        <s v="דימונה"/>
        <s v="מודיעין מכבים רעות"/>
        <s v="נהריה"/>
        <s v="אבו תלול"/>
        <s v="ירושלים"/>
        <s v="תל שבע"/>
        <s v="ראש העין"/>
        <s v="אילת"/>
        <s v="גן חיים"/>
        <s v="קיסריה"/>
        <s v="מרכז שפירא"/>
        <s v="בית אריה"/>
        <s v="פרדס חנה-כרכור"/>
        <s v="חדרה"/>
        <s v="תל אביב"/>
        <s v="לפיד"/>
        <s v="טירת הכרמל"/>
        <s v="ראשון לציון"/>
        <s v="קריית מלאכי"/>
        <s v="אליכין"/>
        <s v="גני תקווה"/>
        <s v="ענתות"/>
        <s v="כיסופים"/>
        <s v="כסייפה"/>
        <s v="בני ברק"/>
        <s v="קריית ביאליק"/>
        <s v="רעננה"/>
        <s v="עפולה"/>
        <s v="פתח תקווה"/>
        <s v="חד נס"/>
        <s v="אבן יהודה"/>
        <s v="סעד"/>
        <s v="הרצליה"/>
        <s v="עצמון"/>
        <s v="נתניה"/>
        <s v="בית אלפא"/>
        <s v="גן השומרון"/>
        <s v="כרמיאל"/>
        <s v="כפר מסריק"/>
        <s v="בית נחמיה"/>
        <s v="ביתר עלית"/>
        <s v="מבטחים"/>
        <s v="רחובות"/>
        <s v="צור משה"/>
        <s v="אור עקיבא"/>
        <s v="צפת"/>
        <s v="חיפה"/>
        <s v="אחוזת ברק"/>
        <s v="כפר יונה"/>
        <s v="שערי תקווה"/>
        <s v="גן נר"/>
        <s v="ציפורי"/>
        <s v="יקנעם עילית"/>
        <s v="כפר בן נון"/>
        <s v="גן יבנה"/>
        <s v="עומר"/>
        <s v="קדרון"/>
        <s v="בת ים"/>
        <s v="צופים"/>
        <s v="קריית ים"/>
        <s v="בית דגן"/>
        <s v="בית שמש"/>
        <s v="גבעון"/>
        <s v="להבים"/>
        <s v="צוחר"/>
        <s v="גדרה"/>
        <s v="עין המפרץ"/>
        <s v="גן הדרום"/>
        <s v="פלמחים"/>
        <s v="אלפי מנשה"/>
        <s v="מזכרת בתיה"/>
        <s v="אלעזר"/>
        <s v="רמת השרון"/>
        <s v="כפר ורבורג"/>
        <s v="מצפה עדי"/>
        <s v="גבים"/>
        <s v="רמלה"/>
        <s v="יהוד מונוסון"/>
        <s v="מחולה"/>
        <s v="בית חשמונאי"/>
        <s v="אזור"/>
        <s v="מיתר"/>
        <s v="מעלות תרשיחא"/>
        <s v="נווה ימין"/>
        <s v="פרדסיה"/>
        <s v="שדי חמד"/>
        <s v="חריש"/>
        <s v="פדויים"/>
        <s v="שדה נחום"/>
        <s v="קבוצת יבנה"/>
        <s v="קרני שומרון"/>
        <s v="שוהם"/>
        <s v="חניאל"/>
        <s v="כפר הס"/>
        <s v="גבעת זאב"/>
        <s v="גבעתי"/>
        <s v="נווה אור"/>
        <s v="יבנה"/>
        <s v="קריית עקרון"/>
        <s v="הסוללים"/>
        <s v="זכרון יעקב"/>
        <s v="בית שאן"/>
        <s v="תל מונד"/>
        <s v="אריאל"/>
        <s v="קריית חיים"/>
        <s v="קריית אתא"/>
        <s v="קרית אתא"/>
        <s v="ניר בנים"/>
        <s v="תלמי יוסף"/>
        <s v="שדרות"/>
        <s v="סמר"/>
        <s v="קריית מוצקין"/>
        <s v="רמת ישי"/>
        <s v="נשר"/>
        <s v="מבשרת"/>
        <s v="שפיר"/>
        <s v="בארי"/>
        <s v="בית יצחק"/>
        <s v="כפר תבור"/>
        <s v="קציר"/>
        <s v="לוד"/>
        <s v="ניר עם"/>
        <s v="משמר איילון"/>
        <s v="עין שמר"/>
        <s v="משואות יצחק"/>
        <s v="כפר עזה"/>
        <s v="נתיבות"/>
        <s v="סרי לנקה"/>
        <s v="חולית"/>
        <s v="מולדובה"/>
        <s v="כפר חיים"/>
        <s v="נחל עוז"/>
        <s v="ניר עוז"/>
        <s v="גרמניה"/>
        <s v="בריטניה"/>
        <s v="נירים"/>
        <s v="סופה"/>
        <s v="עין השלושה"/>
        <s v="קריית ארבע"/>
        <s v="נפאל"/>
        <s v="רעים"/>
        <s v="שגב שלום"/>
        <s v="סין"/>
        <s v="כפר כוחלה"/>
        <s v="אבו קרינאת"/>
        <s v="כפר אביב"/>
        <s v="רמות מאיר"/>
        <s v="אלון שבות"/>
        <s v="יבול"/>
        <s v="צורית"/>
        <s v="רינתיה"/>
        <s v="שדה נחמיה"/>
        <s v="עמקה"/>
        <s v="שלומית"/>
        <s v="כפר ברוך"/>
        <s v="גבעת חיים איחוד"/>
        <s v="ביצרון"/>
        <s v="גבעת שמואל"/>
        <s v="עכו"/>
        <s v="מורשת"/>
        <s v="קריית שמונה"/>
        <s v="אוהד"/>
        <s v="קדומים"/>
        <s v="מעלה אדומים"/>
        <s v="חורה"/>
        <s v="שפרעם"/>
        <s v="ערוגות"/>
        <s v="קדימה צורן"/>
        <s v="גנות"/>
        <s v="צופר"/>
        <s v="כוכב יאיר"/>
        <s v="מודיעין עילית"/>
        <s v="מוצא עלית"/>
        <s v="עלי"/>
        <s v="גבעת ברנר"/>
        <s v="כפר שמואל"/>
        <s v="צור יצחק"/>
        <s v="חוגלה"/>
        <s v="עלמון"/>
        <s v="גבעתיים"/>
        <s v="טלמון"/>
        <s v="זיתן"/>
        <s v="גיאה"/>
        <s v="מבועים"/>
        <s v="עמנואל"/>
        <s v="מעלה מכמש"/>
        <s v="בר-גיורא"/>
        <s v="פטיש"/>
        <s v="מרום גולן"/>
        <s v="נירית"/>
        <s v="נווה זיו"/>
        <s v="צרעה"/>
        <s v="ניצן"/>
        <s v="רכסים"/>
        <s v="צור הדסה"/>
        <s v="כפר מנחם"/>
        <s v="מצפה רמון"/>
        <s v="אלון"/>
        <s v="מע'אר"/>
        <s v="איילת השחר"/>
        <s v="ערד"/>
        <s v="שפיים"/>
        <s v="עלומים"/>
        <s v="באר יעקב"/>
        <s v="אלקוש"/>
        <s v="איכסאל"/>
        <s v="עזריה"/>
        <s v="קנדה"/>
        <s v="אבשלום"/>
        <s v="לוס אנג׳לס"/>
        <s v="עתניאל"/>
        <s v="עין הוד"/>
        <s v="עשרת"/>
        <s v="ארז"/>
        <s v="רבדים"/>
        <s v="מצפה יריחו"/>
        <s v="דברת"/>
        <s v="חדיד"/>
        <s v="עידן"/>
        <s v="עוצם"/>
        <s v="כמהין"/>
        <s v="באר מילכה"/>
        <s v="גשר הזיו"/>
        <s v="שמשית"/>
        <s v="קצרין"/>
        <s v="גבעת אלה"/>
        <s v="גני טל"/>
        <s v="אורה"/>
        <s v="גבעת שפירא"/>
        <s v="איתמר"/>
        <s v="חספין"/>
        <s v="אפרת"/>
        <s v="כרם שלום"/>
        <s v="שריגים"/>
        <s v="שומריה"/>
        <s v="מגן"/>
        <s v="חרמש"/>
        <s v="כמון"/>
        <s v="הושעיה"/>
        <s v="כפר הרי&quot;ף"/>
        <s v="בן שמן"/>
        <s v="בת חפר"/>
        <s v="שבי ציון"/>
        <s v="חוות יאיר"/>
        <s v="ניר עקיבא"/>
        <s v="בית עריף"/>
        <s v="טנא"/>
        <s v="עין בשור"/>
        <s v="אבו גוש"/>
        <s v="אוקראינה"/>
        <s v="ברקת"/>
        <s v="משגב דב"/>
        <s v="גבעת אבני"/>
        <s v="אריתריאה"/>
        <s v="יד בנימין"/>
        <s v="טבעון"/>
        <s v="עזה"/>
        <s v="קרית ארבע"/>
        <s v="אירוס"/>
        <s v="מקסיקו"/>
      </sharedItems>
    </cacheField>
    <cacheField name="sex" numFmtId="0">
      <sharedItems>
        <s v="גבר"/>
        <s v="אישה"/>
        <s v="ילדה"/>
        <s v="ילד"/>
      </sharedItems>
    </cacheField>
    <cacheField name="citizenGroup" numFmtId="0">
      <sharedItems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</sharedItems>
    </cacheField>
    <cacheField name="rank" numFmtId="0">
      <sharedItems containsBlank="1">
        <m/>
        <s v="רס״ל"/>
        <s v="סמ״ר"/>
        <s v="סמל"/>
        <s v="סרן"/>
        <s v="רס״ב"/>
        <s v="רב״ט"/>
        <s v="רס״ן"/>
        <s v="רס״מ"/>
        <s v="רנ״ג"/>
        <s v="רס״ר"/>
        <s v="פקד"/>
        <s v="רפ״ק"/>
        <s v="סנ״צ"/>
        <s v="אל״ם"/>
        <s v="סגן"/>
        <s v="רס״ם"/>
        <s v="סא״ל"/>
        <s v="סמ״ש"/>
        <s v="נצ״מ"/>
        <s v="סרן (במיל')"/>
        <s v="סגן טפסר"/>
        <s v="סמ&quot;ר"/>
        <s v="רס&quot;ל"/>
      </sharedItems>
    </cacheField>
    <cacheField name="date">
      <sharedItems containsMixedTypes="1" containsNumber="1" containsInteger="1">
        <s v="07.10.2023"/>
        <n v="2023.0"/>
        <s v="08.10.2023"/>
        <s v="09.10.2023"/>
        <s v="14.10.2023"/>
        <s v="15.12.2023"/>
        <s v="10.11.2023"/>
        <s v="08.12.2023"/>
        <s v="17.11.2023"/>
        <s v="09.11.2023"/>
        <s v="14.01.2024"/>
        <s v="10.01.2024"/>
        <s v="15.01.2024"/>
      </sharedItems>
    </cacheField>
    <cacheField name="location" numFmtId="0">
      <sharedItems>
        <s v="צומת מגן"/>
        <s v="צומת מעון"/>
        <s v="אופקים"/>
        <s v="אנדרטת חץ שחור"/>
        <s v="צומת קרית חינוך מרחבים"/>
        <s v="חוף זיקים; מיגונית"/>
        <s v="חוף זיקים"/>
        <s v="חוף זיקים; שירותים"/>
        <s v="עמיעוז"/>
        <s v="ירי בשוגג ליד תחנת כח רוטנברג"/>
        <s v="נתיב העשרה - ארז"/>
        <s v="ניר יצחק"/>
        <s v="צומת גמה"/>
        <s v="שדות יכיני"/>
        <s v="סמוך למפלסים"/>
        <s v="צומת שער הנגב"/>
        <s v="סמוך לנובה"/>
        <s v="צומת מבטחים"/>
        <s v="דרומית לגבים"/>
        <s v="שדרות"/>
        <s v="ניר עוז"/>
        <s v="חולית"/>
        <s v="עלומים; מגורי עובדים"/>
        <s v="כיסופים"/>
        <s v="כפר עזה"/>
        <s v="ישע"/>
        <s v="יכיני"/>
        <s v="מזרחית לניר יצחק"/>
        <s v="נתיב העשרה"/>
        <s v="מיגונית בצומת בארי"/>
        <s v="סמוך לצומת גמה"/>
        <s v="שער ניר עוז"/>
        <s v="מדרום לצומת גמה"/>
        <s v="פסטיבל נובה; מיגונית חניון רעים"/>
        <s v="מזרחית לצומת מעון"/>
        <s v="בארי; ארוע בני ערובה"/>
        <s v="מיגונית בכניסה לרעים (מערב)"/>
        <s v="פסטיבל נובה; סמוך למכולות הצהובות"/>
        <s v="מיגונית בכניסה לרעים (מזרח)"/>
        <s v="סמוך למיגונית בצומת גמה (דרום)"/>
        <s v="פסטיבל נובה; במה מרכזית"/>
        <s v="פסטיבל נובה"/>
        <s v="פסטיבל נובה; בר צפוני"/>
        <s v="סמוך לצומת בארי"/>
        <s v="בכניסה לעלומים"/>
        <s v="מיגונית בכניסה לעלומים"/>
        <s v="סמוך לתל גמה"/>
        <s v="ירי בשוגג בעלומים"/>
        <s v="כביש שער הנגב מפלסים"/>
        <s v="סמוך לצומת רעים"/>
        <s v="מיגונית בצומת גמה (צפון)"/>
        <s v="מיגונית בצומת גמה (מערב)"/>
        <s v="פסטיבל נובה; בר מרכזי"/>
        <s v="בכניסה לרעים"/>
        <s v="פסטיבל נובה; קמפינג"/>
        <s v="בין נובה לרעים"/>
        <s v="בארי"/>
        <s v="פסטיבל נובה; מכולות צהובות"/>
        <s v="עיקול נחל בוהו"/>
        <s v="עיקול נחל גרר"/>
        <s v="מיגונית מפלסים"/>
        <s v="כביש רעים - אורים"/>
        <s v="פסטיבל נובה; חניה"/>
        <s v="מיגונית בצומת גמה (דרום)"/>
        <s v="מזרחית לחניון רעים"/>
        <s v="פסטיבל נובה; אמבולנס"/>
        <s v="פסטיבל נובה; גשר נחל גרר"/>
        <s v="מזרחית לכניסה לרעים"/>
        <s v="כביש רעים - צומת מעון"/>
        <s v="פסטיבל נובה; חסימה בכביש 232"/>
        <s v="פסטיבל נובה; פקק ביציאה"/>
        <s v="סמוך לכיסופים"/>
        <s v="דרומית מזרחית לחניון רעים"/>
        <s v="פסטיבל נובה; שירותים כימיים"/>
        <s v="סמוך לצומת מבטחים"/>
        <s v="צפונית לצומת גמה"/>
        <s v="מערבית לצומת גמה"/>
        <s v="מזרחית לרעים"/>
        <s v="צומת ניר יצחק"/>
        <s v="סמוך למיגונית בצומת גמה (צפון)"/>
        <s v="מצפון לתל גמה"/>
        <s v="כביש יכיני יושיביה"/>
        <s v="כביש עלומים - בארי"/>
        <s v="עזה; מסגד סמוך לביה&quot;ח שיפא"/>
        <s v="רעים"/>
        <s v="נחל גרר מערב"/>
        <s v="נחל עוז"/>
        <s v="בין ניר עוז לגבול"/>
        <s v="מערבית לניר עוז"/>
        <s v="נירים"/>
        <s v="סופה"/>
        <s v="עין השלושה"/>
        <s v="צפונית לצומת שער הנגב"/>
        <s v="יד מרדכי - נתיב העשרה; קבוצת ריצה"/>
        <s v="שדרות; אוטובוס הגמלאים"/>
        <s v="ערערה בנגב"/>
        <s v="דרומית למבטחים"/>
        <s v="כוחלה"/>
        <s v="אבו קרינאת"/>
        <s v="כפר אביב"/>
        <s v="אשקלון"/>
        <s v="נתיבות"/>
        <s v="פרי גן"/>
        <s v="מוצב הבית הלבן"/>
        <s v="מוצב נחל עוז; מיגונית 13"/>
        <s v="מוצב כיסופים; מיגונית"/>
        <s v="מעבר ארז"/>
        <s v="מוצב נחל עוז; חמ&quot;ל"/>
        <s v="מוצב נחל עוז; ש.ג."/>
        <s v="מוצב סופה"/>
        <s v="מוצב פגה"/>
        <s v="מוצב נחל עוז; נמ&quot;ר"/>
        <s v="מערבית לזיקים"/>
        <s v="מוצב נחל עוז; בלונאים"/>
        <s v="מזרחית למחנה עופר"/>
        <s v="צומת שדרות דרום"/>
        <s v="שדרות; תחנת משטרה"/>
        <s v="מוצב ק2"/>
        <s v="מחנה אורים"/>
        <s v="כרם שלום"/>
        <s v="מוצב כרם שלום"/>
        <s v="מבטחים"/>
        <s v="סמוך למוצב כיסופים"/>
        <s v="מוצב נחל עוז; סמוך לבלונאים"/>
        <s v="מש&quot;א ארז"/>
        <s v="מוצב יפתח"/>
        <s v="מו&quot;פ דרום"/>
        <s v="מחנה רעים"/>
        <s v="בין סופה לחולית"/>
        <s v="מוצב כיסופים"/>
        <s v="סמוך לכביש 2424"/>
        <s v="מוצב נחל עוז; מיגונית בנות"/>
        <s v="מוצב נחל עוז; מגורים"/>
        <s v="מוצב נחל עוז; מיגונית צמא"/>
        <s v="כביש סעד - נחל עוז"/>
        <s v="ירי בשוגג בדרך לנתיב העשרה"/>
        <s v="מוצב נחל עוז; טנק א"/>
        <s v="מחנה זיקים"/>
        <s v="מוצב נחל עוז; טנק ב"/>
        <s v="סמוך למחנה רעים"/>
        <s v="כביש רעים - בארי"/>
        <s v="סמוך לארז"/>
        <s v="עמדה 91"/>
        <s v="בין יתד לאמיתי"/>
        <s v="צפונית לכרם שלום"/>
        <s v="צומת מועצה אזורית אשכול"/>
        <s v="מגן"/>
        <s v="מערבית לניר עם"/>
        <s v="עלומים"/>
        <s v="כביש מפלסים - כפר עזה"/>
        <s v="דיר אל בלח; בי&quot;ח חללי אל אקצא"/>
        <s v="ירי בשוגג בשג'אעיה"/>
        <s v="ג'באליה"/>
        <s v="רצועת עזה"/>
        <s v="עזה; מבנה סמוך לביה&quot;ח שיפא"/>
        <s v="חאן יונס; ביה&quot;ח נאצר"/>
        <s v="עזה; ביה&quot;ח שיפא"/>
        <s v="בארי הישנה"/>
        <s v="אבו גוש"/>
        <s v="מטע סמוך לבארי"/>
        <s v="ירי בשוגג ליד צומת ניצן"/>
        <s v="סמוך למחלף שורק"/>
        <s v="ירי בשוגג בצומת אבשלום"/>
        <s v="נוסייראת"/>
        <s v="חאן יונס"/>
        <s v="מטעים של בארי (מגורי עובדים)"/>
      </sharedItems>
    </cacheField>
    <cacheField name="category" numFmtId="0">
      <sharedItems>
        <s v="אזרחים וכיתות כוננות"/>
        <s v="שוטרים וכוחות הצלה"/>
        <s v="ירי רקטי"/>
        <s v="חיילים"/>
      </sharedItems>
    </cacheField>
    <cacheField name="comment" numFmtId="0">
      <sharedItems containsBlank="1">
        <m/>
        <s v="פסטיבל נובה"/>
        <s v="מידברן"/>
        <s v="מסיבת פסיידאק"/>
      </sharedItems>
    </cacheField>
    <cacheField name="eng" numFmtId="0">
      <sharedItems>
        <s v="Michael Ostrovsky"/>
        <s v="Fatma Altlakat"/>
        <s v="Ariel Bilya"/>
        <s v="Itzhak Balti"/>
        <s v="Moshe Ben Porat"/>
        <s v="Andrei Jambacov"/>
        <s v="Zoya Jambacov"/>
        <s v="Victoria Gredeskul"/>
        <s v="Sergei Gredeskul"/>
        <s v="Reuven Vizman"/>
        <s v="Zarek Hativ"/>
        <s v="Avi Zakuto"/>
        <s v="Avi Hatuel"/>
        <s v="Shimi Hayat"/>
        <s v="Aharon Haimov"/>
        <s v="Yiftach Yahnagilov"/>
        <s v="Maria Yahnagilov"/>
        <s v="Yuri Yadgarov"/>
        <s v="Rosa Yadgarov"/>
        <s v="Edna Malkamo"/>
        <s v="Anna Mishayev"/>
        <s v="Emma Poliakov"/>
        <s v="Yelizabeta Kostitzin"/>
        <s v="Binyamin Rahamim"/>
        <s v="Eliyahu Ozen"/>
        <s v="Aryeh Ozen"/>
        <s v="Alrahman Atef Alziadna Abed"/>
        <s v="John Aslanov"/>
        <s v="Benyamin Genish"/>
        <s v="Alina Weissberg"/>
        <s v="Avi Hasday"/>
        <s v="Nadav Yossef Hai Tayeb"/>
        <s v="Yuri Lisovoy"/>
        <s v="Svetlana Lisovoy"/>
        <s v="Yulia Chaben"/>
        <s v="Denil Kimenfeld"/>
        <s v="Shahaf Krief"/>
        <s v="Tal Keren"/>
        <s v="Robert Shaulov"/>
        <s v="Or Tasa"/>
        <s v="Ziva Ovitz"/>
        <s v="Adi Ohana"/>
        <s v="Chaimi Ben Naim"/>
        <s v="Oren Goldin"/>
        <s v="Vitaly Lugvinechenko"/>
        <s v="Roei moshe"/>
        <s v="Nir Popov"/>
        <s v="Ethan Kapshetar"/>
        <s v="Aline Kapshetar"/>
        <s v="Dina Kapshetar"/>
        <s v="Evgeni Kapshetar"/>
        <s v="Hagit Refaeli Mishkin"/>
        <s v="David (Dudi) Turgeman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h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Elitzur Tzuriel Hajbi"/>
        <s v="Yehonathan Hajbi"/>
        <s v="Izhar Hajbi"/>
        <s v="Osamah Abu Madi'am"/>
        <s v="Shir Yaron"/>
        <s v="Zion Levy"/>
        <s v="Marina Almagor"/>
        <s v="Or Akuni"/>
        <s v="Aryeh Akuni"/>
        <s v="Ruti Akuni"/>
        <s v="Nurit Berger"/>
        <s v="Dani Woveck"/>
        <s v="Bilha Yinon"/>
        <s v="Yaacobi Yinon"/>
        <s v="Ayelet Nir Molcho"/>
        <s v="Shlomi Molcho"/>
        <s v="Havik Segal"/>
        <s v="Moti Elkabatz"/>
        <s v="Gilad Ben-Yehuda"/>
        <s v="Yuval Ben Yehuda"/>
        <s v="Itay Hadar Houston"/>
        <s v="Dan Zomer"/>
        <s v="Noy Zafraani"/>
        <s v="Daniel Asher Cohen"/>
        <s v="Noy Maodi"/>
        <s v="Shahar Gal Kadman"/>
        <s v="Zlata Kosovsky"/>
        <s v="Savyon Chen Kipper"/>
        <s v="Yuval Rabia"/>
        <s v="Noam Rabia"/>
        <s v="Matan Rozeberg"/>
        <s v="Dor Hanan Shafir"/>
        <s v="Dudi Sharon"/>
        <s v="Shamil Abbasov"/>
        <s v="Eden Abdulayev"/>
        <s v="Musa Abu Sabila"/>
        <s v="Suhaib Abu Ame"/>
        <s v="Osama Ibrahim Abu Asa"/>
        <s v="Orel Abuhatzira"/>
        <s v="Aviv Noy"/>
        <s v="Dor Avitan"/>
        <s v="Lotan Abir"/>
        <s v="Gil Avni"/>
        <s v="Oded Abargel"/>
        <s v="Ilan Avraham"/>
        <s v="Laor Abramov"/>
        <s v="Asaf Edberg"/>
        <s v="Mapal Adam"/>
        <s v="Gili Adar"/>
        <s v="Eden Liz Ohayon"/>
        <s v="Daniel Ohana"/>
        <s v="Ben Uri"/>
        <s v="Aviel Oren"/>
        <s v="Gabi Azulay"/>
        <s v="Yohai Azulay"/>
        <s v="Yonatan Chai Azulay"/>
        <s v="Omri Ahrak"/>
        <s v="Ofek Aton"/>
        <s v="Dorin Atias"/>
        <s v="Liel Eitah"/>
        <s v="Sigal Itah"/>
        <s v="Shira Eylon"/>
        <s v="Eliya Iluz"/>
        <s v="Adam Ilaev"/>
        <s v="Iván Illarramendi Saizar"/>
        <s v="Yonatan Eliyahu"/>
        <s v="Shlomo Alfasi"/>
        <s v="Khaled al-Farajin"/>
        <s v="Einav Elkayam-Levy"/>
        <s v="Abd Al-Karim Nasasra"/>
        <s v="Shlomo Eliyahu Alshich"/>
        <s v="Shani Amin"/>
        <s v="Noa Englander"/>
        <s v="Lior Asulin"/>
        <s v="Liraz Asulin"/>
        <s v="Liav Asayag"/>
        <s v="Yarin Moshe Efraim"/>
        <s v="Noam Efraim"/>
        <s v="Matan Ekstein"/>
        <s v="Ori Arad"/>
        <s v="Nevo Arad"/>
        <s v="Dan Ariel"/>
        <s v="Ayelet Arnin"/>
        <s v="Sahar Ashuan"/>
        <s v="Dror Bahat"/>
        <s v="ortal Bubtas Ben-Ayun"/>
        <s v="Doron Bolds"/>
        <s v="Sofia Bongrat"/>
        <s v="Yarden Buskila"/>
        <s v="Neta Boaziz Morali"/>
        <s v="Raz Bokovza"/>
        <s v="Liam Gallon"/>
        <s v="Matias Burstein"/>
        <s v="Einav (Hen) Burstein"/>
        <s v="Benayahu Biton"/>
        <s v="Maya Bitton"/>
        <s v="Ariel Ben Mordechai Bitton"/>
        <s v="Nadav Biton"/>
        <s v="Oron Beiilin"/>
        <s v="Sagiv Baylin Ben Zvi"/>
        <s v="Naomie Bikhar"/>
        <s v="Sapir Bilmes"/>
        <s v="Yehuda Bachar"/>
        <s v="Chen Ben Avi"/>
        <s v="Amit (Yehuda) Ben Avida"/>
        <s v="Celine Ben-David Nagar"/>
        <s v="Ido Ben Zino"/>
        <s v="Yohay Ben Zechariah"/>
        <s v="Or Chaim Ben Hemo"/>
        <s v="Dan Ben Hemo"/>
        <s v="Shahar Ben Naim"/>
        <s v="Daniel Ben Senior"/>
        <s v="Shani Ben-Ami"/>
        <s v="Elyasif Ben Porat"/>
        <s v="Eden Ben Rubi"/>
        <s v="Itay Banjo"/>
        <s v="Din Bar"/>
        <s v="Shoham Bar"/>
        <s v="Yuval Bar-On"/>
        <s v="Gabriel Ishay Barel"/>
        <s v="Eldad (Angel) Bergman"/>
        <s v="Liron Barda"/>
        <s v="Stav Barazani"/>
        <s v="Tal Bartik"/>
        <s v="Nadav Bartal"/>
        <s v="Romi Eli Bernat"/>
        <s v="Eliyahu Ya'akov Bernstein"/>
        <s v="Ben Bernstein"/>
        <s v="Daniel Braslavsky"/>
        <s v="Ilai Baram"/>
        <s v="Shir Georgy Hanna"/>
        <s v="Liel Gherafi"/>
        <s v="Shani Gabay"/>
        <s v="Tamar Gutman"/>
        <s v="Nitzan Goldenberg"/>
        <s v="Tamar Goldenberg"/>
        <s v="Daniel Goltman"/>
        <s v="Margarita Gusak"/>
        <s v="Lilia Gurevich"/>
        <s v="Sharon Gordeni"/>
        <s v="Anton Guryonov"/>
        <s v="Victoria Gorlov"/>
        <s v="Eden Guez"/>
        <s v="Stav Gueta"/>
        <s v="Yaroslav Giler Slava"/>
        <s v="Shahar Gindi"/>
        <s v="Shalev Gal"/>
        <s v="Izabella Gandlin"/>
        <s v="Aviya Ganot"/>
        <s v="Shiran Ganon"/>
        <s v="Sefi Yossef Genis"/>
        <s v="Maor Graziani"/>
        <s v="Dafna Garcovich"/>
        <s v="Rachel Dove"/>
        <s v="Avi Dadon"/>
        <s v="Itzik Dahan"/>
        <s v="Hodaya David"/>
        <s v="Amit David"/>
        <s v="Tair David"/>
        <s v="Karina Ella Davidov"/>
        <s v="Barak Davidi"/>
        <s v="Sean Deutchvili"/>
        <s v="Idan Dor"/>
        <s v="Ronen Deitchman"/>
        <s v="Dan Damri"/>
        <s v="Kim Damti"/>
        <s v="Gal Danguri"/>
        <s v="Lynn Daphne"/>
        <s v="Sharon Hirsch"/>
        <s v="Aviad Halevi"/>
        <s v="Idan Herman"/>
        <s v="Idan Haramaty"/>
        <s v="Limor Vaknin Permuter"/>
        <s v="Daniel Vadai"/>
        <s v="Moshe Vadi"/>
        <s v="Danielle Waldman"/>
        <s v="Simon Vigdergauz"/>
        <s v="Ron Weinberg"/>
        <s v="Liel Weinstein"/>
        <s v="Bruna Valeanu"/>
        <s v="Osher Vaknin"/>
        <s v="Michael Vaknin"/>
        <s v="Alon Werber"/>
        <s v="Laurie Vardi"/>
        <s v="Karin Vernikov"/>
        <s v="Karin Journo"/>
        <s v="Rinat Hodia Zagdon"/>
        <s v="Motti Zoherman"/>
        <s v="Bar Zohar"/>
        <s v="Or Ziv"/>
        <s v="Jonathan Seidmen"/>
        <s v="Noa Zender"/>
        <s v="Matan Znati"/>
        <s v="Itay Zafrani"/>
        <s v="Shaked Habani"/>
        <s v="Ziv Hajbi"/>
        <s v="Lior Hadad Atias"/>
        <s v="Gidon Chiell"/>
        <s v="Noa Chiell"/>
        <s v="Maya Chaim"/>
        <s v="Gaya Halifa"/>
        <s v="Ella Hamoy"/>
        <s v="Ben Ben Zion Hassid"/>
        <s v="Arie Hefetz"/>
        <s v="Katerina Tavgan Goldman"/>
        <s v="Adir Tamam"/>
        <s v="Lior Tkach"/>
        <s v="Mor Trabelsi"/>
        <s v="Ron Yehudai"/>
        <s v="Ilan Moshe Yaacov"/>
        <s v="Shoham Yaakov Gherafi"/>
        <s v="Shoval Yaakov"/>
        <s v="Shenhav Yaakov Gherafi"/>
        <s v="San-Amnon Yaacobov"/>
        <s v="Mai Itzhaki"/>
        <s v="Shiraz Shiran Tamam"/>
        <s v="Avraham Neriya Cohen"/>
        <s v="Ben Binyamin Cohen"/>
        <s v="Daniel Cohen"/>
        <s v="Libby Cohen Maguri"/>
        <s v="Mor Cohen"/>
        <s v="Amit Cohen"/>
        <s v="Gilad Kfir"/>
        <s v="Tal Katz"/>
        <s v="Omri Lavi"/>
        <s v="Amit Lahav"/>
        <s v="Guy Gabriel Levy"/>
        <s v="Itzhak Levy"/>
        <s v="Livnat Levy"/>
        <s v="Lidor Levy"/>
        <s v="Naor Levy"/>
        <s v="Nissim Levy"/>
        <s v="Sigal Levy"/>
        <s v="Amit Levi"/>
        <s v="Rotem Rachel Levi"/>
        <s v="Alisia Levin"/>
        <s v="Matan Mordechai Lior"/>
        <s v="Oriya Litman Ricardo"/>
        <s v="Anita Lisman"/>
        <s v="David Lischov"/>
        <s v="Ilan Lipovsky"/>
        <s v="Yulia Didenko Lamai"/>
        <s v="Tiferet Lapidot"/>
        <s v="Amit Magnezi"/>
        <s v="Nir Madmon"/>
        <s v="Shalev Madmoni"/>
        <s v="Shahak Madar"/>
        <s v="Naama Moalem"/>
        <s v="Shai Shalom Elior Musafi"/>
        <s v="Eliran Mizrahi"/>
        <s v="Ben Menashe Mizrahi"/>
        <s v="Raz Mizrahi"/>
        <s v="Adi Rivka Mayzel"/>
        <s v="Lior Maimon"/>
        <s v="Amitay Malihi"/>
        <s v="Dor Malka"/>
        <s v="Shahar Mantzur"/>
        <s v="Norel Manzouri"/>
        <s v="Roya Manzouri"/>
        <s v="Yaniv Macias Montano Antonio"/>
        <s v="Addir Mesika"/>
        <s v="Steven Makarchenko"/>
        <s v="Adi Margalit"/>
        <s v="Eden David Moshe"/>
        <s v="David Yair Shalom Newman"/>
        <s v="Gal Navon"/>
        <s v="Ilkin Nazarov"/>
        <s v="Dor Nahum"/>
        <s v="Ranani Glazer"/>
        <s v="Rotem Neumann"/>
        <s v="Jenny Nisimboim Carmeli"/>
        <s v="Liraz Nissan"/>
        <s v="May Naim"/>
        <s v="Eden Naftali"/>
        <s v="Bar Lior Nakmoli"/>
        <s v="Shlomi Svidia"/>
        <s v="Moriya Or Swisa"/>
        <s v="Hilly Solomon"/>
        <s v="Karla Stelzer"/>
        <s v="Tomer Strosta"/>
        <s v="Yaakov Salomon"/>
        <s v="Ram (Nesher) Sela"/>
        <s v="Elazar Samuelov"/>
        <s v="Alexander Samoilov"/>
        <s v="Tamar Samet"/>
        <s v="Zur Saidi"/>
        <s v="Moshe (Moshiko) Saidian"/>
        <s v="Yaniv Sarudi"/>
        <s v="Gal Abdush"/>
        <s v="Nagi Abdush"/>
        <s v="Idan Edri"/>
        <s v="Ofer Udi"/>
        <s v="Guy Azar"/>
        <s v="Oz Ezra"/>
        <s v="Lior Atun"/>
        <s v="Hanan Amar"/>
        <s v="Mercedes Amar"/>
        <s v="Yoad Peer"/>
        <s v="Maya Puder"/>
        <s v="Roni Polanov"/>
        <s v="Evgeni Postel"/>
        <s v="Nir Forti"/>
        <s v="Roni Petrovski"/>
        <s v="Daniela Petrenko"/>
        <s v="Ben Fishman"/>
        <s v="Alina Palhati"/>
        <s v="Orel Pesso"/>
        <s v="Noa Farage"/>
        <s v="Karina Pritika"/>
        <s v="Hadar Prince"/>
        <s v="Ziv Frenkel"/>
        <s v="Eric Perez"/>
        <s v="Ido Perez"/>
        <s v="Ruth Perez"/>
        <s v="Haim (Hai) Tzfati"/>
        <s v="Ofir Tzarfati"/>
        <s v="Ron Zarfati"/>
        <s v="Irit Konderov"/>
        <s v="Shani Kupervaser"/>
        <s v="Segev Israel Kishner"/>
        <s v="Hila Keylin"/>
        <s v="Linor Keinan"/>
        <s v="Maayan Kalihman"/>
        <s v="Ofek Kimchi"/>
        <s v="Stav Kimchi"/>
        <s v="Jonathan Ken-Dror"/>
        <s v="Daniel Kasavchuck"/>
        <s v="Keshet Kasroti-Kalfa"/>
        <s v="Moriya Raviv"/>
        <s v="Ofek Revia"/>
        <s v="Shai Regev"/>
        <s v="Michal Roimi"/>
        <s v="Ivonne Patricia Rubio Vargas Eden"/>
        <s v="Yael Rozman"/>
        <s v="Yonatan Rom"/>
        <s v="Olga Naomi Romashkin"/>
        <s v="Nitzan Rahum"/>
        <s v="Aviel Shalom Rahamim"/>
        <s v="Dvir Rahamim"/>
        <s v="Eli Refai"/>
        <s v="Sharon Refai"/>
        <s v="Eliya Shamatz"/>
        <s v="Segev Shushan"/>
        <s v="Tomer Segev"/>
        <s v="Sivan Shaharbani"/>
        <s v="Moshe Shuva"/>
        <s v="Karin Schwartzman"/>
        <s v="Ziv Shoffen"/>
        <s v="Roni Shitrit"/>
        <s v="Noam Shay"/>
        <s v="Daniel Sheinkerman"/>
        <s v="Mark Schindel"/>
        <s v="Bar Shechter"/>
        <s v="Shai Shalev"/>
        <s v="Noam Shalom"/>
        <s v="Ram Shalom"/>
        <s v="Asaf Shlezinger"/>
        <s v="Inbar Shem-Tov"/>
        <s v="Sharona Shmunis Harel"/>
        <s v="Ben Shimoni"/>
        <s v="Ron Shemer"/>
        <s v="Eitan Snir"/>
        <s v="Ziv pepe Shapira"/>
        <s v="Ran Sheffer"/>
        <s v="Liam Shrem"/>
        <s v="Dor Toar"/>
        <s v="Bar Tomer"/>
        <s v="Avidan Turgeman"/>
        <s v="Shoham Lia Turgeman"/>
        <s v="Niv Tel-Tzur"/>
        <s v="Ziv Dedo"/>
        <s v="Tomer Shpirer"/>
        <s v="Alon Even"/>
        <s v="Chen Even"/>
        <s v="Ido Even"/>
        <s v="Rinat Even"/>
        <s v="Silvia Ohayon"/>
        <s v="Yonat Or"/>
        <s v="Yossi Aptalon"/>
        <s v="Inbar Buyum"/>
        <s v="Oron Bira"/>
        <s v="Tal Bira"/>
        <s v="Yasmin Bira"/>
        <s v="Tair Bira"/>
        <s v="Tahel Bira"/>
        <s v="Geula Bachar"/>
        <s v="Dana Bachar"/>
        <s v="Carmel Bachar"/>
        <s v="Mezzi Bachar"/>
        <s v="Chava Ben-Ami"/>
        <s v="Yuval Bar"/>
        <s v="Maayan Bar"/>
        <s v="Yoram Bar-Sinai"/>
        <s v="Idan Baruch"/>
        <s v="Ayelet Godard"/>
        <s v="Meni Godard"/>
        <s v="Evgeny Galsky"/>
        <s v="Kinneret Gat"/>
        <s v="Adi Dagan"/>
        <s v="Narkis Hand"/>
        <s v="Zeev Haker"/>
        <s v="Zehava Haker"/>
        <s v="Avshalom Haran"/>
        <s v="Mayana Hershkowitz"/>
        <s v="Noah Hershkowitz"/>
        <s v="Mati Weiss"/>
        <s v="Amir Weiss"/>
        <s v="Shmulik Weiss"/>
        <s v="Chaim Zohar"/>
        <s v="Hillel Zalmanovich"/>
        <s v="Ayala Hetzroni"/>
        <s v="Liel Hetzroni"/>
        <s v="Omer Hermesh"/>
        <s v="Lior Tarshansky"/>
        <s v="Yehudit Itzhaki"/>
        <s v="Ohad Cohen"/>
        <s v="Yona Cohen"/>
        <s v="Mila Cohen"/>
        <s v="Pessy Cohen"/>
        <s v="Shoshana Karasenti"/>
        <s v="Daniel Levy"/>
        <s v="Ronnie Levy"/>
        <s v="Igor Lusev"/>
        <s v="Marina Lusev"/>
        <s v="Avi Mor"/>
        <s v="Raffi Mordo"/>
        <s v="Galit Carbone"/>
        <s v="Albert Avlom Miles"/>
        <s v="Amit Mann"/>
        <s v="Mordechai Naveh"/>
        <s v="Neta Adrian"/>
        <s v="Raffi Svirski"/>
        <s v="Tamar Sochman"/>
        <s v="Hanna Siton"/>
        <s v="Tal Siton"/>
        <s v="Itzhak Siton"/>
        <s v="Vivian Silver"/>
        <s v="Orit Svirski"/>
        <s v="Tchelet Fishbein"/>
        <s v="Marcel Frailich"/>
        <s v="Yona Fricker"/>
        <s v="Yitzhak Cozin"/>
        <s v="Sami Keidar"/>
        <s v="Evyatar Kipnis"/>
        <s v="Lilach Kipnis"/>
        <s v="Rotem Kalderon"/>
        <s v="Dror Kaplun"/>
        <s v="David Carol"/>
        <s v="Hanna Kritzman"/>
        <s v="Dor Rider"/>
        <s v="Jonathan Rappaport"/>
        <s v="Noy Shosh"/>
        <s v="Yahel Sharabi"/>
        <s v="Lianne Sharabi"/>
        <s v="Noya Sharabi"/>
        <s v="Cabrera Gracie"/>
        <s v="Paul Vincent Castelvi"/>
        <s v="Anula Jayathilaka"/>
        <s v="Sae Yang Sumchai"/>
        <s v="Yatawara Bandara Susujith"/>
        <s v="Liz Elharar"/>
        <s v="Meir Elharar"/>
        <s v="Shachar Deborah Troen Matias"/>
        <s v="Shlomi Mathias"/>
        <s v="Roland Sultan"/>
        <s v="Ronit Sultan"/>
        <s v="Lily Keisman"/>
        <s v="Tehila Katabi"/>
        <s v="Adi Kaploun Vital"/>
        <s v="Moshe Ridler"/>
        <s v="Bosco Petro"/>
        <s v="Tom Godo"/>
        <s v="Etty Zak"/>
        <s v="Etay Zak"/>
        <s v="Sagi Zak"/>
        <s v="Menuha Hulati"/>
        <s v="Maayan Mor"/>
        <s v="Gina Smiatich"/>
        <s v="Ofer Ron"/>
        <s v="Chandrasena Chakkraphong"/>
        <s v="Kaison Aranthit"/>
        <s v="Khunsri Pongsatorn"/>
        <s v="Klangsuwan Theerapong"/>
        <s v="Prakotwong Thanakrit"/>
        <s v="Sanusan Chairat"/>
        <s v="Sophakun Anucha"/>
        <s v="Srithat Kawao"/>
        <s v="Guy Admoni"/>
        <s v="Michal Admoni"/>
        <s v="Aviad Avraham Edri"/>
        <s v="Eliyahu Orgad"/>
        <s v="Lili Itamary"/>
        <s v="Ram Itamary"/>
        <s v="Sivan Elkabets"/>
        <s v="Mordechai (Mody) Amir"/>
        <s v="Bilha Epstein"/>
        <s v="Neta Epstein"/>
        <s v="Yuval Boyum"/>
        <s v="Maya Ben David"/>
        <s v="Hadar Berdichevsky"/>
        <s v="Itay Berdichevsky"/>
        <s v="Yam Goldstein Almog"/>
        <s v="Nadav Goldstein"/>
        <s v="Aran Goren"/>
        <s v="Tova Goren"/>
        <s v="Naomi Dgani"/>
        <s v="Yahav Winner"/>
        <s v="Dorit Werthheim"/>
        <s v="Aviv Werthheim"/>
        <s v="Eitan Ziv"/>
        <s v="Nirel Zini"/>
        <s v="Naor Hassidim"/>
        <s v="Avia Hetzroni"/>
        <s v="Yanai Heler Hetzroni"/>
        <s v="Nitzan Libstein"/>
        <s v="Smadar Idan"/>
        <s v="Roee Idan"/>
        <s v="Tammy Peleg Ziv"/>
        <s v="Gila Peled"/>
        <s v="Daniel Peled"/>
        <s v="Izhar Peled"/>
        <s v="Yigal Flash"/>
        <s v="Cynthia Tamar Flash"/>
        <s v="Mark Peretz"/>
        <s v="Omer Zadikevitch"/>
        <s v="Aviv Kutz"/>
        <s v="Yonatan Kutz"/>
        <s v="Yiftach Kutz"/>
        <s v="Livnat Kutz"/>
        <s v="Rotem Kutz"/>
        <s v="David (Kachko) Katzir"/>
        <s v="Niv Raviv"/>
        <s v="Nira Ronen"/>
        <s v="Eliyahu Reichenstein"/>
        <s v="David Schwartzman Pinko"/>
        <s v="Orly Schwartzman Pinko"/>
        <s v="Ofir Shoshani"/>
        <s v="Mira Shtahl"/>
        <s v="Aguirre Angelyn"/>
        <s v="Noam Elyakim"/>
        <s v="Shoshana Brosh"/>
        <s v="Yaniv Zohar"/>
        <s v="Yasmin Zohar"/>
        <s v="Keshet Zohar"/>
        <s v="Tchelet Zohar"/>
        <s v="Efrat Katz"/>
        <s v="Haim Livne"/>
        <s v="Maayan Idan"/>
        <s v="Tomer Arava"/>
        <s v="Dikla Arava"/>
        <s v="Shlomo Ron"/>
        <s v="Somkuan Pansa-ard"/>
        <s v="Rebecca Ben-Horin"/>
        <s v="Amitai Ben-Zvi"/>
        <s v="Avner Goren"/>
        <s v="Yossef Gross"/>
        <s v="Carmela Sara Dan"/>
        <s v="Noya Dan"/>
        <s v="Yossef (Yossi) Vahav"/>
        <s v="Vitaly Trupanob"/>
        <s v="Ravid Katz"/>
        <s v="Bracha Levinson"/>
        <s v="Roey Munder"/>
        <s v="Sai'd (David) Moshe"/>
        <s v="Shifra Noy"/>
        <s v="Margit Silberman"/>
        <s v="Yosef Yossi Silberman"/>
        <s v="Arbel Siman-Tov"/>
        <s v="Yonatan Siman-Tov"/>
        <s v="Omer Siman-Tov"/>
        <s v="Tamar Kedem Siman-Tov"/>
        <s v="Carol Siman-Tov"/>
        <s v="Shachar Siman-Tov"/>
        <s v="Gidon Pauker"/>
        <s v="Avraham Katzir"/>
        <s v="David Shalev"/>
        <s v="Tal Shalev"/>
        <s v="Yermiyahu Shafir"/>
        <s v="Carolin Bohl"/>
        <s v="Bancha Dachtuyawat"/>
        <s v="Darlington Daniel (Danny)"/>
        <s v="Gidon Bavani"/>
        <s v="Doron Meir"/>
        <s v="Mor Meir"/>
        <s v="Roey Popplewell"/>
        <s v="Bernard Cohen"/>
        <s v="Noa Glazberg"/>
        <s v="Talia Marcel"/>
        <s v="Olag Lifshitz"/>
        <s v="Silvia Marnasky"/>
        <s v="Dipesh Raj Bista"/>
        <s v="Chaudhary Ashish"/>
        <s v="Lekendora Sing Dahami"/>
        <s v="Ganesh Kumar Nepali"/>
        <s v="Neupane Narayan Prasad"/>
        <s v="Phulara Rajan"/>
        <s v="Prabesh Bhandari"/>
        <s v="Shah Ananda"/>
        <s v="Swarnakar Raj Kumar"/>
        <s v="Padam Thapa"/>
        <s v="Eliona Astafniko"/>
        <s v="Amit Gabay"/>
        <s v="Varda Haramati"/>
        <s v="Asaf Fever"/>
        <s v="Dvir Karp"/>
        <s v="Semion Avdalimov"/>
        <s v="Michael Avramov"/>
        <s v="Solomon Ilyaguyev"/>
        <s v="Sammi Elgargawi"/>
        <s v="Chaim Ashraf"/>
        <s v="Lior Weizman"/>
        <s v="Alon Amram Toledano"/>
        <s v="Amir Tanbora"/>
        <s v="Leonid Luzovski"/>
        <s v="Meiri Zohar"/>
        <s v="Avi Megira"/>
        <s v="Michael Muzarkov"/>
        <s v="Meir Malka"/>
        <s v="Nativ Maayan Nave"/>
        <s v="Odaya Swisa"/>
        <s v="Dolev Swisa"/>
        <s v="Dimitri Sorokin"/>
        <s v="Kobi Paryante"/>
        <s v="Neomi Shitrit-Azulay"/>
        <s v="Cao Yongkai"/>
        <s v="Wan Zhishun"/>
        <s v="Zou Deli"/>
        <s v="Zinaida Beilin"/>
        <s v="Lilya Giler"/>
        <s v="Michal Zrabailov"/>
        <s v="Natalia Tomayev"/>
        <s v="Yaakov Mortov"/>
        <s v="Nadejda Spravchikov"/>
        <s v="Vladimir Popov"/>
        <s v="Sonia Popov"/>
        <s v="Lyudmila Furman"/>
        <s v="Valerie Friedman"/>
        <s v="Igor Kortzov"/>
        <s v="Barta Shmeyev"/>
        <s v="Tatiana Shnitman"/>
        <s v="Yazan Zakaria Abu Jama"/>
        <s v="Dalia Abu Madi'am"/>
        <s v="May Abu Sabaakh"/>
        <s v="Faiza Abu Sabaakh"/>
        <s v="Amin Akal Alkra’an"/>
        <s v="Jawad Ibrahim Alkra’an"/>
        <s v="Malek Ibrahim Alkra’an"/>
        <s v="Mahmoud Diab Alkra’an"/>
        <s v="Hana Ben-Artzi"/>
        <s v="Shiraz Brodash"/>
        <s v="Mor Gabay"/>
        <s v="Vladimir Zukov"/>
        <s v="Yehoshua Hatab"/>
        <s v="Rabbi Netanel Maskalatchi"/>
        <s v="Rafael Meir Maskalatchi"/>
        <s v="Rabbi Rafael Fahimi"/>
        <s v="Avshalom Yair Peretz"/>
        <s v="Roni Abuharon"/>
        <s v="Eliad Ohayon"/>
        <s v="Moshe Ohayon"/>
        <s v="Yigal Iluz"/>
        <s v="Yonatan Elazari"/>
        <s v="Avi Buzaglo"/>
        <s v="Refael Ariel Guri"/>
        <s v="Roeh-Haim Guri"/>
        <s v="Nisim Lugasi"/>
        <s v="Michael Lizmi"/>
        <s v="Nehorai Said"/>
        <s v="Israel Chana"/>
        <s v="Avi Zidon"/>
        <s v="Dror Alton"/>
        <s v="Maro Elem"/>
        <s v="Nehorai Levi Amitay"/>
        <s v="Regev Amar"/>
        <s v="Or Esto"/>
        <s v="Ariel Erez"/>
        <s v="Idan Balui"/>
        <s v="Adir Ishto Bogla"/>
        <s v="Lavie Buchnik"/>
        <s v="Daniel Bezgodov"/>
        <s v="Oriel Bibi"/>
        <s v="Ido Binenstock"/>
        <s v="Vadim Blich"/>
        <s v="Barak Ben-David"/>
        <s v="Itamar Ben-Yehuda"/>
        <s v="Ya'ad Ben-Yakov"/>
        <s v="Michael Ben-Moshe (Moshiasvhili)"/>
        <s v="Leon Bar"/>
        <s v="Neta Baram"/>
        <s v="Shalev Baranes"/>
        <s v="Tomer Barak"/>
        <s v="Adir Gaori"/>
        <s v="Yuval Gabay"/>
        <s v="Omer Gavra"/>
        <s v="Yosef Malachi Guedalia"/>
        <s v="Amit Gueta"/>
        <s v="Itay Ofek Glisko"/>
        <s v="ilay Gamzo"/>
        <s v="Shalev Dagan"/>
        <s v="Shaked Dahan"/>
        <s v="Shlomi Davidovich"/>
        <s v="Yaron Dayan Moris"/>
        <s v="Omer Wolf"/>
        <s v="Yaron Zohar"/>
        <s v="Dvir Zakai"/>
        <s v="Avraham Hobelashvili"/>
        <s v="Yossi Tahar"/>
        <s v="Nethanel Young"/>
        <s v="Michael Yoav"/>
        <s v="Benyamin Gabriel Yona"/>
        <s v="Bar Yancolov"/>
        <s v="Ofir Yeruhin"/>
        <s v="Itamar Cohen"/>
        <s v="Danit Cohen"/>
        <s v="Benyamin Lev"/>
        <s v="Amir Lavi"/>
        <s v="Shimon Lugassi"/>
        <s v="Tal Levi"/>
        <s v="Yakir Levy"/>
        <s v="Natan Lier Chai"/>
        <s v="Or Mizrahi"/>
        <s v="Sahar Midani"/>
        <s v="Tal Maman"/>
        <s v="Lidor Makayes"/>
        <s v="Arik Yehuda Marciano"/>
        <s v="Tomer Nagar"/>
        <s v="Shoham Shlomo Nidam"/>
        <s v="Emil Samoilov"/>
        <s v="Sahar Saudin"/>
        <s v="Amir Skoury"/>
        <s v="Vitaly Skipkavich"/>
        <s v="Rodolfo (Rody) Fabián Skariszewski"/>
        <s v="Haim Meir Eden"/>
        <s v="Lior Azizov"/>
        <s v="Omri Peretz"/>
        <s v="Roey Chapell"/>
        <s v="Yonatan Tzur"/>
        <s v="Adi Tzur"/>
        <s v="Ofir Tzioni"/>
        <s v="Aryeh Shlomo Ziring"/>
        <s v="Dedo Tzafir"/>
        <s v="Nativ Kotzro"/>
        <s v="Haviv Qyan"/>
        <s v="Daniel Rashad"/>
        <s v="Max Rabinov"/>
        <s v="Dvir Haim Resler"/>
        <s v="Maor Shalom"/>
        <s v="Shlomo Reshetnikov"/>
        <s v="David Rathner"/>
        <s v="Yaron Oree Shay"/>
        <s v="Rom Shlomi"/>
        <s v="Ido Israel-Shani"/>
        <s v="Daniel Shperber"/>
        <s v="Gali Roi Shakotai"/>
        <s v="Adir Tahar"/>
        <s v="Yogev Aharon"/>
        <s v="Evyatar Ohayon"/>
        <s v="Guy Bazak"/>
        <s v="Re'em Meir-Betito"/>
        <s v="Benyamin Blay"/>
        <s v="Michael Ben Chemo"/>
        <s v="Ilay Noam Ben Muha"/>
        <s v="Benjamin Taka Tashgar"/>
        <s v="David Mittleman"/>
        <s v="Jonathan Savitsky"/>
        <s v="Uriel Segal"/>
        <s v="Amit Peled"/>
        <s v="Raz Peretz"/>
        <s v="Amichay Shimon Rubin"/>
        <s v="Bar Rosenstein"/>
        <s v="Ori Mordechay Shani"/>
        <s v="Elad Michael Sasson"/>
        <s v="Shilo Rauchberger"/>
        <s v="Noam Abramovich"/>
        <s v="Amir Eyal"/>
        <s v="Shir Eilat"/>
        <s v="Dolev Amouyal"/>
        <s v="Sivan Asraf"/>
        <s v="Roni Eshel"/>
        <s v="Shai Ashram"/>
        <s v="Shir Biton"/>
        <s v="Elroy Ben Shitrit"/>
        <s v="Yam Glass"/>
        <s v="Adi Gruman"/>
        <s v="Yohai Dukhan"/>
        <s v="Shilo Har-Even"/>
        <s v="Mia Viallovo Polo"/>
        <s v="Aviv Hajaj"/>
        <s v="Shirel Haim Pour"/>
        <s v="Boaz Menashe Yoggev"/>
        <s v="Yiftach Yavetz"/>
        <s v="Hadar Miriam Cohen"/>
        <s v="Ori Karmi"/>
        <s v="Dor Lazimi"/>
        <s v="Yael Leibushor"/>
        <s v="Adi Landman"/>
        <s v="Shirel Mor"/>
        <s v="Eden Nimri"/>
        <s v="Shahaf Nissani"/>
        <s v="Naor Sivoni"/>
        <s v="Shirat-Yam Amar"/>
        <s v="Yishai Fitussi"/>
        <s v="Yarin Marie Peled"/>
        <s v="Noa Price"/>
        <s v="Yakov Shlomo Karsninski"/>
        <s v="Itay Ron"/>
        <s v="Shira Shohat"/>
        <s v="Nahman Dekel"/>
        <s v="Amit Most"/>
        <s v="Ofir Melman"/>
        <s v="Hallel Shmuel Saadon"/>
        <s v="Segev Schwartz"/>
        <s v="Dekel Swisa"/>
        <s v="Roey Peri"/>
        <s v="Ravit Hana Assayag"/>
        <s v="Peleg Salem"/>
        <s v="Gil Avital"/>
        <s v="Lior Ben-Yakov"/>
        <s v="Dan Asulin"/>
        <s v="Itay Nahmias"/>
        <s v="Adi Baharav"/>
        <s v="Tomer Dolev"/>
        <s v="Yigal Vaks"/>
        <s v="Amit Vaks"/>
        <s v="Oren Stern"/>
        <s v="Gil Tasa"/>
        <s v="Aviad Gad Cohen"/>
        <s v="Bechor Sueid"/>
        <s v="Reuven Shishportish"/>
        <s v="Ofir Davidyan"/>
        <s v="Lior Levy"/>
        <s v="Itamar Ayish"/>
        <s v="Alina Pravosudova"/>
        <s v="Aharon Fresh"/>
        <s v="Shir Shlomo"/>
        <s v="Or Avital"/>
        <s v="Eden Alon-Levy"/>
        <s v="Naama Boni"/>
        <s v="Adar Ben-Simon"/>
        <s v="Ilai Bar-Sadeh"/>
        <s v="Yonatan Golan"/>
        <s v="Sahar Tal"/>
        <s v="Ofir Tasta"/>
        <s v="Ori Locker"/>
        <s v="Tomer Leibovitz"/>
        <s v="Dvir Lisha"/>
        <s v="Itay Maor"/>
        <s v="Or Moses"/>
        <s v="Yoav Meliev"/>
        <s v="Orel Moshe"/>
        <s v="Neria Aaron Nagari"/>
        <s v="Adir Abudi"/>
        <s v="Omri Niv- Fierstein"/>
        <s v="Amit Tzur"/>
        <s v="Yanai Kaminka"/>
        <s v="Yuval Ben-Yaakov"/>
        <s v="Ido Harush"/>
        <s v="Salaman Eban Merei"/>
        <s v="Uriel Avraham"/>
        <s v="Dvora Avraham"/>
        <s v="Yakir Blochman"/>
        <s v="Osher (Simcha) Barzilay"/>
        <s v="Avraham Henkin"/>
        <s v="Ibrahim Kharuba"/>
        <s v="Ido Yehoshua"/>
        <s v="Yenin Sivan"/>
        <s v="Elior Yifrach"/>
        <s v="Yorai Eliyahu Cohen"/>
        <s v="Sahar Zion Machaluf"/>
        <s v="Shlomo Moshe-El"/>
        <s v="Bar Sivan"/>
        <s v="Ilay Azar"/>
        <s v="Nitay Amar"/>
        <s v="David Flores Gracia"/>
        <s v="Idan Raz"/>
        <s v="Stas Sheinkman"/>
        <s v="Osher Shmaya"/>
        <s v="Ido Edri"/>
        <s v="Aviv Eliyahu"/>
        <s v="Matan (Kido) Elmalem"/>
        <s v="Ofek Arbiv"/>
        <s v="Itai Yehuda Bausi"/>
        <s v="Kim Dukarker"/>
        <s v="Awad Darawshe"/>
        <s v="Yulia Vakser"/>
        <s v="Hadar Hoshen"/>
        <s v="Hezi (Yechezkel) Hanom"/>
        <s v="Yiftach Twig"/>
        <s v="Adiel Twitto"/>
        <s v="Avraham Gilad Tiberg"/>
        <s v="Ori Tchernichovsky"/>
        <s v="Alexandre look"/>
        <s v="Sharon Leibovitz"/>
        <s v="Jake Marlowe"/>
        <s v="Ilay Nahman"/>
        <s v="Avi Sasi"/>
        <s v="Shai El Knafo"/>
        <s v="Vitaly Karasik"/>
        <s v="Sharon Rachmani"/>
        <s v="Aviad Rivlin"/>
        <s v="Gideon Rivlin"/>
        <s v="Yonatan Richter"/>
        <s v="Omri Ram"/>
        <s v="Aner Elyakim Shapira"/>
        <s v="Amir Naim"/>
        <s v="Haggai Avni"/>
        <s v="Eliran Abargil"/>
        <s v="Ariel Ohana"/>
        <s v="Ariel Eliyahu"/>
        <s v="Gil Buyum"/>
        <s v="Omri Belkin"/>
        <s v="Neria Ben-David"/>
        <s v="Yonatan Gutin"/>
        <s v="Sagi Golan"/>
        <s v="Eli Ginsberg"/>
        <s v="Dan Ganot"/>
        <s v="Valentin (Eli) Ghnassia"/>
        <s v="Jayar Davidov"/>
        <s v="Boris Danilov"/>
        <s v="Eitan Hadad"/>
        <s v="Benjamin Trakeniski"/>
        <s v="Itay Yehoshua"/>
        <s v="Shilo Cohen"/>
        <s v="Naveh Eliezer Lax"/>
        <s v="David Haim Meir"/>
        <s v="Gadif Mologota"/>
        <s v="Dor Mangadi"/>
        <s v="Roee Negri"/>
        <s v="Avi Amar"/>
        <s v="Shachar Zemach"/>
        <s v="Meir Elhanan Clemanzon"/>
        <s v="Eric kraunik"/>
        <s v="Ofek Rousso"/>
        <s v="Orel Alon"/>
        <s v="Liran Almosnino"/>
        <s v="Yiftach Gorny"/>
        <s v="Haim Katzman"/>
        <s v="Avraham Gabriel Korin"/>
        <s v="Ido Hubara"/>
        <s v="Matan Malka"/>
        <s v="Saar Margolis"/>
        <s v="Shachar Aviani"/>
        <s v="Tal Eilon"/>
        <s v="Shachaf Bergstein"/>
        <s v="Ben Bronshtein"/>
        <s v="Aviv Baram"/>
        <s v="Rotem Dushi"/>
        <s v="Avraham Hananel Hindi"/>
        <s v="Amichai Yakov-Vaninu"/>
        <s v="Ilay Zisser"/>
        <s v="Tal Cohen"/>
        <s v="Ofir Libstein"/>
        <s v="Omri Michaeli"/>
        <s v="Roey Nahari"/>
        <s v="Yuval Salomon"/>
        <s v="Eily Adani"/>
        <s v="Nadav Amikam"/>
        <s v="Amir Fisher"/>
        <s v="Amir Tzur"/>
        <s v="Hadar Kamah"/>
        <s v="Uri Shimon Russo"/>
        <s v="Or Yossef Ran"/>
        <s v="Shoham Moshe Ben-Harush"/>
        <s v="Roey Weiser"/>
        <s v="Amichai Israel Vitzan"/>
        <s v="Yedidya Moshe Raziel"/>
        <s v="Tomer Shoham"/>
        <s v="Jonathan Steinberg"/>
        <s v="Ofir Mordechai Yaron"/>
        <s v="Avi Fleisher"/>
        <s v="Chen Buchris"/>
        <s v="Roi Bareket"/>
        <s v="Dor Yarchi"/>
        <s v="Ran Poslushni"/>
        <s v="Ilan Fiorentino"/>
        <s v="Afik Rozental"/>
        <s v="Avraham Boaz"/>
        <s v="Ofek Arazi"/>
        <s v="Tal Chaimi"/>
        <s v="Yaron Shahar"/>
        <s v="Aviv Atzili"/>
        <s v="Matan Abarjil"/>
        <s v="Roman Gendel"/>
        <s v="Adam Agmon"/>
        <s v="Tomer Yaakov Ahimas"/>
        <s v="Oran Elfassi"/>
        <s v="Kiril Brodski"/>
        <s v="Asaf Hamami"/>
        <s v="Alik Pozdnyakov"/>
        <s v="Ofir Erez"/>
        <s v="Tomer Yaakov Mizrahi"/>
        <s v="Eyal Klein"/>
        <s v="Rami Negbi"/>
        <s v="Itay Cohen"/>
        <s v="Yishai Slotki"/>
        <s v="Noam Slotki"/>
        <s v="Ido Rosental"/>
        <s v="Amin Ohanadov"/>
        <s v="Alexy Budovski"/>
        <s v="Itzhak Bazuka-Shvili"/>
        <s v="Yotam Ben-Basat"/>
        <s v="Ariel Ben Moshe"/>
        <s v="Alon Barad"/>
        <s v="Roey Yosef Levy"/>
        <s v="Aharon Arthur Marcovichi"/>
        <s v="Andrei Poshivay"/>
        <s v="Malik Karim"/>
        <s v="Noam Elimelech Rotenberg"/>
        <s v="Guy Simhi"/>
        <s v="Mordechai (moti) Shamir"/>
        <s v="Kobi Shmaya"/>
        <s v="Amer Abu Sabila Odeh"/>
        <s v="Meir Abragil"/>
        <s v="Denis Belinki"/>
        <s v="David Ben-Dayan"/>
        <s v="Yosef Itamar-Bruchim"/>
        <s v="Shmuel Gulima"/>
        <s v="Tal Grushka"/>
        <s v="Eliyahu Michael Harush"/>
        <s v="Itay-Eliyahu Marchiano"/>
        <s v="Eitan Neeman"/>
        <s v="Chen Nahmias"/>
        <s v="Shalom Tzaban"/>
        <s v="Yehuda Kedar"/>
        <s v="Martin Kuzmickas"/>
        <s v="Ben Rubinstein"/>
        <s v="Adir Shlomo"/>
        <s v="Alexei Shmakalov"/>
        <s v="Mor Shkuri"/>
        <s v="Guy Illouz"/>
        <s v="Samar Fouad Talalka"/>
        <s v="Ronen Engel"/>
        <s v="Nik Beizer"/>
        <s v="Sahar Baruch"/>
        <s v="Maya Goren"/>
        <s v="Judith Weiss"/>
        <s v="Eden Zecharya"/>
        <s v="Arye Zalmanovich"/>
        <s v="Yotam Haim"/>
        <s v="Elia Toledano"/>
        <s v="Eitan Levy"/>
        <s v="Shani Louk"/>
        <s v="Eliyahu Margalit"/>
        <s v="Noa Marciano"/>
        <s v="Yonatan Samerano"/>
        <s v="Ofra Kedar"/>
        <s v="Alon Lulu Shamriz"/>
        <s v="Ron Scherman"/>
        <s v="Mollel Joshua Loitu"/>
        <s v="Majed Ibrahim"/>
        <s v="one day old baby Abu Rashed"/>
        <s v="Natalia Demidova"/>
        <s v="Reuven Heinek"/>
        <s v="Ilan Weiss"/>
        <s v="Yotam Hillel"/>
        <s v="Avichai Amsalem"/>
        <s v="Inbar Haiman"/>
        <s v="Daniel Moshe-Danino"/>
        <s v="Niv Ayos"/>
        <s v="Yuval Halivni"/>
        <s v="Judy Weinstein Haggai"/>
        <s v="Gadi Haggai"/>
        <s v="Tamir Adar"/>
        <s v="Alexander Masli"/>
        <s v="Dor Sade"/>
        <s v="Aviel Malkamu"/>
        <s v="Diawtmaisong Jakkapan"/>
        <s v="Champasim Saksit"/>
        <s v="Ru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Dani Alush"/>
        <s v="Tal Danieli"/>
        <s v="Itay Svirski"/>
        <s v="Yossi Sharabi"/>
        <s v="Shai Levinson"/>
        <s v="Goyitom Gebrehiyet"/>
        <s v="Berhe Wolderaphael Hagos"/>
        <s v="Ran Guili"/>
        <s v="Yaakov Yair"/>
        <s v="Oz Daniel"/>
        <s v="Itay Hen"/>
        <s v="Daniel Perets"/>
        <s v="Uriel Baruch"/>
        <s v="Hashem Barawi"/>
        <s v="Suheil Masri"/>
        <s v="Huri Elmasri"/>
        <s v="Suliman Elatar"/>
        <s v="Ziad Ganem"/>
        <s v="Elad Katzir"/>
        <s v="Dror Or"/>
        <s v="Elyakim Libman"/>
        <s v="Lior Rudaeff"/>
        <s v="Zanhung Chi"/>
        <s v="Jianhe Liu"/>
        <s v="Zhiguo Liu"/>
        <s v="Sonthaya Oakkharasri"/>
        <s v="Sudthisak Rinthalak"/>
        <s v="Amit Esther Buskila"/>
        <s v="Itzhak Gelerenter"/>
        <s v="Ron Binyamin"/>
        <s v="Michel Nisenbaum"/>
        <s v="Orión Hernández Radoux"/>
        <s v="Chanan Yablonka"/>
        <s v="Dolev Yehoud"/>
      </sharedItems>
    </cacheField>
    <cacheField name=" " numFmtId="0">
      <sharedItems containsBlank="1">
        <m/>
        <s v="עובדת זרה"/>
      </sharedItems>
    </cacheField>
    <cacheField name=" 2" numFmtId="0">
      <sharedItems containsBlank="1">
        <m/>
        <s v="אוקראינה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E1875" sheet="age"/>
  </cacheSource>
  <cacheFields>
    <cacheField name="citizenGroup" numFmtId="0">
      <sharedItems containsBlank="1"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  <m/>
      </sharedItems>
    </cacheField>
    <cacheField name="age_group" numFmtId="0">
      <sharedItems containsBlank="1">
        <s v="senior"/>
        <s v="adult"/>
        <s v="teen"/>
        <s v="child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H1875" sheet="age"/>
  </cacheSource>
  <cacheFields>
    <cacheField name="קטגוריה" numFmtId="0">
      <sharedItems containsBlank="1">
        <s v="אזרחים"/>
        <s v="צה&quot;ל"/>
        <s v="משטרה"/>
        <s v="אזרחים זרים"/>
        <s v="מגן דוד אדום"/>
        <s v="שב&quot;כ"/>
        <s v="צה&quot;ל (מיל')"/>
        <s v="כיתות כוננות"/>
        <s v="כבאות והצלה"/>
        <s v="משטרה (מיל')"/>
        <m/>
      </sharedItems>
    </cacheField>
    <cacheField name="עשור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875" sheet="age"/>
  </cacheSource>
  <cacheFields>
    <cacheField name="pid" numFmtId="0">
      <sharedItems containsString="0" containsBlank="1" containsNumber="1" containsInteger="1">
        <n v="1719.0"/>
        <n v="1363.0"/>
        <n v="976.0"/>
        <n v="974.0"/>
        <n v="1005.0"/>
        <n v="987.0"/>
        <n v="1720.0"/>
        <n v="1500.0"/>
        <n v="1501.0"/>
        <n v="1717.0"/>
        <n v="985.0"/>
        <n v="999.0"/>
        <n v="1718.0"/>
        <n v="1608.0"/>
        <n v="984.0"/>
        <n v="1030.0"/>
        <n v="1029.0"/>
        <n v="1487.0"/>
        <n v="1488.0"/>
        <n v="1001.0"/>
        <n v="1002.0"/>
        <n v="1722.0"/>
        <n v="1721.0"/>
        <n v="992.0"/>
        <n v="1359.0"/>
        <n v="1360.0"/>
        <n v="1210.0"/>
        <n v="1676.0"/>
        <n v="1207.0"/>
        <n v="883.0"/>
        <n v="1208.0"/>
        <n v="1211.0"/>
        <n v="1463.0"/>
        <n v="1462.0"/>
        <n v="1558.0"/>
        <n v="1209.0"/>
        <n v="1492.0"/>
        <n v="507.0"/>
        <n v="1675.0"/>
        <n v="515.0"/>
        <n v="1420.0"/>
        <n v="2001.0"/>
        <n v="517.0"/>
        <n v="652.0"/>
        <n v="1596.0"/>
        <n v="1591.0"/>
        <n v="1629.0"/>
        <n v="498.0"/>
        <n v="500.0"/>
        <n v="497.0"/>
        <n v="499.0"/>
        <n v="143.0"/>
        <n v="1370.0"/>
        <n v="146.0"/>
        <n v="1698.0"/>
        <n v="1396.0"/>
        <n v="1696.0"/>
        <n v="1401.0"/>
        <n v="1682.0"/>
        <n v="1413.0"/>
        <n v="1409.0"/>
        <n v="1412.0"/>
        <n v="1419.0"/>
        <n v="1404.0"/>
        <n v="1397.0"/>
        <n v="1398.0"/>
        <n v="1411.0"/>
        <n v="1415.0"/>
        <n v="1399.0"/>
        <n v="1414.0"/>
        <n v="1403.0"/>
        <n v="1402.0"/>
        <n v="1564.0"/>
        <n v="1451.0"/>
        <n v="1563.0"/>
        <n v="1362.0"/>
        <n v="1524.0"/>
        <n v="1625.0"/>
        <n v="504.0"/>
        <n v="502.0"/>
        <n v="501.0"/>
        <n v="503.0"/>
        <n v="506.0"/>
        <n v="531.0"/>
        <n v="532.0"/>
        <n v="533.0"/>
        <n v="510.0"/>
        <n v="511.0"/>
        <n v="512.0"/>
        <n v="1039.0"/>
        <n v="1036.0"/>
        <n v="707.0"/>
        <n v="1040.0"/>
        <n v="1051.0"/>
        <n v="1044.0"/>
        <n v="1037.0"/>
        <n v="1043.0"/>
        <n v="1041.0"/>
        <n v="1042.0"/>
        <n v="1048.0"/>
        <n v="1046.0"/>
        <n v="1045.0"/>
        <n v="1047.0"/>
        <n v="1049.0"/>
        <n v="1050.0"/>
        <n v="912.0"/>
        <n v="735.0"/>
        <n v="1384.0"/>
        <n v="1432.0"/>
        <n v="1383.0"/>
        <n v="672.0"/>
        <n v="890.0"/>
        <n v="1438.0"/>
        <n v="1421.0"/>
        <n v="1521.0"/>
        <n v="1304.0"/>
        <n v="1490.0"/>
        <n v="1470.0"/>
        <n v="1393.0"/>
        <n v="673.0"/>
        <n v="674.0"/>
        <n v="817.0"/>
        <n v="816.0"/>
        <n v="820.0"/>
        <n v="819.0"/>
        <n v="891.0"/>
        <n v="690.0"/>
        <n v="689.0"/>
        <n v="1519.0"/>
        <n v="686.0"/>
        <n v="733.0"/>
        <n v="738.0"/>
        <n v="739.0"/>
        <n v="687.0"/>
        <n v="776.0"/>
        <n v="1575.0"/>
        <n v="383.0"/>
        <n v="743.0"/>
        <n v="1595.0"/>
        <n v="1381.0"/>
        <n v="745.0"/>
        <n v="1380.0"/>
        <n v="1616.0"/>
        <n v="676.0"/>
        <n v="747.0"/>
        <n v="684.0"/>
        <n v="685.0"/>
        <n v="682.0"/>
        <n v="1478.0"/>
        <n v="1433.0"/>
        <n v="740.0"/>
        <n v="679.0"/>
        <n v="678.0"/>
        <n v="681.0"/>
        <n v="1536.0"/>
        <n v="683.0"/>
        <n v="1504.0"/>
        <n v="715.0"/>
        <n v="1485.0"/>
        <n v="1499.0"/>
        <n v="717.0"/>
        <n v="713.0"/>
        <n v="915.0"/>
        <n v="1389.0"/>
        <n v="1436.0"/>
        <n v="1435.0"/>
        <n v="711.0"/>
        <n v="1526.0"/>
        <n v="913.0"/>
        <n v="712.0"/>
        <n v="701.0"/>
        <n v="1339.0"/>
        <n v="710.0"/>
        <n v="1583.0"/>
        <n v="691.0"/>
        <n v="886.0"/>
        <n v="922.0"/>
        <n v="703.0"/>
        <n v="1531.0"/>
        <n v="1590.0"/>
        <n v="1522.0"/>
        <n v="704.0"/>
        <n v="1557.0"/>
        <n v="706.0"/>
        <n v="702.0"/>
        <n v="1082.0"/>
        <n v="705.0"/>
        <n v="1446.0"/>
        <n v="692.0"/>
        <n v="693.0"/>
        <n v="695.0"/>
        <n v="1617.0"/>
        <n v="1303.0"/>
        <n v="698.0"/>
        <n v="1390.0"/>
        <n v="700.0"/>
        <n v="699.0"/>
        <n v="1422.0"/>
        <n v="1517.0"/>
        <n v="709.0"/>
        <n v="1550.0"/>
        <n v="697.0"/>
        <n v="755.0"/>
        <n v="1428.0"/>
        <n v="751.0"/>
        <n v="766.0"/>
        <n v="759.0"/>
        <n v="760.0"/>
        <n v="761.0"/>
        <n v="1445.0"/>
        <n v="882.0"/>
        <n v="1618.0"/>
        <n v="1503.0"/>
        <n v="763.0"/>
        <n v="764.0"/>
        <n v="1391.0"/>
        <n v="757.0"/>
        <n v="758.0"/>
        <n v="1568.0"/>
        <n v="752.0"/>
        <n v="754.0"/>
        <n v="753.0"/>
        <n v="1440.0"/>
        <n v="1392.0"/>
        <n v="1314.0"/>
        <n v="1547.0"/>
        <n v="885.0"/>
        <n v="723.0"/>
        <n v="728.0"/>
        <n v="1534.0"/>
        <n v="729.0"/>
        <n v="1549.0"/>
        <n v="730.0"/>
        <n v="731.0"/>
        <n v="1299.0"/>
        <n v="1619.0"/>
        <n v="1457.0"/>
        <n v="724.0"/>
        <n v="725.0"/>
        <n v="727.0"/>
        <n v="902.0"/>
        <n v="769.0"/>
        <n v="1424.0"/>
        <n v="896.0"/>
        <n v="1358.0"/>
        <n v="951.0"/>
        <n v="892.0"/>
        <n v="959.0"/>
        <n v="958.0"/>
        <n v="1493.0"/>
        <n v="1507.0"/>
        <n v="954.0"/>
        <n v="953.0"/>
        <n v="952.0"/>
        <n v="960.0"/>
        <n v="955.0"/>
        <n v="957.0"/>
        <n v="779.0"/>
        <n v="1486.0"/>
        <n v="1621.0"/>
        <n v="970.0"/>
        <n v="1622.0"/>
        <n v="852.0"/>
        <n v="1426.0"/>
        <n v="901.0"/>
        <n v="967.0"/>
        <n v="919.0"/>
        <n v="768.0"/>
        <n v="1453.0"/>
        <n v="718.0"/>
        <n v="719.0"/>
        <n v="1728.0"/>
        <n v="770.0"/>
        <n v="1456.0"/>
        <n v="708.0"/>
        <n v="1302.0"/>
        <n v="875.0"/>
        <n v="873.0"/>
        <n v="906.0"/>
        <n v="1553.0"/>
        <n v="966.0"/>
        <n v="1529.0"/>
        <n v="962.0"/>
        <n v="1423.0"/>
        <n v="1427.0"/>
        <n v="961.0"/>
        <n v="777.0"/>
        <n v="874.0"/>
        <n v="1572.0"/>
        <n v="917.0"/>
        <n v="721.0"/>
        <n v="903.0"/>
        <n v="1483.0"/>
        <n v="1730.0"/>
        <n v="508.0"/>
        <n v="1624.0"/>
        <n v="1520.0"/>
        <n v="788.0"/>
        <n v="791.0"/>
        <n v="792.0"/>
        <n v="1301.0"/>
        <n v="793.0"/>
        <n v="794.0"/>
        <n v="795.0"/>
        <n v="797.0"/>
        <n v="905.0"/>
        <n v="911.0"/>
        <n v="790.0"/>
        <n v="1505.0"/>
        <n v="838.0"/>
        <n v="800.0"/>
        <n v="895.0"/>
        <n v="799.0"/>
        <n v="732.0"/>
        <n v="789.0"/>
        <n v="1592.0"/>
        <n v="1626.0"/>
        <n v="802.0"/>
        <n v="1388.0"/>
        <n v="1506.0"/>
        <n v="855.0"/>
        <n v="1527.0"/>
        <n v="1627.0"/>
        <n v="1454.0"/>
        <n v="889.0"/>
        <n v="803.0"/>
        <n v="1502.0"/>
        <n v="804.0"/>
        <n v="805.0"/>
        <n v="806.0"/>
        <n v="807.0"/>
        <n v="677.0"/>
        <n v="1476.0"/>
        <n v="1552.0"/>
        <n v="1548.0"/>
        <n v="1356.0"/>
        <n v="963.0"/>
        <n v="1441.0"/>
        <n v="900.0"/>
        <n v="887.0"/>
        <n v="813.0"/>
        <n v="1471.0"/>
        <n v="815.0"/>
        <n v="814.0"/>
        <n v="812.0"/>
        <n v="811.0"/>
        <n v="918.0"/>
        <n v="871.0"/>
        <n v="872.0"/>
        <n v="897.0"/>
        <n v="1523.0"/>
        <n v="870.0"/>
        <n v="2003.0"/>
        <n v="1533.0"/>
        <n v="909.0"/>
        <n v="845.0"/>
        <n v="844.0"/>
        <n v="971.0"/>
        <n v="920.0"/>
        <n v="846.0"/>
        <n v="670.0"/>
        <n v="671.0"/>
        <n v="736.0"/>
        <n v="1309.0"/>
        <n v="688.0"/>
        <n v="1628.0"/>
        <n v="908.0"/>
        <n v="675.0"/>
        <n v="1577.0"/>
        <n v="822.0"/>
        <n v="808.0"/>
        <n v="1305.0"/>
        <n v="828.0"/>
        <n v="749.0"/>
        <n v="1323.0"/>
        <n v="826.0"/>
        <n v="748.0"/>
        <n v="827.0"/>
        <n v="1631.0"/>
        <n v="1455.0"/>
        <n v="821.0"/>
        <n v="1430.0"/>
        <n v="750.0"/>
        <n v="823.0"/>
        <n v="824.0"/>
        <n v="825.0"/>
        <n v="1570.0"/>
        <n v="29.0"/>
        <n v="1296.0"/>
        <n v="784.0"/>
        <n v="787.0"/>
        <n v="1535.0"/>
        <n v="1537.0"/>
        <n v="782.0"/>
        <n v="1300.0"/>
        <n v="1429.0"/>
        <n v="1067.0"/>
        <n v="783.0"/>
        <n v="1140.0"/>
        <n v="781.0"/>
        <n v="832.0"/>
        <n v="837.0"/>
        <n v="836.0"/>
        <n v="840.0"/>
        <n v="778.0"/>
        <n v="843.0"/>
        <n v="841.0"/>
        <n v="842.0"/>
        <n v="830.0"/>
        <n v="1530.0"/>
        <n v="829.0"/>
        <n v="1593.0"/>
        <n v="833.0"/>
        <n v="858.0"/>
        <n v="867.0"/>
        <n v="851.0"/>
        <n v="1431.0"/>
        <n v="868.0"/>
        <n v="850.0"/>
        <n v="124.0"/>
        <n v="863.0"/>
        <n v="853.0"/>
        <n v="860.0"/>
        <n v="849.0"/>
        <n v="1480.0"/>
        <n v="854.0"/>
        <n v="857.0"/>
        <n v="1528.0"/>
        <n v="864.0"/>
        <n v="861.0"/>
        <n v="865.0"/>
        <n v="862.0"/>
        <n v="907.0"/>
        <n v="869.0"/>
        <n v="859.0"/>
        <n v="123.0"/>
        <n v="866.0"/>
        <n v="1332.0"/>
        <n v="879.0"/>
        <n v="880.0"/>
        <n v="1509.0"/>
        <n v="876.0"/>
        <n v="1703.0"/>
        <n v="1368.0"/>
        <n v="68.0"/>
        <n v="69.0"/>
        <n v="70.0"/>
        <n v="71.0"/>
        <n v="110.0"/>
        <n v="141.0"/>
        <n v="32.0"/>
        <n v="55.0"/>
        <n v="48.0"/>
        <n v="51.0"/>
        <n v="52.0"/>
        <n v="50.0"/>
        <n v="49.0"/>
        <n v="39.0"/>
        <n v="38.0"/>
        <n v="37.0"/>
        <n v="40.0"/>
        <n v="47.0"/>
        <n v="42.0"/>
        <n v="41.0"/>
        <n v="43.0"/>
        <n v="44.0"/>
        <n v="77.0"/>
        <n v="78.0"/>
        <n v="1367.0"/>
        <n v="75.0"/>
        <n v="64.0"/>
        <n v="84.0"/>
        <n v="81.0"/>
        <n v="82.0"/>
        <n v="36.0"/>
        <n v="86.0"/>
        <n v="87.0"/>
        <n v="184.0"/>
        <n v="182.0"/>
        <n v="185.0"/>
        <n v="188.0"/>
        <n v="1442.0"/>
        <n v="155.0"/>
        <n v="158.0"/>
        <n v="313.0"/>
        <n v="147.0"/>
        <n v="89.0"/>
        <n v="140.0"/>
        <n v="62.0"/>
        <n v="60.0"/>
        <n v="61.0"/>
        <n v="92.0"/>
        <n v="65.0"/>
        <n v="99.0"/>
        <n v="101.0"/>
        <n v="102.0"/>
        <n v="105.0"/>
        <n v="106.0"/>
        <n v="57.0"/>
        <n v="596.0"/>
        <n v="103.0"/>
        <n v="108.0"/>
        <n v="31.0"/>
        <n v="137.0"/>
        <n v="134.0"/>
        <n v="131.0"/>
        <n v="133.0"/>
        <n v="132.0"/>
        <n v="1330.0"/>
        <n v="136.0"/>
        <n v="72.0"/>
        <n v="73.0"/>
        <n v="1479.0"/>
        <n v="63.0"/>
        <n v="93.0"/>
        <n v="96.0"/>
        <n v="95.0"/>
        <n v="90.0"/>
        <n v="91.0"/>
        <n v="58.0"/>
        <n v="148.0"/>
        <n v="113.0"/>
        <n v="112.0"/>
        <n v="129.0"/>
        <n v="121.0"/>
        <n v="119.0"/>
        <n v="120.0"/>
        <n v="56.0"/>
        <n v="144.0"/>
        <n v="145.0"/>
        <n v="1681.0"/>
        <n v="1511.0"/>
        <n v="268.0"/>
        <n v="269.0"/>
        <n v="277.0"/>
        <n v="278.0"/>
        <n v="281.0"/>
        <n v="282.0"/>
        <n v="275.0"/>
        <n v="273.0"/>
        <n v="272.0"/>
        <n v="280.0"/>
        <n v="279.0"/>
        <n v="375.0"/>
        <n v="393.0"/>
        <n v="394.0"/>
        <n v="395.0"/>
        <n v="378.0"/>
        <n v="810.0"/>
        <n v="381.0"/>
        <n v="379.0"/>
        <n v="1405.0"/>
        <n v="1687.0"/>
        <n v="1416.0"/>
        <n v="1417.0"/>
        <n v="1407.0"/>
        <n v="1418.0"/>
        <n v="1410.0"/>
        <n v="1408.0"/>
        <n v="288.0"/>
        <n v="289.0"/>
        <n v="348.0"/>
        <n v="344.0"/>
        <n v="317.0"/>
        <n v="318.0"/>
        <n v="300.0"/>
        <n v="351.0"/>
        <n v="1365.0"/>
        <n v="301.0"/>
        <n v="345.0"/>
        <n v="1444.0"/>
        <n v="294.0"/>
        <n v="295.0"/>
        <n v="307.0"/>
        <n v="308.0"/>
        <n v="1449.0"/>
        <n v="1450.0"/>
        <n v="298.0"/>
        <n v="369.0"/>
        <n v="368.0"/>
        <n v="367.0"/>
        <n v="373.0"/>
        <n v="372.0"/>
        <n v="312.0"/>
        <n v="88.0"/>
        <n v="152.0"/>
        <n v="326.0"/>
        <n v="316.0"/>
        <n v="315.0"/>
        <n v="333.0"/>
        <n v="331.0"/>
        <n v="330.0"/>
        <n v="332.0"/>
        <n v="1727.0"/>
        <n v="302.0"/>
        <n v="1473.0"/>
        <n v="371.0"/>
        <n v="321.0"/>
        <n v="325.0"/>
        <n v="324.0"/>
        <n v="322.0"/>
        <n v="323.0"/>
        <n v="320.0"/>
        <n v="335.0"/>
        <n v="350.0"/>
        <n v="336.0"/>
        <n v="347.0"/>
        <n v="346.0"/>
        <n v="338.0"/>
        <n v="339.0"/>
        <n v="1699.0"/>
        <n v="411.0"/>
        <n v="409.0"/>
        <n v="457.0"/>
        <n v="458.0"/>
        <n v="455.0"/>
        <n v="456.0"/>
        <n v="581.0"/>
        <n v="419.0"/>
        <n v="430.0"/>
        <n v="406.0"/>
        <n v="405.0"/>
        <n v="426.0"/>
        <n v="1400.0"/>
        <n v="549.0"/>
        <n v="550.0"/>
        <n v="568.0"/>
        <n v="630.0"/>
        <n v="559.0"/>
        <n v="558.0"/>
        <n v="628.0"/>
        <n v="626.0"/>
        <n v="582.0"/>
        <n v="629.0"/>
        <n v="602.0"/>
        <n v="610.0"/>
        <n v="614.0"/>
        <n v="615.0"/>
        <n v="616.0"/>
        <n v="617.0"/>
        <n v="622.0"/>
        <n v="619.0"/>
        <n v="621.0"/>
        <n v="618.0"/>
        <n v="620.0"/>
        <n v="566.0"/>
        <n v="583.0"/>
        <n v="612.0"/>
        <n v="613.0"/>
        <n v="611.0"/>
        <n v="631.0"/>
        <n v="1395.0"/>
        <n v="563.0"/>
        <n v="662.0"/>
        <n v="664.0"/>
        <n v="663.0"/>
        <n v="667.0"/>
        <n v="1174.0"/>
        <n v="201.0"/>
        <n v="202.0"/>
        <n v="1610.0"/>
        <n v="203.0"/>
        <n v="11.0"/>
        <n v="14.0"/>
        <n v="16.0"/>
        <n v="12.0"/>
        <n v="17.0"/>
        <n v="15.0"/>
        <n v="22.0"/>
        <n v="20.0"/>
        <n v="21.0"/>
        <n v="13.0"/>
        <n v="1731.0"/>
        <n v="1059.0"/>
        <n v="1061.0"/>
        <n v="1058.0"/>
        <n v="1056.0"/>
        <n v="1372.0"/>
        <n v="1162.0"/>
        <n v="1148.0"/>
        <n v="1469.0"/>
        <n v="1164.0"/>
        <n v="1166.0"/>
        <n v="1474.0"/>
        <n v="1145.0"/>
        <n v="1165.0"/>
        <n v="1168.0"/>
        <n v="1163.0"/>
        <n v="1597.0"/>
        <n v="1167.0"/>
        <n v="2006.0"/>
        <n v="1147.0"/>
        <n v="1146.0"/>
        <n v="1607.0"/>
        <n v="1491.0"/>
        <n v="1489.0"/>
        <n v="2007.0"/>
        <n v="1701.0"/>
        <n v="1700.0"/>
        <n v="1151.0"/>
        <n v="981.0"/>
        <n v="1031.0"/>
        <n v="1149.0"/>
        <n v="1000.0"/>
        <n v="1150.0"/>
        <n v="1515.0"/>
        <n v="1516.0"/>
        <n v="1512.0"/>
        <n v="1514.0"/>
        <n v="1152.0"/>
        <n v="995.0"/>
        <n v="1513.0"/>
        <n v="1373.0"/>
        <n v="1361.0"/>
        <n v="1386.0"/>
        <n v="1379.0"/>
        <n v="1376.0"/>
        <n v="1375.0"/>
        <n v="1374.0"/>
        <n v="1377.0"/>
        <n v="1567.0"/>
        <n v="714.0"/>
        <n v="516.0"/>
        <n v="1261.0"/>
        <n v="1614.0"/>
        <n v="1541.0"/>
        <n v="1542.0"/>
        <n v="1540.0"/>
        <n v="1560.0"/>
        <n v="1182.0"/>
        <n v="990.0"/>
        <n v="991.0"/>
        <n v="986.0"/>
        <n v="1640.0"/>
        <n v="977.0"/>
        <n v="982.0"/>
        <n v="983.0"/>
        <n v="1604.0"/>
        <n v="988.0"/>
        <n v="993.0"/>
        <n v="978.0"/>
        <n v="1716.0"/>
        <n v="1186.0"/>
        <n v="222.0"/>
        <n v="479.0"/>
        <n v="1556.0"/>
        <n v="224.0"/>
        <n v="257.0"/>
        <n v="407.0"/>
        <n v="475.0"/>
        <n v="1275.0"/>
        <n v="216.0"/>
        <n v="1032.0"/>
        <n v="1354.0"/>
        <n v="53.0"/>
        <n v="468.0"/>
        <n v="470.0"/>
        <n v="469.0"/>
        <n v="1612.0"/>
        <n v="401.0"/>
        <n v="465.0"/>
        <n v="1274.0"/>
        <n v="467.0"/>
        <n v="1709.0"/>
        <n v="226.0"/>
        <n v="2008.0"/>
        <n v="260.0"/>
        <n v="230.0"/>
        <n v="487.0"/>
        <n v="228.0"/>
        <n v="669.0"/>
        <n v="1666.0"/>
        <n v="1498.0"/>
        <n v="1185.0"/>
        <n v="247.0"/>
        <n v="253.0"/>
        <n v="1582.0"/>
        <n v="234.0"/>
        <n v="1693.0"/>
        <n v="496.0"/>
        <n v="1306.0"/>
        <n v="227.0"/>
        <n v="1295.0"/>
        <n v="250.0"/>
        <n v="1579.0"/>
        <n v="1137.0"/>
        <n v="235.0"/>
        <n v="1179.0"/>
        <n v="481.0"/>
        <n v="1714.0"/>
        <n v="480.0"/>
        <n v="1280.0"/>
        <n v="484.0"/>
        <n v="264.0"/>
        <n v="2009.0"/>
        <n v="2010.0"/>
        <n v="403.0"/>
        <n v="259.0"/>
        <n v="1562.0"/>
        <n v="1282.0"/>
        <n v="1284.0"/>
        <n v="1723.0"/>
        <n v="1288.0"/>
        <n v="1437.0"/>
        <n v="1144.0"/>
        <n v="1554.0"/>
        <n v="1704.0"/>
        <n v="1581.0"/>
        <n v="1555.0"/>
        <n v="1539.0"/>
        <n v="246.0"/>
        <n v="382.0"/>
        <n v="245.0"/>
        <n v="252.0"/>
        <n v="1609.0"/>
        <n v="418.0"/>
        <n v="489.0"/>
        <n v="1461.0"/>
        <n v="490.0"/>
        <n v="493.0"/>
        <n v="1298.0"/>
        <n v="492.0"/>
        <n v="491.0"/>
        <n v="286.0"/>
        <n v="994.0"/>
        <n v="1279.0"/>
        <n v="1496.0"/>
        <n v="242.0"/>
        <n v="1585.0"/>
        <n v="254.0"/>
        <n v="1725.0"/>
        <n v="213.0"/>
        <n v="483.0"/>
        <n v="374.0"/>
        <n v="1443.0"/>
        <n v="2011.0"/>
        <n v="1294.0"/>
        <n v="1712.0"/>
        <n v="392.0"/>
        <n v="380.0"/>
        <n v="397.0"/>
        <n v="398.0"/>
        <n v="1733.0"/>
        <n v="1285.0"/>
        <n v="2012.0"/>
        <n v="1287.0"/>
        <n v="1732.0"/>
        <n v="459.0"/>
        <n v="473.0"/>
        <n v="1544.0"/>
        <n v="1497.0"/>
        <n v="464.0"/>
        <n v="1313.0"/>
        <n v="463.0"/>
        <n v="217.0"/>
        <n v="1378.0"/>
        <n v="1495.0"/>
        <n v="474.0"/>
        <n v="1605.0"/>
        <n v="416.0"/>
        <n v="1642.0"/>
        <n v="1641.0"/>
        <n v="1394.0"/>
        <n v="1181.0"/>
        <n v="248.0"/>
        <n v="472.0"/>
        <n v="476.0"/>
        <n v="477.0"/>
        <n v="478.0"/>
        <n v="1518.0"/>
        <n v="1543.0"/>
        <n v="1475.0"/>
        <n v="486.0"/>
        <n v="495.0"/>
        <n v="461.0"/>
        <n v="414.0"/>
        <n v="420.0"/>
        <n v="488.0"/>
        <n v="1139.0"/>
        <n v="1606.0"/>
        <n v="494.0"/>
        <n v="221.0"/>
        <n v="1715.0"/>
        <n v="1180.0"/>
        <n v="1659.0"/>
        <n v="1289.0"/>
        <n v="1293.0"/>
        <n v="422.0"/>
        <n v="1191.0"/>
        <n v="1192.0"/>
        <n v="1204.0"/>
        <n v="1206.0"/>
        <n v="1364.0"/>
        <n v="1366.0"/>
        <n v="505.0"/>
        <n v="1615.0"/>
        <n v="530.0"/>
        <n v="529.0"/>
        <n v="513.0"/>
        <n v="514.0"/>
        <n v="1033.0"/>
        <n v="1035.0"/>
        <n v="1034.0"/>
        <n v="220.0"/>
        <n v="236.0"/>
        <n v="212.0"/>
        <n v="1460.0"/>
        <n v="980.0"/>
        <n v="1291.0"/>
        <n v="211.0"/>
        <n v="1262.0"/>
        <n v="1264.0"/>
        <n v="1263.0"/>
        <n v="466.0"/>
        <n v="229.0"/>
        <n v="266.0"/>
        <n v="139.0"/>
        <n v="509.0"/>
        <n v="429.0"/>
        <n v="237.0"/>
        <n v="1266.0"/>
        <n v="1268.0"/>
        <n v="1267.0"/>
        <n v="1269.0"/>
        <n v="210.0"/>
        <n v="209.0"/>
        <n v="1270.0"/>
        <n v="255.0"/>
        <n v="1265.0"/>
        <n v="258.0"/>
        <n v="232.0"/>
        <n v="1281.0"/>
        <n v="1586.0"/>
        <n v="973.0"/>
        <n v="1658.0"/>
        <n v="1355.0"/>
        <n v="233.0"/>
        <n v="1434.0"/>
        <n v="249.0"/>
        <n v="646.0"/>
        <n v="1076.0"/>
        <n v="1184.0"/>
        <n v="238.0"/>
        <n v="239.0"/>
        <n v="1143.0"/>
        <n v="1077.0"/>
        <n v="26.0"/>
        <n v="1277.0"/>
        <n v="1580.0"/>
        <n v="244.0"/>
        <n v="1066.0"/>
        <n v="737.0"/>
        <n v="742.0"/>
        <n v="746.0"/>
        <n v="256.0"/>
        <n v="1708.0"/>
        <n v="1569.0"/>
        <n v="1468.0"/>
        <n v="956.0"/>
        <n v="774.0"/>
        <n v="1425.0"/>
        <n v="916.0"/>
        <n v="881.0"/>
        <n v="877.0"/>
        <n v="910.0"/>
        <n v="894.0"/>
        <n v="998.0"/>
        <n v="893.0"/>
        <n v="1477.0"/>
        <n v="847.0"/>
        <n v="1057.0"/>
        <n v="1188.0"/>
        <n v="1729.0"/>
        <n v="1643.0"/>
        <n v="921.0"/>
        <n v="839.0"/>
        <n v="831.0"/>
        <n v="744.0"/>
        <n v="206.0"/>
        <n v="35.0"/>
        <n v="30.0"/>
        <n v="109.0"/>
        <n v="1545.0"/>
        <n v="54.0"/>
        <n v="214.0"/>
        <n v="215.0"/>
        <n v="231.0"/>
        <n v="79.0"/>
        <n v="1178.0"/>
        <n v="1578.0"/>
        <n v="76.0"/>
        <n v="979.0"/>
        <n v="149.0"/>
        <n v="80.0"/>
        <n v="138.0"/>
        <n v="186.0"/>
        <n v="219.0"/>
        <n v="1138.0"/>
        <n v="223.0"/>
        <n v="154.0"/>
        <n v="150.0"/>
        <n v="151.0"/>
        <n v="107.0"/>
        <n v="1705.0"/>
        <n v="187.0"/>
        <n v="59.0"/>
        <n v="97.0"/>
        <n v="116.0"/>
        <n v="142.0"/>
        <n v="267.0"/>
        <n v="1561.0"/>
        <n v="274.0"/>
        <n v="276.0"/>
        <n v="1176.0"/>
        <n v="261.0"/>
        <n v="396.0"/>
        <n v="291.0"/>
        <n v="299.0"/>
        <n v="296.0"/>
        <n v="1472.0"/>
        <n v="293.0"/>
        <n v="1588.0"/>
        <n v="311.0"/>
        <n v="370.0"/>
        <n v="1710.0"/>
        <n v="297.0"/>
        <n v="327.0"/>
        <n v="328.0"/>
        <n v="329.0"/>
        <n v="343.0"/>
        <n v="1571.0"/>
        <n v="290.0"/>
        <n v="225.0"/>
        <n v="1711.0"/>
        <n v="319.0"/>
        <n v="337.0"/>
        <n v="334.0"/>
        <n v="1707.0"/>
        <n v="1439.0"/>
        <n v="287.0"/>
        <n v="283.0"/>
        <n v="285.0"/>
        <n v="284.0"/>
        <n v="400.0"/>
        <n v="399.0"/>
        <n v="218.0"/>
        <n v="1538.0"/>
        <n v="1508.0"/>
        <n v="423.0"/>
        <n v="413.0"/>
        <n v="265.0"/>
        <n v="651.0"/>
        <n v="650.0"/>
        <n v="653.0"/>
        <n v="660.0"/>
        <n v="546.0"/>
        <n v="535.0"/>
        <n v="536.0"/>
        <n v="1551.0"/>
        <n v="1664.0"/>
        <n v="661.0"/>
        <n v="1665.0"/>
        <n v="1668.0"/>
        <n v="1190.0"/>
        <n v="1175.0"/>
        <n v="1574.0"/>
        <n v="1713.0"/>
        <n v="204.0"/>
        <n v="1038.0"/>
        <n v="28.0"/>
        <n v="27.0"/>
        <n v="1079.0"/>
        <n v="1064.0"/>
        <n v="1183.0"/>
        <n v="975.0"/>
        <n v="1053.0"/>
        <n v="1692.0"/>
        <n v="1052.0"/>
        <n v="1063.0"/>
        <n v="1611.0"/>
        <n v="241.0"/>
        <n v="1062.0"/>
        <n v="1286.0"/>
        <n v="1447.0"/>
        <n v="1290.0"/>
        <n v="1065.0"/>
        <n v="1385.0"/>
        <n v="208.0"/>
        <n v="1135.0"/>
        <n v="1136.0"/>
        <n v="1078.0"/>
        <n v="1566.0"/>
        <n v="309.0"/>
        <n v="1565.0"/>
        <n v="1633.0"/>
        <n v="1283.0"/>
        <n v="240.0"/>
        <n v="1369.0"/>
        <n v="1189.0"/>
        <n v="1141.0"/>
        <n v="115.0"/>
        <n v="1142.0"/>
        <n v="243.0"/>
        <n v="1459.0"/>
        <n v="775.0"/>
        <n v="1690.0"/>
        <n v="543.0"/>
        <n v="192.0"/>
        <n v="1452.0"/>
        <n v="569.0"/>
        <n v="183.0"/>
        <n v="968.0"/>
        <n v="648.0"/>
        <n v="310.0"/>
        <n v="878.0"/>
        <n v="98.0"/>
        <n v="801.0"/>
        <n v="565.0"/>
        <n v="482.0"/>
        <n v="1326.0"/>
        <n v="1601.0"/>
        <n v="1327.0"/>
        <n v="193.0"/>
        <n v="1694.0"/>
        <n v="2013.0"/>
        <n v="2014.0"/>
        <n v="2015.0"/>
        <n v="376.0"/>
        <n v="1333.0"/>
        <n v="1187.0"/>
        <n v="720.0"/>
        <n v="1273.0"/>
        <n v="767.0"/>
        <n v="485.0"/>
        <n v="2016.0"/>
        <n v="1278.0"/>
        <n v="639.0"/>
        <n v="567.0"/>
        <n v="538.0"/>
        <n v="263.0"/>
        <n v="2017.0"/>
        <n v="1587.0"/>
        <n v="1678.0"/>
        <n v="1680.0"/>
        <n v="1679.0"/>
        <n v="1686.0"/>
        <n v="1685.0"/>
        <n v="1677.0"/>
        <n v="1684.0"/>
        <n v="1683.0"/>
        <n v="2019.0"/>
        <n v="1689.0"/>
        <n v="1688.0"/>
        <n v="2020.0"/>
        <n v="2021.0"/>
        <n v="135.0"/>
        <n v="122.0"/>
        <n v="1706.0"/>
        <n v="1697.0"/>
        <n v="2023.0"/>
        <n v="23.0"/>
        <n v="644.0"/>
        <n v="1726.0"/>
        <n v="428.0"/>
        <n v="1599.0"/>
        <n v="1338.0"/>
        <n v="2024.0"/>
        <n v="2027.0"/>
        <n v="2028.0"/>
        <n v="2029.0"/>
        <n v="2030.0"/>
        <n v="584.0"/>
        <n v="1320.0"/>
        <n v="798.0"/>
        <n v="659.0"/>
        <n v="1702.0"/>
        <n v="2031.0"/>
        <n v="2032.0"/>
        <n v="1734.0"/>
        <n v="1735.0"/>
        <n v="716.0"/>
        <n v="1600.0"/>
        <n v="402.0"/>
        <n v="605.0"/>
        <n v="1589.0"/>
        <n v="1335.0"/>
        <n v="562.0"/>
        <n v="666.0"/>
        <n v="556.0"/>
        <n v="608.0"/>
        <n v="595.0"/>
        <n v="2038.0"/>
        <n v="1695.0"/>
        <n v="560.0"/>
        <n v="1347.0"/>
        <n v="600.0"/>
        <n v="74.0"/>
        <n v="1336.0"/>
        <n v="773.0"/>
        <n v="100.0"/>
        <n v="1458.0"/>
        <n v="726.0"/>
        <m/>
      </sharedItems>
    </cacheField>
    <cacheField name="fullName" numFmtId="0">
      <sharedItems containsBlank="1">
        <s v="אוסטרובסקי מיכאל"/>
        <s v="אלטלאקת פאטמה"/>
        <s v="ביליה אריאל (אריק)"/>
        <s v="בלטי יצחק (איציק)"/>
        <s v="בן פורת משה"/>
        <s v="ג'מבקוב אנדריי"/>
        <s v="ג'מבקוב זויה"/>
        <s v="גרידסקול ויקטוריה"/>
        <s v="גרידסקול סרגיי"/>
        <s v="ויזמן ראובן"/>
        <s v="חטיב טארק"/>
        <s v="זקוטו אבי"/>
        <s v="חטואל אברהם (אבי)"/>
        <s v="חייט שמעון"/>
        <s v="חיימוב אהרון"/>
        <s v="יאחנגילוב יפתח"/>
        <s v="יאחנגילוב מריה"/>
        <s v="ידגרוב יורי"/>
        <s v="ידגרוב רוזה"/>
        <s v="מלקמו עדנה"/>
        <s v="משייב אנה"/>
        <s v="פוליאקוב אמה"/>
        <s v="קוסטיצין יליזבטה (ליליה)"/>
        <s v="רחמים בנימין"/>
        <s v="אוזן אליהו (אליקו)"/>
        <s v="אוזן אריה"/>
        <s v="אלזיאדנא עבד אלרחמן עאטף"/>
        <s v="אסלנוב ג'ון"/>
        <s v="גניש בנימין (בני)"/>
        <s v="וייסברג אלינה"/>
        <s v="חסדאי אבי"/>
        <s v="טייב נדב יוסף חי"/>
        <s v="ליסובוי יורי"/>
        <s v="ליסובוי סבטלנה"/>
        <s v="צ'בן יוליה"/>
        <s v="קימנפלד דניל"/>
        <s v="קרייף שחף"/>
        <s v="קרן טל"/>
        <s v="שאולוב רוברט"/>
        <s v="תעסה אור"/>
        <s v="אוביץ זיוה"/>
        <s v="אוחנה עדי"/>
        <s v="בנעים חיימי (חיים)"/>
        <s v="גולדין אורן"/>
        <s v="לוגבינצ'נקו ויטלי"/>
        <s v="משה רועי"/>
        <s v="פופוב ניר (ניקיטה)"/>
        <s v="קפשיטר איתן"/>
        <s v="קפשיטר אלין"/>
        <s v="קפשיטר דינה"/>
        <s v="קפשיטר יבגני (ג'ניה)"/>
        <s v="רפאלי מישקין חגית"/>
        <s v="תורג'מן דוד (דודי)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חג'בי אליצור צוריאל"/>
        <s v="חג'בי יהונתן"/>
        <s v="חג'בי יזהר"/>
        <s v="אבו מדיע'ם אוסאמה עלי"/>
        <s v="ירון שיר"/>
        <s v="לוי ציון"/>
        <s v="אלמגור מרינה"/>
        <s v="אקוני אור"/>
        <s v="אקוני אריה"/>
        <s v="אקוני ארלט (רותי)"/>
        <s v="ברגר נורית"/>
        <s v="וובק דני"/>
        <s v="ינון בלהה"/>
        <s v="ינון יעקובי"/>
        <s v="מולכו איילת"/>
        <s v="מולכו שלמה (שלומי)"/>
        <s v="סגל חויק"/>
        <s v="אלקבץ מוטי"/>
        <s v="בן יהודה גלעד"/>
        <s v="בן יהודה יובל"/>
        <s v="הדר איתי (יוסטון)"/>
        <s v="זומר דן"/>
        <s v="זעפרני נוי תפארת"/>
        <s v="כהן דניאל אשר"/>
        <s v="מעודי נוי"/>
        <s v="קדמן שחר גל"/>
        <s v="קוסובסקי זלטה"/>
        <s v="קיפר סביון חן"/>
        <s v="רביע יובל"/>
        <s v="רביע נועם"/>
        <s v="רוזנברג מתן"/>
        <s v="שפיר דור חנן"/>
        <s v="שרון (שוקרון) דודי"/>
        <s v="אבאסוב שמיל"/>
        <s v="אבדולאייב עדן"/>
        <s v="אבו סבילה מוסא"/>
        <s v="אבו עאמר אלרזאם סוהייב"/>
        <s v="אבו עסא אוסאמה"/>
        <s v="אבוחצירה אוראל"/>
        <s v="אביב נוי"/>
        <s v="אביטן דור"/>
        <s v="אביר לוטן"/>
        <s v="אבני גיל יוסף"/>
        <s v="אברג'יל עודד"/>
        <s v="אברהם אילן"/>
        <s v="אברמוב לאור"/>
        <s v="אדברג אסף מרדכי"/>
        <s v="אדם מפל"/>
        <s v="אדר גילי"/>
        <s v="אוחיון עדן ליז"/>
        <s v="אוחנה דניאל"/>
        <s v="אורי בן"/>
        <s v="אורן אביאל"/>
        <s v="אזולאי גמליאל גבי גבריאל"/>
        <s v="אזולאי יוחאי"/>
        <s v="אזולאי יונתן חי"/>
        <s v="אחרק עמרי"/>
        <s v="אטון אופק"/>
        <s v="אטיאס דורין"/>
        <s v="איטח ליאל"/>
        <s v="איטח סיגל"/>
        <s v="איילון שירה"/>
        <s v="אילוז אליה אליהו"/>
        <s v="אילייב אדם"/>
        <s v="איירמנדי סיזר איוון"/>
        <s v="אליהו יהונתן"/>
        <s v="אלפסי שלמה אליהו"/>
        <s v="אלפראחין ח'אלד"/>
        <s v="אלקיים לוי עינב"/>
        <s v="נסאסרה עבד אלכרים"/>
        <s v="אלשיך שלמה (שלומי) אליהו"/>
        <s v="אמין שני"/>
        <s v="אנגלנדר נועה"/>
        <s v="אסולין ליאור"/>
        <s v="אסולין לירז"/>
        <s v="אסייג ליאב"/>
        <s v="אפרים ירין משה"/>
        <s v="אפרים נעם ליאל"/>
        <s v="אקשטיין מתן"/>
        <s v="ארד אורי"/>
        <s v="ארד נבו"/>
        <s v="אריאל דן"/>
        <s v="ארנין איילת"/>
        <s v="אשואן סהר"/>
        <s v="בהט דרור"/>
        <s v="בובטס בן איון אורטל"/>
        <s v="בולדס דורון"/>
        <s v="בונגרט סופיה"/>
        <s v="בוסקילה ירדן"/>
        <s v="בועזיז מורלי נטע"/>
        <s v="בוקובזה רז"/>
        <s v="בור גלאון ליעם"/>
        <s v="בורשטיין מטיאס (הרנן)"/>
        <s v="בורשטיין עינב (חן)"/>
        <s v="ביטון בניהו"/>
        <s v="ביטון מאיה"/>
        <s v="ביטון מרדכי בן אריאל"/>
        <s v="ביטון נדב"/>
        <s v="ביילין אורון"/>
        <s v="ביילין בן צבי שגיב"/>
        <s v="ביכר נעומי"/>
        <s v="בילמס ספיר"/>
        <s v="בכר יהודה"/>
        <s v="בן אבי חן"/>
        <s v="בן אבידה עמית (יהודה)"/>
        <s v="בן דוד נגר סלין רחל"/>
        <s v="בן זינו עידו"/>
        <s v="בן זכריה יוחאי"/>
        <s v="בן חמו אור חיים"/>
        <s v="בן חמו דן"/>
        <s v="בן נעים שחר"/>
        <s v="בן סניור דניאל"/>
        <s v="בן עמי שני"/>
        <s v="בן פורת אליסף"/>
        <s v="בן רובי עדן"/>
        <s v="בנג'ו איתי"/>
        <s v="בר דין נהוראי"/>
        <s v="בר שהם"/>
        <s v="בראון יובל"/>
        <s v="בראל גבריאל ישי"/>
        <s v="ברגמן אלדד (אנג'ל)"/>
        <s v="ברדה לירון"/>
        <s v="ברזני סתיו"/>
        <s v="ברטיק (קליין) טל"/>
        <s v="ברטל נדב"/>
        <s v="אליהו ברנט רומי"/>
        <s v="ברנשטיין אליהו יעקב"/>
        <s v="ברנשטיין בן"/>
        <s v="ברסלבסקי דניאל (דני)"/>
        <s v="ברעם עילי"/>
        <s v="ג'ורג'י שיר חנה"/>
        <s v="ג'רפי ליאל"/>
        <s v="גבאי שני"/>
        <s v="גוטמן תמר"/>
        <s v="גולדנברג ניצן"/>
        <s v="גולדנברג תמר"/>
        <s v="גולטמן דניאל"/>
        <s v="גוסק מרגריטה"/>
        <s v="גורביץ' (וסילקובסקי) ליליה"/>
        <s v="גורדני שרון"/>
        <s v="גוריונוב אנטון"/>
        <s v="גורלוב ויקטוריה"/>
        <s v="גז עדן"/>
        <s v="גטה סתיו"/>
        <s v="גילר ירוסלב (סלבה)"/>
        <s v="גינדי שחר"/>
        <s v="גל שלו"/>
        <s v="גנדלין איזבלה"/>
        <s v="גנוט אביה"/>
        <s v="גנון שירן"/>
        <s v="גניס יוסף (ספי)"/>
        <s v="גרציאני מאור"/>
        <s v="גרקוביץ' דפנה"/>
        <s v="דב רחל (רייצ'ל)"/>
        <s v="דדון אבי"/>
        <s v="דהן יצחק איציק"/>
        <s v="דוד הודיה"/>
        <s v="דוד עמית יצחק"/>
        <s v="דוד תאיר"/>
        <s v="דוידוב קרינה אלה"/>
        <s v="דוידי ברק"/>
        <s v="דויטשוילי שון"/>
        <s v="דור עידן"/>
        <s v="דייטשמן רונן"/>
        <s v="דמרי דן"/>
        <s v="דמתי קים"/>
        <s v="דנגורי גל"/>
        <s v="דפני לין"/>
        <s v="הירש (אוזן) שרון"/>
        <s v="הלוי אביעד"/>
        <s v="הרמן עידן"/>
        <s v="הרמתי עידן"/>
        <s v="ואקנין פרמוטר לימור"/>
        <s v="ודעי דניאל מאיר"/>
        <s v="והדי משה"/>
        <s v="וולדמן דניאל"/>
        <s v="ויגדרגאוז (דובז'נקו) סיימון"/>
        <s v="ויינברג רון"/>
        <s v="ויינשטיין ליאל"/>
        <s v="ולאנו פונטס ברונה"/>
        <s v="וקנין אושר"/>
        <s v="וקנין מיכאל"/>
        <s v="ורבר אלון"/>
        <s v="ורדי לורי"/>
        <s v="ורניקוב קרין"/>
        <s v="ז'ורנו קארין"/>
        <s v="זגדון רינת הודיה"/>
        <s v="זוארמן מוטי (מרדכי)"/>
        <s v="זהר בר"/>
        <s v="זיו אור"/>
        <s v="זיידמן יונתן (ג'וני)"/>
        <s v="זנדר נועה"/>
        <s v="זנטי מתן"/>
        <s v="זפרני איתי"/>
        <s v="חבני שקד"/>
        <s v="חג'בי זיו"/>
        <s v="חדד אטיאס ליאור"/>
        <s v="חיאל גידי"/>
        <s v="חיאל נועה"/>
        <s v="חיים מאיה"/>
        <s v="חליפה גאיה"/>
        <s v="חמוי אלה"/>
        <s v="חסיד בן בנציון"/>
        <s v="חפץ אריה אריק"/>
        <s v="טבגן גולדמן קטרינה (קטיה)"/>
        <s v="טמם אדיר"/>
        <s v="טקאץ' ליאור"/>
        <s v="טרבלסי מור"/>
        <s v="יהודאי רון"/>
        <s v="יעקב אילן משה"/>
        <s v="יעקב שהם"/>
        <s v="יעקב שובל"/>
        <s v="יעקב שנהב"/>
        <s v="יעקובוב סאן אמנון"/>
        <s v="יצחקי מאי"/>
        <s v="ישמרני (טמם) שירז שירן"/>
        <s v="כהן אברהם נריה"/>
        <s v="כהן בן בנימין"/>
        <s v="כהן דניאל"/>
        <s v="כהן מגורי ליבי"/>
        <s v="כהן מור"/>
        <s v="כהן עמית חיים"/>
        <s v="כפיר גלעד"/>
        <s v="כץ טל"/>
        <s v="לביא עומרי יעקב"/>
        <s v="להב עמית"/>
        <s v="לוי גיא גבריאל"/>
        <s v="לוי יצחק"/>
        <s v="לוי ליבנת"/>
        <s v="לוי לידור יוסף"/>
        <s v="לוי נאור"/>
        <s v="לוי ניסים (מעיין)"/>
        <s v="לוי סיגל"/>
        <s v="לוי עמית"/>
        <s v="לוי רותם רחל"/>
        <s v="לוין אליסיה"/>
        <s v="ליאור מתן מרדכי"/>
        <s v="ליטמן אוריה ריקרדו"/>
        <s v="ליסמן אניטה"/>
        <s v="ליסצ'וב דוד"/>
        <s v="ליפובסקי אילן"/>
        <s v="למאי דידנקו יוליה"/>
        <s v="לפידות תפארת"/>
        <s v="מגנזי עמית"/>
        <s v="מדמון ניר"/>
        <s v="מדמוני שליו"/>
        <s v="מדר שחק יוסף"/>
        <s v="מועלם נעמה"/>
        <s v="מוצפי שי שלום אליאור"/>
        <s v="מזרחי אלירן"/>
        <s v="מזרחי בן מנשה"/>
        <s v="מזרחי רז"/>
        <s v="מייזל עדי רבקה"/>
        <s v="מימון ליאור"/>
        <s v="מליחי אמיתי"/>
        <s v="מלכה דור"/>
        <s v="מנצור שחר"/>
        <s v="מנצורי נורל"/>
        <s v="מנצורי רויה"/>
        <s v="מסיאס מונטנו אנטוניו יניב"/>
        <s v="מסיקה אדיר"/>
        <s v="מקרצ'נקו סטיבן"/>
        <s v="מרגלית עדי"/>
        <s v="משה עדן דוד"/>
        <s v="נאמן דוד יאיר שלום"/>
        <s v="נבון גל"/>
        <s v="נזרוב אילקין"/>
        <s v="נחום דור"/>
        <s v="נידג'לסקי גלזר חנני"/>
        <s v="ניימן רותם"/>
        <s v="ניסימבוים (כרמלי) ג'ני"/>
        <s v="ניסן לירז"/>
        <s v="נעים מאי"/>
        <s v="נפתלי עדן"/>
        <s v="נקמולי בר ליאור (ברלי)"/>
        <s v="סבידיה שלומי"/>
        <s v="סוויסה מוריה אור"/>
        <s v="סולומון הילי"/>
        <s v="סטלזר מנדס קרלה"/>
        <s v="סטרוסטה תומר"/>
        <s v="סלומון יעקב"/>
        <s v="סלע רם"/>
        <s v="סמואלוב אלעזר"/>
        <s v="סמוילוב אלכסנדר"/>
        <s v="סמט תמר"/>
        <s v="סעידי צור"/>
        <s v="סעידיאן משה (מושיקו)"/>
        <s v="סרודי יניב"/>
        <s v="עבדוש גל"/>
        <s v="עבדוש נאג'י"/>
        <s v="עדרי עידן"/>
        <s v="עודי עופר"/>
        <s v="עזר גיא"/>
        <s v="עזרא עוז משה"/>
        <s v="עטון ליאור"/>
        <s v="עמר חנן (חנניה)"/>
        <s v="עמר מרסדס אוריה"/>
        <s v="פאר יועד"/>
        <s v="פודר מאיה"/>
        <s v="פולבנוב רוני"/>
        <s v="פוסטל יבגני"/>
        <s v="פורטי ניר"/>
        <s v="פטרובסקי רוני"/>
        <s v="פטרנקו דניאלה (דנה)"/>
        <s v="פישמן בן"/>
        <s v="פלחטי אלינה"/>
        <s v="פסו אוראל"/>
        <s v="פרג' נועה"/>
        <s v="פריטיקה קארינה"/>
        <s v="פרינץ הדר"/>
        <s v="פרנקל זיו"/>
        <s v="פרץ אריק (אריה)"/>
        <s v="פרץ עידו"/>
        <s v="פרץ רות הודיה"/>
        <s v="צפתי חי חיים"/>
        <s v="צרפתי אופיר"/>
        <s v="צרפתי רון"/>
        <s v="קונדרוב אירית"/>
        <s v="קופרווסר שני"/>
        <s v="קיז'נר שגב ישראל"/>
        <s v="קיילין הילה"/>
        <s v="קינן לינור"/>
        <s v="קליכמן מעין"/>
        <s v="קמחי אופק"/>
        <s v="קמחי סתיו"/>
        <s v="קן דרור יהונתן (מאיר)"/>
        <s v="קסבצ'וק דניאל"/>
        <s v="קסרוטי כלפה קשת"/>
        <s v="רביב מוריה"/>
        <s v="רביע אופק"/>
        <s v="רגב שי"/>
        <s v="רואימי מיכל"/>
        <s v="רוביו ורגס איבון עדן פטריסיה"/>
        <s v="רוזמן יעל"/>
        <s v="רום יהונתן"/>
        <s v="רומשקין אולגה נעמי"/>
        <s v="רחום ניצן"/>
        <s v="רחמים אביאל שלום"/>
        <s v="רחמים דביר"/>
        <s v="רפאל (רפאי) אלי"/>
        <s v="רפאי שרון"/>
        <s v="שאמץ איליה"/>
        <s v="שגב שושן"/>
        <s v="שגב תומר"/>
        <s v="שהרבני סיון"/>
        <s v="שובה משה"/>
        <s v="שוורצמן קארין"/>
        <s v="שופן זיו"/>
        <s v="שטרית רוני"/>
        <s v="שי נעם"/>
        <s v="שיינקרמן דניאל"/>
        <s v="שינדל מארק"/>
        <s v="שכטר בר"/>
        <s v="שלו שי"/>
        <s v="שלום נעם"/>
        <s v="שלום רם"/>
        <s v="שלזינגר אסף"/>
        <s v="שם טוב עינבר"/>
        <s v="שמוניס הראל שרונה"/>
        <s v="שמעוני בנימין (בן)"/>
        <s v="שמר רון"/>
        <s v="שניר איתן רפאל"/>
        <s v="שפירא זיו פפה"/>
        <s v="שפר רן"/>
        <s v="שרם ליאם"/>
        <s v="תאר דור"/>
        <s v="תומר בר"/>
        <s v="תורג'מן אבידן"/>
        <s v="תורג'מן שהם ליה"/>
        <s v="תל צור ניב"/>
        <s v="זיו דדו"/>
        <s v="שפירר תומר"/>
        <s v="אבן אלון"/>
        <s v="אבן חן"/>
        <s v="אבן עידו"/>
        <s v="אבן רינת"/>
        <s v="אוחיון סילביה"/>
        <s v="אור יונת"/>
        <s v="אפטלון יוסי (זיגי)"/>
        <s v="בויום ענבר"/>
        <s v="בירה אורון"/>
        <s v="בירה טל"/>
        <s v="בירה יסמין"/>
        <s v="בירה תאיר"/>
        <s v="בירה תהל"/>
        <s v="בכר גאולה"/>
        <s v="בכר דנה"/>
        <s v="בכר כרמל"/>
        <s v="בכר מזל (מזי)"/>
        <s v="בן עמי חוה"/>
        <s v="בר יובל"/>
        <s v="בר מעיין"/>
        <s v="בר סיני יורם"/>
        <s v="ברוך עידן"/>
        <s v="גודארד (פרג) איילת"/>
        <s v="גודארד מני"/>
        <s v="גלסקי יבגני"/>
        <s v="גת כנרת"/>
        <s v="דגן עדי"/>
        <s v="הנד נרקיס"/>
        <s v="הקר זאב"/>
        <s v="הקר זהבה"/>
        <s v="הרן אבשלום (אבשל)"/>
        <s v="הרשקוביץ מעיינה"/>
        <s v="הרשקוביץ נח"/>
        <s v="וייס מתי"/>
        <s v="וייס עמיר"/>
        <s v="וייס שמואל (שמוליק)"/>
        <s v="זוהר חיים"/>
        <s v="זלמנוביץ' הלל"/>
        <s v="חצרוני איילה"/>
        <s v="חצרוני הלר ליאל"/>
        <s v="חרמש עומר"/>
        <s v="טרשצ'נסקי ליאור"/>
        <s v="יצחקי יהודית"/>
        <s v="כהן אוהד"/>
        <s v="כהן יונה"/>
        <s v="כהן מילה"/>
        <s v="כהן פסיה (פסי)"/>
        <s v="כרסנתי שושנה (שוש)"/>
        <s v="לוי לודמיר דניאל"/>
        <s v="לוי רוני"/>
        <s v="לוסב איגור"/>
        <s v="לוסב מרינה"/>
        <s v="מור אבי"/>
        <s v="מורדו רפאל (רפי)"/>
        <s v="מייזנר קרבונה גלית"/>
        <s v="מילס אלברט (אבלום)"/>
        <s v="מן עמית"/>
        <s v="נווה מרדכי"/>
        <s v="נטע אדריאן"/>
        <s v="סבירסקי רפי"/>
        <s v="סוכמן תמי"/>
        <s v="סיטון חנה"/>
        <s v="סיטון טל"/>
        <s v="סיטון יצחק"/>
        <s v="סילבר ויויאן"/>
        <s v="סלע סבירסקי אורית"/>
        <s v="פישביין זערור תכלת"/>
        <s v="פרייליך קפלון מרסל"/>
        <s v="פריקר יונה"/>
        <s v="קוזין יצחק"/>
        <s v="קידר סמי"/>
        <s v="קיפניס אביתר (תרי)"/>
        <s v="קיפניס לילך"/>
        <s v="קלדרון רותם"/>
        <s v="קפלון דרור"/>
        <s v="קרול דוד"/>
        <s v="קריצמן חנה"/>
        <s v="רידר דור"/>
        <s v="רפופורט יונתן"/>
        <s v="שוש נוי"/>
        <s v="שרעבי יהל"/>
        <s v="שרעבי ליאן"/>
        <s v="שרעבי נויה"/>
        <s v="Prodigo Cabrera Gracie"/>
        <s v="Castelvi Paul Vincent"/>
        <s v="Jayathilaka Anula"/>
        <s v="Sae Yang Sumchai"/>
        <s v="Yatawara Bandara Susujith"/>
        <s v="אלחרר חלפון ליז"/>
        <s v="אלחרר מאיר"/>
        <s v="מתיאס טרואן שחר דבורה (דבי)"/>
        <s v="מתיאס שלומי"/>
        <s v="סולטן רולאן"/>
        <s v="סולטן רונית"/>
        <s v="קייסמן לילי"/>
        <s v="קעטבי תהילה"/>
        <s v="קפלון עדי ויטל"/>
        <s v="רידלר משה"/>
        <s v="Busko Petro"/>
        <s v="גודו תום"/>
        <s v="זק (בן יעיש) אתי"/>
        <s v="זק איתי"/>
        <s v="זק שגיא"/>
        <s v="חולתי מנוחה"/>
        <s v="מור מעיין"/>
        <s v="סמיאטיץ' ג'ינה"/>
        <s v="רון עופר"/>
        <s v="Jakkaphong Jantharasena"/>
        <s v="Kaison Aranthit"/>
        <s v="Khunsri Pongsatorn"/>
        <s v="Klangsuwan Theerapong"/>
        <s v="Prakotwong Thanakrit"/>
        <s v="Sanusan Chairat"/>
        <s v="Sophakun Anucha"/>
        <s v="Srithat Kawao"/>
        <s v="אדמוני גיא"/>
        <s v="אדמוני מיכל"/>
        <s v="אדרי אביעד אברהם"/>
        <s v="אורגד גולדנברג אליהו (אלי)"/>
        <s v="איתמרי לילי"/>
        <s v="איתמרי רם"/>
        <s v="אלקבץ סיון"/>
        <s v="אמיר מודי (מרדכי)"/>
        <s v="אפשטיין בלהה"/>
        <s v="אפשטיין נטע"/>
        <s v="בויום יובל"/>
        <s v="בן דוד (ג'יבלי) מאיה"/>
        <s v="ברדיצ'בסקי (רוזנפלד) הדר"/>
        <s v="ברדיצ'בסקי איתי"/>
        <s v="גולדשטיין אלמוג ים"/>
        <s v="גולדשטיין אלמוג נדב"/>
        <s v="גורן ארן"/>
        <s v="גורן טובה"/>
        <s v="דגני נעמי"/>
        <s v="וינר יהב"/>
        <s v="ורטהיים (בר אילן) דורית"/>
        <s v="ורטהיים אביב"/>
        <s v="זיו איתן"/>
        <s v="זיני ניראל"/>
        <s v="חסידים נאור"/>
        <s v="חצרוני אביה"/>
        <s v="חצרוני הלר ינאי"/>
        <s v="ליבשטיין ניצן"/>
        <s v="מור עידן סמדר"/>
        <s v="עידן רועי"/>
        <s v="פלג זיו (נאור) תמי"/>
        <s v="פלד גילה"/>
        <s v="פלד דניאל"/>
        <s v="פלד יזהר"/>
        <s v="פלש יגאל"/>
        <s v="פלש סינתיה תמר (סינדי)"/>
        <s v="פרץ מארק (מרדכי)"/>
        <s v="צדיקביץ' עומר"/>
        <s v="קוץ אביב"/>
        <s v="קוץ יונתן"/>
        <s v="קוץ יפתח"/>
        <s v="קוץ לבנת"/>
        <s v="קוץ רותם"/>
        <s v="קציר (קצ'קו) דוד"/>
        <s v="רביב ניב"/>
        <s v="רונן נירה"/>
        <s v="רייכנשטיין אליהו (אליקו)"/>
        <s v="שוורצמן דוד אלברטו"/>
        <s v="שוורצמן פינקו אורלי"/>
        <s v="שושני אופיר"/>
        <s v="שטהל מירה"/>
        <s v="Aguirre Angelyn"/>
        <s v="אליקים נועם"/>
        <s v="ברוש שושנה (שושי)"/>
        <s v="זוהר יניב"/>
        <s v="זוהר יסמין"/>
        <s v="זוהר קשת"/>
        <s v="זוהר תכלת"/>
        <s v="כץ אפרת"/>
        <s v="ליבנה חיים"/>
        <s v="עידן מעיין"/>
        <s v="ערבה אליעז תומר"/>
        <s v="ערבה דקלה"/>
        <s v="רון שלמה"/>
        <s v="Somkuan Pansa-ard"/>
        <s v="בן חורין רבקה"/>
        <s v="בן צבי אמיתי"/>
        <s v="גורן אבנר"/>
        <s v="גרוס יוסף (יוסיניו)"/>
        <s v="דן כרמלה"/>
        <s v="דן נויה"/>
        <s v="והב יוסף (יוסי)"/>
        <s v="טרופנוב ויטלי"/>
        <s v="כץ רביד"/>
        <s v="לוינסון ברכה"/>
        <s v="מונדר רועי"/>
        <s v="משה סעיד (דוד)"/>
        <s v="נוי שפרה"/>
        <s v="סילברמן (שניידר) מרגיט"/>
        <s v="סילברמן יוסף"/>
        <s v="סימן טוב ארבל"/>
        <s v="סימן טוב יונתן (ג'וני)"/>
        <s v="סימן טוב עומר"/>
        <s v="סימן טוב קדם תמר"/>
        <s v="סימן טוב קרול"/>
        <s v="סימן טוב שחר"/>
        <s v="פאוקר גדעון"/>
        <s v="קציר אברהם (רמי)"/>
        <s v="שלו דוד"/>
        <s v="שלו טל"/>
        <s v="שפיר ירמי (ירמיהו)"/>
        <s v="Bohl Caroline"/>
        <s v="Dachtuyawat Bancha"/>
        <s v="Darlington Daniel (Danny)"/>
        <s v="באבאני גדעון"/>
        <s v="מאיר דורון"/>
        <s v="מאיר מור"/>
        <s v="פופלוול רועי"/>
        <s v="כהן ברנרד (פול)"/>
        <s v="גלזברג נועה"/>
        <s v="טליה מרסל"/>
        <s v="ליפשיץ אולג"/>
        <s v="מרנסקי סילביה"/>
        <s v="Bista Dipesh Raj"/>
        <s v="Chaudhary Ashish"/>
        <s v="Lekendora Sing Dahami"/>
        <s v="Nepali Ganesh Kumar"/>
        <s v="Neupane Narayan Prasad"/>
        <s v="Phulara Rajan"/>
        <s v="Prabesh Bhandari"/>
        <s v="Shah Ananda"/>
        <s v="Swarnakar Rajesh Kumar"/>
        <s v="Thapa Padam"/>
        <s v="אוסטפנקו אליונה"/>
        <s v="גבאי עמית"/>
        <s v="הרמתי ורדה"/>
        <s v="פבר אסף"/>
        <s v="קרפ דביר"/>
        <s v="אבדלימוב סמיון"/>
        <s v="אברמוב מיכאל"/>
        <s v="איליאגוייב סלומון"/>
        <s v="ג'רג'אוי סמי"/>
        <s v="אשרף חיים"/>
        <s v="ויצמן ליאור"/>
        <s v="טולדנו עמרם אלון"/>
        <s v="טנבורה אמיר"/>
        <s v="לוזובסקי לאוניד"/>
        <s v="מאירי זוהר"/>
        <s v="מגירא אבי"/>
        <s v="מורזאחנוב מיכאל"/>
        <s v="מלכה מאיר"/>
        <s v="נווה נתיב מעיין"/>
        <s v="סוויסה אודיה"/>
        <s v="סוויסה דולב"/>
        <s v="סורוקין דמיטרי"/>
        <s v="פריאנטה קובי"/>
        <s v="שטרית אזולאי נעמי"/>
        <s v="Cao Yongcai"/>
        <s v="Wan Zhishun"/>
        <s v="Zou Deli"/>
        <s v="ביילין זינאידה (זינה)"/>
        <s v="גילר ליליה"/>
        <s v="זרבאילוב מיכל מראל"/>
        <s v="טומייב נטליה"/>
        <s v="מורטוב יעקב"/>
        <s v="ספרבצ'יקוב נדז'דה"/>
        <s v="פופוב ולדימיר"/>
        <s v="פופוב סופיה"/>
        <s v="פורמן לודמילה (לודה)"/>
        <s v="פרידמן ולרי"/>
        <s v="קורצר איגור"/>
        <s v="שמיאייב לוי ברטה בטסיין"/>
        <s v="שניטמן טטיאנה"/>
        <s v="אבו ג'מאע יזן זכריה"/>
        <s v="אבו מדיע'ם גאליה"/>
        <s v="אבו סבייח מאי זוהיר"/>
        <s v="אבו סבייח פאיזה"/>
        <s v="אלקרעאן אמין עקל"/>
        <s v="אלקרעאן ג'וואד אברהים"/>
        <s v="אלקרעאן מאלק אברהים"/>
        <s v="אלקרעאן מחמד ד'יב"/>
        <s v="בן ארצי חנה"/>
        <s v="ברודש שירז דניאל"/>
        <s v="גבאי מור"/>
        <s v="ז'וקוב ולדימיר"/>
        <s v="חטאב יהושוע"/>
        <s v="מסקאלצ'י נתנאל"/>
        <s v="מסקאלצ'י רפאל מאיר"/>
        <s v="פהימי רפאל"/>
        <s v="פרץ אבשלום יאיר"/>
        <s v="אבוהרון רוני"/>
        <s v="אוחיון אליעד"/>
        <s v="אוחיון משה"/>
        <s v="אילוז יגאל"/>
        <s v="אלעזרי יונתן"/>
        <s v="בוזגלו אבי"/>
        <s v="גורי אריאל רפאל"/>
        <s v="גורי רואי חיים"/>
        <s v="לוגסי ניסים"/>
        <s v="ליזמי מיכאל"/>
        <s v="סעיד נהוראי"/>
        <s v="צ'אנה ישראל"/>
        <s v="צידון אבי"/>
        <s v="אלטון דרור"/>
        <s v="אלם מארו"/>
        <s v="אמיתי נהוראי לוי"/>
        <s v="אמר רגב"/>
        <s v="אסתו אור"/>
        <s v="ארז אריאל"/>
        <s v="באלוי עידן"/>
        <s v="בוגלה אדיר אישטו"/>
        <s v="בוחניק לביא"/>
        <s v="בזגודוב דניאל"/>
        <s v="ביבי אוריאל"/>
        <s v="ביננשטוק עידו"/>
        <s v="בליך ודים"/>
        <s v="בן דוד ברק"/>
        <s v="בן יהודה איתמר"/>
        <s v="בן יעקב יעד"/>
        <s v="בן משה (מושיאשוילי) מיכאל"/>
        <s v="בר (בן מוחה) ליאון"/>
        <s v="בר עם נטע"/>
        <s v="ברנס שלו"/>
        <s v="ברק תומר"/>
        <s v="גאורי אדיר"/>
        <s v="גבאי יובל"/>
        <s v="גברה עומר"/>
        <s v="גדליה יוסף מלאכי"/>
        <s v="גואטה עמית"/>
        <s v="גליסקו איתי אופק"/>
        <s v="גמזו אילי"/>
        <s v="דגן שלו"/>
        <s v="דהן שקד"/>
        <s v="דוידוביץ׳ שלומי"/>
        <s v="דיין ירון מוריס"/>
        <s v="וולף עומר"/>
        <s v="זוהר ירון"/>
        <s v="זכאי דביר"/>
        <s v="חובלאשוילי אברהם"/>
        <s v="טהר יוסף (יוסי)"/>
        <s v="יאנג נתנאל"/>
        <s v="יואב מיכאל"/>
        <s v="יונה בנימין גבריאל"/>
        <s v="יענקלוב בר"/>
        <s v="ירוחין אופיר"/>
        <s v="כהן איתמר"/>
        <s v="כהן דנית"/>
        <s v="לב בנימין"/>
        <s v="לביא אמיר"/>
        <s v="לוגאסי שמעון יוחאי"/>
        <s v="לוי טל"/>
        <s v="לוי יקיר"/>
        <s v="ליאר נתן חי"/>
        <s v="מזרחי אור"/>
        <s v="מידאני סהר"/>
        <s v="מלכה אור"/>
        <s v="ממן טל"/>
        <s v="מקייס לידור"/>
        <s v="מרציאנו אריק יהודה"/>
        <s v="נגר תומר"/>
        <s v="נידם שוהם שלמה"/>
        <s v="סמוילוב אמיל"/>
        <s v="סעודין סהר"/>
        <s v="סקורי אמיר"/>
        <s v="סקיפקביץ' ויטלי"/>
        <s v="סקריסבסקי רודי"/>
        <s v="עדן חיים מאיר"/>
        <s v="עזיזוב ליאור"/>
        <s v="פרץ עמרי"/>
        <s v="צ'אפל רועי"/>
        <s v="צור יהונתן"/>
        <s v="צור עדי"/>
        <s v="ציוני אופיר"/>
        <s v="צירינג אריה שלמה"/>
        <s v="צפיר דדו"/>
        <s v="קוצרו נתיב"/>
        <s v="קיעאן חביב"/>
        <s v="ראשד דניאל"/>
        <s v="רבינוב מקס"/>
        <s v="רסלר דביר חיים"/>
        <s v="רפאל שלום מאור"/>
        <s v="רשטניקוב שלמה"/>
        <s v="רתנר דוד"/>
        <s v="שי ירון אורי"/>
        <s v="שלומי רום"/>
        <s v="ישראל שני עידו"/>
        <s v="שפרבר דניאל"/>
        <s v="שקותאי גלי רועי"/>
        <s v="טהר אדיר"/>
        <s v="אהרן יוגב"/>
        <s v="אוחיון אביתר"/>
        <s v="בזק גיא"/>
        <s v="בטיטו ראם מאיר"/>
        <s v="בלאי בנימין"/>
        <s v="בן חמו מיכאל"/>
        <s v="בן מוחה עילי נועם"/>
        <s v="טקה בנימין טשגר"/>
        <s v="מיטלמן דוד"/>
        <s v="סביצקי יונתן"/>
        <s v="סגל אוריאל"/>
        <s v="פלד עמית"/>
        <s v="פרץ רז (רזיאל)"/>
        <s v="רובין עמיחי שמעון"/>
        <s v="רוזנשטיין בר"/>
        <s v="שני אורי מרדכי"/>
        <s v="ששון אלעד מיכאל"/>
        <s v="ראוכברגר שילה"/>
        <s v="אברמוביץ' נועם"/>
        <s v="איל אמיר"/>
        <s v="אילת שיר"/>
        <s v="אמויאל דולב"/>
        <s v="אסראף סיון שמחה"/>
        <s v="אשל רוני"/>
        <s v="אשרם שי"/>
        <s v="ביטון שיר"/>
        <s v="בן שטרית שמעון אלרואי"/>
        <s v="גלס ים"/>
        <s v="גרומן עדי"/>
        <s v="דוכן יוחאי"/>
        <s v="הר אבן שילה"/>
        <s v="ויאלובו פולו מיה"/>
        <s v="חג'ג' אביב"/>
        <s v="חיים פור שיראל"/>
        <s v="יוגב בועז מנשה"/>
        <s v="יעבץ יפתח"/>
        <s v="כהן הדר מרים"/>
        <s v="כרמי אורי"/>
        <s v="לזימי דור"/>
        <s v="לייבושור יעל"/>
        <s v="לנדמן עדי"/>
        <s v="מור שיראל"/>
        <s v="נימרי עדן"/>
        <s v="ניסני שחף"/>
        <s v="סיבוני נאור"/>
        <s v="עמר שירת ים"/>
        <s v="פיטוסי ישי"/>
        <s v="פלד ירין מארי"/>
        <s v="פרייס נועה"/>
        <s v="קרסנינסקי יעקב (יענקי) שלמה"/>
        <s v="רון איתי אברהם"/>
        <s v="שוחט שירה"/>
        <s v="דקל נחמן"/>
        <s v="מוסט עמית"/>
        <s v="מלמן אופיר"/>
        <s v="סעדון הלל שמואל"/>
        <s v="שוורץ שגב"/>
        <s v="סויסה דקל"/>
        <s v="פרי רועי"/>
        <s v="אסייג רווית חנה"/>
        <s v="סאלם פלג"/>
        <s v="אביטל גיל"/>
        <s v="בן יעקב ליאור"/>
        <s v="אסולין דן"/>
        <s v="נחמיאס איתי"/>
        <s v="בהרב רבינוביץ' עדי"/>
        <s v="דולב תומר"/>
        <s v="וקס יגאל"/>
        <s v="וקס עמית"/>
        <s v="שטרן אורן"/>
        <s v="תעסה גיל"/>
        <s v="כהן אביעד גד"/>
        <s v="סויד בכור חי"/>
        <s v="שישפורטיש ראובן"/>
        <s v="דוידיאן אופיר"/>
        <s v="לוי ליאור"/>
        <s v="עיש איתמר"/>
        <s v="פרבוסודובה אלינה"/>
        <s v="פרש אהרון"/>
        <s v="שלמה שיר"/>
        <s v="אביטל אור"/>
        <s v="אלון לוי עדן"/>
        <s v="בוני נעמה"/>
        <s v="בן סימון אדר"/>
        <s v="בר שדה עילי"/>
        <s v="גולן יונתן"/>
        <s v="טל סהר"/>
        <s v="טסטה אופיר"/>
        <s v="לוקר אורי"/>
        <s v="ליבוביץ' תומר"/>
        <s v="לישה דביר"/>
        <s v="מאור איתי"/>
        <s v="מוזס אור"/>
        <s v="מלייב יואב"/>
        <s v="משה אוראל"/>
        <s v="נגרי נריה אהרון"/>
        <s v="עבודי אדיר"/>
        <s v="ניב פיירשטיין עומרי"/>
        <s v="צור עמית"/>
        <s v="קמינקא ינאי"/>
        <s v="בן יעקב יובל"/>
        <s v="הרוש עידו"/>
        <s v="אבן מרעי סלמאן"/>
        <s v="אברהם אוריאל"/>
        <s v="אברהם דבי (דבורה)"/>
        <s v="בלוכמן יקיר"/>
        <s v="ברזילי אושר שמחה"/>
        <s v="הנקין אברהם"/>
        <s v="ח'רובה איברהים"/>
        <s v="יהושע עידו"/>
        <s v="ינין סיון"/>
        <s v="יפרח אליאור"/>
        <s v="כהן יוראי אליהו"/>
        <s v="מחלוף סהר ציון"/>
        <s v="שלמה משהאל"/>
        <s v="סיון בר"/>
        <s v="עזר עילי"/>
        <s v="עמאר נתאי"/>
        <s v="פלורס גרסיה ברנדו דוד"/>
        <s v="רז עידן"/>
        <s v="שיינקמן סטניסלב"/>
        <s v="שמעיה אושר"/>
        <s v="אדרי עידו"/>
        <s v="אליהו אביב"/>
        <s v="אלמלם מתן (קידו)"/>
        <s v="ארביב אופק"/>
        <s v="באוסי איתי יהודה"/>
        <s v="דוקרקר קים"/>
        <s v="דראושה עווד"/>
        <s v="ווקסר דאונוב יוליה"/>
        <s v="חושן הדר"/>
        <s v="חנום חזי (יחזקאל)"/>
        <s v="טוויג יפתח דן"/>
        <s v="טויטו עדיאל"/>
        <s v="טיברג אברהם גלעד"/>
        <s v="טשרניחובסקי אורי"/>
        <s v="לוק אלכסנדר (אלכס)"/>
        <s v="ליבוביץ' שרון"/>
        <s v="מרלו ג'ייק"/>
        <s v="נחמן עילי"/>
        <s v="סאסי אבי"/>
        <s v="קנפו שי אל"/>
        <s v="קרסיק ויטלי"/>
        <s v="רחמני שרון"/>
        <s v="ריבלין אביעד שר שלום"/>
        <s v="ריבלין גדעון הראל"/>
        <s v="ריכטר יונתן (שפיק)"/>
        <s v="רם עמרי"/>
        <s v="שפירא ענר אליקים"/>
        <s v="נעים אמיר"/>
        <s v="אבני חגי"/>
        <s v="אברג'יל אלירן"/>
        <s v="אוחנה אריאל"/>
        <s v="אליהו אריאל"/>
        <s v="בויום גיל"/>
        <s v="בלקין עמרי"/>
        <s v="בן דוד נריה"/>
        <s v="גוטין יונתן"/>
        <s v="גולן שגיא"/>
        <s v="גינסברג אלי"/>
        <s v="גנות דן"/>
        <s v="גנסיה ולנטין (אלי)"/>
        <s v="דוידוב ג'יאר"/>
        <s v="דנילוב בוריס"/>
        <s v="חדד איתן"/>
        <s v="טרקינסקי בנימין (בנג׳י)"/>
        <s v="יהושע איתי"/>
        <s v="כהן אהד (בודי)"/>
        <s v="כהן שילה"/>
        <s v="לקס נווה אלעזר"/>
        <s v="מאיר דוד חיים"/>
        <s v="מולוגטה גדיף"/>
        <s v="מנגדי דור"/>
        <s v="נגרי רועי"/>
        <s v="עמר אבי"/>
        <s v="צמח שחר"/>
        <s v="קלמנזון אלחנן מאיר"/>
        <s v="קראוניק אריה (אריק)"/>
        <s v="רוסו אופק"/>
        <s v="אלון אוראל שלום"/>
        <s v="מונס אלמוסנינו לירן"/>
        <s v="גורני יפתח"/>
        <s v="כצמן חיים ישורון"/>
        <s v="קורין אברהם גבריאל"/>
        <s v="חוברה עידו"/>
        <s v="מלכה מתן"/>
        <s v="מרגוליס סער"/>
        <s v="אביאני שחר"/>
        <s v="אילון טל"/>
        <s v="ברגשטיין שחף"/>
        <s v="ברונשטיין בן"/>
        <s v="ברעם אביב"/>
        <s v="דושי רותם"/>
        <s v="הנדי אברהם חננאל"/>
        <s v="ונינו עמיחי יעקב"/>
        <s v="זיסר עילי"/>
        <s v="כהן טל"/>
        <s v="ליבשטיין אופיר"/>
        <s v="מיכאלי עמרי"/>
        <s v="נהרי רועי"/>
        <s v="סלומון יובל"/>
        <s v="עדני איליי"/>
        <s v="עמיקם נדב"/>
        <s v="פישר אמיר"/>
        <s v="צור אמיר"/>
        <s v="קמה הדר"/>
        <s v="רוסו אורי שמעון"/>
        <s v="רן אור יוסף"/>
        <s v="בן הרוש שהם משה"/>
        <s v="וייזר רועי חיים"/>
        <s v="ויצן ישראל עמיחי"/>
        <s v="רזיאל (רוזנברג) ידידיה משה"/>
        <s v="שוהם תומר"/>
        <s v="שטיינברג יהונתן"/>
        <s v="ירון אופיר מרדכי"/>
        <s v="פליישר אברהם (אבי)"/>
        <s v="בוכריס חן"/>
        <s v="ברקת רועי"/>
        <s v="ירחי דור"/>
        <s v="פוסלושני רן"/>
        <s v="פיורנטינו אילן"/>
        <s v="רוזנטל אפיק"/>
        <s v="אברהם בועז"/>
        <s v="ארזי אופק"/>
        <s v="חיימי טל"/>
        <s v="שחר ירון ויקטור"/>
        <s v="אצילי אביב"/>
        <s v="אברג'יל מתן"/>
        <s v="גנדל רומן"/>
        <s v="אגמון אדם"/>
        <s v="אחימס תומר יעקב"/>
        <s v="אלפסי אורן"/>
        <s v="ברודסקי קיריל"/>
        <s v="חממי אסף"/>
        <s v="פוזדניאקוב אליק"/>
        <s v="ארז אופיר"/>
        <s v="יעקב מזרחי תומר"/>
        <s v="קליין אייל"/>
        <s v="נגבי רם"/>
        <s v="כהן איתי"/>
        <s v="סלוטקי ישי"/>
        <s v="סלוטקי נועם"/>
        <s v="רוזנטל עידו"/>
        <s v="אוחנדוב אמין"/>
        <s v="בודובסקי אלכסיי"/>
        <s v="בוזוקושווילי יצחק (בוזוקה)"/>
        <s v="בן בסט יותם"/>
        <s v="בן משה אריאל"/>
        <s v="ברד אלון"/>
        <s v="לוי רועי יוסף"/>
        <s v="מרקוביצ'י אהרון ארתור"/>
        <s v="פושיבאי אנדריי"/>
        <s v="קרים מליק"/>
        <s v="רוטנברג נועם אלימלך"/>
        <s v="שמחי גיא"/>
        <s v="שמיר מרדכי (מוטי)"/>
        <s v="שמעיה יעקב (קובי)"/>
        <s v="אבו סבילה עאמר"/>
        <s v="אברג'ל מאיר"/>
        <s v="בלנקי דניס"/>
        <s v="בן דיין דוד"/>
        <s v="ברוכים יוסף איתמר"/>
        <s v="גולימה סמצאו שמואל"/>
        <s v="גרושקה טל"/>
        <s v="הרוש אליהו מיכאל"/>
        <s v="מרציאנו איתי אליהו"/>
        <s v="נאמן איתן מנחם"/>
        <s v="נחמיאס חן"/>
        <s v="צבאן שלום"/>
        <s v="קאדר יהודה"/>
        <s v="קוזמיצקס מרטין"/>
        <s v="רובינשטיין בן"/>
        <s v="שלמה אדיר"/>
        <s v="שמקלוב אלכסיי"/>
        <s v="שקורי מור"/>
        <s v="אילוז גיא"/>
        <s v="טאללקה סאמר פואד"/>
        <s v="אנגל רונן"/>
        <s v="בייזר ניק"/>
        <s v="ברוך סהר"/>
        <s v="גורן מיה"/>
        <s v="וייס יהודית"/>
        <s v="זכריה עדן"/>
        <s v="זלמנוביץ' אריה"/>
        <s v="חיים יותם"/>
        <s v="טולדנו אליה"/>
        <s v="לוי איתן"/>
        <s v="לוק שני ניקול"/>
        <s v="מרגלית אליהו (צ'רצ'יל)"/>
        <s v="מרציאנו נועה"/>
        <s v="סמרנו יונתן מרדכי"/>
        <s v="קידר עופרה"/>
        <s v="שמריז אלון (לולו)"/>
        <s v="שרמן רון"/>
        <s v="Mollel Joshua Loitu"/>
        <s v="אברהים מאג'ד"/>
        <s v="אבו קרינאת נעאמה"/>
        <s v="Natalia Demidova"/>
        <s v="הייניק ראובן"/>
        <s v="וייס אילן"/>
        <s v="הלל יותם"/>
        <s v="כהן עמית"/>
        <s v="אמסלם אביחי"/>
        <s v="הימן ענבר"/>
        <s v="דנינו דניאל משה"/>
        <s v="איוס ניב"/>
        <s v="הליבני יובל"/>
        <s v="ויינשטיין ג'ודי"/>
        <s v="חגי גדי"/>
        <s v="אדר תמיר"/>
        <s v="מאסלי אלכסנדר"/>
        <s v="שדה דור"/>
        <s v="מלקמו אביאל"/>
        <s v="Diawthaisong Jakkapan"/>
        <s v="Champasim Saksit"/>
        <s v="Ra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עלוש דני"/>
        <s v="דניאלי טל"/>
        <s v="סבירסקי איתי"/>
        <s v="שרעבי יוסי"/>
        <s v="לוינסון שי"/>
        <s v="Goyitom Gebrehiyet"/>
        <s v="Berhe Wolderaphael Hagos"/>
        <s v="גואילי רן"/>
        <s v="יעקב יאיר"/>
        <s v="דניאל עוז"/>
        <s v="חן איתי"/>
        <s v="פרץ דניאל"/>
        <s v="ברוך אוריאל"/>
        <s v="בראווי האשם"/>
        <s v="מסרי סוהייל"/>
        <s v="אלמסרי חורי"/>
        <s v="אלעטאר סלימאן"/>
        <s v="גאנם זיאד"/>
        <s v="קציר אלעד"/>
        <s v="אור דרור"/>
        <s v="ליבמן אליקים"/>
        <s v="רודאיף ליאור"/>
        <s v="Shi Zhenhong"/>
        <s v="Liu Jianhe"/>
        <s v="Liu Zhiguo"/>
        <s v="Oakkharasri Sonthaya"/>
        <s v="Rinthalak Sudthisak"/>
        <s v="בוסקילה עמית"/>
        <s v="גלרנטר יצחק (איציק)"/>
        <s v="בנימין רון"/>
        <s v="ניסנבאום מישל"/>
        <s v="ראדו אוריון הרננדס"/>
        <s v="יבלונקה חנן"/>
        <s v="יהוד דולב"/>
        <s v="פופלוול נדב"/>
        <s v="קופר עמירם"/>
        <s v="פרי חיים"/>
        <s v="מצגר יורם"/>
        <s v="חסיד שרגא"/>
        <s v="אלאטרש מחמד"/>
        <s v="אלכסנדר דנציג"/>
        <s v="בוכשטב יגב"/>
        <s v="מונדר אברהם"/>
        <s v="גת כרמל"/>
        <s v="ירושלמי עדן"/>
        <s v="גולדברג-פולין הירש"/>
        <s v="לובנוב אלכסנדר"/>
        <s v="סרוסי אלמוג"/>
        <s v="דנינו אורי"/>
        <m/>
      </sharedItems>
    </cacheField>
    <cacheField name="age" numFmtId="0">
      <sharedItems containsString="0" containsBlank="1" containsNumber="1" containsInteger="1">
        <n v="77.0"/>
        <n v="35.0"/>
        <n v="28.0"/>
        <n v="53.0"/>
        <n v="58.0"/>
        <n v="39.0"/>
        <n v="45.0"/>
        <n v="81.0"/>
        <n v="56.0"/>
        <n v="43.0"/>
        <n v="52.0"/>
        <n v="29.0"/>
        <n v="25.0"/>
        <n v="66.0"/>
        <n v="61.0"/>
        <n v="76.0"/>
        <n v="65.0"/>
        <n v="86.0"/>
        <n v="78.0"/>
        <n v="40.0"/>
        <n v="68.0"/>
        <n v="71.0"/>
        <n v="70.0"/>
        <n v="17.0"/>
        <n v="63.0"/>
        <n v="24.0"/>
        <n v="64.0"/>
        <n v="33.0"/>
        <n v="34.0"/>
        <n v="36.0"/>
        <n v="4.0"/>
        <n v="7.0"/>
        <n v="48.0"/>
        <n v="26.0"/>
        <n v="49.0"/>
        <n v="47.0"/>
        <n v="38.0"/>
        <n v="22.0"/>
        <n v="27.0"/>
        <n v="42.0"/>
        <n v="31.0"/>
        <n v="37.0"/>
        <n v="54.0"/>
        <n v="60.0"/>
        <n v="18.0"/>
        <n v="21.0"/>
        <n v="72.0"/>
        <n v="32.0"/>
        <n v="67.0"/>
        <n v="59.0"/>
        <n v="62.0"/>
        <n v="30.0"/>
        <n v="23.0"/>
        <n v="41.0"/>
        <n v="57.0"/>
        <n v="20.0"/>
        <n v="44.0"/>
        <n v="46.0"/>
        <n v="50.0"/>
        <n v="19.0"/>
        <n v="74.0"/>
        <n v="16.0"/>
        <n v="14.0"/>
        <n v="51.0"/>
        <n v="15.0"/>
        <n v="75.0"/>
        <n v="73.0"/>
        <n v="69.0"/>
        <n v="12.0"/>
        <n v="0.0"/>
        <n v="87.0"/>
        <n v="80.0"/>
        <n v="84.0"/>
        <n v="88.0"/>
        <n v="13.0"/>
        <n v="91.0"/>
        <n v="90.0"/>
        <n v="85.0"/>
        <n v="79.0"/>
        <n v="5.0"/>
        <n v="2.0"/>
        <n v="55.0"/>
        <n v="9.0"/>
        <m/>
      </sharedItems>
    </cacheField>
    <cacheField name="citizenGroup" numFmtId="0">
      <sharedItems containsBlank="1"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  <m/>
      </sharedItems>
    </cacheField>
    <cacheField name="age_group" numFmtId="0">
      <sharedItems containsBlank="1">
        <s v="senior"/>
        <s v="adult"/>
        <s v="teen"/>
        <s v="child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170" sheet="data"/>
  </cacheSource>
  <cacheFields>
    <cacheField name="pid" numFmtId="0">
      <sharedItems containsSemiMixedTypes="0" containsString="0" containsNumber="1" containsInteger="1">
        <n v="1719.0"/>
        <n v="1363.0"/>
        <n v="976.0"/>
        <n v="974.0"/>
        <n v="1005.0"/>
        <n v="987.0"/>
        <n v="1720.0"/>
        <n v="1500.0"/>
        <n v="1501.0"/>
        <n v="1717.0"/>
        <n v="985.0"/>
        <n v="999.0"/>
        <n v="1718.0"/>
        <n v="1608.0"/>
        <n v="984.0"/>
        <n v="1030.0"/>
        <n v="1029.0"/>
        <n v="1487.0"/>
        <n v="1488.0"/>
        <n v="1001.0"/>
        <n v="1002.0"/>
        <n v="1722.0"/>
        <n v="1721.0"/>
        <n v="992.0"/>
        <n v="1359.0"/>
        <n v="1360.0"/>
        <n v="1210.0"/>
        <n v="1676.0"/>
        <n v="1207.0"/>
        <n v="883.0"/>
        <n v="1208.0"/>
        <n v="1211.0"/>
        <n v="1463.0"/>
        <n v="1462.0"/>
        <n v="1558.0"/>
        <n v="1209.0"/>
        <n v="1492.0"/>
        <n v="507.0"/>
        <n v="1675.0"/>
        <n v="515.0"/>
        <n v="1420.0"/>
        <n v="2001.0"/>
        <n v="517.0"/>
        <n v="652.0"/>
        <n v="1596.0"/>
        <n v="1591.0"/>
        <n v="1629.0"/>
        <n v="498.0"/>
        <n v="500.0"/>
        <n v="497.0"/>
        <n v="499.0"/>
        <n v="143.0"/>
        <n v="1370.0"/>
        <n v="146.0"/>
        <n v="1698.0"/>
        <n v="1396.0"/>
        <n v="1696.0"/>
        <n v="1401.0"/>
        <n v="1682.0"/>
        <n v="1413.0"/>
        <n v="1409.0"/>
        <n v="1412.0"/>
        <n v="1419.0"/>
        <n v="1404.0"/>
        <n v="1397.0"/>
        <n v="1398.0"/>
        <n v="1411.0"/>
        <n v="1415.0"/>
        <n v="1399.0"/>
        <n v="1414.0"/>
        <n v="1403.0"/>
        <n v="1402.0"/>
        <n v="1564.0"/>
        <n v="1451.0"/>
        <n v="1563.0"/>
        <n v="1362.0"/>
        <n v="1524.0"/>
        <n v="1625.0"/>
        <n v="504.0"/>
        <n v="502.0"/>
        <n v="501.0"/>
        <n v="503.0"/>
        <n v="506.0"/>
        <n v="531.0"/>
        <n v="532.0"/>
        <n v="533.0"/>
        <n v="510.0"/>
        <n v="511.0"/>
        <n v="512.0"/>
        <n v="1039.0"/>
        <n v="1036.0"/>
        <n v="707.0"/>
        <n v="1040.0"/>
        <n v="1051.0"/>
        <n v="1044.0"/>
        <n v="1037.0"/>
        <n v="1043.0"/>
        <n v="1041.0"/>
        <n v="1042.0"/>
        <n v="1048.0"/>
        <n v="1046.0"/>
        <n v="1045.0"/>
        <n v="1047.0"/>
        <n v="1049.0"/>
        <n v="1050.0"/>
        <n v="912.0"/>
        <n v="735.0"/>
        <n v="1384.0"/>
        <n v="1432.0"/>
        <n v="1383.0"/>
        <n v="672.0"/>
        <n v="890.0"/>
        <n v="1438.0"/>
        <n v="1421.0"/>
        <n v="1521.0"/>
        <n v="1304.0"/>
        <n v="1490.0"/>
        <n v="1470.0"/>
        <n v="1393.0"/>
        <n v="673.0"/>
        <n v="674.0"/>
        <n v="817.0"/>
        <n v="816.0"/>
        <n v="820.0"/>
        <n v="819.0"/>
        <n v="891.0"/>
        <n v="690.0"/>
        <n v="689.0"/>
        <n v="1519.0"/>
        <n v="686.0"/>
        <n v="733.0"/>
        <n v="738.0"/>
        <n v="739.0"/>
        <n v="687.0"/>
        <n v="776.0"/>
        <n v="1575.0"/>
        <n v="383.0"/>
        <n v="743.0"/>
        <n v="1595.0"/>
        <n v="1381.0"/>
        <n v="745.0"/>
        <n v="1380.0"/>
        <n v="1616.0"/>
        <n v="676.0"/>
        <n v="747.0"/>
        <n v="684.0"/>
        <n v="685.0"/>
        <n v="682.0"/>
        <n v="1478.0"/>
        <n v="1433.0"/>
        <n v="740.0"/>
        <n v="679.0"/>
        <n v="678.0"/>
        <n v="681.0"/>
        <n v="1536.0"/>
        <n v="683.0"/>
        <n v="1504.0"/>
        <n v="715.0"/>
        <n v="1485.0"/>
        <n v="1499.0"/>
        <n v="717.0"/>
        <n v="713.0"/>
        <n v="915.0"/>
        <n v="1389.0"/>
        <n v="1436.0"/>
        <n v="1435.0"/>
        <n v="711.0"/>
        <n v="1526.0"/>
        <n v="913.0"/>
        <n v="712.0"/>
        <n v="701.0"/>
        <n v="1339.0"/>
        <n v="710.0"/>
        <n v="1583.0"/>
        <n v="691.0"/>
        <n v="886.0"/>
        <n v="922.0"/>
        <n v="703.0"/>
        <n v="1531.0"/>
        <n v="1590.0"/>
        <n v="1522.0"/>
        <n v="704.0"/>
        <n v="1557.0"/>
        <n v="706.0"/>
        <n v="702.0"/>
        <n v="1082.0"/>
        <n v="705.0"/>
        <n v="1446.0"/>
        <n v="692.0"/>
        <n v="693.0"/>
        <n v="695.0"/>
        <n v="1617.0"/>
        <n v="1303.0"/>
        <n v="698.0"/>
        <n v="1390.0"/>
        <n v="700.0"/>
        <n v="699.0"/>
        <n v="1422.0"/>
        <n v="1517.0"/>
        <n v="709.0"/>
        <n v="1550.0"/>
        <n v="697.0"/>
        <n v="755.0"/>
        <n v="1428.0"/>
        <n v="751.0"/>
        <n v="766.0"/>
        <n v="759.0"/>
        <n v="760.0"/>
        <n v="761.0"/>
        <n v="1445.0"/>
        <n v="882.0"/>
        <n v="1618.0"/>
        <n v="1503.0"/>
        <n v="763.0"/>
        <n v="764.0"/>
        <n v="1391.0"/>
        <n v="757.0"/>
        <n v="758.0"/>
        <n v="1568.0"/>
        <n v="752.0"/>
        <n v="754.0"/>
        <n v="753.0"/>
        <n v="1440.0"/>
        <n v="1392.0"/>
        <n v="1314.0"/>
        <n v="1547.0"/>
        <n v="885.0"/>
        <n v="723.0"/>
        <n v="728.0"/>
        <n v="1534.0"/>
        <n v="729.0"/>
        <n v="1549.0"/>
        <n v="730.0"/>
        <n v="731.0"/>
        <n v="1299.0"/>
        <n v="1619.0"/>
        <n v="1457.0"/>
        <n v="724.0"/>
        <n v="725.0"/>
        <n v="727.0"/>
        <n v="902.0"/>
        <n v="769.0"/>
        <n v="1424.0"/>
        <n v="896.0"/>
        <n v="1358.0"/>
        <n v="951.0"/>
        <n v="892.0"/>
        <n v="959.0"/>
        <n v="958.0"/>
        <n v="1493.0"/>
        <n v="1507.0"/>
        <n v="954.0"/>
        <n v="953.0"/>
        <n v="952.0"/>
        <n v="960.0"/>
        <n v="955.0"/>
        <n v="957.0"/>
        <n v="779.0"/>
        <n v="1486.0"/>
        <n v="1621.0"/>
        <n v="970.0"/>
        <n v="1622.0"/>
        <n v="852.0"/>
        <n v="1426.0"/>
        <n v="901.0"/>
        <n v="967.0"/>
        <n v="919.0"/>
        <n v="768.0"/>
        <n v="1453.0"/>
        <n v="718.0"/>
        <n v="719.0"/>
        <n v="1728.0"/>
        <n v="770.0"/>
        <n v="1456.0"/>
        <n v="708.0"/>
        <n v="1302.0"/>
        <n v="875.0"/>
        <n v="873.0"/>
        <n v="906.0"/>
        <n v="1553.0"/>
        <n v="966.0"/>
        <n v="1529.0"/>
        <n v="962.0"/>
        <n v="1423.0"/>
        <n v="1427.0"/>
        <n v="961.0"/>
        <n v="777.0"/>
        <n v="874.0"/>
        <n v="1572.0"/>
        <n v="917.0"/>
        <n v="721.0"/>
        <n v="903.0"/>
        <n v="1483.0"/>
        <n v="1730.0"/>
        <n v="508.0"/>
        <n v="1624.0"/>
        <n v="1520.0"/>
        <n v="788.0"/>
        <n v="791.0"/>
        <n v="792.0"/>
        <n v="1301.0"/>
        <n v="793.0"/>
        <n v="794.0"/>
        <n v="795.0"/>
        <n v="797.0"/>
        <n v="905.0"/>
        <n v="911.0"/>
        <n v="790.0"/>
        <n v="1505.0"/>
        <n v="838.0"/>
        <n v="800.0"/>
        <n v="895.0"/>
        <n v="799.0"/>
        <n v="732.0"/>
        <n v="789.0"/>
        <n v="1592.0"/>
        <n v="1626.0"/>
        <n v="802.0"/>
        <n v="1388.0"/>
        <n v="1506.0"/>
        <n v="855.0"/>
        <n v="1527.0"/>
        <n v="1627.0"/>
        <n v="1454.0"/>
        <n v="889.0"/>
        <n v="803.0"/>
        <n v="1502.0"/>
        <n v="804.0"/>
        <n v="805.0"/>
        <n v="806.0"/>
        <n v="807.0"/>
        <n v="677.0"/>
        <n v="1476.0"/>
        <n v="1552.0"/>
        <n v="1548.0"/>
        <n v="1356.0"/>
        <n v="963.0"/>
        <n v="1441.0"/>
        <n v="900.0"/>
        <n v="887.0"/>
        <n v="813.0"/>
        <n v="1471.0"/>
        <n v="815.0"/>
        <n v="814.0"/>
        <n v="812.0"/>
        <n v="811.0"/>
        <n v="918.0"/>
        <n v="871.0"/>
        <n v="872.0"/>
        <n v="897.0"/>
        <n v="1523.0"/>
        <n v="870.0"/>
        <n v="2003.0"/>
        <n v="1533.0"/>
        <n v="909.0"/>
        <n v="845.0"/>
        <n v="844.0"/>
        <n v="971.0"/>
        <n v="920.0"/>
        <n v="846.0"/>
        <n v="670.0"/>
        <n v="671.0"/>
        <n v="736.0"/>
        <n v="1309.0"/>
        <n v="688.0"/>
        <n v="1628.0"/>
        <n v="908.0"/>
        <n v="675.0"/>
        <n v="1577.0"/>
        <n v="822.0"/>
        <n v="808.0"/>
        <n v="1305.0"/>
        <n v="828.0"/>
        <n v="749.0"/>
        <n v="1323.0"/>
        <n v="826.0"/>
        <n v="748.0"/>
        <n v="827.0"/>
        <n v="1631.0"/>
        <n v="1455.0"/>
        <n v="821.0"/>
        <n v="1430.0"/>
        <n v="750.0"/>
        <n v="823.0"/>
        <n v="824.0"/>
        <n v="825.0"/>
        <n v="1570.0"/>
        <n v="29.0"/>
        <n v="1296.0"/>
        <n v="784.0"/>
        <n v="787.0"/>
        <n v="1535.0"/>
        <n v="1537.0"/>
        <n v="782.0"/>
        <n v="1300.0"/>
        <n v="1429.0"/>
        <n v="1067.0"/>
        <n v="783.0"/>
        <n v="1140.0"/>
        <n v="781.0"/>
        <n v="832.0"/>
        <n v="837.0"/>
        <n v="836.0"/>
        <n v="840.0"/>
        <n v="778.0"/>
        <n v="843.0"/>
        <n v="841.0"/>
        <n v="842.0"/>
        <n v="830.0"/>
        <n v="1530.0"/>
        <n v="829.0"/>
        <n v="1593.0"/>
        <n v="833.0"/>
        <n v="858.0"/>
        <n v="867.0"/>
        <n v="851.0"/>
        <n v="1431.0"/>
        <n v="868.0"/>
        <n v="850.0"/>
        <n v="124.0"/>
        <n v="863.0"/>
        <n v="853.0"/>
        <n v="860.0"/>
        <n v="849.0"/>
        <n v="1480.0"/>
        <n v="854.0"/>
        <n v="857.0"/>
        <n v="1528.0"/>
        <n v="864.0"/>
        <n v="861.0"/>
        <n v="865.0"/>
        <n v="862.0"/>
        <n v="907.0"/>
        <n v="869.0"/>
        <n v="859.0"/>
        <n v="123.0"/>
        <n v="866.0"/>
        <n v="1332.0"/>
        <n v="879.0"/>
        <n v="880.0"/>
        <n v="1509.0"/>
        <n v="876.0"/>
        <n v="1703.0"/>
        <n v="1368.0"/>
        <n v="68.0"/>
        <n v="69.0"/>
        <n v="70.0"/>
        <n v="71.0"/>
        <n v="110.0"/>
        <n v="141.0"/>
        <n v="32.0"/>
        <n v="55.0"/>
        <n v="48.0"/>
        <n v="51.0"/>
        <n v="52.0"/>
        <n v="50.0"/>
        <n v="49.0"/>
        <n v="39.0"/>
        <n v="38.0"/>
        <n v="37.0"/>
        <n v="40.0"/>
        <n v="47.0"/>
        <n v="42.0"/>
        <n v="41.0"/>
        <n v="43.0"/>
        <n v="44.0"/>
        <n v="77.0"/>
        <n v="78.0"/>
        <n v="1367.0"/>
        <n v="75.0"/>
        <n v="64.0"/>
        <n v="84.0"/>
        <n v="81.0"/>
        <n v="82.0"/>
        <n v="36.0"/>
        <n v="86.0"/>
        <n v="87.0"/>
        <n v="184.0"/>
        <n v="182.0"/>
        <n v="185.0"/>
        <n v="188.0"/>
        <n v="1442.0"/>
        <n v="155.0"/>
        <n v="158.0"/>
        <n v="313.0"/>
        <n v="147.0"/>
        <n v="89.0"/>
        <n v="140.0"/>
        <n v="62.0"/>
        <n v="60.0"/>
        <n v="61.0"/>
        <n v="92.0"/>
        <n v="65.0"/>
        <n v="99.0"/>
        <n v="101.0"/>
        <n v="102.0"/>
        <n v="105.0"/>
        <n v="106.0"/>
        <n v="57.0"/>
        <n v="596.0"/>
        <n v="103.0"/>
        <n v="108.0"/>
        <n v="31.0"/>
        <n v="137.0"/>
        <n v="134.0"/>
        <n v="131.0"/>
        <n v="133.0"/>
        <n v="132.0"/>
        <n v="1330.0"/>
        <n v="136.0"/>
        <n v="72.0"/>
        <n v="73.0"/>
        <n v="1479.0"/>
        <n v="63.0"/>
        <n v="93.0"/>
        <n v="96.0"/>
        <n v="95.0"/>
        <n v="90.0"/>
        <n v="91.0"/>
        <n v="58.0"/>
        <n v="148.0"/>
        <n v="113.0"/>
        <n v="112.0"/>
        <n v="129.0"/>
        <n v="121.0"/>
        <n v="119.0"/>
        <n v="120.0"/>
        <n v="56.0"/>
        <n v="144.0"/>
        <n v="145.0"/>
        <n v="1681.0"/>
        <n v="1511.0"/>
        <n v="268.0"/>
        <n v="269.0"/>
        <n v="277.0"/>
        <n v="278.0"/>
        <n v="281.0"/>
        <n v="282.0"/>
        <n v="275.0"/>
        <n v="273.0"/>
        <n v="272.0"/>
        <n v="280.0"/>
        <n v="279.0"/>
        <n v="375.0"/>
        <n v="393.0"/>
        <n v="394.0"/>
        <n v="395.0"/>
        <n v="378.0"/>
        <n v="810.0"/>
        <n v="381.0"/>
        <n v="379.0"/>
        <n v="1405.0"/>
        <n v="1687.0"/>
        <n v="1416.0"/>
        <n v="1417.0"/>
        <n v="1407.0"/>
        <n v="1418.0"/>
        <n v="1410.0"/>
        <n v="1408.0"/>
        <n v="288.0"/>
        <n v="289.0"/>
        <n v="348.0"/>
        <n v="344.0"/>
        <n v="317.0"/>
        <n v="318.0"/>
        <n v="300.0"/>
        <n v="351.0"/>
        <n v="1365.0"/>
        <n v="301.0"/>
        <n v="345.0"/>
        <n v="1444.0"/>
        <n v="294.0"/>
        <n v="295.0"/>
        <n v="307.0"/>
        <n v="308.0"/>
        <n v="1449.0"/>
        <n v="1450.0"/>
        <n v="298.0"/>
        <n v="369.0"/>
        <n v="368.0"/>
        <n v="367.0"/>
        <n v="373.0"/>
        <n v="372.0"/>
        <n v="312.0"/>
        <n v="88.0"/>
        <n v="152.0"/>
        <n v="326.0"/>
        <n v="316.0"/>
        <n v="315.0"/>
        <n v="333.0"/>
        <n v="331.0"/>
        <n v="330.0"/>
        <n v="332.0"/>
        <n v="1727.0"/>
        <n v="302.0"/>
        <n v="1473.0"/>
        <n v="371.0"/>
        <n v="321.0"/>
        <n v="325.0"/>
        <n v="324.0"/>
        <n v="322.0"/>
        <n v="323.0"/>
        <n v="320.0"/>
        <n v="335.0"/>
        <n v="350.0"/>
        <n v="336.0"/>
        <n v="347.0"/>
        <n v="346.0"/>
        <n v="338.0"/>
        <n v="339.0"/>
        <n v="1699.0"/>
        <n v="411.0"/>
        <n v="409.0"/>
        <n v="457.0"/>
        <n v="458.0"/>
        <n v="455.0"/>
        <n v="456.0"/>
        <n v="581.0"/>
        <n v="419.0"/>
        <n v="430.0"/>
        <n v="406.0"/>
        <n v="405.0"/>
        <n v="426.0"/>
        <n v="1400.0"/>
        <n v="549.0"/>
        <n v="550.0"/>
        <n v="568.0"/>
        <n v="630.0"/>
        <n v="559.0"/>
        <n v="558.0"/>
        <n v="628.0"/>
        <n v="626.0"/>
        <n v="582.0"/>
        <n v="629.0"/>
        <n v="602.0"/>
        <n v="610.0"/>
        <n v="614.0"/>
        <n v="615.0"/>
        <n v="616.0"/>
        <n v="617.0"/>
        <n v="622.0"/>
        <n v="619.0"/>
        <n v="621.0"/>
        <n v="618.0"/>
        <n v="620.0"/>
        <n v="566.0"/>
        <n v="583.0"/>
        <n v="612.0"/>
        <n v="613.0"/>
        <n v="611.0"/>
        <n v="631.0"/>
        <n v="1395.0"/>
        <n v="563.0"/>
        <n v="662.0"/>
        <n v="664.0"/>
        <n v="663.0"/>
        <n v="667.0"/>
        <n v="1174.0"/>
        <n v="201.0"/>
        <n v="202.0"/>
        <n v="1610.0"/>
        <n v="203.0"/>
        <n v="11.0"/>
        <n v="14.0"/>
        <n v="16.0"/>
        <n v="12.0"/>
        <n v="17.0"/>
        <n v="15.0"/>
        <n v="22.0"/>
        <n v="20.0"/>
        <n v="21.0"/>
        <n v="13.0"/>
        <n v="1731.0"/>
        <n v="1059.0"/>
        <n v="1061.0"/>
        <n v="1058.0"/>
        <n v="1056.0"/>
        <n v="1372.0"/>
        <n v="1162.0"/>
        <n v="1148.0"/>
        <n v="1469.0"/>
        <n v="1164.0"/>
        <n v="1166.0"/>
        <n v="1474.0"/>
        <n v="1145.0"/>
        <n v="1165.0"/>
        <n v="1168.0"/>
        <n v="1163.0"/>
        <n v="1597.0"/>
        <n v="1167.0"/>
        <n v="2006.0"/>
        <n v="1147.0"/>
        <n v="1146.0"/>
        <n v="1607.0"/>
        <n v="1491.0"/>
        <n v="1489.0"/>
        <n v="2007.0"/>
        <n v="1701.0"/>
        <n v="1700.0"/>
        <n v="1151.0"/>
        <n v="981.0"/>
        <n v="1031.0"/>
        <n v="1149.0"/>
        <n v="1000.0"/>
        <n v="1150.0"/>
        <n v="1515.0"/>
        <n v="1516.0"/>
        <n v="1512.0"/>
        <n v="1514.0"/>
        <n v="1152.0"/>
        <n v="995.0"/>
        <n v="1513.0"/>
        <n v="1373.0"/>
        <n v="1361.0"/>
        <n v="1386.0"/>
        <n v="1379.0"/>
        <n v="1376.0"/>
        <n v="1375.0"/>
        <n v="1374.0"/>
        <n v="1377.0"/>
        <n v="1567.0"/>
        <n v="714.0"/>
        <n v="516.0"/>
        <n v="1261.0"/>
        <n v="1614.0"/>
        <n v="1541.0"/>
        <n v="1542.0"/>
        <n v="1540.0"/>
        <n v="1560.0"/>
        <n v="1182.0"/>
        <n v="990.0"/>
        <n v="991.0"/>
        <n v="986.0"/>
        <n v="1640.0"/>
        <n v="977.0"/>
        <n v="982.0"/>
        <n v="983.0"/>
        <n v="1604.0"/>
        <n v="988.0"/>
        <n v="993.0"/>
        <n v="978.0"/>
        <n v="1716.0"/>
        <n v="1186.0"/>
        <n v="222.0"/>
        <n v="479.0"/>
        <n v="1556.0"/>
        <n v="224.0"/>
        <n v="257.0"/>
        <n v="407.0"/>
        <n v="475.0"/>
        <n v="1275.0"/>
        <n v="216.0"/>
        <n v="1032.0"/>
        <n v="1354.0"/>
        <n v="53.0"/>
        <n v="468.0"/>
        <n v="470.0"/>
        <n v="469.0"/>
        <n v="1612.0"/>
        <n v="401.0"/>
        <n v="465.0"/>
        <n v="1274.0"/>
        <n v="467.0"/>
        <n v="1709.0"/>
        <n v="226.0"/>
        <n v="2008.0"/>
        <n v="260.0"/>
        <n v="230.0"/>
        <n v="487.0"/>
        <n v="228.0"/>
        <n v="669.0"/>
        <n v="1666.0"/>
        <n v="1498.0"/>
        <n v="1185.0"/>
        <n v="247.0"/>
        <n v="253.0"/>
        <n v="1582.0"/>
        <n v="234.0"/>
        <n v="1693.0"/>
        <n v="496.0"/>
        <n v="1306.0"/>
        <n v="227.0"/>
        <n v="1295.0"/>
        <n v="250.0"/>
        <n v="1579.0"/>
        <n v="1137.0"/>
        <n v="235.0"/>
        <n v="1179.0"/>
        <n v="481.0"/>
        <n v="1714.0"/>
        <n v="480.0"/>
        <n v="1280.0"/>
        <n v="484.0"/>
        <n v="264.0"/>
        <n v="2009.0"/>
        <n v="2010.0"/>
        <n v="403.0"/>
        <n v="259.0"/>
        <n v="1562.0"/>
        <n v="1282.0"/>
        <n v="1284.0"/>
        <n v="1723.0"/>
        <n v="1288.0"/>
        <n v="1437.0"/>
        <n v="1144.0"/>
        <n v="1554.0"/>
        <n v="1704.0"/>
        <n v="1581.0"/>
        <n v="1555.0"/>
        <n v="1539.0"/>
        <n v="246.0"/>
        <n v="382.0"/>
        <n v="245.0"/>
        <n v="252.0"/>
        <n v="1609.0"/>
        <n v="418.0"/>
        <n v="489.0"/>
        <n v="1461.0"/>
        <n v="490.0"/>
        <n v="493.0"/>
        <n v="1298.0"/>
        <n v="492.0"/>
        <n v="491.0"/>
        <n v="286.0"/>
        <n v="994.0"/>
        <n v="1279.0"/>
        <n v="1496.0"/>
        <n v="242.0"/>
        <n v="1585.0"/>
        <n v="254.0"/>
        <n v="1725.0"/>
        <n v="213.0"/>
        <n v="483.0"/>
        <n v="374.0"/>
        <n v="1443.0"/>
        <n v="2011.0"/>
        <n v="1294.0"/>
        <n v="1712.0"/>
        <n v="392.0"/>
        <n v="380.0"/>
        <n v="397.0"/>
        <n v="398.0"/>
        <n v="1733.0"/>
        <n v="1285.0"/>
        <n v="2012.0"/>
        <n v="1287.0"/>
        <n v="1732.0"/>
        <n v="459.0"/>
        <n v="473.0"/>
        <n v="1544.0"/>
        <n v="1497.0"/>
        <n v="464.0"/>
        <n v="1313.0"/>
        <n v="463.0"/>
        <n v="217.0"/>
        <n v="1378.0"/>
        <n v="1495.0"/>
        <n v="474.0"/>
        <n v="1605.0"/>
        <n v="416.0"/>
        <n v="1642.0"/>
        <n v="1641.0"/>
        <n v="1394.0"/>
        <n v="1181.0"/>
        <n v="248.0"/>
        <n v="472.0"/>
        <n v="476.0"/>
        <n v="477.0"/>
        <n v="478.0"/>
        <n v="1518.0"/>
        <n v="1543.0"/>
        <n v="1475.0"/>
        <n v="486.0"/>
        <n v="495.0"/>
        <n v="461.0"/>
        <n v="414.0"/>
        <n v="420.0"/>
        <n v="488.0"/>
        <n v="1139.0"/>
        <n v="1606.0"/>
        <n v="494.0"/>
        <n v="221.0"/>
        <n v="1715.0"/>
        <n v="1180.0"/>
        <n v="1659.0"/>
        <n v="1289.0"/>
        <n v="1293.0"/>
        <n v="422.0"/>
        <n v="1191.0"/>
        <n v="1192.0"/>
        <n v="1204.0"/>
        <n v="1206.0"/>
        <n v="1364.0"/>
        <n v="1366.0"/>
        <n v="505.0"/>
        <n v="1615.0"/>
        <n v="530.0"/>
        <n v="529.0"/>
        <n v="513.0"/>
        <n v="514.0"/>
        <n v="1033.0"/>
        <n v="1035.0"/>
        <n v="1034.0"/>
        <n v="220.0"/>
        <n v="236.0"/>
        <n v="212.0"/>
        <n v="1460.0"/>
        <n v="980.0"/>
        <n v="1291.0"/>
        <n v="211.0"/>
        <n v="1262.0"/>
        <n v="1264.0"/>
        <n v="1263.0"/>
        <n v="466.0"/>
        <n v="229.0"/>
        <n v="266.0"/>
        <n v="139.0"/>
        <n v="509.0"/>
        <n v="429.0"/>
        <n v="237.0"/>
        <n v="1266.0"/>
        <n v="1268.0"/>
        <n v="1267.0"/>
        <n v="1269.0"/>
        <n v="210.0"/>
        <n v="209.0"/>
        <n v="1270.0"/>
        <n v="255.0"/>
        <n v="1265.0"/>
        <n v="258.0"/>
        <n v="232.0"/>
        <n v="1281.0"/>
        <n v="1586.0"/>
        <n v="973.0"/>
        <n v="1658.0"/>
        <n v="1355.0"/>
        <n v="233.0"/>
        <n v="1434.0"/>
        <n v="249.0"/>
        <n v="646.0"/>
        <n v="1076.0"/>
        <n v="1184.0"/>
        <n v="238.0"/>
        <n v="239.0"/>
        <n v="1143.0"/>
        <n v="1077.0"/>
        <n v="26.0"/>
        <n v="1277.0"/>
        <n v="1580.0"/>
        <n v="244.0"/>
        <n v="1066.0"/>
        <n v="737.0"/>
        <n v="742.0"/>
        <n v="746.0"/>
        <n v="256.0"/>
        <n v="1708.0"/>
        <n v="1569.0"/>
        <n v="1468.0"/>
        <n v="956.0"/>
        <n v="774.0"/>
        <n v="1425.0"/>
        <n v="916.0"/>
        <n v="881.0"/>
        <n v="877.0"/>
        <n v="910.0"/>
        <n v="894.0"/>
        <n v="998.0"/>
        <n v="893.0"/>
        <n v="1477.0"/>
        <n v="847.0"/>
        <n v="1057.0"/>
        <n v="1188.0"/>
        <n v="1729.0"/>
        <n v="1643.0"/>
        <n v="921.0"/>
        <n v="839.0"/>
        <n v="831.0"/>
        <n v="744.0"/>
        <n v="206.0"/>
        <n v="35.0"/>
        <n v="30.0"/>
        <n v="109.0"/>
        <n v="1545.0"/>
        <n v="54.0"/>
        <n v="214.0"/>
        <n v="215.0"/>
        <n v="231.0"/>
        <n v="79.0"/>
        <n v="1178.0"/>
        <n v="1578.0"/>
        <n v="76.0"/>
        <n v="979.0"/>
        <n v="149.0"/>
        <n v="80.0"/>
        <n v="138.0"/>
        <n v="186.0"/>
        <n v="219.0"/>
        <n v="1138.0"/>
        <n v="223.0"/>
        <n v="154.0"/>
        <n v="150.0"/>
        <n v="151.0"/>
        <n v="107.0"/>
        <n v="1705.0"/>
        <n v="187.0"/>
        <n v="59.0"/>
        <n v="97.0"/>
        <n v="116.0"/>
        <n v="142.0"/>
        <n v="267.0"/>
        <n v="1561.0"/>
        <n v="274.0"/>
        <n v="276.0"/>
        <n v="1176.0"/>
        <n v="261.0"/>
        <n v="396.0"/>
        <n v="291.0"/>
        <n v="299.0"/>
        <n v="296.0"/>
        <n v="1472.0"/>
        <n v="293.0"/>
        <n v="1588.0"/>
        <n v="311.0"/>
        <n v="370.0"/>
        <n v="1710.0"/>
        <n v="297.0"/>
        <n v="327.0"/>
        <n v="328.0"/>
        <n v="329.0"/>
        <n v="343.0"/>
        <n v="1571.0"/>
        <n v="290.0"/>
        <n v="225.0"/>
        <n v="1711.0"/>
        <n v="319.0"/>
        <n v="337.0"/>
        <n v="334.0"/>
        <n v="1707.0"/>
        <n v="1439.0"/>
        <n v="287.0"/>
        <n v="283.0"/>
        <n v="285.0"/>
        <n v="284.0"/>
        <n v="400.0"/>
        <n v="399.0"/>
        <n v="218.0"/>
        <n v="1538.0"/>
        <n v="1508.0"/>
        <n v="423.0"/>
        <n v="413.0"/>
        <n v="265.0"/>
        <n v="651.0"/>
        <n v="650.0"/>
        <n v="653.0"/>
        <n v="660.0"/>
        <n v="546.0"/>
        <n v="535.0"/>
        <n v="536.0"/>
        <n v="1551.0"/>
        <n v="1664.0"/>
        <n v="661.0"/>
        <n v="1665.0"/>
        <n v="1668.0"/>
        <n v="1190.0"/>
        <n v="1175.0"/>
        <n v="1574.0"/>
        <n v="1713.0"/>
        <n v="204.0"/>
        <n v="1038.0"/>
        <n v="28.0"/>
        <n v="27.0"/>
        <n v="1079.0"/>
        <n v="1064.0"/>
        <n v="1183.0"/>
        <n v="975.0"/>
        <n v="1053.0"/>
        <n v="1692.0"/>
        <n v="1052.0"/>
        <n v="1063.0"/>
        <n v="1611.0"/>
        <n v="241.0"/>
        <n v="1062.0"/>
        <n v="1286.0"/>
        <n v="1447.0"/>
        <n v="1290.0"/>
        <n v="1065.0"/>
        <n v="1385.0"/>
        <n v="208.0"/>
        <n v="1135.0"/>
        <n v="1136.0"/>
        <n v="1078.0"/>
        <n v="1566.0"/>
        <n v="309.0"/>
        <n v="1565.0"/>
        <n v="1633.0"/>
        <n v="1283.0"/>
        <n v="240.0"/>
        <n v="1369.0"/>
        <n v="1189.0"/>
        <n v="1141.0"/>
        <n v="115.0"/>
        <n v="1142.0"/>
        <n v="243.0"/>
        <n v="1459.0"/>
        <n v="775.0"/>
        <n v="1690.0"/>
        <n v="543.0"/>
        <n v="192.0"/>
        <n v="1452.0"/>
        <n v="569.0"/>
        <n v="183.0"/>
        <n v="968.0"/>
        <n v="648.0"/>
        <n v="310.0"/>
        <n v="878.0"/>
        <n v="98.0"/>
        <n v="801.0"/>
        <n v="565.0"/>
        <n v="482.0"/>
        <n v="1326.0"/>
        <n v="1601.0"/>
        <n v="1327.0"/>
        <n v="193.0"/>
        <n v="1694.0"/>
        <n v="2013.0"/>
        <n v="2014.0"/>
        <n v="2015.0"/>
        <n v="376.0"/>
        <n v="1333.0"/>
        <n v="1187.0"/>
        <n v="720.0"/>
        <n v="1273.0"/>
        <n v="767.0"/>
        <n v="485.0"/>
        <n v="2016.0"/>
        <n v="1278.0"/>
        <n v="639.0"/>
        <n v="567.0"/>
        <n v="538.0"/>
        <n v="263.0"/>
        <n v="2017.0"/>
        <n v="1587.0"/>
        <n v="1678.0"/>
        <n v="1680.0"/>
        <n v="1679.0"/>
        <n v="1686.0"/>
        <n v="1685.0"/>
        <n v="1677.0"/>
        <n v="1684.0"/>
        <n v="1683.0"/>
        <n v="2019.0"/>
        <n v="1689.0"/>
        <n v="1688.0"/>
        <n v="2020.0"/>
        <n v="2021.0"/>
        <n v="135.0"/>
        <n v="122.0"/>
        <n v="1706.0"/>
        <n v="1697.0"/>
        <n v="2023.0"/>
        <n v="23.0"/>
        <n v="644.0"/>
        <n v="1726.0"/>
        <n v="428.0"/>
        <n v="1599.0"/>
        <n v="1338.0"/>
        <n v="2024.0"/>
        <n v="2027.0"/>
        <n v="2028.0"/>
      </sharedItems>
    </cacheField>
    <cacheField name="fullName" numFmtId="0">
      <sharedItems>
        <s v="אוסטרובסקי מיכאל"/>
        <s v="אלטלאקת פאטמה"/>
        <s v="ביליה אריאל (אריק)"/>
        <s v="בלטי יצחק (איציק)"/>
        <s v="בן פורת משה"/>
        <s v="ג'מבקוב אנדריי"/>
        <s v="ג'מבקוב זויה"/>
        <s v="גרידסקול ויקטוריה"/>
        <s v="גרידסקול סרגיי"/>
        <s v="ויזמן ראובן"/>
        <s v="חטיב טארק"/>
        <s v="זקוטו אבי"/>
        <s v="חטואל אברהם (אבי)"/>
        <s v="חייט שמעון"/>
        <s v="חיימוב אהרון"/>
        <s v="יאחנגילוב יפתח"/>
        <s v="יאחנגילוב מריה"/>
        <s v="ידגרוב יורי"/>
        <s v="ידגרוב רוזה"/>
        <s v="מלקמו עדנה"/>
        <s v="משייב אנה"/>
        <s v="פוליאקוב אמה"/>
        <s v="קוסטיצין יליזבטה (ליליה)"/>
        <s v="רחמים בנימין"/>
        <s v="אוזן אליהו (אליקו)"/>
        <s v="אוזן אריה"/>
        <s v="אלזיאדנא עבד אלרחמן עאטף"/>
        <s v="אסלנוב ג'ון"/>
        <s v="גניש בנימין (בני)"/>
        <s v="וייסברג אלינה"/>
        <s v="חסדאי אבי"/>
        <s v="טייב נדב יוסף חי"/>
        <s v="ליסובוי יורי"/>
        <s v="ליסובוי סבטלנה"/>
        <s v="צ'בן יוליה"/>
        <s v="קימנפלד דניל"/>
        <s v="קרייף שחף"/>
        <s v="קרן טל"/>
        <s v="שאולוב רוברט"/>
        <s v="תעסה אור"/>
        <s v="אוביץ זיוה"/>
        <s v="אוחנה עדי"/>
        <s v="בנעים חיימי (חיים)"/>
        <s v="גולדין אורן"/>
        <s v="לוגבינצ'נקו ויטלי"/>
        <s v="משה רועי"/>
        <s v="פופוב ניר (ניקיטה)"/>
        <s v="קפשיטר איתן"/>
        <s v="קפשיטר אלין"/>
        <s v="קפשיטר דינה"/>
        <s v="קפשיטר יבגני (ג'ניה)"/>
        <s v="רפאלי מישקין חגית"/>
        <s v="תורג'מן דוד (דודי)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חג'בי אליצור צוריאל"/>
        <s v="חג'בי יהונתן"/>
        <s v="חג'בי יזהר"/>
        <s v="אבו מדיע'ם אוסאמה עלי"/>
        <s v="ירון שיר"/>
        <s v="לוי ציון"/>
        <s v="אלמגור מרינה"/>
        <s v="אקוני אור"/>
        <s v="אקוני אריה"/>
        <s v="אקוני ארלט (רותי)"/>
        <s v="ברגר נורית"/>
        <s v="וובק דני"/>
        <s v="ינון בלהה"/>
        <s v="ינון יעקובי"/>
        <s v="מולכו איילת"/>
        <s v="מולכו שלמה (שלומי)"/>
        <s v="סגל חויק"/>
        <s v="אלקבץ מוטי"/>
        <s v="בן יהודה גלעד"/>
        <s v="בן יהודה יובל"/>
        <s v="הדר איתי (יוסטון)"/>
        <s v="זומר דן"/>
        <s v="זעפרני נוי תפארת"/>
        <s v="כהן דניאל אשר"/>
        <s v="מעודי נוי"/>
        <s v="קדמן שחר גל"/>
        <s v="קוסובסקי זלטה"/>
        <s v="קיפר סביון חן"/>
        <s v="רביע יובל"/>
        <s v="רביע נועם"/>
        <s v="רוזנברג מתן"/>
        <s v="שפיר דור חנן"/>
        <s v="שרון (שוקרון) דודי"/>
        <s v="אבאסוב שמיל"/>
        <s v="אבדולאייב עדן"/>
        <s v="אבו סבילה מוסא"/>
        <s v="אבו עאמר אלרזאם סוהייב"/>
        <s v="אבו עסא אוסאמה"/>
        <s v="אבוחצירה אוראל"/>
        <s v="אביב נוי"/>
        <s v="אביטן דור"/>
        <s v="אביר לוטן"/>
        <s v="אבני גיל יוסף"/>
        <s v="אברג'יל עודד"/>
        <s v="אברהם אילן"/>
        <s v="אברמוב לאור"/>
        <s v="אדברג אסף מרדכי"/>
        <s v="אדם מפל"/>
        <s v="אדר גילי"/>
        <s v="אוחיון עדן ליז"/>
        <s v="אוחנה דניאל"/>
        <s v="אורי בן"/>
        <s v="אורן אביאל"/>
        <s v="אזולאי גמליאל גבי גבריאל"/>
        <s v="אזולאי יוחאי"/>
        <s v="אזולאי יונתן חי"/>
        <s v="אחרק עמרי"/>
        <s v="אטון אופק"/>
        <s v="אטיאס דורין"/>
        <s v="איטח ליאל"/>
        <s v="איטח סיגל"/>
        <s v="איילון שירה"/>
        <s v="אילוז אליה אליהו"/>
        <s v="אילייב אדם"/>
        <s v="איירמנדי סיזר איוון"/>
        <s v="אליהו יהונתן"/>
        <s v="אלפסי שלמה אליהו"/>
        <s v="אלפראחין ח'אלד"/>
        <s v="אלקיים לוי עינב"/>
        <s v="נסאסרה עבד אלכרים"/>
        <s v="אלשיך שלמה (שלומי) אליהו"/>
        <s v="אמין שני"/>
        <s v="אנגלנדר נועה"/>
        <s v="אסולין ליאור"/>
        <s v="אסולין לירז"/>
        <s v="אסייג ליאב"/>
        <s v="אפרים ירין משה"/>
        <s v="אפרים נעם ליאל"/>
        <s v="אקשטיין מתן"/>
        <s v="ארד אורי"/>
        <s v="ארד נבו"/>
        <s v="אריאל דן"/>
        <s v="ארנין איילת"/>
        <s v="אשואן סהר"/>
        <s v="בהט דרור"/>
        <s v="בובטס בן איון אורטל"/>
        <s v="בולדס דורון"/>
        <s v="בונגרט סופיה"/>
        <s v="בוסקילה ירדן"/>
        <s v="בועזיז מורלי נטע"/>
        <s v="בוקובזה רז"/>
        <s v="בור גלאון ליעם"/>
        <s v="בורשטיין מטיאס (הרנן)"/>
        <s v="בורשטיין עינב (חן)"/>
        <s v="ביטון בניהו"/>
        <s v="ביטון מאיה"/>
        <s v="ביטון מרדכי בן אריאל"/>
        <s v="ביטון נדב"/>
        <s v="ביילין אורון"/>
        <s v="ביילין בן צבי שגיב"/>
        <s v="ביכר נעומי"/>
        <s v="בילמס ספיר"/>
        <s v="בכר יהודה"/>
        <s v="בן אבי חן"/>
        <s v="בן אבידה עמית (יהודה)"/>
        <s v="בן דוד נגר סלין רחל"/>
        <s v="בן זינו עידו"/>
        <s v="בן זכריה יוחאי"/>
        <s v="בן חמו אור חיים"/>
        <s v="בן חמו דן"/>
        <s v="בן נעים שחר"/>
        <s v="בן סניור דניאל"/>
        <s v="בן עמי שני"/>
        <s v="בן פורת אליסף"/>
        <s v="בן רובי עדן"/>
        <s v="בנג'ו איתי"/>
        <s v="בר דין נהוראי"/>
        <s v="בר שהם"/>
        <s v="בראון יובל"/>
        <s v="בראל גבריאל ישי"/>
        <s v="ברגמן אלדד (אנג'ל)"/>
        <s v="ברדה לירון"/>
        <s v="ברזני סתיו"/>
        <s v="ברטיק (קליין) טל"/>
        <s v="ברטל נדב"/>
        <s v="אליהו ברנט רומי"/>
        <s v="ברנשטיין אליהו יעקב"/>
        <s v="ברנשטיין בן"/>
        <s v="ברסלבסקי דניאל (דני)"/>
        <s v="ברעם עילי"/>
        <s v="ג'ורג'י שיר חנה"/>
        <s v="ג'רפי ליאל"/>
        <s v="גבאי שני"/>
        <s v="גוטמן תמר"/>
        <s v="גולדנברג ניצן"/>
        <s v="גולדנברג תמר"/>
        <s v="גולטמן דניאל"/>
        <s v="גוסק מרגריטה"/>
        <s v="גורביץ' (וסילקובסקי) ליליה"/>
        <s v="גורדני שרון"/>
        <s v="גוריונוב אנטון"/>
        <s v="גורלוב ויקטוריה"/>
        <s v="גז עדן"/>
        <s v="גטה סתיו"/>
        <s v="גילר ירוסלב (סלבה)"/>
        <s v="גינדי שחר"/>
        <s v="גל שלו"/>
        <s v="גנדלין איזבלה"/>
        <s v="גנוט אביה"/>
        <s v="גנון שירן"/>
        <s v="גניס יוסף (ספי)"/>
        <s v="גרציאני מאור"/>
        <s v="גרקוביץ' דפנה"/>
        <s v="דב רחל (רייצ'ל)"/>
        <s v="דדון אבי"/>
        <s v="דהן יצחק איציק"/>
        <s v="דוד הודיה"/>
        <s v="דוד עמית יצחק"/>
        <s v="דוד תאיר"/>
        <s v="דוידוב קרינה אלה"/>
        <s v="דוידי ברק"/>
        <s v="דויטשוילי שון"/>
        <s v="דור עידן"/>
        <s v="דייטשמן רונן"/>
        <s v="דמרי דן"/>
        <s v="דמתי קים"/>
        <s v="דנגורי גל"/>
        <s v="דפני לין"/>
        <s v="הירש (אוזן) שרון"/>
        <s v="הלוי אביעד"/>
        <s v="הרמן עידן"/>
        <s v="הרמתי עידן"/>
        <s v="ואקנין פרמוטר לימור"/>
        <s v="ודעי דניאל מאיר"/>
        <s v="והדי משה"/>
        <s v="וולדמן דניאל"/>
        <s v="ויגדרגאוז (דובז'נקו) סיימון"/>
        <s v="ויינברג רון"/>
        <s v="ויינשטיין ליאל"/>
        <s v="ולאנו פונטס ברונה"/>
        <s v="וקנין אושר"/>
        <s v="וקנין מיכאל"/>
        <s v="ורבר אלון"/>
        <s v="ורדי לורי"/>
        <s v="ורניקוב קרין"/>
        <s v="ז'ורנו קארין"/>
        <s v="זגדון רינת הודיה"/>
        <s v="זוארמן מוטי (מרדכי)"/>
        <s v="זהר בר"/>
        <s v="זיו אור"/>
        <s v="זיידמן יונתן (ג'וני)"/>
        <s v="זנדר נועה"/>
        <s v="זנטי מתן"/>
        <s v="זפרני איתי"/>
        <s v="חבני שקד"/>
        <s v="חג'בי זיו"/>
        <s v="חדד אטיאס ליאור"/>
        <s v="חיאל גידי"/>
        <s v="חיאל נועה"/>
        <s v="חיים מאיה"/>
        <s v="חליפה גאיה"/>
        <s v="חמוי אלה"/>
        <s v="חסיד בן בנציון"/>
        <s v="חפץ אריה אריק"/>
        <s v="טבגן גולדמן קטרינה (קטיה)"/>
        <s v="טמם אדיר"/>
        <s v="טקאץ' ליאור"/>
        <s v="טרבלסי מור"/>
        <s v="יהודאי רון"/>
        <s v="יעקב אילן משה"/>
        <s v="יעקב שהם"/>
        <s v="יעקב שובל"/>
        <s v="יעקב שנהב"/>
        <s v="יעקובוב סאן אמנון"/>
        <s v="יצחקי מאי"/>
        <s v="ישמרני (טמם) שירז שירן"/>
        <s v="כהן אברהם נריה"/>
        <s v="כהן בן בנימין"/>
        <s v="כהן דניאל"/>
        <s v="כהן מגורי ליבי"/>
        <s v="כהן מור"/>
        <s v="כהן עמית חיים"/>
        <s v="כפיר גלעד"/>
        <s v="כץ טל"/>
        <s v="לביא עומרי יעקב"/>
        <s v="להב עמית"/>
        <s v="לוי גיא גבריאל"/>
        <s v="לוי יצחק"/>
        <s v="לוי ליבנת"/>
        <s v="לוי לידור יוסף"/>
        <s v="לוי נאור"/>
        <s v="לוי ניסים (מעיין)"/>
        <s v="לוי סיגל"/>
        <s v="לוי עמית"/>
        <s v="לוי רותם רחל"/>
        <s v="לוין אליסיה"/>
        <s v="ליאור מתן מרדכי"/>
        <s v="ליטמן אוריה ריקרדו"/>
        <s v="ליסמן אניטה"/>
        <s v="ליסצ'וב דוד"/>
        <s v="ליפובסקי אילן"/>
        <s v="למאי דידנקו יוליה"/>
        <s v="לפידות תפארת"/>
        <s v="מגנזי עמית"/>
        <s v="מדמון ניר"/>
        <s v="מדמוני שליו"/>
        <s v="מדר שחק יוסף"/>
        <s v="מועלם נעמה"/>
        <s v="מוצפי שי שלום אליאור"/>
        <s v="מזרחי אלירן"/>
        <s v="מזרחי בן מנשה"/>
        <s v="מזרחי רז"/>
        <s v="מייזל עדי רבקה"/>
        <s v="מימון ליאור"/>
        <s v="מליחי אמיתי"/>
        <s v="מלכה דור"/>
        <s v="מנצור שחר"/>
        <s v="מנצורי נורל"/>
        <s v="מנצורי רויה"/>
        <s v="מסיאס מונטנו אנטוניו יניב"/>
        <s v="מסיקה אדיר"/>
        <s v="מקרצ'נקו סטיבן"/>
        <s v="מרגלית עדי"/>
        <s v="משה עדן דוד"/>
        <s v="נאמן דוד יאיר שלום"/>
        <s v="נבון גל"/>
        <s v="נזרוב אילקין"/>
        <s v="נחום דור"/>
        <s v="נידג'לסקי גלזר חנני"/>
        <s v="ניימן רותם"/>
        <s v="ניסימבוים (כרמלי) ג'ני"/>
        <s v="ניסן לירז"/>
        <s v="נעים מאי"/>
        <s v="נפתלי עדן"/>
        <s v="נקמולי בר ליאור (ברלי)"/>
        <s v="סבידיה שלומי"/>
        <s v="סוויסה מוריה אור"/>
        <s v="סולומון הילי"/>
        <s v="סטלזר מנדס קרלה"/>
        <s v="סטרוסטה תומר"/>
        <s v="סלומון יעקב"/>
        <s v="סלע רם"/>
        <s v="סמואלוב אלעזר"/>
        <s v="סמוילוב אלכסנדר"/>
        <s v="סמט תמר"/>
        <s v="סעידי צור"/>
        <s v="סעידיאן משה (מושיקו)"/>
        <s v="סרודי יניב"/>
        <s v="עבדוש גל"/>
        <s v="עבדוש נאג'י"/>
        <s v="עדרי עידן"/>
        <s v="עודי עופר"/>
        <s v="עזר גיא"/>
        <s v="עזרא עוז משה"/>
        <s v="עטון ליאור"/>
        <s v="עמר חנן (חנניה)"/>
        <s v="עמר מרסדס אוריה"/>
        <s v="פאר יועד"/>
        <s v="פודר מאיה"/>
        <s v="פולבנוב רוני"/>
        <s v="פוסטל יבגני"/>
        <s v="פורטי ניר"/>
        <s v="פטרובסקי רוני"/>
        <s v="פטרנקו דניאלה (דנה)"/>
        <s v="פישמן בן"/>
        <s v="פלחטי אלינה"/>
        <s v="פסו אוראל"/>
        <s v="פרג' נועה"/>
        <s v="פריטיקה קארינה"/>
        <s v="פרינץ הדר"/>
        <s v="פרנקל זיו"/>
        <s v="פרץ אריק (אריה)"/>
        <s v="פרץ עידו"/>
        <s v="פרץ רות הודיה"/>
        <s v="צפתי חי חיים"/>
        <s v="צרפתי אופיר"/>
        <s v="צרפתי רון"/>
        <s v="קונדרוב אירית"/>
        <s v="קופרווסר שני"/>
        <s v="קיז'נר שגב ישראל"/>
        <s v="קיילין הילה"/>
        <s v="קינן לינור"/>
        <s v="קליכמן מעין"/>
        <s v="קמחי אופק"/>
        <s v="קמחי סתיו"/>
        <s v="קן דרור יהונתן (מאיר)"/>
        <s v="קסבצ'וק דניאל"/>
        <s v="קסרוטי כלפה קשת"/>
        <s v="רביב מוריה"/>
        <s v="רביע אופק"/>
        <s v="רגב שי"/>
        <s v="רואימי מיכל"/>
        <s v="רוביו ורגס איבון עדן פטריסיה"/>
        <s v="רוזמן יעל"/>
        <s v="רום יהונתן"/>
        <s v="רומשקין אולגה נעמי"/>
        <s v="רחום ניצן"/>
        <s v="רחמים אביאל שלום"/>
        <s v="רחמים דביר"/>
        <s v="רפאל (רפאי) אלי"/>
        <s v="רפאי שרון"/>
        <s v="שאמץ איליה"/>
        <s v="שגב שושן"/>
        <s v="שגב תומר"/>
        <s v="שהרבני סיון"/>
        <s v="שובה משה"/>
        <s v="שוורצמן קארין"/>
        <s v="שופן זיו"/>
        <s v="שטרית רוני"/>
        <s v="שי נעם"/>
        <s v="שיינקרמן דניאל"/>
        <s v="שינדל מארק"/>
        <s v="שכטר בר"/>
        <s v="שלו שי"/>
        <s v="שלום נעם"/>
        <s v="שלום רם"/>
        <s v="שלזינגר אסף"/>
        <s v="שם טוב עינבר"/>
        <s v="שמוניס הראל שרונה"/>
        <s v="שמעוני בנימין (בן)"/>
        <s v="שמר רון"/>
        <s v="שניר איתן רפאל"/>
        <s v="שפירא זיו פפה"/>
        <s v="שפר רן"/>
        <s v="שרם ליאם"/>
        <s v="תאר דור"/>
        <s v="תומר בר"/>
        <s v="תורג'מן אבידן"/>
        <s v="תורג'מן שהם ליה"/>
        <s v="תל צור ניב"/>
        <s v="זיו דדו"/>
        <s v="שפירר תומר"/>
        <s v="אבן אלון"/>
        <s v="אבן חן"/>
        <s v="אבן עידו"/>
        <s v="אבן רינת"/>
        <s v="אוחיון סילביה"/>
        <s v="אור יונת"/>
        <s v="אפטלון יוסי (זיגי)"/>
        <s v="בויום ענבר"/>
        <s v="בירה אורון"/>
        <s v="בירה טל"/>
        <s v="בירה יסמין"/>
        <s v="בירה תאיר"/>
        <s v="בירה תהל"/>
        <s v="בכר גאולה"/>
        <s v="בכר דנה"/>
        <s v="בכר כרמל"/>
        <s v="בכר מזל (מזי)"/>
        <s v="בן עמי חוה"/>
        <s v="בר יובל"/>
        <s v="בר מעיין"/>
        <s v="בר סיני יורם"/>
        <s v="ברוך עידן"/>
        <s v="גודארד (פרג) איילת"/>
        <s v="גודארד מני"/>
        <s v="גלסקי יבגני"/>
        <s v="גת כנרת"/>
        <s v="דגן עדי"/>
        <s v="הנד נרקיס"/>
        <s v="הקר זאב"/>
        <s v="הקר זהבה"/>
        <s v="הרן אבשלום (אבשל)"/>
        <s v="הרשקוביץ מעיינה"/>
        <s v="הרשקוביץ נח"/>
        <s v="וייס מתי"/>
        <s v="וייס עמיר"/>
        <s v="וייס שמואל (שמוליק)"/>
        <s v="זוהר חיים"/>
        <s v="זלמנוביץ' הלל"/>
        <s v="חצרוני איילה"/>
        <s v="חצרוני הלר ליאל"/>
        <s v="חרמש עומר"/>
        <s v="טרשצ'נסקי ליאור"/>
        <s v="יצחקי יהודית"/>
        <s v="כהן אוהד"/>
        <s v="כהן יונה"/>
        <s v="כהן מילה"/>
        <s v="כהן פסיה (פסי)"/>
        <s v="כרסנתי שושנה (שוש)"/>
        <s v="לוי לודמיר דניאל"/>
        <s v="לוי רוני"/>
        <s v="לוסב איגור"/>
        <s v="לוסב מרינה"/>
        <s v="מור אבי"/>
        <s v="מורדו רפאל (רפי)"/>
        <s v="מייזנר קרבונה גלית"/>
        <s v="מילס אלברט (אבלום)"/>
        <s v="מן עמית"/>
        <s v="נווה מרדכי"/>
        <s v="נטע אדריאן"/>
        <s v="סבירסקי רפי"/>
        <s v="סוכמן תמי"/>
        <s v="סיטון חנה"/>
        <s v="סיטון טל"/>
        <s v="סיטון יצחק"/>
        <s v="סילבר ויויאן"/>
        <s v="סלע סבירסקי אורית"/>
        <s v="פישביין זערור תכלת"/>
        <s v="פרייליך קפלון מרסל"/>
        <s v="פריקר יונה"/>
        <s v="קוזין יצחק"/>
        <s v="קידר סמי"/>
        <s v="קיפניס אביתר (תרי)"/>
        <s v="קיפניס לילך"/>
        <s v="קלדרון רותם"/>
        <s v="קפלון דרור"/>
        <s v="קרול דוד"/>
        <s v="קריצמן חנה"/>
        <s v="רידר דור"/>
        <s v="רפופורט יונתן"/>
        <s v="שוש נוי"/>
        <s v="שרעבי יהל"/>
        <s v="שרעבי ליאן"/>
        <s v="שרעבי נויה"/>
        <s v="Prodigo Cabrera Gracie"/>
        <s v="Castelvi Paul Vincent"/>
        <s v="Jayathilaka Anula"/>
        <s v="Sae Yang Sumchai"/>
        <s v="Yatawara Bandara Susujith"/>
        <s v="אלחרר חלפון ליז"/>
        <s v="אלחרר מאיר"/>
        <s v="מתיאס טרואן שחר דבורה (דבי)"/>
        <s v="מתיאס שלומי"/>
        <s v="סולטן רולאן"/>
        <s v="סולטן רונית"/>
        <s v="קייסמן לילי"/>
        <s v="קעטבי תהילה"/>
        <s v="קפלון עדי ויטל"/>
        <s v="רידלר משה"/>
        <s v="Busko Petro"/>
        <s v="גודו תום"/>
        <s v="זק (בן יעיש) אתי"/>
        <s v="זק איתי"/>
        <s v="זק שגיא"/>
        <s v="חולתי מנוחה"/>
        <s v="מור מעיין"/>
        <s v="סמיאטיץ' ג'ינה"/>
        <s v="רון עופר"/>
        <s v="Jakkaphong Jantharasena"/>
        <s v="Kaison Aranthit"/>
        <s v="Khunsri Pongsatorn"/>
        <s v="Klangsuwan Theerapong"/>
        <s v="Prakotwong Thanakrit"/>
        <s v="Sanusan Chairat"/>
        <s v="Sophakun Anucha"/>
        <s v="Srithat Kawao"/>
        <s v="אדמוני גיא"/>
        <s v="אדמוני מיכל"/>
        <s v="אדרי אביעד אברהם"/>
        <s v="אורגד גולדנברג אליהו (אלי)"/>
        <s v="איתמרי לילי"/>
        <s v="איתמרי רם"/>
        <s v="אלקבץ סיון"/>
        <s v="אמיר מודי (מרדכי)"/>
        <s v="אפשטיין בלהה"/>
        <s v="אפשטיין נטע"/>
        <s v="בויום יובל"/>
        <s v="בן דוד (ג'יבלי) מאיה"/>
        <s v="ברדיצ'בסקי (רוזנפלד) הדר"/>
        <s v="ברדיצ'בסקי איתי"/>
        <s v="גולדשטיין אלמוג ים"/>
        <s v="גולדשטיין אלמוג נדב"/>
        <s v="גורן ארן"/>
        <s v="גורן טובה"/>
        <s v="דגני נעמי"/>
        <s v="וינר יהב"/>
        <s v="ורטהיים (בר אילן) דורית"/>
        <s v="ורטהיים אביב"/>
        <s v="זיו איתן"/>
        <s v="זיני ניראל"/>
        <s v="חסידים נאור"/>
        <s v="חצרוני אביה"/>
        <s v="חצרוני הלר ינאי"/>
        <s v="ליבשטיין ניצן"/>
        <s v="מור עידן סמדר"/>
        <s v="עידן רועי"/>
        <s v="פלג זיו (נאור) תמי"/>
        <s v="פלד גילה"/>
        <s v="פלד דניאל"/>
        <s v="פלד יזהר"/>
        <s v="פלש יגאל"/>
        <s v="פלש סינתיה תמר (סינדי)"/>
        <s v="פרץ מארק (מרדכי)"/>
        <s v="צדיקביץ' עומר"/>
        <s v="קוץ אביב"/>
        <s v="קוץ יונתן"/>
        <s v="קוץ יפתח"/>
        <s v="קוץ לבנת"/>
        <s v="קוץ רותם"/>
        <s v="קציר (קצ'קו) דוד"/>
        <s v="רביב ניב"/>
        <s v="רונן נירה"/>
        <s v="רייכנשטיין אליהו (אליקו)"/>
        <s v="שוורצמן דוד אלברטו"/>
        <s v="שוורצמן פינקו אורלי"/>
        <s v="שושני אופיר"/>
        <s v="שטהל מירה"/>
        <s v="Aguirre Angelyn"/>
        <s v="אליקים נועם"/>
        <s v="ברוש שושנה (שושי)"/>
        <s v="זוהר יניב"/>
        <s v="זוהר יסמין"/>
        <s v="זוהר קשת"/>
        <s v="זוהר תכלת"/>
        <s v="כץ אפרת"/>
        <s v="ליבנה חיים"/>
        <s v="עידן מעיין"/>
        <s v="ערבה אליעז תומר"/>
        <s v="ערבה דקלה"/>
        <s v="רון שלמה"/>
        <s v="Somkuan Pansa-ard"/>
        <s v="בן חורין רבקה"/>
        <s v="בן צבי אמיתי"/>
        <s v="גורן אבנר"/>
        <s v="גרוס יוסף (יוסיניו)"/>
        <s v="דן כרמלה"/>
        <s v="דן נויה"/>
        <s v="והב יוסף (יוסי)"/>
        <s v="טרופנוב ויטלי"/>
        <s v="כץ רביד"/>
        <s v="לוינסון ברכה"/>
        <s v="מונדר רועי"/>
        <s v="משה סעיד (דוד)"/>
        <s v="נוי שפרה"/>
        <s v="סילברמן (שניידר) מרגיט"/>
        <s v="סילברמן יוסף"/>
        <s v="סימן טוב ארבל"/>
        <s v="סימן טוב יונתן (ג'וני)"/>
        <s v="סימן טוב עומר"/>
        <s v="סימן טוב קדם תמר"/>
        <s v="סימן טוב קרול"/>
        <s v="סימן טוב שחר"/>
        <s v="פאוקר גדעון"/>
        <s v="קציר אברהם (רמי)"/>
        <s v="שלו דוד"/>
        <s v="שלו טל"/>
        <s v="שפיר ירמי (ירמיהו)"/>
        <s v="Bohl Caroline"/>
        <s v="Dachtuyawat Bancha"/>
        <s v="Darlington Daniel (Danny)"/>
        <s v="באבאני גדעון"/>
        <s v="מאיר דורון"/>
        <s v="מאיר מור"/>
        <s v="פופלוול רועי"/>
        <s v="כהן ברנרד (פול)"/>
        <s v="גלזברג נועה"/>
        <s v="טליה מרסל"/>
        <s v="ליפשיץ אולג"/>
        <s v="מרנסקי סילביה"/>
        <s v="Bista Dipesh Raj"/>
        <s v="Chaudhary Ashish"/>
        <s v="Lekendora Sing Dahami"/>
        <s v="Nepali Ganesh Kumar"/>
        <s v="Neupane Narayan Prasad"/>
        <s v="Phulara Rajan"/>
        <s v="Prabesh Bhandari"/>
        <s v="Shah Ananda"/>
        <s v="Swarnakar Rajesh Kumar"/>
        <s v="Thapa Padam"/>
        <s v="אוסטפנקו אליונה"/>
        <s v="גבאי עמית"/>
        <s v="הרמתי ורדה"/>
        <s v="פבר אסף"/>
        <s v="קרפ דביר"/>
        <s v="אבדלימוב סמיון"/>
        <s v="אברמוב מיכאל"/>
        <s v="איליאגוייב סלומון"/>
        <s v="ג'רג'אוי סמי"/>
        <s v="אשרף חיים"/>
        <s v="ויצמן ליאור"/>
        <s v="טולדנו עמרם אלון"/>
        <s v="טנבורה אמיר"/>
        <s v="לוזובסקי לאוניד"/>
        <s v="מאירי זוהר"/>
        <s v="מגירא אבי"/>
        <s v="מורזאחנוב מיכאל"/>
        <s v="מלכה מאיר"/>
        <s v="נווה נתיב מעיין"/>
        <s v="סוויסה אודיה"/>
        <s v="סוויסה דולב"/>
        <s v="סורוקין דמיטרי"/>
        <s v="פריאנטה קובי"/>
        <s v="שטרית אזולאי נעמי"/>
        <s v="Cao Yongcai"/>
        <s v="Wan Zhishun"/>
        <s v="Zou Deli"/>
        <s v="ביילין זינאידה (זינה)"/>
        <s v="גילר ליליה"/>
        <s v="זרבאילוב מיכל מראל"/>
        <s v="טומייב נטליה"/>
        <s v="מורטוב יעקב"/>
        <s v="ספרבצ'יקוב נדז'דה"/>
        <s v="פופוב ולדימיר"/>
        <s v="פופוב סופיה"/>
        <s v="פורמן לודמילה (לודה)"/>
        <s v="פרידמן ולרי"/>
        <s v="קורצר איגור"/>
        <s v="שמיאייב לוי ברטה בטסיין"/>
        <s v="שניטמן טטיאנה"/>
        <s v="אבו ג'מאע יזן זכריה"/>
        <s v="אבו מדיע'ם גאליה"/>
        <s v="אבו סבייח מאי זוהיר"/>
        <s v="אבו סבייח פאיזה"/>
        <s v="אלקרעאן אמין עקל"/>
        <s v="אלקרעאן ג'וואד אברהים"/>
        <s v="אלקרעאן מאלק אברהים"/>
        <s v="אלקרעאן מחמד ד'יב"/>
        <s v="בן ארצי חנה"/>
        <s v="ברודש שירז דניאל"/>
        <s v="גבאי מור"/>
        <s v="ז'וקוב ולדימיר"/>
        <s v="חטאב יהושוע"/>
        <s v="מסקאלצ'י נתנאל"/>
        <s v="מסקאלצ'י רפאל מאיר"/>
        <s v="פהימי רפאל"/>
        <s v="פרץ אבשלום יאיר"/>
        <s v="אבוהרון רוני"/>
        <s v="אוחיון אליעד"/>
        <s v="אוחיון משה"/>
        <s v="אילוז יגאל"/>
        <s v="אלעזרי יונתן"/>
        <s v="בוזגלו אבי"/>
        <s v="גורי אריאל רפאל"/>
        <s v="גורי רואי חיים"/>
        <s v="לוגסי ניסים"/>
        <s v="ליזמי מיכאל"/>
        <s v="סעיד נהוראי"/>
        <s v="צ'אנה ישראל"/>
        <s v="צידון אבי"/>
        <s v="אלטון דרור"/>
        <s v="אלם מארו"/>
        <s v="אמיתי נהוראי לוי"/>
        <s v="אמר רגב"/>
        <s v="אסתו אור"/>
        <s v="ארז אריאל"/>
        <s v="באלוי עידן"/>
        <s v="בוגלה אדיר אישטו"/>
        <s v="בוחניק לביא"/>
        <s v="בזגודוב דניאל"/>
        <s v="ביבי אוריאל"/>
        <s v="ביננשטוק עידו"/>
        <s v="בליך ודים"/>
        <s v="בן דוד ברק"/>
        <s v="בן יהודה איתמר"/>
        <s v="בן יעקב יעד"/>
        <s v="בן משה (מושיאשוילי) מיכאל"/>
        <s v="בר (בן מוחה) ליאון"/>
        <s v="בר עם נטע"/>
        <s v="ברנס שלו"/>
        <s v="ברק תומר"/>
        <s v="גאורי אדיר"/>
        <s v="גבאי יובל"/>
        <s v="גברה עומר"/>
        <s v="גדליה יוסף מלאכי"/>
        <s v="גואטה עמית"/>
        <s v="גליסקו איתי אופק"/>
        <s v="גמזו אילי"/>
        <s v="דגן שלו"/>
        <s v="דהן שקד"/>
        <s v="דוידוביץ׳ שלומי"/>
        <s v="דיין ירון מוריס"/>
        <s v="וולף עומר"/>
        <s v="זוהר ירון"/>
        <s v="זכאי דביר"/>
        <s v="חובלאשוילי אברהם"/>
        <s v="טהר יוסף (יוסי)"/>
        <s v="יאנג נתנאל"/>
        <s v="יואב מיכאל"/>
        <s v="יונה בנימין גבריאל"/>
        <s v="יענקלוב בר"/>
        <s v="ירוחין אופיר"/>
        <s v="כהן איתמר"/>
        <s v="כהן דנית"/>
        <s v="לב בנימין"/>
        <s v="לביא אמיר"/>
        <s v="לוגאסי שמעון יוחאי"/>
        <s v="לוי טל"/>
        <s v="לוי יקיר"/>
        <s v="ליאר נתן חי"/>
        <s v="מזרחי אור"/>
        <s v="מידאני סהר"/>
        <s v="מלכה אור"/>
        <s v="ממן טל"/>
        <s v="מקייס לידור"/>
        <s v="מרציאנו אריק יהודה"/>
        <s v="נגר תומר"/>
        <s v="נידם שוהם שלמה"/>
        <s v="סמוילוב אמיל"/>
        <s v="סעודין סהר"/>
        <s v="סקורי אמיר"/>
        <s v="סקיפקביץ' ויטלי"/>
        <s v="סקריסבסקי רודי"/>
        <s v="עדן חיים מאיר"/>
        <s v="עזיזוב ליאור"/>
        <s v="פרץ עמרי"/>
        <s v="צ'אפל רועי"/>
        <s v="צור יהונתן"/>
        <s v="צור עדי"/>
        <s v="ציוני אופיר"/>
        <s v="צירינג אריה שלמה"/>
        <s v="צפיר דדו"/>
        <s v="קוצרו נתיב"/>
        <s v="קיעאן חביב"/>
        <s v="ראשד דניאל"/>
        <s v="רבינוב מקס"/>
        <s v="רסלר דביר חיים"/>
        <s v="רפאל שלום מאור"/>
        <s v="רשטניקוב שלמה"/>
        <s v="רתנר דוד"/>
        <s v="שי ירון אורי"/>
        <s v="שלומי רום"/>
        <s v="ישראל שני עידו"/>
        <s v="שפרבר דניאל"/>
        <s v="שקותאי גלי רועי"/>
        <s v="טהר אדיר"/>
        <s v="אהרן יוגב"/>
        <s v="אוחיון אביתר"/>
        <s v="בזק גיא"/>
        <s v="בטיטו ראם מאיר"/>
        <s v="בלאי בנימין"/>
        <s v="בן חמו מיכאל"/>
        <s v="בן מוחה עילי נועם"/>
        <s v="טקה בנימין טשגר"/>
        <s v="מיטלמן דוד"/>
        <s v="סביצקי יונתן"/>
        <s v="סגל אוריאל"/>
        <s v="פלד עמית"/>
        <s v="פרץ רז (רזיאל)"/>
        <s v="רובין עמיחי שמעון"/>
        <s v="רוזנשטיין בר"/>
        <s v="שני אורי מרדכי"/>
        <s v="ששון אלעד מיכאל"/>
        <s v="ראוכברגר שילה"/>
        <s v="אברמוביץ' נועם"/>
        <s v="איל אמיר"/>
        <s v="אילת שיר"/>
        <s v="אמויאל דולב"/>
        <s v="אסראף סיון שמחה"/>
        <s v="אשל רוני"/>
        <s v="אשרם שי"/>
        <s v="ביטון שיר"/>
        <s v="בן שטרית שמעון אלרואי"/>
        <s v="גלס ים"/>
        <s v="גרומן עדי"/>
        <s v="דוכן יוחאי"/>
        <s v="הר אבן שילה"/>
        <s v="ויאלובו פולו מיה"/>
        <s v="חג'ג' אביב"/>
        <s v="חיים פור שיראל"/>
        <s v="יוגב בועז מנשה"/>
        <s v="יעבץ יפתח"/>
        <s v="כהן הדר מרים"/>
        <s v="כרמי אורי"/>
        <s v="לזימי דור"/>
        <s v="לייבושור יעל"/>
        <s v="לנדמן עדי"/>
        <s v="מור שיראל"/>
        <s v="נימרי עדן"/>
        <s v="ניסני שחף"/>
        <s v="סיבוני נאור"/>
        <s v="עמר שירת ים"/>
        <s v="פיטוסי ישי"/>
        <s v="פלד ירין מארי"/>
        <s v="פרייס נועה"/>
        <s v="קרסנינסקי יעקב (יענקי) שלמה"/>
        <s v="רון איתי אברהם"/>
        <s v="שוחט שירה"/>
        <s v="דקל נחמן"/>
        <s v="מוסט עמית"/>
        <s v="מלמן אופיר"/>
        <s v="סעדון הלל שמואל"/>
        <s v="שוורץ שגב"/>
        <s v="סויסה דקל"/>
        <s v="פרי רועי"/>
        <s v="אסייג רווית חנה"/>
        <s v="סאלם פלג"/>
        <s v="אביטל גיל"/>
        <s v="בן יעקב ליאור"/>
        <s v="אסולין דן"/>
        <s v="נחמיאס איתי"/>
        <s v="בהרב רבינוביץ' עדי"/>
        <s v="דולב תומר"/>
        <s v="וקס יגאל"/>
        <s v="וקס עמית"/>
        <s v="שטרן אורן"/>
        <s v="תעסה גיל"/>
        <s v="כהן אביעד גד"/>
        <s v="סויד בכור חי"/>
        <s v="שישפורטיש ראובן"/>
        <s v="דוידיאן אופיר"/>
        <s v="לוי ליאור"/>
        <s v="עיש איתמר"/>
        <s v="פרבוסודובה אלינה"/>
        <s v="פרש אהרון"/>
        <s v="שלמה שיר"/>
        <s v="אביטל אור"/>
        <s v="אלון לוי עדן"/>
        <s v="בוני נעמה"/>
        <s v="בן סימון אדר"/>
        <s v="בר שדה עילי"/>
        <s v="גולן יונתן"/>
        <s v="טל סהר"/>
        <s v="טסטה אופיר"/>
        <s v="לוקר אורי"/>
        <s v="ליבוביץ' תומר"/>
        <s v="לישה דביר"/>
        <s v="מאור איתי"/>
        <s v="מוזס אור"/>
        <s v="מלייב יואב"/>
        <s v="משה אוראל"/>
        <s v="נגרי נריה אהרון"/>
        <s v="עבודי אדיר"/>
        <s v="ניב פיירשטיין עומרי"/>
        <s v="צור עמית"/>
        <s v="קמינקא ינאי"/>
        <s v="בן יעקב יובל"/>
        <s v="הרוש עידו"/>
        <s v="אבן מרעי סלמאן"/>
        <s v="אברהם אוריאל"/>
        <s v="אברהם דבי (דבורה)"/>
        <s v="בלוכמן יקיר"/>
        <s v="ברזילי אושר שמחה"/>
        <s v="הנקין אברהם"/>
        <s v="ח'רובה איברהים"/>
        <s v="יהושע עידו"/>
        <s v="ינין סיון"/>
        <s v="יפרח אליאור"/>
        <s v="כהן יוראי אליהו"/>
        <s v="מחלוף סהר ציון"/>
        <s v="שלמה משהאל"/>
        <s v="סיון בר"/>
        <s v="עזר עילי"/>
        <s v="עמאר נתאי"/>
        <s v="פלורס גרסיה ברנדו דוד"/>
        <s v="רז עידן"/>
        <s v="שיינקמן סטניסלב"/>
        <s v="שמעיה אושר"/>
        <s v="אדרי עידו"/>
        <s v="אליהו אביב"/>
        <s v="אלמלם מתן (קידו)"/>
        <s v="ארביב אופק"/>
        <s v="באוסי איתי יהודה"/>
        <s v="דוקרקר קים"/>
        <s v="דראושה עווד"/>
        <s v="ווקסר דאונוב יוליה"/>
        <s v="חושן הדר"/>
        <s v="חנום חזי (יחזקאל)"/>
        <s v="טוויג יפתח דן"/>
        <s v="טויטו עדיאל"/>
        <s v="טיברג אברהם גלעד"/>
        <s v="טשרניחובסקי אורי"/>
        <s v="לוק אלכסנדר (אלכס)"/>
        <s v="ליבוביץ' שרון"/>
        <s v="מרלו ג'ייק"/>
        <s v="נחמן עילי"/>
        <s v="סאסי אבי"/>
        <s v="קנפו שי אל"/>
        <s v="קרסיק ויטלי"/>
        <s v="רחמני שרון"/>
        <s v="ריבלין אביעד שר שלום"/>
        <s v="ריבלין גדעון הראל"/>
        <s v="ריכטר יונתן (שפיק)"/>
        <s v="רם עמרי"/>
        <s v="שפירא ענר אליקים"/>
        <s v="נעים אמיר"/>
        <s v="אבני חגי"/>
        <s v="אברג'יל אלירן"/>
        <s v="אוחנה אריאל"/>
        <s v="אליהו אריאל"/>
        <s v="בויום גיל"/>
        <s v="בלקין עמרי"/>
        <s v="בן דוד נריה"/>
        <s v="גוטין יונתן"/>
        <s v="גולן שגיא"/>
        <s v="גינסברג אלי"/>
        <s v="גנות דן"/>
        <s v="גנסיה ולנטין (אלי)"/>
        <s v="דוידוב ג'יאר"/>
        <s v="דנילוב בוריס"/>
        <s v="חדד איתן"/>
        <s v="טרקינסקי בנימין (בנג׳י)"/>
        <s v="יהושע איתי"/>
        <s v="כהן אהד (בודי)"/>
        <s v="כהן שילה"/>
        <s v="לקס נווה אלעזר"/>
        <s v="מאיר דוד חיים"/>
        <s v="מולוגטה גדיף"/>
        <s v="מנגדי דור"/>
        <s v="נגרי רועי"/>
        <s v="עמר אבי"/>
        <s v="צמח שחר"/>
        <s v="קלמנזון אלחנן מאיר"/>
        <s v="קראוניק אריה (אריק)"/>
        <s v="רוסו אופק"/>
        <s v="אלון אוראל שלום"/>
        <s v="מונס אלמוסנינו לירן"/>
        <s v="גורני יפתח"/>
        <s v="כצמן חיים ישורון"/>
        <s v="קורין אברהם גבריאל"/>
        <s v="חוברה עידו"/>
        <s v="מלכה מתן"/>
        <s v="מרגוליס סער"/>
        <s v="אביאני שחר"/>
        <s v="אילון טל"/>
        <s v="ברגשטיין שחף"/>
        <s v="ברונשטיין בן"/>
        <s v="ברעם אביב"/>
        <s v="דושי רותם"/>
        <s v="הנדי אברהם חננאל"/>
        <s v="ונינו עמיחי יעקב"/>
        <s v="זיסר עילי"/>
        <s v="כהן טל"/>
        <s v="ליבשטיין אופיר"/>
        <s v="מיכאלי עמרי"/>
        <s v="נהרי רועי"/>
        <s v="סלומון יובל"/>
        <s v="עדני איליי"/>
        <s v="עמיקם נדב"/>
        <s v="פישר אמיר"/>
        <s v="צור אמיר"/>
        <s v="קמה הדר"/>
        <s v="רוסו אורי שמעון"/>
        <s v="רן אור יוסף"/>
        <s v="בן הרוש שהם משה"/>
        <s v="וייזר רועי חיים"/>
        <s v="ויצן ישראל עמיחי"/>
        <s v="רזיאל (רוזנברג) ידידיה משה"/>
        <s v="שוהם תומר"/>
        <s v="שטיינברג יהונתן"/>
        <s v="ירון אופיר מרדכי"/>
        <s v="פליישר אברהם (אבי)"/>
        <s v="בוכריס חן"/>
        <s v="ברקת רועי"/>
        <s v="ירחי דור"/>
        <s v="פוסלושני רן"/>
        <s v="פיורנטינו אילן"/>
        <s v="רוזנטל אפיק"/>
        <s v="אברהם בועז"/>
        <s v="ארזי אופק"/>
        <s v="חיימי טל"/>
        <s v="שחר ירון ויקטור"/>
        <s v="אצילי אביב"/>
        <s v="אברג'יל מתן"/>
        <s v="גנדל רומן"/>
        <s v="אגמון אדם"/>
        <s v="אחימס תומר יעקב"/>
        <s v="אלפסי אורן"/>
        <s v="ברודסקי קיריל"/>
        <s v="חממי אסף"/>
        <s v="פוזדניאקוב אליק"/>
        <s v="ארז אופיר"/>
        <s v="יעקב מזרחי תומר"/>
        <s v="קליין אייל"/>
        <s v="נגבי רם"/>
        <s v="כהן איתי"/>
        <s v="סלוטקי ישי"/>
        <s v="סלוטקי נועם"/>
        <s v="רוזנטל עידו"/>
        <s v="אוחנדוב אמין"/>
        <s v="בודובסקי אלכסיי"/>
        <s v="בוזוקושווילי יצחק (בוזוקה)"/>
        <s v="בן בסט יותם"/>
        <s v="בן משה אריאל"/>
        <s v="ברד אלון"/>
        <s v="לוי רועי יוסף"/>
        <s v="מרקוביצ'י אהרון ארתור"/>
        <s v="פושיבאי אנדריי"/>
        <s v="קרים מליק"/>
        <s v="רוטנברג נועם אלימלך"/>
        <s v="שמחי גיא"/>
        <s v="שמיר מרדכי (מוטי)"/>
        <s v="שמעיה יעקב (קובי)"/>
        <s v="אבו סבילה עאמר"/>
        <s v="אברג'ל מאיר"/>
        <s v="בלנקי דניס"/>
        <s v="בן דיין דוד"/>
        <s v="ברוכים יוסף איתמר"/>
        <s v="גולימה סמצאו שמואל"/>
        <s v="גרושקה טל"/>
        <s v="הרוש אליהו מיכאל"/>
        <s v="מרציאנו איתי אליהו"/>
        <s v="נאמן איתן מנחם"/>
        <s v="נחמיאס חן"/>
        <s v="צבאן שלום"/>
        <s v="קאדר יהודה"/>
        <s v="קוזמיצקס מרטין"/>
        <s v="רובינשטיין בן"/>
        <s v="שלמה אדיר"/>
        <s v="שמקלוב אלכסיי"/>
        <s v="שקורי מור"/>
        <s v="אילוז גיא"/>
        <s v="טאללקה סאמר פואד"/>
        <s v="אנגל רונן"/>
        <s v="בייזר ניק"/>
        <s v="ברוך סהר"/>
        <s v="גורן מיה"/>
        <s v="וייס יהודית"/>
        <s v="זכריה עדן"/>
        <s v="זלמנוביץ' אריה"/>
        <s v="חיים יותם"/>
        <s v="טולדנו אליה"/>
        <s v="לוי איתן"/>
        <s v="לוק שני ניקול"/>
        <s v="מרגלית אליהו (צ'רצ'יל)"/>
        <s v="מרציאנו נועה"/>
        <s v="סמרנו יונתן מרדכי"/>
        <s v="קידר עופרה"/>
        <s v="שמריז אלון (לולו)"/>
        <s v="שרמן רון"/>
        <s v="Mollel Joshua Loitu"/>
        <s v="אברהים מאג'ד"/>
        <s v="אבו קרינאת נעאמה"/>
        <s v="Natalia Demidova"/>
        <s v="הייניק ראובן"/>
        <s v="וייס אילן"/>
        <s v="הלל יותם"/>
        <s v="כהן עמית"/>
        <s v="אמסלם אביחי"/>
        <s v="הימן ענבר"/>
        <s v="דנינו דניאל משה"/>
        <s v="איוס ניב"/>
        <s v="הליבני יובל"/>
        <s v="ויינשטיין ג'ודי"/>
        <s v="חגי גדי"/>
        <s v="אדר תמיר"/>
        <s v="מאסלי אלכסנדר"/>
        <s v="שדה דור"/>
        <s v="מלקמו אביאל"/>
        <s v="Diawthaisong Jakkapan"/>
        <s v="Champasim Saksit"/>
        <s v="Ra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עלוש דני"/>
        <s v="דניאלי טל"/>
        <s v="סבירסקי איתי"/>
        <s v="שרעבי יוסי"/>
        <s v="לוינסון שי"/>
        <s v="Goyitom Gebrehiyet"/>
        <s v="Berhe Wolderaphael Hagos"/>
        <s v="גואילי רן"/>
        <s v="יעקב יאיר"/>
        <s v="דניאל עוז"/>
        <s v="חן איתי"/>
        <s v="פרץ דניאל"/>
        <s v="ברוך אוריאל"/>
        <s v="בראווי האשם"/>
        <s v="מסרי סוהייל"/>
        <s v="אלמסרי חורי"/>
      </sharedItems>
    </cacheField>
    <cacheField name="age" numFmtId="0">
      <sharedItems containsString="0" containsBlank="1" containsNumber="1" containsInteger="1">
        <n v="77.0"/>
        <n v="35.0"/>
        <n v="28.0"/>
        <n v="53.0"/>
        <n v="58.0"/>
        <n v="39.0"/>
        <n v="45.0"/>
        <n v="81.0"/>
        <n v="56.0"/>
        <n v="43.0"/>
        <n v="52.0"/>
        <n v="29.0"/>
        <n v="25.0"/>
        <n v="66.0"/>
        <n v="61.0"/>
        <n v="76.0"/>
        <n v="65.0"/>
        <n v="86.0"/>
        <n v="78.0"/>
        <n v="40.0"/>
        <n v="68.0"/>
        <n v="71.0"/>
        <n v="70.0"/>
        <n v="17.0"/>
        <n v="63.0"/>
        <n v="24.0"/>
        <n v="64.0"/>
        <n v="33.0"/>
        <n v="34.0"/>
        <n v="36.0"/>
        <n v="4.0"/>
        <n v="7.0"/>
        <n v="48.0"/>
        <n v="26.0"/>
        <n v="49.0"/>
        <n v="47.0"/>
        <n v="38.0"/>
        <n v="22.0"/>
        <n v="27.0"/>
        <n v="42.0"/>
        <n v="31.0"/>
        <n v="37.0"/>
        <n v="54.0"/>
        <n v="60.0"/>
        <n v="18.0"/>
        <n v="21.0"/>
        <n v="72.0"/>
        <n v="32.0"/>
        <n v="67.0"/>
        <n v="59.0"/>
        <n v="62.0"/>
        <n v="30.0"/>
        <n v="23.0"/>
        <n v="41.0"/>
        <n v="57.0"/>
        <n v="20.0"/>
        <n v="44.0"/>
        <n v="46.0"/>
        <n v="50.0"/>
        <n v="19.0"/>
        <n v="74.0"/>
        <n v="16.0"/>
        <n v="14.0"/>
        <n v="51.0"/>
        <n v="15.0"/>
        <n v="75.0"/>
        <n v="73.0"/>
        <n v="69.0"/>
        <n v="12.0"/>
        <n v="0.0"/>
        <n v="87.0"/>
        <n v="80.0"/>
        <n v="84.0"/>
        <n v="88.0"/>
        <n v="13.0"/>
        <n v="91.0"/>
        <n v="90.0"/>
        <n v="85.0"/>
        <n v="79.0"/>
        <n v="5.0"/>
        <n v="2.0"/>
        <n v="55.0"/>
        <n v="9.0"/>
        <m/>
      </sharedItems>
    </cacheField>
    <cacheField name="residence" numFmtId="0">
      <sharedItems>
        <s v="אופקים"/>
        <s v="ערערה בנגב"/>
        <s v="טבריה"/>
        <s v="גילת"/>
        <s v="רהט"/>
        <s v="אשדוד"/>
        <s v="אשקלון"/>
        <s v="באר שבע"/>
        <s v="רמת גן"/>
        <s v="בית שקמה"/>
        <s v="נתיב העשרה"/>
        <s v="עמיעוז"/>
        <s v="מבקיעים"/>
        <s v="ניר יצחק"/>
        <s v="הוד השרון"/>
        <s v="שדה ניצן"/>
        <s v="פיליפינים"/>
        <s v="סודן"/>
        <s v="תאילנד"/>
        <s v="קמבודיה"/>
        <s v="טנזניה"/>
        <s v="יכיני"/>
        <s v="צוהר"/>
        <s v="דקל"/>
        <s v="כפר סבא"/>
        <s v="יתד"/>
        <s v="נען"/>
        <s v="חולון"/>
        <s v="נס ציונה"/>
        <s v="נוקדים"/>
        <s v="רנן"/>
        <s v="קריית גת"/>
        <s v="קריית אונו"/>
        <s v="ישע"/>
        <s v="דימונה"/>
        <s v="מודיעין מכבים רעות"/>
        <s v="נהריה"/>
        <s v="אבו תלול"/>
        <s v="ירושלים"/>
        <s v="תל שבע"/>
        <s v="ראש העין"/>
        <s v="אילת"/>
        <s v="גן חיים"/>
        <s v="קיסריה"/>
        <s v="מרכז שפירא"/>
        <s v="בית אריה"/>
        <s v="פרדס חנה-כרכור"/>
        <s v="חדרה"/>
        <s v="תל אביב"/>
        <s v="לפיד"/>
        <s v="טירת הכרמל"/>
        <s v="ראשון לציון"/>
        <s v="קריית מלאכי"/>
        <s v="אליכין"/>
        <s v="גני תקווה"/>
        <s v="ענתות"/>
        <s v="כיסופים"/>
        <s v="כסייפה"/>
        <s v="בני ברק"/>
        <s v="קריית ביאליק"/>
        <s v="רעננה"/>
        <s v="עפולה"/>
        <s v="פתח תקווה"/>
        <s v="חד נס"/>
        <s v="אבן יהודה"/>
        <s v="סעד"/>
        <s v="הרצליה"/>
        <s v="עצמון"/>
        <s v="נתניה"/>
        <s v="בית אלפא"/>
        <s v="גן השומרון"/>
        <s v="כרמיאל"/>
        <s v="כפר מסריק"/>
        <s v="בית נחמיה"/>
        <s v="ביתר עלית"/>
        <s v="מבטחים"/>
        <s v="רחובות"/>
        <s v="צור משה"/>
        <s v="אור עקיבא"/>
        <s v="צפת"/>
        <s v="חיפה"/>
        <s v="אחוזת ברק"/>
        <s v="כפר יונה"/>
        <s v="שערי תקווה"/>
        <s v="גן נר"/>
        <s v="ציפורי"/>
        <s v="יקנעם עילית"/>
        <s v="כפר בן נון"/>
        <s v="גן יבנה"/>
        <s v="עומר"/>
        <s v="קדרון"/>
        <s v="בת ים"/>
        <s v="צופים"/>
        <s v="קריית ים"/>
        <s v="בית דגן"/>
        <s v="בית שמש"/>
        <s v="גבעון"/>
        <s v="להבים"/>
        <s v="צוחר"/>
        <s v="גדרה"/>
        <s v="עין המפרץ"/>
        <s v="גן הדרום"/>
        <s v="פלמחים"/>
        <s v="אלפי מנשה"/>
        <s v="מזכרת בתיה"/>
        <s v="אלעזר"/>
        <s v="רמת השרון"/>
        <s v="כפר ורבורג"/>
        <s v="מצפה עדי"/>
        <s v="גבים"/>
        <s v="רמלה"/>
        <s v="יהוד מונוסון"/>
        <s v="מחולה"/>
        <s v="בית חשמונאי"/>
        <s v="אזור"/>
        <s v="מיתר"/>
        <s v="מעלות תרשיחא"/>
        <s v="נווה ימין"/>
        <s v="פרדסיה"/>
        <s v="שדי חמד"/>
        <s v="חריש"/>
        <s v="פדויים"/>
        <s v="שדה נחום"/>
        <s v="קבוצת יבנה"/>
        <s v="קרני שומרון"/>
        <s v="שוהם"/>
        <s v="חניאל"/>
        <s v="כפר הס"/>
        <s v="גבעת זאב"/>
        <s v="גבעתי"/>
        <s v="נווה אור"/>
        <s v="יבנה"/>
        <s v="קריית עקרון"/>
        <s v="הסוללים"/>
        <s v="זכרון יעקב"/>
        <s v="בית שאן"/>
        <s v="תל מונד"/>
        <s v="אריאל"/>
        <s v="קריית חיים"/>
        <s v="קריית אתא"/>
        <s v="קרית אתא"/>
        <s v="ניר בנים"/>
        <s v="תלמי יוסף"/>
        <s v="שדרות"/>
        <s v="סמר"/>
        <s v="קריית מוצקין"/>
        <s v="רמת ישי"/>
        <s v="נשר"/>
        <s v="מבשרת"/>
        <s v="שפיר"/>
        <s v="בארי"/>
        <s v="בית יצחק"/>
        <s v="כפר תבור"/>
        <s v="קציר"/>
        <s v="לוד"/>
        <s v="ניר עם"/>
        <s v="משמר איילון"/>
        <s v="עין שמר"/>
        <s v="משואות יצחק"/>
        <s v="כפר עזה"/>
        <s v="נתיבות"/>
        <s v="סרי לנקה"/>
        <s v="חולית"/>
        <s v="מולדובה"/>
        <s v="כפר חיים"/>
        <s v="נחל עוז"/>
        <s v="ניר עוז"/>
        <s v="גרמניה"/>
        <s v="בריטניה"/>
        <s v="נירים"/>
        <s v="סופה"/>
        <s v="עין השלושה"/>
        <s v="קריית ארבע"/>
        <s v="נפאל"/>
        <s v="רעים"/>
        <s v="שגב שלום"/>
        <s v="סין"/>
        <s v="כפר כוחלה"/>
        <s v="אבו קרינאת"/>
        <s v="כפר אביב"/>
        <s v="רמות מאיר"/>
        <s v="אלון שבות"/>
        <s v="יבול"/>
        <s v="צורית"/>
        <s v="רינתיה"/>
        <s v="שדה נחמיה"/>
        <s v="עמקה"/>
        <s v="שלומית"/>
        <s v="כפר ברוך"/>
        <s v="גבעת חיים איחוד"/>
        <s v="ביצרון"/>
        <s v="גבעת שמואל"/>
        <s v="עכו"/>
        <s v="מורשת"/>
        <s v="קריית שמונה"/>
        <s v="אוהד"/>
        <s v="קדומים"/>
        <s v="מעלה אדומים"/>
        <s v="חורה"/>
        <s v="שפרעם"/>
        <s v="ערוגות"/>
        <s v="קדימה צורן"/>
        <s v="גנות"/>
        <s v="צופר"/>
        <s v="כוכב יאיר"/>
        <s v="מודיעין עילית"/>
        <s v="מוצא עלית"/>
        <s v="עלי"/>
        <s v="גבעת ברנר"/>
        <s v="כפר שמואל"/>
        <s v="צור יצחק"/>
        <s v="חוגלה"/>
        <s v="עלמון"/>
        <s v="גבעתיים"/>
        <s v="טלמון"/>
        <s v="זיתן"/>
        <s v="גיאה"/>
        <s v="מבועים"/>
        <s v="עמנואל"/>
        <s v="מעלה מכמש"/>
        <s v="בר-גיורא"/>
        <s v="פטיש"/>
        <s v="מרום גולן"/>
        <s v="נירית"/>
        <s v="נווה זיו"/>
        <s v="צרעה"/>
        <s v="ניצן"/>
        <s v="רכסים"/>
        <s v="צור הדסה"/>
        <s v="כפר מנחם"/>
        <s v="מצפה רמון"/>
        <s v="אלון"/>
        <s v="מע'אר"/>
        <s v="איילת השחר"/>
        <s v="ערד"/>
        <s v="שפיים"/>
        <s v="עלומים"/>
        <s v="באר יעקב"/>
        <s v="אלקוש"/>
        <s v="איכסאל"/>
        <s v="עזריה"/>
        <s v="קנדה"/>
        <s v="אבשלום"/>
        <s v="לוס אנג׳לס"/>
        <s v="עתניאל"/>
        <s v="עין הוד"/>
        <s v="עשרת"/>
        <s v="ארז"/>
        <s v="רבדים"/>
        <s v="מצפה יריחו"/>
        <s v="דברת"/>
        <s v="חדיד"/>
        <s v="עידן"/>
        <s v="עוצם"/>
        <s v="כמהין"/>
        <s v="באר מילכה"/>
        <s v="גשר הזיו"/>
        <s v="שמשית"/>
        <s v="קצרין"/>
        <s v="גבעת אלה"/>
        <s v="גני טל"/>
        <s v="אורה"/>
        <s v="גבעת שפירא"/>
        <s v="איתמר"/>
        <s v="חספין"/>
        <s v="אפרת"/>
        <s v="כרם שלום"/>
        <s v="שריגים"/>
        <s v="שומריה"/>
        <s v="מגן"/>
        <s v="חרמש"/>
        <s v="כמון"/>
        <s v="הושעיה"/>
        <s v="כפר הרי&quot;ף"/>
        <s v="בן שמן"/>
        <s v="בת חפר"/>
        <s v="שבי ציון"/>
        <s v="חוות יאיר"/>
        <s v="ניר עקיבא"/>
        <s v="בית עריף"/>
        <s v="טנא"/>
        <s v="עין בשור"/>
        <s v="אבו גוש"/>
        <s v="אוקראינה"/>
        <s v="ברקת"/>
        <s v="משגב דב"/>
        <s v="גבעת אבני"/>
        <s v="אריתריאה"/>
        <s v="יד בנימין"/>
        <s v="טבעון"/>
        <s v="עזה"/>
      </sharedItems>
    </cacheField>
    <cacheField name="sex" numFmtId="0">
      <sharedItems>
        <s v="גבר"/>
        <s v="אישה"/>
        <s v="ילדה"/>
        <s v="ילד"/>
      </sharedItems>
    </cacheField>
    <cacheField name="citizenGroup" numFmtId="0">
      <sharedItems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</sharedItems>
    </cacheField>
    <cacheField name="rank" numFmtId="0">
      <sharedItems containsBlank="1">
        <m/>
        <s v="רס״ל"/>
        <s v="סמ״ר"/>
        <s v="סמל"/>
        <s v="סרן"/>
        <s v="רס״ב"/>
        <s v="רב״ט"/>
        <s v="רס״ן"/>
        <s v="רס״מ"/>
        <s v="רנ״ג"/>
        <s v="רס״ר"/>
        <s v="פקד"/>
        <s v="רפ״ק"/>
        <s v="סנ״צ"/>
        <s v="אל״ם"/>
        <s v="סגן"/>
        <s v="רס״ם"/>
        <s v="סא״ל"/>
        <s v="סמ״ש"/>
        <s v="נצ״מ"/>
        <s v="סרן (במיל')"/>
        <s v="סגן טפסר"/>
        <s v="סמ&quot;ר"/>
        <s v="רס&quot;ל"/>
      </sharedItems>
    </cacheField>
    <cacheField name="date">
      <sharedItems containsMixedTypes="1" containsNumber="1" containsInteger="1">
        <s v="07.10.2023"/>
        <n v="2023.0"/>
        <s v="08.10.2023"/>
        <s v="09.10.2023"/>
        <s v="14.10.2023"/>
        <s v="15.12.2023"/>
        <s v="10.11.2023"/>
        <s v="08.12.2023"/>
        <s v="17.11.2023"/>
        <s v="09.11.2023"/>
        <s v="14.01.2024"/>
        <s v="10.01.2024"/>
      </sharedItems>
    </cacheField>
    <cacheField name="location" numFmtId="0">
      <sharedItems>
        <s v="צומת מגן"/>
        <s v="צומת מעון"/>
        <s v="אופקים"/>
        <s v="אנדרטת חץ שחור"/>
        <s v="צומת קרית חינוך מרחבים"/>
        <s v="חוף זיקים; מיגונית"/>
        <s v="חוף זיקים"/>
        <s v="חוף זיקים; שירותים"/>
        <s v="עמיעוז"/>
        <s v="ירי בשוגג ליד תחנת כח רוטנברג"/>
        <s v="נתיב העשרה - ארז"/>
        <s v="ניר יצחק"/>
        <s v="צומת גמה"/>
        <s v="שדות יכיני"/>
        <s v="סמוך למפלסים"/>
        <s v="צומת שער הנגב"/>
        <s v="סמוך לנובה"/>
        <s v="צומת מבטחים"/>
        <s v="דרומית לגבים"/>
        <s v="שדרות"/>
        <s v="ניר עוז"/>
        <s v="חולית"/>
        <s v="עלומים; מגורי עובדים"/>
        <s v="כיסופים"/>
        <s v="כפר עזה"/>
        <s v="ישע"/>
        <s v="יכיני"/>
        <s v="מזרחית לניר יצחק"/>
        <s v="נתיב העשרה"/>
        <s v="מיגונית בצומת בארי"/>
        <s v="סמוך לצומת גמה"/>
        <s v="שער ניר עוז"/>
        <s v="מדרום לצומת גמה"/>
        <s v="פסטיבל נובה; מיגונית חניון רעים"/>
        <s v="מזרחית לצומת מעון"/>
        <s v="בארי; ארוע בני ערובה"/>
        <s v="מיגונית בכניסה לרעים (מערב)"/>
        <s v="פסטיבל נובה; סמוך למכולות הצהובות"/>
        <s v="מיגונית בכניסה לרעים (מזרח)"/>
        <s v="סמוך למיגונית בצומת גמה (דרום)"/>
        <s v="פסטיבל נובה; במה מרכזית"/>
        <s v="פסטיבל נובה"/>
        <s v="פסטיבל נובה; בר צפוני"/>
        <s v="סמוך לצומת בארי"/>
        <s v="בכניסה לעלומים"/>
        <s v="מיגונית בכניסה לעלומים"/>
        <s v="סמוך לתל גמה"/>
        <s v="ירי בשוגג בעלומים"/>
        <s v="כביש שער הנגב מפלסים"/>
        <s v="סמוך לצומת רעים"/>
        <s v="מיגונית בצומת גמה (צפון)"/>
        <s v="מיגונית בצומת גמה (מערב)"/>
        <s v="פסטיבל נובה; בר מרכזי"/>
        <s v="בכניסה לרעים"/>
        <s v="פסטיבל נובה; קמפינג"/>
        <s v="בין נובה לרעים"/>
        <s v="בארי"/>
        <s v="פסטיבל נובה; מכולות צהובות"/>
        <s v="עיקול נחל בוהו"/>
        <s v="עיקול נחל גרר"/>
        <s v="מיגונית מפלסים"/>
        <s v="כביש רעים - אורים"/>
        <s v="פסטיבל נובה; חניה"/>
        <s v="מיגונית בצומת גמה (דרום)"/>
        <s v="מזרחית לחניון רעים"/>
        <s v="פסטיבל נובה; אמבולנס"/>
        <s v="פסטיבל נובה; גשר נחל גרר"/>
        <s v="מזרחית לכניסה לרעים"/>
        <s v="כביש רעים - צומת מעון"/>
        <s v="פסטיבל נובה; חסימה בכביש 232"/>
        <s v="פסטיבל נובה; פקק ביציאה"/>
        <s v="סמוך לכיסופים"/>
        <s v="דרומית מזרחית לחניון רעים"/>
        <s v="פסטיבל נובה; שירותים כימיים"/>
        <s v="סמוך לצומת מבטחים"/>
        <s v="צפונית לצומת גמה"/>
        <s v="מערבית לצומת גמה"/>
        <s v="מזרחית לרעים"/>
        <s v="צומת ניר יצחק"/>
        <s v="סמוך למיגונית בצומת גמה (צפון)"/>
        <s v="מצפון לתל גמה"/>
        <s v="כביש יכיני יושיביה"/>
        <s v="כביש עלומים - בארי"/>
        <s v="עזה; מסגד סמוך לביה&quot;ח שיפא"/>
        <s v="רעים"/>
        <s v="נחל גרר מערב"/>
        <s v="נחל עוז"/>
        <s v="בין ניר עוז לגבול"/>
        <s v="מערבית לניר עוז"/>
        <s v="נירים"/>
        <s v="סופה"/>
        <s v="עין השלושה"/>
        <s v="צפונית לצומת שער הנגב"/>
        <s v="יד מרדכי - נתיב העשרה; קבוצת ריצה"/>
        <s v="שדרות; אוטובוס הגמלאים"/>
        <s v="ערערה בנגב"/>
        <s v="דרומית למבטחים"/>
        <s v="כוחלה"/>
        <s v="אבו קרינאת"/>
        <s v="כפר אביב"/>
        <s v="אשקלון"/>
        <s v="נתיבות"/>
        <s v="פרי גן"/>
        <s v="מוצב הבית הלבן"/>
        <s v="מוצב נחל עוז; מיגונית 13"/>
        <s v="מוצב כיסופים; מיגונית"/>
        <s v="מעבר ארז"/>
        <s v="מוצב נחל עוז; חמ&quot;ל"/>
        <s v="מוצב נחל עוז; ש.ג."/>
        <s v="מוצב סופה"/>
        <s v="מוצב פגה"/>
        <s v="מוצב נחל עוז; נמ&quot;ר"/>
        <s v="מערבית לזיקים"/>
        <s v="מוצב נחל עוז; בלונאים"/>
        <s v="מזרחית למחנה עופר"/>
        <s v="צומת שדרות דרום"/>
        <s v="שדרות; תחנת משטרה"/>
        <s v="מוצב ק2"/>
        <s v="מחנה אורים"/>
        <s v="כרם שלום"/>
        <s v="מוצב כרם שלום"/>
        <s v="מבטחים"/>
        <s v="סמוך למוצב כיסופים"/>
        <s v="מוצב נחל עוז; סמוך לבלונאים"/>
        <s v="מש&quot;א ארז"/>
        <s v="מוצב יפתח"/>
        <s v="מו&quot;פ דרום"/>
        <s v="מחנה רעים"/>
        <s v="בין סופה לחולית"/>
        <s v="מוצב כיסופים"/>
        <s v="סמוך לכביש 2424"/>
        <s v="מוצב נחל עוז; מיגונית בנות"/>
        <s v="מוצב נחל עוז; מגורים"/>
        <s v="מוצב נחל עוז; מיגונית צמא"/>
        <s v="כביש סעד - נחל עוז"/>
        <s v="ירי בשוגג בדרך לנתיב העשרה"/>
        <s v="מוצב נחל עוז; טנק א"/>
        <s v="מחנה זיקים"/>
        <s v="מוצב נחל עוז; טנק ב"/>
        <s v="סמוך למחנה רעים"/>
        <s v="כביש רעים - בארי"/>
        <s v="סמוך לארז"/>
        <s v="עמדה 91"/>
        <s v="בין יתד לאמיתי"/>
        <s v="צפונית לכרם שלום"/>
        <s v="צומת מועצה אזורית אשכול"/>
        <s v="מגן"/>
        <s v="מערבית לניר עם"/>
        <s v="עלומים"/>
        <s v="כביש מפלסים - כפר עזה"/>
        <s v="דיר אל בלח; בי&quot;ח חללי אל אקצא"/>
        <s v="ירי בשוגג בשג'אעיה"/>
        <s v="ג'באליה"/>
        <s v="רצועת עזה"/>
        <s v="עזה; מבנה סמוך לביה&quot;ח שיפא"/>
        <s v="חאן יונס; ביה&quot;ח נאצר"/>
        <s v="עזה; ביה&quot;ח שיפא"/>
        <s v="בארי הישנה"/>
        <s v="אבו גוש"/>
        <s v="מטע סמוך לבארי"/>
        <s v="ירי בשוגג ליד צומת ניצן"/>
        <s v="סמוך למחלף שורק"/>
        <s v="ירי בשוגג בצומת אבשלום"/>
        <s v="נוסייראת"/>
      </sharedItems>
    </cacheField>
    <cacheField name="category" numFmtId="0">
      <sharedItems>
        <s v="אזרחים וכיתות כוננות"/>
        <s v="שוטרים וכוחות הצלה"/>
        <s v="ירי רקטי"/>
        <s v="חיילים"/>
      </sharedItems>
    </cacheField>
    <cacheField name="comment" numFmtId="0">
      <sharedItems containsBlank="1">
        <m/>
        <s v="פסטיבל נובה"/>
        <s v="מידברן"/>
        <s v="מסיבת פסיידאק"/>
      </sharedItems>
    </cacheField>
    <cacheField name="eng" numFmtId="0">
      <sharedItems>
        <s v="Michael Ostrovsky"/>
        <s v="Fatma Altlakat"/>
        <s v="Ariel Bilya"/>
        <s v="Itzhak Balti"/>
        <s v="Moshe Ben Porat"/>
        <s v="Andrei Jambacov"/>
        <s v="Zoya Jambacov"/>
        <s v="Victoria Gredeskul"/>
        <s v="Sergei Gredeskul"/>
        <s v="Reuven Vizman"/>
        <s v="Zarek Hativ"/>
        <s v="Avi Zakuto"/>
        <s v="Avi Hatuel"/>
        <s v="Shimi Hayat"/>
        <s v="Aharon Haimov"/>
        <s v="Yiftach Yahnagilov"/>
        <s v="Maria Yahnagilov"/>
        <s v="Yuri Yadgarov"/>
        <s v="Rosa Yadgarov"/>
        <s v="Edna Malkamo"/>
        <s v="Anna Mishayev"/>
        <s v="Emma Poliakov"/>
        <s v="Yelizabeta Kostitzin"/>
        <s v="Binyamin Rahamim"/>
        <s v="Eliyahu Ozen"/>
        <s v="Aryeh Ozen"/>
        <s v="Alrahman Atef Alziadna Abed"/>
        <s v="John Aslanov"/>
        <s v="Benyamin Genish"/>
        <s v="Alina Weissberg"/>
        <s v="Avi Hasday"/>
        <s v="Nadav Yossef Hai Tayeb"/>
        <s v="Yuri Lisovoy"/>
        <s v="Svetlana Lisovoy"/>
        <s v="Yulia Chaben"/>
        <s v="Denil Kimenfeld"/>
        <s v="Shahaf Krief"/>
        <s v="Tal Keren"/>
        <s v="Robert Shaulov"/>
        <s v="Or Tasa"/>
        <s v="Ziva Ovitz"/>
        <s v="Adi Ohana"/>
        <s v="Chaimi Ben Naim"/>
        <s v="Oren Goldin"/>
        <s v="Vitaly Lugvinechenko"/>
        <s v="Roei moshe"/>
        <s v="Nir Popov"/>
        <s v="Ethan Kapshetar"/>
        <s v="Aline Kapshetar"/>
        <s v="Dina Kapshetar"/>
        <s v="Evgeni Kapshetar"/>
        <s v="Hagit Refaeli Mishkin"/>
        <s v="David (Dudi) Turgeman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h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Elitzur Tzuriel Hajbi"/>
        <s v="Yehonathan Hajbi"/>
        <s v="Izhar Hajbi"/>
        <s v="Osamah Abu Madi'am"/>
        <s v="Shir Yaron"/>
        <s v="Zion Levy"/>
        <s v="Marina Almagor"/>
        <s v="Or Akuni"/>
        <s v="Aryeh Akuni"/>
        <s v="Ruti Akuni"/>
        <s v="Nurit Berger"/>
        <s v="Dani Woveck"/>
        <s v="Bilha Yinon"/>
        <s v="Yaacobi Yinon"/>
        <s v="Ayelet Nir Molcho"/>
        <s v="Shlomi Molcho"/>
        <s v="Havik Segal"/>
        <s v="Moti Elkabatz"/>
        <s v="Gilad Ben-Yehuda"/>
        <s v="Yuval Ben Yehuda"/>
        <s v="Itay Hadar Houston"/>
        <s v="Dan Zomer"/>
        <s v="Noy Zafraani"/>
        <s v="Daniel Asher Cohen"/>
        <s v="Noy Maodi"/>
        <s v="Shahar Gal Kadman"/>
        <s v="Zlata Kosovsky"/>
        <s v="Savyon Chen Kipper"/>
        <s v="Yuval Rabia"/>
        <s v="Noam Rabia"/>
        <s v="Matan Rozeberg"/>
        <s v="Dor Hanan Shafir"/>
        <s v="Dudi Sharon"/>
        <s v="Shamil Abbasov"/>
        <s v="Eden Abdulayev"/>
        <s v="Musa Abu Sabila"/>
        <s v="Suhaib Abu Ame"/>
        <s v="Osama Ibrahim Abu Asa"/>
        <s v="Orel Abuhatzira"/>
        <s v="Aviv Noy"/>
        <s v="Dor Avitan"/>
        <s v="Lotan Abir"/>
        <s v="Gil Avni"/>
        <s v="Oded Abargel"/>
        <s v="Ilan Avraham"/>
        <s v="Laor Abramov"/>
        <s v="Asaf Edberg"/>
        <s v="Mapal Adam"/>
        <s v="Gili Adar"/>
        <s v="Eden Liz Ohayon"/>
        <s v="Daniel Ohana"/>
        <s v="Ben Uri"/>
        <s v="Aviel Oren"/>
        <s v="Gabi Azulay"/>
        <s v="Yohai Azulay"/>
        <s v="Yonatan Chai Azulay"/>
        <s v="Omri Ahrak"/>
        <s v="Ofek Aton"/>
        <s v="Dorin Atias"/>
        <s v="Liel Eitah"/>
        <s v="Sigal Itah"/>
        <s v="Shira Eylon"/>
        <s v="Eliya Iluz"/>
        <s v="Adam Ilaev"/>
        <s v="Iván Illarramendi Saizar"/>
        <s v="Yonatan Eliyahu"/>
        <s v="Shlomo Alfasi"/>
        <s v="Khaled al-Farajin"/>
        <s v="Einav Elkayam-Levy"/>
        <s v="Abd Al-Karim Nasasra"/>
        <s v="Shlomo Eliyahu Alshich"/>
        <s v="Shani Amin"/>
        <s v="Noa Englander"/>
        <s v="Lior Asulin"/>
        <s v="Liraz Asulin"/>
        <s v="Liav Asayag"/>
        <s v="Yarin Moshe Efraim"/>
        <s v="Noam Efraim"/>
        <s v="Matan Ekstein"/>
        <s v="Ori Arad"/>
        <s v="Nevo Arad"/>
        <s v="Dan Ariel"/>
        <s v="Ayelet Arnin"/>
        <s v="Sahar Ashuan"/>
        <s v="Dror Bahat"/>
        <s v="ortal Bubtas Ben-Ayun"/>
        <s v="Doron Bolds"/>
        <s v="Sofia Bongrat"/>
        <s v="Yarden Buskila"/>
        <s v="Neta Boaziz Morali"/>
        <s v="Raz Bokovza"/>
        <s v="Liam Gallon"/>
        <s v="Matias Burstein"/>
        <s v="Einav (Hen) Burstein"/>
        <s v="Benayahu Biton"/>
        <s v="Maya Bitton"/>
        <s v="Ariel Ben Mordechai Bitton"/>
        <s v="Nadav Biton"/>
        <s v="Oron Beiilin"/>
        <s v="Sagiv Baylin Ben Zvi"/>
        <s v="Naomie Bikhar"/>
        <s v="Sapir Bilmes"/>
        <s v="Yehuda Bachar"/>
        <s v="Chen Ben Avi"/>
        <s v="Amit (Yehuda) Ben Avida"/>
        <s v="Celine Ben-David Nagar"/>
        <s v="Ido Ben Zino"/>
        <s v="Yohay Ben Zechariah"/>
        <s v="Or Chaim Ben Hemo"/>
        <s v="Dan Ben Hemo"/>
        <s v="Shahar Ben Naim"/>
        <s v="Daniel Ben Senior"/>
        <s v="Shani Ben-Ami"/>
        <s v="Elyasif Ben Porat"/>
        <s v="Eden Ben Rubi"/>
        <s v="Itay Banjo"/>
        <s v="Din Bar"/>
        <s v="Shoham Bar"/>
        <s v="Yuval Bar-On"/>
        <s v="Gabriel Ishay Barel"/>
        <s v="Eldad (Angel) Bergman"/>
        <s v="Liron Barda"/>
        <s v="Stav Barazani"/>
        <s v="Tal Bartik"/>
        <s v="Nadav Bartal"/>
        <s v="Romi Eli Bernat"/>
        <s v="Eliyahu Ya'akov Bernstein"/>
        <s v="Ben Bernstein"/>
        <s v="Daniel Braslavsky"/>
        <s v="Ilai Baram"/>
        <s v="Shir Georgy Hanna"/>
        <s v="Liel Gherafi"/>
        <s v="Shani Gabay"/>
        <s v="Tamar Gutman"/>
        <s v="Nitzan Goldenberg"/>
        <s v="Tamar Goldenberg"/>
        <s v="Daniel Goltman"/>
        <s v="Margarita Gusak"/>
        <s v="Lilia Gurevich"/>
        <s v="Sharon Gordeni"/>
        <s v="Anton Guryonov"/>
        <s v="Victoria Gorlov"/>
        <s v="Eden Guez"/>
        <s v="Stav Gueta"/>
        <s v="Yaroslav Giler Slava"/>
        <s v="Shahar Gindi"/>
        <s v="Shalev Gal"/>
        <s v="Izabella Gandlin"/>
        <s v="Aviya Ganot"/>
        <s v="Shiran Ganon"/>
        <s v="Sefi Yossef Genis"/>
        <s v="Maor Graziani"/>
        <s v="Dafna Garcovich"/>
        <s v="Rachel Dove"/>
        <s v="Avi Dadon"/>
        <s v="Itzik Dahan"/>
        <s v="Hodaya David"/>
        <s v="Amit David"/>
        <s v="Tair David"/>
        <s v="Karina Ella Davidov"/>
        <s v="Barak Davidi"/>
        <s v="Sean Deutchvili"/>
        <s v="Idan Dor"/>
        <s v="Ronen Deitchman"/>
        <s v="Dan Damri"/>
        <s v="Kim Damti"/>
        <s v="Gal Danguri"/>
        <s v="Lynn Daphne"/>
        <s v="Sharon Hirsch"/>
        <s v="Aviad Halevi"/>
        <s v="Idan Herman"/>
        <s v="Idan Haramaty"/>
        <s v="Limor Vaknin Permuter"/>
        <s v="Daniel Vadai"/>
        <s v="Moshe Vadi"/>
        <s v="Danielle Waldman"/>
        <s v="Simon Vigdergauz"/>
        <s v="Ron Weinberg"/>
        <s v="Liel Weinstein"/>
        <s v="Bruna Valeanu"/>
        <s v="Osher Vaknin"/>
        <s v="Michael Vaknin"/>
        <s v="Alon Werber"/>
        <s v="Laurie Vardi"/>
        <s v="Karin Vernikov"/>
        <s v="Karin Journo"/>
        <s v="Rinat Hodia Zagdon"/>
        <s v="Motti Zoherman"/>
        <s v="Bar Zohar"/>
        <s v="Or Ziv"/>
        <s v="Jonathan Seidmen"/>
        <s v="Noa Zender"/>
        <s v="Matan Znati"/>
        <s v="Itay Zafrani"/>
        <s v="Shaked Habani"/>
        <s v="Ziv Hajbi"/>
        <s v="Lior Hadad Atias"/>
        <s v="Gidon Chiell"/>
        <s v="Noa Chiell"/>
        <s v="Maya Chaim"/>
        <s v="Gaya Halifa"/>
        <s v="Ella Hamoy"/>
        <s v="Ben Ben Zion Hassid"/>
        <s v="Arie Hefetz"/>
        <s v="Katerina Tavgan Goldman"/>
        <s v="Adir Tamam"/>
        <s v="Lior Tkach"/>
        <s v="Mor Trabelsi"/>
        <s v="Ron Yehudai"/>
        <s v="Ilan Moshe Yaacov"/>
        <s v="Shoham Yaakov Gherafi"/>
        <s v="Shoval Yaakov"/>
        <s v="Shenhav Yaakov Gherafi"/>
        <s v="San-Amnon Yaacobov"/>
        <s v="Mai Itzhaki"/>
        <s v="Shiraz Shiran Tamam"/>
        <s v="Avraham Neriya Cohen"/>
        <s v="Ben Binyamin Cohen"/>
        <s v="Daniel Cohen"/>
        <s v="Libby Cohen Maguri"/>
        <s v="Mor Cohen"/>
        <s v="Amit Cohen"/>
        <s v="Gilad Kfir"/>
        <s v="Tal Katz"/>
        <s v="Omri Lavi"/>
        <s v="Amit Lahav"/>
        <s v="Guy Gabriel Levy"/>
        <s v="Itzhak Levy"/>
        <s v="Livnat Levy"/>
        <s v="Lidor Levy"/>
        <s v="Naor Levy"/>
        <s v="Nissim Levy"/>
        <s v="Sigal Levy"/>
        <s v="Amit Levi"/>
        <s v="Rotem Rachel Levi"/>
        <s v="Alisia Levin"/>
        <s v="Matan Mordechai Lior"/>
        <s v="Oriya Litman Ricardo"/>
        <s v="Anita Lisman"/>
        <s v="David Lischov"/>
        <s v="Ilan Lipovsky"/>
        <s v="Yulia Didenko Lamai"/>
        <s v="Tiferet Lapidot"/>
        <s v="Amit Magnezi"/>
        <s v="Nir Madmon"/>
        <s v="Shalev Madmoni"/>
        <s v="Shahak Madar"/>
        <s v="Naama Moalem"/>
        <s v="Shai Shalom Elior Musafi"/>
        <s v="Eliran Mizrahi"/>
        <s v="Ben Menashe Mizrahi"/>
        <s v="Raz Mizrahi"/>
        <s v="Adi Rivka Mayzel"/>
        <s v="Lior Maimon"/>
        <s v="Amitay Malihi"/>
        <s v="Dor Malka"/>
        <s v="Shahar Mantzur"/>
        <s v="Norel Manzouri"/>
        <s v="Roya Manzouri"/>
        <s v="Yaniv Macias Montano Antonio"/>
        <s v="Addir Mesika"/>
        <s v="Steven Makarchenko"/>
        <s v="Adi Margalit"/>
        <s v="Eden David Moshe"/>
        <s v="David Yair Shalom Newman"/>
        <s v="Gal Navon"/>
        <s v="Ilkin Nazarov"/>
        <s v="Dor Nahum"/>
        <s v="Ranani Glazer"/>
        <s v="Rotem Neumann"/>
        <s v="Jenny Nisimboim Carmeli"/>
        <s v="Liraz Nissan"/>
        <s v="May Naim"/>
        <s v="Eden Naftali"/>
        <s v="Bar Lior Nakmoli"/>
        <s v="Shlomi Svidia"/>
        <s v="Moriya Or Swisa"/>
        <s v="Hilly Solomon"/>
        <s v="Karla Stelzer"/>
        <s v="Tomer Strosta"/>
        <s v="Yaakov Salomon"/>
        <s v="Ram (Nesher) Sela"/>
        <s v="Elazar Samuelov"/>
        <s v="Alexander Samoilov"/>
        <s v="Tamar Samet"/>
        <s v="Zur Saidi"/>
        <s v="Moshe (Moshiko) Saidian"/>
        <s v="Yaniv Sarudi"/>
        <s v="Gal Abdush"/>
        <s v="Nagi Abdush"/>
        <s v="Idan Edri"/>
        <s v="Ofer Udi"/>
        <s v="Guy Azar"/>
        <s v="Oz Ezra"/>
        <s v="Lior Atun"/>
        <s v="Hanan Amar"/>
        <s v="Mercedes Amar"/>
        <s v="Yoad Peer"/>
        <s v="Maya Puder"/>
        <s v="Roni Polanov"/>
        <s v="Evgeni Postel"/>
        <s v="Nir Forti"/>
        <s v="Roni Petrovski"/>
        <s v="Daniela Petrenko"/>
        <s v="Ben Fishman"/>
        <s v="Alina Palhati"/>
        <s v="Orel Pesso"/>
        <s v="Noa Farage"/>
        <s v="Karina Pritika"/>
        <s v="Hadar Prince"/>
        <s v="Ziv Frenkel"/>
        <s v="Eric Perez"/>
        <s v="Ido Perez"/>
        <s v="Ruth Perez"/>
        <s v="Haim (Hai) Tzfati"/>
        <s v="Ofir Tzarfati"/>
        <s v="Ron Zarfati"/>
        <s v="Irit Konderov"/>
        <s v="Shani Kupervaser"/>
        <s v="Segev Israel Kishner"/>
        <s v="Hila Keylin"/>
        <s v="Linor Keinan"/>
        <s v="Maayan Kalihman"/>
        <s v="Ofek Kimchi"/>
        <s v="Stav Kimchi"/>
        <s v="Jonathan Ken-Dror"/>
        <s v="Daniel Kasavchuck"/>
        <s v="Keshet Kasroti-Kalfa"/>
        <s v="Moriya Raviv"/>
        <s v="Ofek Revia"/>
        <s v="Shai Regev"/>
        <s v="Michal Roimi"/>
        <s v="Ivonne Patricia Rubio Vargas Eden"/>
        <s v="Yael Rozman"/>
        <s v="Yonatan Rom"/>
        <s v="Olga Naomi Romashkin"/>
        <s v="Nitzan Rahum"/>
        <s v="Aviel Shalom Rahamim"/>
        <s v="Dvir Rahamim"/>
        <s v="Eli Refai"/>
        <s v="Sharon Refai"/>
        <s v="Eliya Shamatz"/>
        <s v="Segev Shushan"/>
        <s v="Tomer Segev"/>
        <s v="Sivan Shaharbani"/>
        <s v="Moshe Shuva"/>
        <s v="Karin Schwartzman"/>
        <s v="Ziv Shoffen"/>
        <s v="Roni Shitrit"/>
        <s v="Noam Shay"/>
        <s v="Daniel Sheinkerman"/>
        <s v="Mark Schindel"/>
        <s v="Bar Shechter"/>
        <s v="Shai Shalev"/>
        <s v="Noam Shalom"/>
        <s v="Ram Shalom"/>
        <s v="Asaf Shlezinger"/>
        <s v="Inbar Shem-Tov"/>
        <s v="Sharona Shmunis Harel"/>
        <s v="Ben Shimoni"/>
        <s v="Ron Shemer"/>
        <s v="Eitan Snir"/>
        <s v="Ziv pepe Shapira"/>
        <s v="Ran Sheffer"/>
        <s v="Liam Shrem"/>
        <s v="Dor Toar"/>
        <s v="Bar Tomer"/>
        <s v="Avidan Turgeman"/>
        <s v="Shoham Lia Turgeman"/>
        <s v="Niv Tel-Tzur"/>
        <s v="Ziv Dedo"/>
        <s v="Tomer Shpirer"/>
        <s v="Alon Even"/>
        <s v="Chen Even"/>
        <s v="Ido Even"/>
        <s v="Rinat Even"/>
        <s v="Silvia Ohayon"/>
        <s v="Yonat Or"/>
        <s v="Yossi Aptalon"/>
        <s v="Inbar Buyum"/>
        <s v="Oron Bira"/>
        <s v="Tal Bira"/>
        <s v="Yasmin Bira"/>
        <s v="Tair Bira"/>
        <s v="Tahel Bira"/>
        <s v="Geula Bachar"/>
        <s v="Dana Bachar"/>
        <s v="Carmel Bachar"/>
        <s v="Mezzi Bachar"/>
        <s v="Chava Ben-Ami"/>
        <s v="Yuval Bar"/>
        <s v="Maayan Bar"/>
        <s v="Yoram Bar-Sinai"/>
        <s v="Idan Baruch"/>
        <s v="Ayelet Godard"/>
        <s v="Meni Godard"/>
        <s v="Evgeny Galsky"/>
        <s v="Kinneret Gat"/>
        <s v="Adi Dagan"/>
        <s v="Narkis Hand"/>
        <s v="Zeev Haker"/>
        <s v="Zehava Haker"/>
        <s v="Avshalom Haran"/>
        <s v="Mayana Hershkowitz"/>
        <s v="Noah Hershkowitz"/>
        <s v="Mati Weiss"/>
        <s v="Amir Weiss"/>
        <s v="Shmulik Weiss"/>
        <s v="Chaim Zohar"/>
        <s v="Hillel Zalmanovich"/>
        <s v="Ayala Hetzroni"/>
        <s v="Liel Hetzroni"/>
        <s v="Omer Hermesh"/>
        <s v="Lior Tarshansky"/>
        <s v="Yehudit Itzhaki"/>
        <s v="Ohad Cohen"/>
        <s v="Yona Cohen"/>
        <s v="Mila Cohen"/>
        <s v="Pessy Cohen"/>
        <s v="Shoshana Karasenti"/>
        <s v="Daniel Levy"/>
        <s v="Ronnie Levy"/>
        <s v="Igor Lusev"/>
        <s v="Marina Lusev"/>
        <s v="Avi Mor"/>
        <s v="Raffi Mordo"/>
        <s v="Galit Carbone"/>
        <s v="Albert Avlom Miles"/>
        <s v="Amit Mann"/>
        <s v="Mordechai Naveh"/>
        <s v="Neta Adrian"/>
        <s v="Raffi Svirski"/>
        <s v="Tamar Sochman"/>
        <s v="Hanna Siton"/>
        <s v="Tal Siton"/>
        <s v="Itzhak Siton"/>
        <s v="Vivian Silver"/>
        <s v="Orit Svirski"/>
        <s v="Tchelet Fishbein"/>
        <s v="Marcel Frailich"/>
        <s v="Yona Fricker"/>
        <s v="Yitzhak Cozin"/>
        <s v="Sami Keidar"/>
        <s v="Evyatar Kipnis"/>
        <s v="Lilach Kipnis"/>
        <s v="Rotem Kalderon"/>
        <s v="Dror Kaplun"/>
        <s v="David Carol"/>
        <s v="Hanna Kritzman"/>
        <s v="Dor Rider"/>
        <s v="Jonathan Rappaport"/>
        <s v="Noy Shosh"/>
        <s v="Yahel Sharabi"/>
        <s v="Lianne Sharabi"/>
        <s v="Noya Sharabi"/>
        <s v="Cabrera Gracie"/>
        <s v="Paul Vincent Castelvi"/>
        <s v="Anula Jayathilaka"/>
        <s v="Sae Yang Sumchai"/>
        <s v="Yatawara Bandara Susujith"/>
        <s v="Liz Elharar"/>
        <s v="Meir Elharar"/>
        <s v="Shachar Deborah Troen Matias"/>
        <s v="Shlomi Mathias"/>
        <s v="Roland Sultan"/>
        <s v="Ronit Sultan"/>
        <s v="Lily Keisman"/>
        <s v="Tehila Katabi"/>
        <s v="Adi Kaploun Vital"/>
        <s v="Moshe Ridler"/>
        <s v="Bosco Petro"/>
        <s v="Tom Godo"/>
        <s v="Etty Zak"/>
        <s v="Etay Zak"/>
        <s v="Sagi Zak"/>
        <s v="Menuha Hulati"/>
        <s v="Maayan Mor"/>
        <s v="Gina Smiatich"/>
        <s v="Ofer Ron"/>
        <s v="Chandrasena Chakkraphong"/>
        <s v="Kaison Aranthit"/>
        <s v="Khunsri Pongsatorn"/>
        <s v="Klangsuwan Theerapong"/>
        <s v="Prakotwong Thanakrit"/>
        <s v="Sanusan Chairat"/>
        <s v="Sophakun Anucha"/>
        <s v="Srithat Kawao"/>
        <s v="Guy Admoni"/>
        <s v="Michal Admoni"/>
        <s v="Aviad Avraham Edri"/>
        <s v="Eliyahu Orgad"/>
        <s v="Lili Itamary"/>
        <s v="Ram Itamary"/>
        <s v="Sivan Elkabets"/>
        <s v="Mordechai (Mody) Amir"/>
        <s v="Bilha Epstein"/>
        <s v="Neta Epstein"/>
        <s v="Yuval Boyum"/>
        <s v="Maya Ben David"/>
        <s v="Hadar Berdichevsky"/>
        <s v="Itay Berdichevsky"/>
        <s v="Yam Goldstein Almog"/>
        <s v="Nadav Goldstein"/>
        <s v="Aran Goren"/>
        <s v="Tova Goren"/>
        <s v="Naomi Dgani"/>
        <s v="Yahav Winner"/>
        <s v="Dorit Werthheim"/>
        <s v="Aviv Werthheim"/>
        <s v="Eitan Ziv"/>
        <s v="Nirel Zini"/>
        <s v="Naor Hassidim"/>
        <s v="Avia Hetzroni"/>
        <s v="Yanai Heler Hetzroni"/>
        <s v="Nitzan Libstein"/>
        <s v="Smadar Idan"/>
        <s v="Roee Idan"/>
        <s v="Tammy Peleg Ziv"/>
        <s v="Gila Peled"/>
        <s v="Daniel Peled"/>
        <s v="Izhar Peled"/>
        <s v="Yigal Flash"/>
        <s v="Cynthia Tamar Flash"/>
        <s v="Mark Peretz"/>
        <s v="Omer Zadikevitch"/>
        <s v="Aviv Kutz"/>
        <s v="Yonatan Kutz"/>
        <s v="Yiftach Kutz"/>
        <s v="Livnat Kutz"/>
        <s v="Rotem Kutz"/>
        <s v="David (Kachko) Katzir"/>
        <s v="Niv Raviv"/>
        <s v="Nira Ronen"/>
        <s v="Eliyahu Reichenstein"/>
        <s v="David Schwartzman Pinko"/>
        <s v="Orly Schwartzman Pinko"/>
        <s v="Ofir Shoshani"/>
        <s v="Mira Shtahl"/>
        <s v="Aguirre Angelyn"/>
        <s v="Noam Elyakim"/>
        <s v="Shoshana Brosh"/>
        <s v="Yaniv Zohar"/>
        <s v="Yasmin Zohar"/>
        <s v="Keshet Zohar"/>
        <s v="Tchelet Zohar"/>
        <s v="Efrat Katz"/>
        <s v="Haim Livne"/>
        <s v="Maayan Idan"/>
        <s v="Tomer Arava"/>
        <s v="Dikla Arava"/>
        <s v="Shlomo Ron"/>
        <s v="Somkuan Pansa-ard"/>
        <s v="Rebecca Ben-Horin"/>
        <s v="Amitai Ben-Zvi"/>
        <s v="Avner Goren"/>
        <s v="Yossef Gross"/>
        <s v="Carmela Sara Dan"/>
        <s v="Noya Dan"/>
        <s v="Yossef (Yossi) Vahav"/>
        <s v="Vitaly Trupanob"/>
        <s v="Ravid Katz"/>
        <s v="Bracha Levinson"/>
        <s v="Roey Munder"/>
        <s v="Sai'd (David) Moshe"/>
        <s v="Shifra Noy"/>
        <s v="Margit Silberman"/>
        <s v="Yosef Yossi Silberman"/>
        <s v="Arbel Siman-Tov"/>
        <s v="Yonatan Siman-Tov"/>
        <s v="Omer Siman-Tov"/>
        <s v="Tamar Kedem Siman-Tov"/>
        <s v="Carol Siman-Tov"/>
        <s v="Shachar Siman-Tov"/>
        <s v="Gidon Pauker"/>
        <s v="Avraham Katzir"/>
        <s v="David Shalev"/>
        <s v="Tal Shalev"/>
        <s v="Yermiyahu Shafir"/>
        <s v="Carolin Bohl"/>
        <s v="Bancha Dachtuyawat"/>
        <s v="Darlington Daniel (Danny)"/>
        <s v="Gidon Bavani"/>
        <s v="Doron Meir"/>
        <s v="Mor Meir"/>
        <s v="Roey Popplewell"/>
        <s v="Bernard Cohen"/>
        <s v="Noa Glazberg"/>
        <s v="Talia Marcel"/>
        <s v="Olag Lifshitz"/>
        <s v="Silvia Marnasky"/>
        <s v="Dipesh Raj Bista"/>
        <s v="Chaudhary Ashish"/>
        <s v="Lekendora Sing Dahami"/>
        <s v="Ganesh Kumar Nepali"/>
        <s v="Neupane Narayan Prasad"/>
        <s v="Phulara Rajan"/>
        <s v="Prabesh Bhandari"/>
        <s v="Shah Ananda"/>
        <s v="Swarnakar Raj Kumar"/>
        <s v="Padam Thapa"/>
        <s v="Eliona Astafniko"/>
        <s v="Amit Gabay"/>
        <s v="Varda Haramati"/>
        <s v="Asaf Fever"/>
        <s v="Dvir Karp"/>
        <s v="Semion Avdalimov"/>
        <s v="Michael Avramov"/>
        <s v="Solomon Ilyaguyev"/>
        <s v="Sammi Elgargawi"/>
        <s v="Chaim Ashraf"/>
        <s v="Lior Weizman"/>
        <s v="Alon Amram Toledano"/>
        <s v="Amir Tanbora"/>
        <s v="Leonid Luzovski"/>
        <s v="Meiri Zohar"/>
        <s v="Avi Megira"/>
        <s v="Michael Muzarkov"/>
        <s v="Meir Malka"/>
        <s v="Nativ Maayan Nave"/>
        <s v="Odaya Swisa"/>
        <s v="Dolev Swisa"/>
        <s v="Dimitri Sorokin"/>
        <s v="Kobi Paryante"/>
        <s v="Neomi Shitrit-Azulay"/>
        <s v="Cao Yongkai"/>
        <s v="Wan Zhishun"/>
        <s v="Zou Deli"/>
        <s v="Zinaida Beilin"/>
        <s v="Lilya Giler"/>
        <s v="Michal Zrabailov"/>
        <s v="Natalia Tomayev"/>
        <s v="Yaakov Mortov"/>
        <s v="Nadejda Spravchikov"/>
        <s v="Vladimir Popov"/>
        <s v="Sonia Popov"/>
        <s v="Lyudmila Furman"/>
        <s v="Valerie Friedman"/>
        <s v="Igor Kortzov"/>
        <s v="Barta Shmeyev"/>
        <s v="Tatiana Shnitman"/>
        <s v="Yazan Zakaria Abu Jama"/>
        <s v="Dalia Abu Madi'am"/>
        <s v="May Abu Sabaakh"/>
        <s v="Faiza Abu Sabaakh"/>
        <s v="Amin Akal Alkra’an"/>
        <s v="Jawad Ibrahim Alkra’an"/>
        <s v="Malek Ibrahim Alkra’an"/>
        <s v="Mahmoud Diab Alkra’an"/>
        <s v="Hana Ben-Artzi"/>
        <s v="Shiraz Brodash"/>
        <s v="Mor Gabay"/>
        <s v="Vladimir Zukov"/>
        <s v="Yehoshua Hatab"/>
        <s v="Rabbi Netanel Maskalatchi"/>
        <s v="Rafael Meir Maskalatchi"/>
        <s v="Rabbi Rafael Fahimi"/>
        <s v="Avshalom Yair Peretz"/>
        <s v="Roni Abuharon"/>
        <s v="Eliad Ohayon"/>
        <s v="Moshe Ohayon"/>
        <s v="Yigal Iluz"/>
        <s v="Yonatan Elazari"/>
        <s v="Avi Buzaglo"/>
        <s v="Refael Ariel Guri"/>
        <s v="Roeh-Haim Guri"/>
        <s v="Nisim Lugasi"/>
        <s v="Michael Lizmi"/>
        <s v="Nehorai Said"/>
        <s v="Israel Chana"/>
        <s v="Avi Zidon"/>
        <s v="Dror Alton"/>
        <s v="Maro Elem"/>
        <s v="Nehorai Levi Amitay"/>
        <s v="Regev Amar"/>
        <s v="Or Esto"/>
        <s v="Ariel Erez"/>
        <s v="Idan Balui"/>
        <s v="Adir Ishto Bogla"/>
        <s v="Lavie Buchnik"/>
        <s v="Daniel Bezgodov"/>
        <s v="Oriel Bibi"/>
        <s v="Ido Binenstock"/>
        <s v="Vadim Blich"/>
        <s v="Barak Ben-David"/>
        <s v="Itamar Ben-Yehuda"/>
        <s v="Ya'ad Ben-Yakov"/>
        <s v="Michael Ben-Moshe (Moshiasvhili)"/>
        <s v="Leon Bar"/>
        <s v="Neta Baram"/>
        <s v="Shalev Baranes"/>
        <s v="Tomer Barak"/>
        <s v="Adir Gaori"/>
        <s v="Yuval Gabay"/>
        <s v="Omer Gavra"/>
        <s v="Yosef Malachi Guedalia"/>
        <s v="Amit Gueta"/>
        <s v="Itay Ofek Glisko"/>
        <s v="ilay Gamzo"/>
        <s v="Shalev Dagan"/>
        <s v="Shaked Dahan"/>
        <s v="Shlomi Davidovich"/>
        <s v="Yaron Dayan Moris"/>
        <s v="Omer Wolf"/>
        <s v="Yaron Zohar"/>
        <s v="Dvir Zakai"/>
        <s v="Avraham Hobelashvili"/>
        <s v="Yossi Tahar"/>
        <s v="Nethanel Young"/>
        <s v="Michael Yoav"/>
        <s v="Benyamin Gabriel Yona"/>
        <s v="Bar Yancolov"/>
        <s v="Ofir Yeruhin"/>
        <s v="Itamar Cohen"/>
        <s v="Danit Cohen"/>
        <s v="Benyamin Lev"/>
        <s v="Amir Lavi"/>
        <s v="Shimon Lugassi"/>
        <s v="Tal Levi"/>
        <s v="Yakir Levy"/>
        <s v="Natan Lier Chai"/>
        <s v="Or Mizrahi"/>
        <s v="Sahar Midani"/>
        <s v="Tal Maman"/>
        <s v="Lidor Makayes"/>
        <s v="Arik Yehuda Marciano"/>
        <s v="Tomer Nagar"/>
        <s v="Shoham Shlomo Nidam"/>
        <s v="Emil Samoilov"/>
        <s v="Sahar Saudin"/>
        <s v="Amir Skoury"/>
        <s v="Vitaly Skipkavich"/>
        <s v="Rodolfo (Rody) Fabián Skariszewski"/>
        <s v="Haim Meir Eden"/>
        <s v="Lior Azizov"/>
        <s v="Omri Peretz"/>
        <s v="Roey Chapell"/>
        <s v="Yonatan Tzur"/>
        <s v="Adi Tzur"/>
        <s v="Ofir Tzioni"/>
        <s v="Aryeh Shlomo Ziring"/>
        <s v="Dedo Tzafir"/>
        <s v="Nativ Kotzro"/>
        <s v="Haviv Qyan"/>
        <s v="Daniel Rashad"/>
        <s v="Max Rabinov"/>
        <s v="Dvir Haim Resler"/>
        <s v="Maor Shalom"/>
        <s v="Shlomo Reshetnikov"/>
        <s v="David Rathner"/>
        <s v="Yaron Oree Shay"/>
        <s v="Rom Shlomi"/>
        <s v="Ido Israel-Shani"/>
        <s v="Daniel Shperber"/>
        <s v="Gali Roi Shakotai"/>
        <s v="Adir Tahar"/>
        <s v="Yogev Aharon"/>
        <s v="Evyatar Ohayon"/>
        <s v="Guy Bazak"/>
        <s v="Re'em Meir-Betito"/>
        <s v="Benyamin Blay"/>
        <s v="Michael Ben Chemo"/>
        <s v="Ilay Noam Ben Muha"/>
        <s v="Benjamin Taka Tashgar"/>
        <s v="David Mittleman"/>
        <s v="Jonathan Savitsky"/>
        <s v="Uriel Segal"/>
        <s v="Amit Peled"/>
        <s v="Raz Peretz"/>
        <s v="Amichay Shimon Rubin"/>
        <s v="Bar Rosenstein"/>
        <s v="Ori Mordechay Shani"/>
        <s v="Elad Michael Sasson"/>
        <s v="Shilo Rauchberger"/>
        <s v="Noam Abramovich"/>
        <s v="Amir Eyal"/>
        <s v="Shir Eilat"/>
        <s v="Dolev Amouyal"/>
        <s v="Sivan Asraf"/>
        <s v="Roni Eshel"/>
        <s v="Shai Ashram"/>
        <s v="Shir Biton"/>
        <s v="Elroy Ben Shitrit"/>
        <s v="Yam Glass"/>
        <s v="Adi Gruman"/>
        <s v="Yohai Dukhan"/>
        <s v="Shilo Har-Even"/>
        <s v="Mia Viallovo Polo"/>
        <s v="Aviv Hajaj"/>
        <s v="Shirel Haim Pour"/>
        <s v="Boaz Menashe Yoggev"/>
        <s v="Yiftach Yavetz"/>
        <s v="Hadar Miriam Cohen"/>
        <s v="Ori Karmi"/>
        <s v="Dor Lazimi"/>
        <s v="Yael Leibushor"/>
        <s v="Adi Landman"/>
        <s v="Shirel Mor"/>
        <s v="Eden Nimri"/>
        <s v="Shahaf Nissani"/>
        <s v="Naor Sivoni"/>
        <s v="Shirat-Yam Amar"/>
        <s v="Yishai Fitussi"/>
        <s v="Yarin Marie Peled"/>
        <s v="Noa Price"/>
        <s v="Yakov Shlomo Karsninski"/>
        <s v="Itay Ron"/>
        <s v="Shira Shohat"/>
        <s v="Nahman Dekel"/>
        <s v="Amit Most"/>
        <s v="Ofir Melman"/>
        <s v="Hallel Shmuel Saadon"/>
        <s v="Segev Schwartz"/>
        <s v="Dekel Swisa"/>
        <s v="Roey Peri"/>
        <s v="Ravit Hana Assayag"/>
        <s v="Peleg Salem"/>
        <s v="Gil Avital"/>
        <s v="Lior Ben-Yakov"/>
        <s v="Dan Asulin"/>
        <s v="Itay Nahmias"/>
        <s v="Adi Baharav"/>
        <s v="Tomer Dolev"/>
        <s v="Yigal Vaks"/>
        <s v="Amit Vaks"/>
        <s v="Oren Stern"/>
        <s v="Gil Tasa"/>
        <s v="Aviad Gad Cohen"/>
        <s v="Bechor Sueid"/>
        <s v="Reuven Shishportish"/>
        <s v="Ofir Davidyan"/>
        <s v="Lior Levy"/>
        <s v="Itamar Ayish"/>
        <s v="Alina Pravosudova"/>
        <s v="Aharon Fresh"/>
        <s v="Shir Shlomo"/>
        <s v="Or Avital"/>
        <s v="Eden Alon-Levy"/>
        <s v="Naama Boni"/>
        <s v="Adar Ben-Simon"/>
        <s v="Ilai Bar-Sadeh"/>
        <s v="Yonatan Golan"/>
        <s v="Sahar Tal"/>
        <s v="Ofir Tasta"/>
        <s v="Ori Locker"/>
        <s v="Tomer Leibovitz"/>
        <s v="Dvir Lisha"/>
        <s v="Itay Maor"/>
        <s v="Or Moses"/>
        <s v="Yoav Meliev"/>
        <s v="Orel Moshe"/>
        <s v="Neria Aaron Nagari"/>
        <s v="Adir Abudi"/>
        <s v="Omri Niv- Fierstein"/>
        <s v="Amit Tzur"/>
        <s v="Yanai Kaminka"/>
        <s v="Yuval Ben-Yaakov"/>
        <s v="Ido Harush"/>
        <s v="Salaman Eban Merei"/>
        <s v="Uriel Avraham"/>
        <s v="Dvora Avraham"/>
        <s v="Yakir Blochman"/>
        <s v="Osher (Simcha) Barzilay"/>
        <s v="Avraham Henkin"/>
        <s v="Ibrahim Kharuba"/>
        <s v="Ido Yehoshua"/>
        <s v="Yenin Sivan"/>
        <s v="Elior Yifrach"/>
        <s v="Yorai Eliyahu Cohen"/>
        <s v="Sahar Zion Machaluf"/>
        <s v="Shlomo Moshe-El"/>
        <s v="Bar Sivan"/>
        <s v="Ilay Azar"/>
        <s v="Nitay Amar"/>
        <s v="David Flores Gracia"/>
        <s v="Idan Raz"/>
        <s v="Stas Sheinkman"/>
        <s v="Osher Shmaya"/>
        <s v="Ido Edri"/>
        <s v="Aviv Eliyahu"/>
        <s v="Matan (Kido) Elmalem"/>
        <s v="Ofek Arbiv"/>
        <s v="Itai Yehuda Bausi"/>
        <s v="Kim Dukarker"/>
        <s v="Awad Darawshe"/>
        <s v="Yulia Vakser"/>
        <s v="Hadar Hoshen"/>
        <s v="Hezi (Yechezkel) Hanom"/>
        <s v="Yiftach Twig"/>
        <s v="Adiel Twitto"/>
        <s v="Avraham Gilad Tiberg"/>
        <s v="Ori Tchernichovsky"/>
        <s v="Alexandre look"/>
        <s v="Sharon Leibovitz"/>
        <s v="Jake Marlowe"/>
        <s v="Ilay Nahman"/>
        <s v="Avi Sasi"/>
        <s v="Shai El Knafo"/>
        <s v="Vitaly Karasik"/>
        <s v="Sharon Rachmani"/>
        <s v="Aviad Rivlin"/>
        <s v="Gideon Rivlin"/>
        <s v="Yonatan Richter"/>
        <s v="Omri Ram"/>
        <s v="Aner Elyakim Shapira"/>
        <s v="Amir Naim"/>
        <s v="Haggai Avni"/>
        <s v="Eliran Abargil"/>
        <s v="Ariel Ohana"/>
        <s v="Ariel Eliyahu"/>
        <s v="Gil Buyum"/>
        <s v="Omri Belkin"/>
        <s v="Neria Ben-David"/>
        <s v="Yonatan Gutin"/>
        <s v="Sagi Golan"/>
        <s v="Eli Ginsberg"/>
        <s v="Dan Ganot"/>
        <s v="Valentin (Eli) Ghnassia"/>
        <s v="Jayar Davidov"/>
        <s v="Boris Danilov"/>
        <s v="Eitan Hadad"/>
        <s v="Benjamin Trakeniski"/>
        <s v="Itay Yehoshua"/>
        <s v="Shilo Cohen"/>
        <s v="Naveh Eliezer Lax"/>
        <s v="David Haim Meir"/>
        <s v="Gadif Mologota"/>
        <s v="Dor Mangadi"/>
        <s v="Roee Negri"/>
        <s v="Avi Amar"/>
        <s v="Shachar Zemach"/>
        <s v="Meir Elhanan Clemanzon"/>
        <s v="Eric kraunik"/>
        <s v="Ofek Rousso"/>
        <s v="Orel Alon"/>
        <s v="Liran Almosnino"/>
        <s v="Yiftach Gorny"/>
        <s v="Haim Katzman"/>
        <s v="Avraham Gabriel Korin"/>
        <s v="Ido Hubara"/>
        <s v="Matan Malka"/>
        <s v="Saar Margolis"/>
        <s v="Shachar Aviani"/>
        <s v="Tal Eilon"/>
        <s v="Shachaf Bergstein"/>
        <s v="Ben Bronshtein"/>
        <s v="Aviv Baram"/>
        <s v="Rotem Dushi"/>
        <s v="Avraham Hananel Hindi"/>
        <s v="Amichai Yakov-Vaninu"/>
        <s v="Ilay Zisser"/>
        <s v="Tal Cohen"/>
        <s v="Ofir Libstein"/>
        <s v="Omri Michaeli"/>
        <s v="Roey Nahari"/>
        <s v="Yuval Salomon"/>
        <s v="Eily Adani"/>
        <s v="Nadav Amikam"/>
        <s v="Amir Fisher"/>
        <s v="Amir Tzur"/>
        <s v="Hadar Kamah"/>
        <s v="Uri Shimon Russo"/>
        <s v="Or Yossef Ran"/>
        <s v="Shoham Moshe Ben-Harush"/>
        <s v="Roey Weiser"/>
        <s v="Amichai Israel Vitzan"/>
        <s v="Yedidya Moshe Raziel"/>
        <s v="Tomer Shoham"/>
        <s v="Jonathan Steinberg"/>
        <s v="Ofir Mordechai Yaron"/>
        <s v="Avi Fleisher"/>
        <s v="Chen Buchris"/>
        <s v="Roi Bareket"/>
        <s v="Dor Yarchi"/>
        <s v="Ran Poslushni"/>
        <s v="Ilan Fiorentino"/>
        <s v="Afik Rozental"/>
        <s v="Avraham Boaz"/>
        <s v="Ofek Arazi"/>
        <s v="Tal Chaimi"/>
        <s v="Yaron Shahar"/>
        <s v="Aviv Atzili"/>
        <s v="Matan Abarjil"/>
        <s v="Roman Gendel"/>
        <s v="Adam Agmon"/>
        <s v="Tomer Yaakov Ahimas"/>
        <s v="Oran Elfassi"/>
        <s v="Kiril Brodski"/>
        <s v="Asaf Hamami"/>
        <s v="Alik Pozdnyakov"/>
        <s v="Ofir Erez"/>
        <s v="Tomer Yaakov Mizrahi"/>
        <s v="Eyal Klein"/>
        <s v="Rami Negbi"/>
        <s v="Itay Cohen"/>
        <s v="Yishai Slotki"/>
        <s v="Noam Slotki"/>
        <s v="Ido Rosental"/>
        <s v="Amin Ohanadov"/>
        <s v="Alexy Budovski"/>
        <s v="Itzhak Bazuka-Shvili"/>
        <s v="Yotam Ben-Basat"/>
        <s v="Ariel Ben Moshe"/>
        <s v="Alon Barad"/>
        <s v="Roey Yosef Levy"/>
        <s v="Aharon Arthur Marcovichi"/>
        <s v="Andrei Poshivay"/>
        <s v="Malik Karim"/>
        <s v="Noam Elimelech Rotenberg"/>
        <s v="Guy Simhi"/>
        <s v="Mordechai (moti) Shamir"/>
        <s v="Kobi Shmaya"/>
        <s v="Amer Abu Sabila Odeh"/>
        <s v="Meir Abragil"/>
        <s v="Denis Belinki"/>
        <s v="David Ben-Dayan"/>
        <s v="Yosef Itamar-Bruchim"/>
        <s v="Shmuel Gulima"/>
        <s v="Tal Grushka"/>
        <s v="Eliyahu Michael Harush"/>
        <s v="Itay-Eliyahu Marchiano"/>
        <s v="Eitan Neeman"/>
        <s v="Chen Nahmias"/>
        <s v="Shalom Tzaban"/>
        <s v="Yehuda Kedar"/>
        <s v="Martin Kuzmickas"/>
        <s v="Ben Rubinstein"/>
        <s v="Adir Shlomo"/>
        <s v="Alexei Shmakalov"/>
        <s v="Mor Shkuri"/>
        <s v="Guy Illouz"/>
        <s v="Samar Fouad Talalka"/>
        <s v="Ronen Engel"/>
        <s v="Nik Beizer"/>
        <s v="Sahar Baruch"/>
        <s v="Maya Goren"/>
        <s v="Judith Weiss"/>
        <s v="Eden Zecharya"/>
        <s v="Arye Zalmanovich"/>
        <s v="Yotam Haim"/>
        <s v="Elia Toledano"/>
        <s v="Eitan Levy"/>
        <s v="Shani Louk"/>
        <s v="Eliyahu Margalit"/>
        <s v="Noa Marciano"/>
        <s v="Yonatan Samerano"/>
        <s v="Ofra Kedar"/>
        <s v="Alon Lulu Shamriz"/>
        <s v="Ron Scherman"/>
        <s v="Mollel Joshua Loitu"/>
        <s v="Majed Ibrahim"/>
        <s v="one day old baby Abu Rashed"/>
        <s v="Natalia Demidova"/>
        <s v="Reuven Heinek"/>
        <s v="Ilan Weiss"/>
        <s v="Yotam Hillel"/>
        <s v="Avichai Amsalem"/>
        <s v="Inbar Haiman"/>
        <s v="Daniel Moshe-Danino"/>
        <s v="Niv Ayos"/>
        <s v="Yuval Halivni"/>
        <s v="Judy Weinstein Haggai"/>
        <s v="Gadi Haggai"/>
        <s v="Tamir Adar"/>
        <s v="Alexander Masli"/>
        <s v="Dor Sade"/>
        <s v="Aviel Malkamu"/>
        <s v="Diawtmaisong Jakkapan"/>
        <s v="Champasim Saksit"/>
        <s v="Ru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Dani Alush"/>
        <s v="Tal Danieli"/>
        <s v="Itay Svirski"/>
        <s v="Yossi Sharabi"/>
        <s v="Shai Levinson"/>
        <s v="Goyitom Gebrehiyet"/>
        <s v="Berhe Wolderaphael Hagos"/>
        <s v="Ran Guili"/>
        <s v="Yaakov Yair"/>
        <s v="Oz Daniel"/>
        <s v="Itay Hen"/>
        <s v="Daniel Perets"/>
        <s v="Uriel Baruch"/>
        <s v="Hashem Barawi"/>
        <s v="Suheil Masri"/>
        <s v="Huri Elmasri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171" sheet="data"/>
  </cacheSource>
  <cacheFields>
    <cacheField name="pid" numFmtId="0">
      <sharedItems containsSemiMixedTypes="0" containsString="0" containsNumber="1" containsInteger="1">
        <n v="1719.0"/>
        <n v="1363.0"/>
        <n v="976.0"/>
        <n v="974.0"/>
        <n v="1005.0"/>
        <n v="987.0"/>
        <n v="1720.0"/>
        <n v="1500.0"/>
        <n v="1501.0"/>
        <n v="1717.0"/>
        <n v="985.0"/>
        <n v="999.0"/>
        <n v="1718.0"/>
        <n v="1608.0"/>
        <n v="984.0"/>
        <n v="1030.0"/>
        <n v="1029.0"/>
        <n v="1487.0"/>
        <n v="1488.0"/>
        <n v="1001.0"/>
        <n v="1002.0"/>
        <n v="1722.0"/>
        <n v="1721.0"/>
        <n v="992.0"/>
        <n v="1359.0"/>
        <n v="1360.0"/>
        <n v="1210.0"/>
        <n v="1676.0"/>
        <n v="1207.0"/>
        <n v="883.0"/>
        <n v="1208.0"/>
        <n v="1211.0"/>
        <n v="1463.0"/>
        <n v="1462.0"/>
        <n v="1558.0"/>
        <n v="1209.0"/>
        <n v="1492.0"/>
        <n v="507.0"/>
        <n v="1675.0"/>
        <n v="515.0"/>
        <n v="1420.0"/>
        <n v="2001.0"/>
        <n v="517.0"/>
        <n v="652.0"/>
        <n v="1596.0"/>
        <n v="1591.0"/>
        <n v="1629.0"/>
        <n v="498.0"/>
        <n v="500.0"/>
        <n v="497.0"/>
        <n v="499.0"/>
        <n v="143.0"/>
        <n v="1370.0"/>
        <n v="146.0"/>
        <n v="1698.0"/>
        <n v="1396.0"/>
        <n v="1696.0"/>
        <n v="1401.0"/>
        <n v="1682.0"/>
        <n v="1413.0"/>
        <n v="1409.0"/>
        <n v="1412.0"/>
        <n v="1419.0"/>
        <n v="1404.0"/>
        <n v="1397.0"/>
        <n v="1398.0"/>
        <n v="1411.0"/>
        <n v="1415.0"/>
        <n v="1399.0"/>
        <n v="1414.0"/>
        <n v="1403.0"/>
        <n v="1402.0"/>
        <n v="1564.0"/>
        <n v="1451.0"/>
        <n v="1563.0"/>
        <n v="1362.0"/>
        <n v="1524.0"/>
        <n v="1625.0"/>
        <n v="504.0"/>
        <n v="502.0"/>
        <n v="501.0"/>
        <n v="503.0"/>
        <n v="506.0"/>
        <n v="531.0"/>
        <n v="532.0"/>
        <n v="533.0"/>
        <n v="510.0"/>
        <n v="511.0"/>
        <n v="512.0"/>
        <n v="1039.0"/>
        <n v="1036.0"/>
        <n v="707.0"/>
        <n v="1040.0"/>
        <n v="1051.0"/>
        <n v="1044.0"/>
        <n v="1037.0"/>
        <n v="1043.0"/>
        <n v="1041.0"/>
        <n v="1042.0"/>
        <n v="1048.0"/>
        <n v="1046.0"/>
        <n v="1045.0"/>
        <n v="1047.0"/>
        <n v="1049.0"/>
        <n v="1050.0"/>
        <n v="912.0"/>
        <n v="735.0"/>
        <n v="1384.0"/>
        <n v="1432.0"/>
        <n v="1383.0"/>
        <n v="672.0"/>
        <n v="890.0"/>
        <n v="1438.0"/>
        <n v="1421.0"/>
        <n v="1521.0"/>
        <n v="1304.0"/>
        <n v="1490.0"/>
        <n v="1470.0"/>
        <n v="1393.0"/>
        <n v="673.0"/>
        <n v="674.0"/>
        <n v="817.0"/>
        <n v="816.0"/>
        <n v="820.0"/>
        <n v="819.0"/>
        <n v="891.0"/>
        <n v="690.0"/>
        <n v="689.0"/>
        <n v="1519.0"/>
        <n v="686.0"/>
        <n v="733.0"/>
        <n v="738.0"/>
        <n v="739.0"/>
        <n v="687.0"/>
        <n v="776.0"/>
        <n v="1575.0"/>
        <n v="383.0"/>
        <n v="743.0"/>
        <n v="1595.0"/>
        <n v="1381.0"/>
        <n v="745.0"/>
        <n v="1380.0"/>
        <n v="1616.0"/>
        <n v="676.0"/>
        <n v="747.0"/>
        <n v="684.0"/>
        <n v="685.0"/>
        <n v="682.0"/>
        <n v="1478.0"/>
        <n v="1433.0"/>
        <n v="740.0"/>
        <n v="679.0"/>
        <n v="678.0"/>
        <n v="681.0"/>
        <n v="1536.0"/>
        <n v="683.0"/>
        <n v="1504.0"/>
        <n v="715.0"/>
        <n v="1485.0"/>
        <n v="1499.0"/>
        <n v="717.0"/>
        <n v="713.0"/>
        <n v="915.0"/>
        <n v="1389.0"/>
        <n v="1436.0"/>
        <n v="1435.0"/>
        <n v="711.0"/>
        <n v="1526.0"/>
        <n v="913.0"/>
        <n v="712.0"/>
        <n v="701.0"/>
        <n v="1339.0"/>
        <n v="710.0"/>
        <n v="1583.0"/>
        <n v="691.0"/>
        <n v="886.0"/>
        <n v="922.0"/>
        <n v="703.0"/>
        <n v="1531.0"/>
        <n v="1590.0"/>
        <n v="1522.0"/>
        <n v="704.0"/>
        <n v="1557.0"/>
        <n v="706.0"/>
        <n v="702.0"/>
        <n v="1082.0"/>
        <n v="705.0"/>
        <n v="1446.0"/>
        <n v="692.0"/>
        <n v="693.0"/>
        <n v="695.0"/>
        <n v="1617.0"/>
        <n v="1303.0"/>
        <n v="698.0"/>
        <n v="1390.0"/>
        <n v="700.0"/>
        <n v="699.0"/>
        <n v="1422.0"/>
        <n v="1517.0"/>
        <n v="709.0"/>
        <n v="1550.0"/>
        <n v="697.0"/>
        <n v="755.0"/>
        <n v="1428.0"/>
        <n v="751.0"/>
        <n v="766.0"/>
        <n v="759.0"/>
        <n v="760.0"/>
        <n v="761.0"/>
        <n v="1445.0"/>
        <n v="882.0"/>
        <n v="1618.0"/>
        <n v="1503.0"/>
        <n v="763.0"/>
        <n v="764.0"/>
        <n v="1391.0"/>
        <n v="757.0"/>
        <n v="758.0"/>
        <n v="1568.0"/>
        <n v="752.0"/>
        <n v="754.0"/>
        <n v="753.0"/>
        <n v="1440.0"/>
        <n v="1392.0"/>
        <n v="1314.0"/>
        <n v="1547.0"/>
        <n v="885.0"/>
        <n v="723.0"/>
        <n v="728.0"/>
        <n v="1534.0"/>
        <n v="729.0"/>
        <n v="1549.0"/>
        <n v="730.0"/>
        <n v="731.0"/>
        <n v="1299.0"/>
        <n v="1619.0"/>
        <n v="1457.0"/>
        <n v="724.0"/>
        <n v="725.0"/>
        <n v="727.0"/>
        <n v="902.0"/>
        <n v="769.0"/>
        <n v="1424.0"/>
        <n v="896.0"/>
        <n v="1358.0"/>
        <n v="951.0"/>
        <n v="892.0"/>
        <n v="959.0"/>
        <n v="958.0"/>
        <n v="1493.0"/>
        <n v="1507.0"/>
        <n v="954.0"/>
        <n v="953.0"/>
        <n v="952.0"/>
        <n v="960.0"/>
        <n v="955.0"/>
        <n v="957.0"/>
        <n v="779.0"/>
        <n v="1486.0"/>
        <n v="1621.0"/>
        <n v="970.0"/>
        <n v="1622.0"/>
        <n v="852.0"/>
        <n v="1426.0"/>
        <n v="901.0"/>
        <n v="967.0"/>
        <n v="919.0"/>
        <n v="768.0"/>
        <n v="1453.0"/>
        <n v="718.0"/>
        <n v="719.0"/>
        <n v="1728.0"/>
        <n v="770.0"/>
        <n v="1456.0"/>
        <n v="708.0"/>
        <n v="1302.0"/>
        <n v="875.0"/>
        <n v="873.0"/>
        <n v="906.0"/>
        <n v="1553.0"/>
        <n v="966.0"/>
        <n v="1529.0"/>
        <n v="962.0"/>
        <n v="1423.0"/>
        <n v="1427.0"/>
        <n v="961.0"/>
        <n v="777.0"/>
        <n v="874.0"/>
        <n v="1572.0"/>
        <n v="917.0"/>
        <n v="721.0"/>
        <n v="903.0"/>
        <n v="1483.0"/>
        <n v="1730.0"/>
        <n v="508.0"/>
        <n v="1624.0"/>
        <n v="1520.0"/>
        <n v="788.0"/>
        <n v="791.0"/>
        <n v="792.0"/>
        <n v="1301.0"/>
        <n v="793.0"/>
        <n v="794.0"/>
        <n v="795.0"/>
        <n v="797.0"/>
        <n v="905.0"/>
        <n v="911.0"/>
        <n v="790.0"/>
        <n v="1505.0"/>
        <n v="838.0"/>
        <n v="800.0"/>
        <n v="895.0"/>
        <n v="799.0"/>
        <n v="732.0"/>
        <n v="789.0"/>
        <n v="1592.0"/>
        <n v="1626.0"/>
        <n v="802.0"/>
        <n v="1388.0"/>
        <n v="1506.0"/>
        <n v="855.0"/>
        <n v="1527.0"/>
        <n v="1627.0"/>
        <n v="1454.0"/>
        <n v="889.0"/>
        <n v="803.0"/>
        <n v="1502.0"/>
        <n v="804.0"/>
        <n v="805.0"/>
        <n v="806.0"/>
        <n v="807.0"/>
        <n v="677.0"/>
        <n v="1476.0"/>
        <n v="1552.0"/>
        <n v="1548.0"/>
        <n v="1356.0"/>
        <n v="963.0"/>
        <n v="1441.0"/>
        <n v="900.0"/>
        <n v="887.0"/>
        <n v="813.0"/>
        <n v="1471.0"/>
        <n v="815.0"/>
        <n v="814.0"/>
        <n v="812.0"/>
        <n v="811.0"/>
        <n v="918.0"/>
        <n v="871.0"/>
        <n v="872.0"/>
        <n v="897.0"/>
        <n v="1523.0"/>
        <n v="870.0"/>
        <n v="2003.0"/>
        <n v="1533.0"/>
        <n v="909.0"/>
        <n v="845.0"/>
        <n v="844.0"/>
        <n v="971.0"/>
        <n v="920.0"/>
        <n v="846.0"/>
        <n v="670.0"/>
        <n v="671.0"/>
        <n v="736.0"/>
        <n v="1309.0"/>
        <n v="688.0"/>
        <n v="1628.0"/>
        <n v="908.0"/>
        <n v="675.0"/>
        <n v="1577.0"/>
        <n v="822.0"/>
        <n v="808.0"/>
        <n v="1305.0"/>
        <n v="828.0"/>
        <n v="749.0"/>
        <n v="1323.0"/>
        <n v="826.0"/>
        <n v="748.0"/>
        <n v="827.0"/>
        <n v="1631.0"/>
        <n v="1455.0"/>
        <n v="821.0"/>
        <n v="1430.0"/>
        <n v="750.0"/>
        <n v="823.0"/>
        <n v="824.0"/>
        <n v="825.0"/>
        <n v="1570.0"/>
        <n v="29.0"/>
        <n v="1296.0"/>
        <n v="784.0"/>
        <n v="787.0"/>
        <n v="1535.0"/>
        <n v="1537.0"/>
        <n v="782.0"/>
        <n v="1300.0"/>
        <n v="1429.0"/>
        <n v="1067.0"/>
        <n v="783.0"/>
        <n v="1140.0"/>
        <n v="781.0"/>
        <n v="832.0"/>
        <n v="837.0"/>
        <n v="836.0"/>
        <n v="840.0"/>
        <n v="778.0"/>
        <n v="843.0"/>
        <n v="841.0"/>
        <n v="842.0"/>
        <n v="830.0"/>
        <n v="1530.0"/>
        <n v="829.0"/>
        <n v="1593.0"/>
        <n v="833.0"/>
        <n v="858.0"/>
        <n v="867.0"/>
        <n v="851.0"/>
        <n v="1431.0"/>
        <n v="868.0"/>
        <n v="850.0"/>
        <n v="124.0"/>
        <n v="863.0"/>
        <n v="853.0"/>
        <n v="860.0"/>
        <n v="849.0"/>
        <n v="1480.0"/>
        <n v="854.0"/>
        <n v="857.0"/>
        <n v="1528.0"/>
        <n v="864.0"/>
        <n v="861.0"/>
        <n v="865.0"/>
        <n v="862.0"/>
        <n v="907.0"/>
        <n v="869.0"/>
        <n v="859.0"/>
        <n v="123.0"/>
        <n v="866.0"/>
        <n v="1332.0"/>
        <n v="879.0"/>
        <n v="880.0"/>
        <n v="1509.0"/>
        <n v="876.0"/>
        <n v="1703.0"/>
        <n v="1368.0"/>
        <n v="68.0"/>
        <n v="69.0"/>
        <n v="70.0"/>
        <n v="71.0"/>
        <n v="110.0"/>
        <n v="141.0"/>
        <n v="32.0"/>
        <n v="55.0"/>
        <n v="48.0"/>
        <n v="51.0"/>
        <n v="52.0"/>
        <n v="50.0"/>
        <n v="49.0"/>
        <n v="39.0"/>
        <n v="38.0"/>
        <n v="37.0"/>
        <n v="40.0"/>
        <n v="47.0"/>
        <n v="42.0"/>
        <n v="41.0"/>
        <n v="43.0"/>
        <n v="44.0"/>
        <n v="77.0"/>
        <n v="78.0"/>
        <n v="1367.0"/>
        <n v="75.0"/>
        <n v="64.0"/>
        <n v="84.0"/>
        <n v="81.0"/>
        <n v="82.0"/>
        <n v="36.0"/>
        <n v="86.0"/>
        <n v="87.0"/>
        <n v="184.0"/>
        <n v="182.0"/>
        <n v="185.0"/>
        <n v="188.0"/>
        <n v="1442.0"/>
        <n v="155.0"/>
        <n v="158.0"/>
        <n v="313.0"/>
        <n v="147.0"/>
        <n v="89.0"/>
        <n v="140.0"/>
        <n v="62.0"/>
        <n v="60.0"/>
        <n v="61.0"/>
        <n v="92.0"/>
        <n v="65.0"/>
        <n v="99.0"/>
        <n v="101.0"/>
        <n v="102.0"/>
        <n v="105.0"/>
        <n v="106.0"/>
        <n v="57.0"/>
        <n v="596.0"/>
        <n v="103.0"/>
        <n v="108.0"/>
        <n v="31.0"/>
        <n v="137.0"/>
        <n v="134.0"/>
        <n v="131.0"/>
        <n v="133.0"/>
        <n v="132.0"/>
        <n v="1330.0"/>
        <n v="136.0"/>
        <n v="72.0"/>
        <n v="73.0"/>
        <n v="1479.0"/>
        <n v="63.0"/>
        <n v="93.0"/>
        <n v="96.0"/>
        <n v="95.0"/>
        <n v="90.0"/>
        <n v="91.0"/>
        <n v="58.0"/>
        <n v="148.0"/>
        <n v="113.0"/>
        <n v="112.0"/>
        <n v="129.0"/>
        <n v="121.0"/>
        <n v="119.0"/>
        <n v="120.0"/>
        <n v="56.0"/>
        <n v="144.0"/>
        <n v="145.0"/>
        <n v="1681.0"/>
        <n v="1511.0"/>
        <n v="268.0"/>
        <n v="269.0"/>
        <n v="277.0"/>
        <n v="278.0"/>
        <n v="281.0"/>
        <n v="282.0"/>
        <n v="275.0"/>
        <n v="273.0"/>
        <n v="272.0"/>
        <n v="280.0"/>
        <n v="279.0"/>
        <n v="375.0"/>
        <n v="393.0"/>
        <n v="394.0"/>
        <n v="395.0"/>
        <n v="378.0"/>
        <n v="810.0"/>
        <n v="381.0"/>
        <n v="379.0"/>
        <n v="1405.0"/>
        <n v="1687.0"/>
        <n v="1416.0"/>
        <n v="1417.0"/>
        <n v="1407.0"/>
        <n v="1418.0"/>
        <n v="1410.0"/>
        <n v="1408.0"/>
        <n v="288.0"/>
        <n v="289.0"/>
        <n v="348.0"/>
        <n v="344.0"/>
        <n v="317.0"/>
        <n v="318.0"/>
        <n v="300.0"/>
        <n v="351.0"/>
        <n v="1365.0"/>
        <n v="301.0"/>
        <n v="345.0"/>
        <n v="1444.0"/>
        <n v="294.0"/>
        <n v="295.0"/>
        <n v="307.0"/>
        <n v="308.0"/>
        <n v="1449.0"/>
        <n v="1450.0"/>
        <n v="298.0"/>
        <n v="369.0"/>
        <n v="368.0"/>
        <n v="367.0"/>
        <n v="373.0"/>
        <n v="372.0"/>
        <n v="312.0"/>
        <n v="88.0"/>
        <n v="152.0"/>
        <n v="326.0"/>
        <n v="316.0"/>
        <n v="315.0"/>
        <n v="333.0"/>
        <n v="331.0"/>
        <n v="330.0"/>
        <n v="332.0"/>
        <n v="1727.0"/>
        <n v="302.0"/>
        <n v="1473.0"/>
        <n v="371.0"/>
        <n v="321.0"/>
        <n v="325.0"/>
        <n v="324.0"/>
        <n v="322.0"/>
        <n v="323.0"/>
        <n v="320.0"/>
        <n v="335.0"/>
        <n v="350.0"/>
        <n v="336.0"/>
        <n v="347.0"/>
        <n v="346.0"/>
        <n v="338.0"/>
        <n v="339.0"/>
        <n v="1699.0"/>
        <n v="411.0"/>
        <n v="409.0"/>
        <n v="457.0"/>
        <n v="458.0"/>
        <n v="455.0"/>
        <n v="456.0"/>
        <n v="581.0"/>
        <n v="419.0"/>
        <n v="430.0"/>
        <n v="406.0"/>
        <n v="405.0"/>
        <n v="426.0"/>
        <n v="1400.0"/>
        <n v="549.0"/>
        <n v="550.0"/>
        <n v="568.0"/>
        <n v="630.0"/>
        <n v="559.0"/>
        <n v="558.0"/>
        <n v="628.0"/>
        <n v="626.0"/>
        <n v="582.0"/>
        <n v="629.0"/>
        <n v="602.0"/>
        <n v="610.0"/>
        <n v="614.0"/>
        <n v="615.0"/>
        <n v="616.0"/>
        <n v="617.0"/>
        <n v="622.0"/>
        <n v="619.0"/>
        <n v="621.0"/>
        <n v="618.0"/>
        <n v="620.0"/>
        <n v="566.0"/>
        <n v="583.0"/>
        <n v="612.0"/>
        <n v="613.0"/>
        <n v="611.0"/>
        <n v="631.0"/>
        <n v="1395.0"/>
        <n v="563.0"/>
        <n v="662.0"/>
        <n v="664.0"/>
        <n v="663.0"/>
        <n v="667.0"/>
        <n v="1174.0"/>
        <n v="201.0"/>
        <n v="202.0"/>
        <n v="1610.0"/>
        <n v="203.0"/>
        <n v="11.0"/>
        <n v="14.0"/>
        <n v="16.0"/>
        <n v="12.0"/>
        <n v="17.0"/>
        <n v="15.0"/>
        <n v="22.0"/>
        <n v="20.0"/>
        <n v="21.0"/>
        <n v="13.0"/>
        <n v="1731.0"/>
        <n v="1059.0"/>
        <n v="1061.0"/>
        <n v="1058.0"/>
        <n v="1056.0"/>
        <n v="1372.0"/>
        <n v="1162.0"/>
        <n v="1148.0"/>
        <n v="1469.0"/>
        <n v="1164.0"/>
        <n v="1166.0"/>
        <n v="1474.0"/>
        <n v="1145.0"/>
        <n v="1165.0"/>
        <n v="1168.0"/>
        <n v="1163.0"/>
        <n v="1597.0"/>
        <n v="1167.0"/>
        <n v="2006.0"/>
        <n v="1147.0"/>
        <n v="1146.0"/>
        <n v="1607.0"/>
        <n v="1491.0"/>
        <n v="1489.0"/>
        <n v="2007.0"/>
        <n v="1701.0"/>
        <n v="1700.0"/>
        <n v="1151.0"/>
        <n v="981.0"/>
        <n v="1031.0"/>
        <n v="1149.0"/>
        <n v="1000.0"/>
        <n v="1150.0"/>
        <n v="1515.0"/>
        <n v="1516.0"/>
        <n v="1512.0"/>
        <n v="1514.0"/>
        <n v="1152.0"/>
        <n v="995.0"/>
        <n v="1513.0"/>
        <n v="1373.0"/>
        <n v="1361.0"/>
        <n v="1386.0"/>
        <n v="1379.0"/>
        <n v="1376.0"/>
        <n v="1375.0"/>
        <n v="1374.0"/>
        <n v="1377.0"/>
        <n v="1567.0"/>
        <n v="714.0"/>
        <n v="516.0"/>
        <n v="1261.0"/>
        <n v="1614.0"/>
        <n v="1541.0"/>
        <n v="1542.0"/>
        <n v="1540.0"/>
        <n v="1560.0"/>
        <n v="1182.0"/>
        <n v="990.0"/>
        <n v="991.0"/>
        <n v="986.0"/>
        <n v="1640.0"/>
        <n v="977.0"/>
        <n v="982.0"/>
        <n v="983.0"/>
        <n v="1604.0"/>
        <n v="988.0"/>
        <n v="993.0"/>
        <n v="978.0"/>
        <n v="1716.0"/>
        <n v="1186.0"/>
        <n v="222.0"/>
        <n v="479.0"/>
        <n v="1556.0"/>
        <n v="224.0"/>
        <n v="257.0"/>
        <n v="407.0"/>
        <n v="475.0"/>
        <n v="1275.0"/>
        <n v="216.0"/>
        <n v="1032.0"/>
        <n v="1354.0"/>
        <n v="53.0"/>
        <n v="468.0"/>
        <n v="470.0"/>
        <n v="469.0"/>
        <n v="1612.0"/>
        <n v="401.0"/>
        <n v="465.0"/>
        <n v="1274.0"/>
        <n v="467.0"/>
        <n v="1709.0"/>
        <n v="226.0"/>
        <n v="2008.0"/>
        <n v="260.0"/>
        <n v="230.0"/>
        <n v="487.0"/>
        <n v="228.0"/>
        <n v="669.0"/>
        <n v="1666.0"/>
        <n v="1498.0"/>
        <n v="1185.0"/>
        <n v="247.0"/>
        <n v="253.0"/>
        <n v="1582.0"/>
        <n v="234.0"/>
        <n v="1693.0"/>
        <n v="496.0"/>
        <n v="1306.0"/>
        <n v="227.0"/>
        <n v="1295.0"/>
        <n v="250.0"/>
        <n v="1579.0"/>
        <n v="1137.0"/>
        <n v="235.0"/>
        <n v="1179.0"/>
        <n v="481.0"/>
        <n v="1714.0"/>
        <n v="480.0"/>
        <n v="1280.0"/>
        <n v="484.0"/>
        <n v="264.0"/>
        <n v="2009.0"/>
        <n v="2010.0"/>
        <n v="403.0"/>
        <n v="259.0"/>
        <n v="1562.0"/>
        <n v="1282.0"/>
        <n v="1284.0"/>
        <n v="1723.0"/>
        <n v="1288.0"/>
        <n v="1437.0"/>
        <n v="1144.0"/>
        <n v="1554.0"/>
        <n v="1704.0"/>
        <n v="1581.0"/>
        <n v="1555.0"/>
        <n v="1539.0"/>
        <n v="246.0"/>
        <n v="382.0"/>
        <n v="245.0"/>
        <n v="252.0"/>
        <n v="1609.0"/>
        <n v="418.0"/>
        <n v="489.0"/>
        <n v="1461.0"/>
        <n v="490.0"/>
        <n v="493.0"/>
        <n v="1298.0"/>
        <n v="492.0"/>
        <n v="491.0"/>
        <n v="286.0"/>
        <n v="994.0"/>
        <n v="1279.0"/>
        <n v="1496.0"/>
        <n v="242.0"/>
        <n v="1585.0"/>
        <n v="254.0"/>
        <n v="1725.0"/>
        <n v="213.0"/>
        <n v="483.0"/>
        <n v="374.0"/>
        <n v="1443.0"/>
        <n v="2011.0"/>
        <n v="1294.0"/>
        <n v="1712.0"/>
        <n v="392.0"/>
        <n v="380.0"/>
        <n v="397.0"/>
        <n v="398.0"/>
        <n v="1733.0"/>
        <n v="1285.0"/>
        <n v="2012.0"/>
        <n v="1287.0"/>
        <n v="1732.0"/>
        <n v="459.0"/>
        <n v="473.0"/>
        <n v="1544.0"/>
        <n v="1497.0"/>
        <n v="464.0"/>
        <n v="1313.0"/>
        <n v="463.0"/>
        <n v="217.0"/>
        <n v="1378.0"/>
        <n v="1495.0"/>
        <n v="474.0"/>
        <n v="1605.0"/>
        <n v="416.0"/>
        <n v="1642.0"/>
        <n v="1641.0"/>
        <n v="1394.0"/>
        <n v="1181.0"/>
        <n v="248.0"/>
        <n v="472.0"/>
        <n v="476.0"/>
        <n v="477.0"/>
        <n v="478.0"/>
        <n v="1518.0"/>
        <n v="1543.0"/>
        <n v="1475.0"/>
        <n v="486.0"/>
        <n v="495.0"/>
        <n v="461.0"/>
        <n v="414.0"/>
        <n v="420.0"/>
        <n v="488.0"/>
        <n v="1139.0"/>
        <n v="1606.0"/>
        <n v="494.0"/>
        <n v="221.0"/>
        <n v="1715.0"/>
        <n v="1180.0"/>
        <n v="1659.0"/>
        <n v="1289.0"/>
        <n v="1293.0"/>
        <n v="422.0"/>
        <n v="1191.0"/>
        <n v="1192.0"/>
        <n v="1204.0"/>
        <n v="1206.0"/>
        <n v="1364.0"/>
        <n v="1366.0"/>
        <n v="505.0"/>
        <n v="1615.0"/>
        <n v="530.0"/>
        <n v="529.0"/>
        <n v="513.0"/>
        <n v="514.0"/>
        <n v="1033.0"/>
        <n v="1035.0"/>
        <n v="1034.0"/>
        <n v="220.0"/>
        <n v="236.0"/>
        <n v="212.0"/>
        <n v="1460.0"/>
        <n v="980.0"/>
        <n v="1291.0"/>
        <n v="211.0"/>
        <n v="1262.0"/>
        <n v="1264.0"/>
        <n v="1263.0"/>
        <n v="466.0"/>
        <n v="229.0"/>
        <n v="266.0"/>
        <n v="139.0"/>
        <n v="509.0"/>
        <n v="429.0"/>
        <n v="237.0"/>
        <n v="1266.0"/>
        <n v="1268.0"/>
        <n v="1267.0"/>
        <n v="1269.0"/>
        <n v="210.0"/>
        <n v="209.0"/>
        <n v="1270.0"/>
        <n v="255.0"/>
        <n v="1265.0"/>
        <n v="258.0"/>
        <n v="232.0"/>
        <n v="1281.0"/>
        <n v="1586.0"/>
        <n v="973.0"/>
        <n v="1658.0"/>
        <n v="1355.0"/>
        <n v="233.0"/>
        <n v="1434.0"/>
        <n v="249.0"/>
        <n v="646.0"/>
        <n v="1076.0"/>
        <n v="1184.0"/>
        <n v="238.0"/>
        <n v="239.0"/>
        <n v="1143.0"/>
        <n v="1077.0"/>
        <n v="26.0"/>
        <n v="1277.0"/>
        <n v="1580.0"/>
        <n v="244.0"/>
        <n v="1066.0"/>
        <n v="737.0"/>
        <n v="742.0"/>
        <n v="746.0"/>
        <n v="256.0"/>
        <n v="1708.0"/>
        <n v="1569.0"/>
        <n v="1468.0"/>
        <n v="956.0"/>
        <n v="774.0"/>
        <n v="1425.0"/>
        <n v="916.0"/>
        <n v="881.0"/>
        <n v="877.0"/>
        <n v="910.0"/>
        <n v="894.0"/>
        <n v="998.0"/>
        <n v="893.0"/>
        <n v="1477.0"/>
        <n v="847.0"/>
        <n v="1057.0"/>
        <n v="1188.0"/>
        <n v="1729.0"/>
        <n v="1643.0"/>
        <n v="921.0"/>
        <n v="839.0"/>
        <n v="831.0"/>
        <n v="744.0"/>
        <n v="206.0"/>
        <n v="35.0"/>
        <n v="30.0"/>
        <n v="109.0"/>
        <n v="1545.0"/>
        <n v="54.0"/>
        <n v="214.0"/>
        <n v="215.0"/>
        <n v="231.0"/>
        <n v="79.0"/>
        <n v="1178.0"/>
        <n v="1578.0"/>
        <n v="76.0"/>
        <n v="979.0"/>
        <n v="149.0"/>
        <n v="80.0"/>
        <n v="138.0"/>
        <n v="186.0"/>
        <n v="219.0"/>
        <n v="1138.0"/>
        <n v="223.0"/>
        <n v="154.0"/>
        <n v="150.0"/>
        <n v="151.0"/>
        <n v="107.0"/>
        <n v="1705.0"/>
        <n v="187.0"/>
        <n v="59.0"/>
        <n v="97.0"/>
        <n v="116.0"/>
        <n v="142.0"/>
        <n v="267.0"/>
        <n v="1561.0"/>
        <n v="274.0"/>
        <n v="276.0"/>
        <n v="1176.0"/>
        <n v="261.0"/>
        <n v="396.0"/>
        <n v="291.0"/>
        <n v="299.0"/>
        <n v="296.0"/>
        <n v="1472.0"/>
        <n v="293.0"/>
        <n v="1588.0"/>
        <n v="311.0"/>
        <n v="370.0"/>
        <n v="1710.0"/>
        <n v="297.0"/>
        <n v="327.0"/>
        <n v="328.0"/>
        <n v="329.0"/>
        <n v="343.0"/>
        <n v="1571.0"/>
        <n v="290.0"/>
        <n v="225.0"/>
        <n v="1711.0"/>
        <n v="319.0"/>
        <n v="337.0"/>
        <n v="334.0"/>
        <n v="1707.0"/>
        <n v="1439.0"/>
        <n v="287.0"/>
        <n v="283.0"/>
        <n v="285.0"/>
        <n v="284.0"/>
        <n v="400.0"/>
        <n v="399.0"/>
        <n v="218.0"/>
        <n v="1538.0"/>
        <n v="1508.0"/>
        <n v="423.0"/>
        <n v="413.0"/>
        <n v="265.0"/>
        <n v="651.0"/>
        <n v="650.0"/>
        <n v="653.0"/>
        <n v="660.0"/>
        <n v="546.0"/>
        <n v="535.0"/>
        <n v="536.0"/>
        <n v="1551.0"/>
        <n v="1664.0"/>
        <n v="661.0"/>
        <n v="1665.0"/>
        <n v="1668.0"/>
        <n v="1190.0"/>
        <n v="1175.0"/>
        <n v="1574.0"/>
        <n v="1713.0"/>
        <n v="204.0"/>
        <n v="1038.0"/>
        <n v="28.0"/>
        <n v="27.0"/>
        <n v="1079.0"/>
        <n v="1064.0"/>
        <n v="1183.0"/>
        <n v="975.0"/>
        <n v="1053.0"/>
        <n v="1692.0"/>
        <n v="1052.0"/>
        <n v="1063.0"/>
        <n v="1611.0"/>
        <n v="241.0"/>
        <n v="1062.0"/>
        <n v="1286.0"/>
        <n v="1447.0"/>
        <n v="1290.0"/>
        <n v="1065.0"/>
        <n v="1385.0"/>
        <n v="208.0"/>
        <n v="1135.0"/>
        <n v="1136.0"/>
        <n v="1078.0"/>
        <n v="1566.0"/>
        <n v="309.0"/>
        <n v="1565.0"/>
        <n v="1633.0"/>
        <n v="1283.0"/>
        <n v="240.0"/>
        <n v="1369.0"/>
        <n v="1189.0"/>
        <n v="1141.0"/>
        <n v="115.0"/>
        <n v="1142.0"/>
        <n v="243.0"/>
        <n v="1459.0"/>
        <n v="775.0"/>
        <n v="1690.0"/>
        <n v="543.0"/>
        <n v="192.0"/>
        <n v="1452.0"/>
        <n v="569.0"/>
        <n v="183.0"/>
        <n v="968.0"/>
        <n v="648.0"/>
        <n v="310.0"/>
        <n v="878.0"/>
        <n v="98.0"/>
        <n v="801.0"/>
        <n v="565.0"/>
        <n v="482.0"/>
        <n v="1326.0"/>
        <n v="1601.0"/>
        <n v="1327.0"/>
        <n v="193.0"/>
        <n v="1694.0"/>
        <n v="2013.0"/>
        <n v="2014.0"/>
        <n v="2015.0"/>
        <n v="376.0"/>
        <n v="1333.0"/>
        <n v="1187.0"/>
        <n v="720.0"/>
        <n v="1273.0"/>
        <n v="767.0"/>
        <n v="485.0"/>
        <n v="2016.0"/>
        <n v="1278.0"/>
        <n v="639.0"/>
        <n v="567.0"/>
        <n v="538.0"/>
        <n v="263.0"/>
        <n v="2017.0"/>
        <n v="1587.0"/>
        <n v="1678.0"/>
        <n v="1680.0"/>
        <n v="1679.0"/>
        <n v="1686.0"/>
        <n v="1685.0"/>
        <n v="1677.0"/>
        <n v="1684.0"/>
        <n v="1683.0"/>
        <n v="2019.0"/>
        <n v="1689.0"/>
        <n v="1688.0"/>
        <n v="2020.0"/>
        <n v="2021.0"/>
        <n v="135.0"/>
        <n v="122.0"/>
        <n v="1706.0"/>
        <n v="1697.0"/>
        <n v="2023.0"/>
        <n v="23.0"/>
        <n v="644.0"/>
        <n v="1726.0"/>
        <n v="428.0"/>
        <n v="1599.0"/>
        <n v="1338.0"/>
        <n v="2024.0"/>
        <n v="2027.0"/>
        <n v="2028.0"/>
        <n v="2029.0"/>
      </sharedItems>
    </cacheField>
    <cacheField name="fullName" numFmtId="0">
      <sharedItems>
        <s v="אוסטרובסקי מיכאל"/>
        <s v="אלטלאקת פאטמה"/>
        <s v="ביליה אריאל (אריק)"/>
        <s v="בלטי יצחק (איציק)"/>
        <s v="בן פורת משה"/>
        <s v="ג'מבקוב אנדריי"/>
        <s v="ג'מבקוב זויה"/>
        <s v="גרידסקול ויקטוריה"/>
        <s v="גרידסקול סרגיי"/>
        <s v="ויזמן ראובן"/>
        <s v="חטיב טארק"/>
        <s v="זקוטו אבי"/>
        <s v="חטואל אברהם (אבי)"/>
        <s v="חייט שמעון"/>
        <s v="חיימוב אהרון"/>
        <s v="יאחנגילוב יפתח"/>
        <s v="יאחנגילוב מריה"/>
        <s v="ידגרוב יורי"/>
        <s v="ידגרוב רוזה"/>
        <s v="מלקמו עדנה"/>
        <s v="משייב אנה"/>
        <s v="פוליאקוב אמה"/>
        <s v="קוסטיצין יליזבטה (ליליה)"/>
        <s v="רחמים בנימין"/>
        <s v="אוזן אליהו (אליקו)"/>
        <s v="אוזן אריה"/>
        <s v="אלזיאדנא עבד אלרחמן עאטף"/>
        <s v="אסלנוב ג'ון"/>
        <s v="גניש בנימין (בני)"/>
        <s v="וייסברג אלינה"/>
        <s v="חסדאי אבי"/>
        <s v="טייב נדב יוסף חי"/>
        <s v="ליסובוי יורי"/>
        <s v="ליסובוי סבטלנה"/>
        <s v="צ'בן יוליה"/>
        <s v="קימנפלד דניל"/>
        <s v="קרייף שחף"/>
        <s v="קרן טל"/>
        <s v="שאולוב רוברט"/>
        <s v="תעסה אור"/>
        <s v="אוביץ זיוה"/>
        <s v="אוחנה עדי"/>
        <s v="בנעים חיימי (חיים)"/>
        <s v="גולדין אורן"/>
        <s v="לוגבינצ'נקו ויטלי"/>
        <s v="משה רועי"/>
        <s v="פופוב ניר (ניקיטה)"/>
        <s v="קפשיטר איתן"/>
        <s v="קפשיטר אלין"/>
        <s v="קפשיטר דינה"/>
        <s v="קפשיטר יבגני (ג'ניה)"/>
        <s v="רפאלי מישקין חגית"/>
        <s v="תורג'מן דוד (דודי)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חג'בי אליצור צוריאל"/>
        <s v="חג'בי יהונתן"/>
        <s v="חג'בי יזהר"/>
        <s v="אבו מדיע'ם אוסאמה עלי"/>
        <s v="ירון שיר"/>
        <s v="לוי ציון"/>
        <s v="אלמגור מרינה"/>
        <s v="אקוני אור"/>
        <s v="אקוני אריה"/>
        <s v="אקוני ארלט (רותי)"/>
        <s v="ברגר נורית"/>
        <s v="וובק דני"/>
        <s v="ינון בלהה"/>
        <s v="ינון יעקובי"/>
        <s v="מולכו איילת"/>
        <s v="מולכו שלמה (שלומי)"/>
        <s v="סגל חויק"/>
        <s v="אלקבץ מוטי"/>
        <s v="בן יהודה גלעד"/>
        <s v="בן יהודה יובל"/>
        <s v="הדר איתי (יוסטון)"/>
        <s v="זומר דן"/>
        <s v="זעפרני נוי תפארת"/>
        <s v="כהן דניאל אשר"/>
        <s v="מעודי נוי"/>
        <s v="קדמן שחר גל"/>
        <s v="קוסובסקי זלטה"/>
        <s v="קיפר סביון חן"/>
        <s v="רביע יובל"/>
        <s v="רביע נועם"/>
        <s v="רוזנברג מתן"/>
        <s v="שפיר דור חנן"/>
        <s v="שרון (שוקרון) דודי"/>
        <s v="אבאסוב שמיל"/>
        <s v="אבדולאייב עדן"/>
        <s v="אבו סבילה מוסא"/>
        <s v="אבו עאמר אלרזאם סוהייב"/>
        <s v="אבו עסא אוסאמה"/>
        <s v="אבוחצירה אוראל"/>
        <s v="אביב נוי"/>
        <s v="אביטן דור"/>
        <s v="אביר לוטן"/>
        <s v="אבני גיל יוסף"/>
        <s v="אברג'יל עודד"/>
        <s v="אברהם אילן"/>
        <s v="אברמוב לאור"/>
        <s v="אדברג אסף מרדכי"/>
        <s v="אדם מפל"/>
        <s v="אדר גילי"/>
        <s v="אוחיון עדן ליז"/>
        <s v="אוחנה דניאל"/>
        <s v="אורי בן"/>
        <s v="אורן אביאל"/>
        <s v="אזולאי גמליאל גבי גבריאל"/>
        <s v="אזולאי יוחאי"/>
        <s v="אזולאי יונתן חי"/>
        <s v="אחרק עמרי"/>
        <s v="אטון אופק"/>
        <s v="אטיאס דורין"/>
        <s v="איטח ליאל"/>
        <s v="איטח סיגל"/>
        <s v="איילון שירה"/>
        <s v="אילוז אליה אליהו"/>
        <s v="אילייב אדם"/>
        <s v="איירמנדי סיזר איוון"/>
        <s v="אליהו יהונתן"/>
        <s v="אלפסי שלמה אליהו"/>
        <s v="אלפראחין ח'אלד"/>
        <s v="אלקיים לוי עינב"/>
        <s v="נסאסרה עבד אלכרים"/>
        <s v="אלשיך שלמה (שלומי) אליהו"/>
        <s v="אמין שני"/>
        <s v="אנגלנדר נועה"/>
        <s v="אסולין ליאור"/>
        <s v="אסולין לירז"/>
        <s v="אסייג ליאב"/>
        <s v="אפרים ירין משה"/>
        <s v="אפרים נעם ליאל"/>
        <s v="אקשטיין מתן"/>
        <s v="ארד אורי"/>
        <s v="ארד נבו"/>
        <s v="אריאל דן"/>
        <s v="ארנין איילת"/>
        <s v="אשואן סהר"/>
        <s v="בהט דרור"/>
        <s v="בובטס בן איון אורטל"/>
        <s v="בולדס דורון"/>
        <s v="בונגרט סופיה"/>
        <s v="בוסקילה ירדן"/>
        <s v="בועזיז מורלי נטע"/>
        <s v="בוקובזה רז"/>
        <s v="בור גלאון ליעם"/>
        <s v="בורשטיין מטיאס (הרנן)"/>
        <s v="בורשטיין עינב (חן)"/>
        <s v="ביטון בניהו"/>
        <s v="ביטון מאיה"/>
        <s v="ביטון מרדכי בן אריאל"/>
        <s v="ביטון נדב"/>
        <s v="ביילין אורון"/>
        <s v="ביילין בן צבי שגיב"/>
        <s v="ביכר נעומי"/>
        <s v="בילמס ספיר"/>
        <s v="בכר יהודה"/>
        <s v="בן אבי חן"/>
        <s v="בן אבידה עמית (יהודה)"/>
        <s v="בן דוד נגר סלין רחל"/>
        <s v="בן זינו עידו"/>
        <s v="בן זכריה יוחאי"/>
        <s v="בן חמו אור חיים"/>
        <s v="בן חמו דן"/>
        <s v="בן נעים שחר"/>
        <s v="בן סניור דניאל"/>
        <s v="בן עמי שני"/>
        <s v="בן פורת אליסף"/>
        <s v="בן רובי עדן"/>
        <s v="בנג'ו איתי"/>
        <s v="בר דין נהוראי"/>
        <s v="בר שהם"/>
        <s v="בראון יובל"/>
        <s v="בראל גבריאל ישי"/>
        <s v="ברגמן אלדד (אנג'ל)"/>
        <s v="ברדה לירון"/>
        <s v="ברזני סתיו"/>
        <s v="ברטיק (קליין) טל"/>
        <s v="ברטל נדב"/>
        <s v="אליהו ברנט רומי"/>
        <s v="ברנשטיין אליהו יעקב"/>
        <s v="ברנשטיין בן"/>
        <s v="ברסלבסקי דניאל (דני)"/>
        <s v="ברעם עילי"/>
        <s v="ג'ורג'י שיר חנה"/>
        <s v="ג'רפי ליאל"/>
        <s v="גבאי שני"/>
        <s v="גוטמן תמר"/>
        <s v="גולדנברג ניצן"/>
        <s v="גולדנברג תמר"/>
        <s v="גולטמן דניאל"/>
        <s v="גוסק מרגריטה"/>
        <s v="גורביץ' (וסילקובסקי) ליליה"/>
        <s v="גורדני שרון"/>
        <s v="גוריונוב אנטון"/>
        <s v="גורלוב ויקטוריה"/>
        <s v="גז עדן"/>
        <s v="גטה סתיו"/>
        <s v="גילר ירוסלב (סלבה)"/>
        <s v="גינדי שחר"/>
        <s v="גל שלו"/>
        <s v="גנדלין איזבלה"/>
        <s v="גנוט אביה"/>
        <s v="גנון שירן"/>
        <s v="גניס יוסף (ספי)"/>
        <s v="גרציאני מאור"/>
        <s v="גרקוביץ' דפנה"/>
        <s v="דב רחל (רייצ'ל)"/>
        <s v="דדון אבי"/>
        <s v="דהן יצחק איציק"/>
        <s v="דוד הודיה"/>
        <s v="דוד עמית יצחק"/>
        <s v="דוד תאיר"/>
        <s v="דוידוב קרינה אלה"/>
        <s v="דוידי ברק"/>
        <s v="דויטשוילי שון"/>
        <s v="דור עידן"/>
        <s v="דייטשמן רונן"/>
        <s v="דמרי דן"/>
        <s v="דמתי קים"/>
        <s v="דנגורי גל"/>
        <s v="דפני לין"/>
        <s v="הירש (אוזן) שרון"/>
        <s v="הלוי אביעד"/>
        <s v="הרמן עידן"/>
        <s v="הרמתי עידן"/>
        <s v="ואקנין פרמוטר לימור"/>
        <s v="ודעי דניאל מאיר"/>
        <s v="והדי משה"/>
        <s v="וולדמן דניאל"/>
        <s v="ויגדרגאוז (דובז'נקו) סיימון"/>
        <s v="ויינברג רון"/>
        <s v="ויינשטיין ליאל"/>
        <s v="ולאנו פונטס ברונה"/>
        <s v="וקנין אושר"/>
        <s v="וקנין מיכאל"/>
        <s v="ורבר אלון"/>
        <s v="ורדי לורי"/>
        <s v="ורניקוב קרין"/>
        <s v="ז'ורנו קארין"/>
        <s v="זגדון רינת הודיה"/>
        <s v="זוארמן מוטי (מרדכי)"/>
        <s v="זהר בר"/>
        <s v="זיו אור"/>
        <s v="זיידמן יונתן (ג'וני)"/>
        <s v="זנדר נועה"/>
        <s v="זנטי מתן"/>
        <s v="זפרני איתי"/>
        <s v="חבני שקד"/>
        <s v="חג'בי זיו"/>
        <s v="חדד אטיאס ליאור"/>
        <s v="חיאל גידי"/>
        <s v="חיאל נועה"/>
        <s v="חיים מאיה"/>
        <s v="חליפה גאיה"/>
        <s v="חמוי אלה"/>
        <s v="חסיד בן בנציון"/>
        <s v="חפץ אריה אריק"/>
        <s v="טבגן גולדמן קטרינה (קטיה)"/>
        <s v="טמם אדיר"/>
        <s v="טקאץ' ליאור"/>
        <s v="טרבלסי מור"/>
        <s v="יהודאי רון"/>
        <s v="יעקב אילן משה"/>
        <s v="יעקב שהם"/>
        <s v="יעקב שובל"/>
        <s v="יעקב שנהב"/>
        <s v="יעקובוב סאן אמנון"/>
        <s v="יצחקי מאי"/>
        <s v="ישמרני (טמם) שירז שירן"/>
        <s v="כהן אברהם נריה"/>
        <s v="כהן בן בנימין"/>
        <s v="כהן דניאל"/>
        <s v="כהן מגורי ליבי"/>
        <s v="כהן מור"/>
        <s v="כהן עמית חיים"/>
        <s v="כפיר גלעד"/>
        <s v="כץ טל"/>
        <s v="לביא עומרי יעקב"/>
        <s v="להב עמית"/>
        <s v="לוי גיא גבריאל"/>
        <s v="לוי יצחק"/>
        <s v="לוי ליבנת"/>
        <s v="לוי לידור יוסף"/>
        <s v="לוי נאור"/>
        <s v="לוי ניסים (מעיין)"/>
        <s v="לוי סיגל"/>
        <s v="לוי עמית"/>
        <s v="לוי רותם רחל"/>
        <s v="לוין אליסיה"/>
        <s v="ליאור מתן מרדכי"/>
        <s v="ליטמן אוריה ריקרדו"/>
        <s v="ליסמן אניטה"/>
        <s v="ליסצ'וב דוד"/>
        <s v="ליפובסקי אילן"/>
        <s v="למאי דידנקו יוליה"/>
        <s v="לפידות תפארת"/>
        <s v="מגנזי עמית"/>
        <s v="מדמון ניר"/>
        <s v="מדמוני שליו"/>
        <s v="מדר שחק יוסף"/>
        <s v="מועלם נעמה"/>
        <s v="מוצפי שי שלום אליאור"/>
        <s v="מזרחי אלירן"/>
        <s v="מזרחי בן מנשה"/>
        <s v="מזרחי רז"/>
        <s v="מייזל עדי רבקה"/>
        <s v="מימון ליאור"/>
        <s v="מליחי אמיתי"/>
        <s v="מלכה דור"/>
        <s v="מנצור שחר"/>
        <s v="מנצורי נורל"/>
        <s v="מנצורי רויה"/>
        <s v="מסיאס מונטנו אנטוניו יניב"/>
        <s v="מסיקה אדיר"/>
        <s v="מקרצ'נקו סטיבן"/>
        <s v="מרגלית עדי"/>
        <s v="משה עדן דוד"/>
        <s v="נאמן דוד יאיר שלום"/>
        <s v="נבון גל"/>
        <s v="נזרוב אילקין"/>
        <s v="נחום דור"/>
        <s v="נידג'לסקי גלזר חנני"/>
        <s v="ניימן רותם"/>
        <s v="ניסימבוים (כרמלי) ג'ני"/>
        <s v="ניסן לירז"/>
        <s v="נעים מאי"/>
        <s v="נפתלי עדן"/>
        <s v="נקמולי בר ליאור (ברלי)"/>
        <s v="סבידיה שלומי"/>
        <s v="סוויסה מוריה אור"/>
        <s v="סולומון הילי"/>
        <s v="סטלזר מנדס קרלה"/>
        <s v="סטרוסטה תומר"/>
        <s v="סלומון יעקב"/>
        <s v="סלע רם"/>
        <s v="סמואלוב אלעזר"/>
        <s v="סמוילוב אלכסנדר"/>
        <s v="סמט תמר"/>
        <s v="סעידי צור"/>
        <s v="סעידיאן משה (מושיקו)"/>
        <s v="סרודי יניב"/>
        <s v="עבדוש גל"/>
        <s v="עבדוש נאג'י"/>
        <s v="עדרי עידן"/>
        <s v="עודי עופר"/>
        <s v="עזר גיא"/>
        <s v="עזרא עוז משה"/>
        <s v="עטון ליאור"/>
        <s v="עמר חנן (חנניה)"/>
        <s v="עמר מרסדס אוריה"/>
        <s v="פאר יועד"/>
        <s v="פודר מאיה"/>
        <s v="פולבנוב רוני"/>
        <s v="פוסטל יבגני"/>
        <s v="פורטי ניר"/>
        <s v="פטרובסקי רוני"/>
        <s v="פטרנקו דניאלה (דנה)"/>
        <s v="פישמן בן"/>
        <s v="פלחטי אלינה"/>
        <s v="פסו אוראל"/>
        <s v="פרג' נועה"/>
        <s v="פריטיקה קארינה"/>
        <s v="פרינץ הדר"/>
        <s v="פרנקל זיו"/>
        <s v="פרץ אריק (אריה)"/>
        <s v="פרץ עידו"/>
        <s v="פרץ רות הודיה"/>
        <s v="צפתי חי חיים"/>
        <s v="צרפתי אופיר"/>
        <s v="צרפתי רון"/>
        <s v="קונדרוב אירית"/>
        <s v="קופרווסר שני"/>
        <s v="קיז'נר שגב ישראל"/>
        <s v="קיילין הילה"/>
        <s v="קינן לינור"/>
        <s v="קליכמן מעין"/>
        <s v="קמחי אופק"/>
        <s v="קמחי סתיו"/>
        <s v="קן דרור יהונתן (מאיר)"/>
        <s v="קסבצ'וק דניאל"/>
        <s v="קסרוטי כלפה קשת"/>
        <s v="רביב מוריה"/>
        <s v="רביע אופק"/>
        <s v="רגב שי"/>
        <s v="רואימי מיכל"/>
        <s v="רוביו ורגס איבון עדן פטריסיה"/>
        <s v="רוזמן יעל"/>
        <s v="רום יהונתן"/>
        <s v="רומשקין אולגה נעמי"/>
        <s v="רחום ניצן"/>
        <s v="רחמים אביאל שלום"/>
        <s v="רחמים דביר"/>
        <s v="רפאל (רפאי) אלי"/>
        <s v="רפאי שרון"/>
        <s v="שאמץ איליה"/>
        <s v="שגב שושן"/>
        <s v="שגב תומר"/>
        <s v="שהרבני סיון"/>
        <s v="שובה משה"/>
        <s v="שוורצמן קארין"/>
        <s v="שופן זיו"/>
        <s v="שטרית רוני"/>
        <s v="שי נעם"/>
        <s v="שיינקרמן דניאל"/>
        <s v="שינדל מארק"/>
        <s v="שכטר בר"/>
        <s v="שלו שי"/>
        <s v="שלום נעם"/>
        <s v="שלום רם"/>
        <s v="שלזינגר אסף"/>
        <s v="שם טוב עינבר"/>
        <s v="שמוניס הראל שרונה"/>
        <s v="שמעוני בנימין (בן)"/>
        <s v="שמר רון"/>
        <s v="שניר איתן רפאל"/>
        <s v="שפירא זיו פפה"/>
        <s v="שפר רן"/>
        <s v="שרם ליאם"/>
        <s v="תאר דור"/>
        <s v="תומר בר"/>
        <s v="תורג'מן אבידן"/>
        <s v="תורג'מן שהם ליה"/>
        <s v="תל צור ניב"/>
        <s v="זיו דדו"/>
        <s v="שפירר תומר"/>
        <s v="אבן אלון"/>
        <s v="אבן חן"/>
        <s v="אבן עידו"/>
        <s v="אבן רינת"/>
        <s v="אוחיון סילביה"/>
        <s v="אור יונת"/>
        <s v="אפטלון יוסי (זיגי)"/>
        <s v="בויום ענבר"/>
        <s v="בירה אורון"/>
        <s v="בירה טל"/>
        <s v="בירה יסמין"/>
        <s v="בירה תאיר"/>
        <s v="בירה תהל"/>
        <s v="בכר גאולה"/>
        <s v="בכר דנה"/>
        <s v="בכר כרמל"/>
        <s v="בכר מזל (מזי)"/>
        <s v="בן עמי חוה"/>
        <s v="בר יובל"/>
        <s v="בר מעיין"/>
        <s v="בר סיני יורם"/>
        <s v="ברוך עידן"/>
        <s v="גודארד (פרג) איילת"/>
        <s v="גודארד מני"/>
        <s v="גלסקי יבגני"/>
        <s v="גת כנרת"/>
        <s v="דגן עדי"/>
        <s v="הנד נרקיס"/>
        <s v="הקר זאב"/>
        <s v="הקר זהבה"/>
        <s v="הרן אבשלום (אבשל)"/>
        <s v="הרשקוביץ מעיינה"/>
        <s v="הרשקוביץ נח"/>
        <s v="וייס מתי"/>
        <s v="וייס עמיר"/>
        <s v="וייס שמואל (שמוליק)"/>
        <s v="זוהר חיים"/>
        <s v="זלמנוביץ' הלל"/>
        <s v="חצרוני איילה"/>
        <s v="חצרוני הלר ליאל"/>
        <s v="חרמש עומר"/>
        <s v="טרשצ'נסקי ליאור"/>
        <s v="יצחקי יהודית"/>
        <s v="כהן אוהד"/>
        <s v="כהן יונה"/>
        <s v="כהן מילה"/>
        <s v="כהן פסיה (פסי)"/>
        <s v="כרסנתי שושנה (שוש)"/>
        <s v="לוי לודמיר דניאל"/>
        <s v="לוי רוני"/>
        <s v="לוסב איגור"/>
        <s v="לוסב מרינה"/>
        <s v="מור אבי"/>
        <s v="מורדו רפאל (רפי)"/>
        <s v="מייזנר קרבונה גלית"/>
        <s v="מילס אלברט (אבלום)"/>
        <s v="מן עמית"/>
        <s v="נווה מרדכי"/>
        <s v="נטע אדריאן"/>
        <s v="סבירסקי רפי"/>
        <s v="סוכמן תמי"/>
        <s v="סיטון חנה"/>
        <s v="סיטון טל"/>
        <s v="סיטון יצחק"/>
        <s v="סילבר ויויאן"/>
        <s v="סלע סבירסקי אורית"/>
        <s v="פישביין זערור תכלת"/>
        <s v="פרייליך קפלון מרסל"/>
        <s v="פריקר יונה"/>
        <s v="קוזין יצחק"/>
        <s v="קידר סמי"/>
        <s v="קיפניס אביתר (תרי)"/>
        <s v="קיפניס לילך"/>
        <s v="קלדרון רותם"/>
        <s v="קפלון דרור"/>
        <s v="קרול דוד"/>
        <s v="קריצמן חנה"/>
        <s v="רידר דור"/>
        <s v="רפופורט יונתן"/>
        <s v="שוש נוי"/>
        <s v="שרעבי יהל"/>
        <s v="שרעבי ליאן"/>
        <s v="שרעבי נויה"/>
        <s v="Prodigo Cabrera Gracie"/>
        <s v="Castelvi Paul Vincent"/>
        <s v="Jayathilaka Anula"/>
        <s v="Sae Yang Sumchai"/>
        <s v="Yatawara Bandara Susujith"/>
        <s v="אלחרר חלפון ליז"/>
        <s v="אלחרר מאיר"/>
        <s v="מתיאס טרואן שחר דבורה (דבי)"/>
        <s v="מתיאס שלומי"/>
        <s v="סולטן רולאן"/>
        <s v="סולטן רונית"/>
        <s v="קייסמן לילי"/>
        <s v="קעטבי תהילה"/>
        <s v="קפלון עדי ויטל"/>
        <s v="רידלר משה"/>
        <s v="Busko Petro"/>
        <s v="גודו תום"/>
        <s v="זק (בן יעיש) אתי"/>
        <s v="זק איתי"/>
        <s v="זק שגיא"/>
        <s v="חולתי מנוחה"/>
        <s v="מור מעיין"/>
        <s v="סמיאטיץ' ג'ינה"/>
        <s v="רון עופר"/>
        <s v="Jakkaphong Jantharasena"/>
        <s v="Kaison Aranthit"/>
        <s v="Khunsri Pongsatorn"/>
        <s v="Klangsuwan Theerapong"/>
        <s v="Prakotwong Thanakrit"/>
        <s v="Sanusan Chairat"/>
        <s v="Sophakun Anucha"/>
        <s v="Srithat Kawao"/>
        <s v="אדמוני גיא"/>
        <s v="אדמוני מיכל"/>
        <s v="אדרי אביעד אברהם"/>
        <s v="אורגד גולדנברג אליהו (אלי)"/>
        <s v="איתמרי לילי"/>
        <s v="איתמרי רם"/>
        <s v="אלקבץ סיון"/>
        <s v="אמיר מודי (מרדכי)"/>
        <s v="אפשטיין בלהה"/>
        <s v="אפשטיין נטע"/>
        <s v="בויום יובל"/>
        <s v="בן דוד (ג'יבלי) מאיה"/>
        <s v="ברדיצ'בסקי (רוזנפלד) הדר"/>
        <s v="ברדיצ'בסקי איתי"/>
        <s v="גולדשטיין אלמוג ים"/>
        <s v="גולדשטיין אלמוג נדב"/>
        <s v="גורן ארן"/>
        <s v="גורן טובה"/>
        <s v="דגני נעמי"/>
        <s v="וינר יהב"/>
        <s v="ורטהיים (בר אילן) דורית"/>
        <s v="ורטהיים אביב"/>
        <s v="זיו איתן"/>
        <s v="זיני ניראל"/>
        <s v="חסידים נאור"/>
        <s v="חצרוני אביה"/>
        <s v="חצרוני הלר ינאי"/>
        <s v="ליבשטיין ניצן"/>
        <s v="מור עידן סמדר"/>
        <s v="עידן רועי"/>
        <s v="פלג זיו (נאור) תמי"/>
        <s v="פלד גילה"/>
        <s v="פלד דניאל"/>
        <s v="פלד יזהר"/>
        <s v="פלש יגאל"/>
        <s v="פלש סינתיה תמר (סינדי)"/>
        <s v="פרץ מארק (מרדכי)"/>
        <s v="צדיקביץ' עומר"/>
        <s v="קוץ אביב"/>
        <s v="קוץ יונתן"/>
        <s v="קוץ יפתח"/>
        <s v="קוץ לבנת"/>
        <s v="קוץ רותם"/>
        <s v="קציר (קצ'קו) דוד"/>
        <s v="רביב ניב"/>
        <s v="רונן נירה"/>
        <s v="רייכנשטיין אליהו (אליקו)"/>
        <s v="שוורצמן דוד אלברטו"/>
        <s v="שוורצמן פינקו אורלי"/>
        <s v="שושני אופיר"/>
        <s v="שטהל מירה"/>
        <s v="Aguirre Angelyn"/>
        <s v="אליקים נועם"/>
        <s v="ברוש שושנה (שושי)"/>
        <s v="זוהר יניב"/>
        <s v="זוהר יסמין"/>
        <s v="זוהר קשת"/>
        <s v="זוהר תכלת"/>
        <s v="כץ אפרת"/>
        <s v="ליבנה חיים"/>
        <s v="עידן מעיין"/>
        <s v="ערבה אליעז תומר"/>
        <s v="ערבה דקלה"/>
        <s v="רון שלמה"/>
        <s v="Somkuan Pansa-ard"/>
        <s v="בן חורין רבקה"/>
        <s v="בן צבי אמיתי"/>
        <s v="גורן אבנר"/>
        <s v="גרוס יוסף (יוסיניו)"/>
        <s v="דן כרמלה"/>
        <s v="דן נויה"/>
        <s v="והב יוסף (יוסי)"/>
        <s v="טרופנוב ויטלי"/>
        <s v="כץ רביד"/>
        <s v="לוינסון ברכה"/>
        <s v="מונדר רועי"/>
        <s v="משה סעיד (דוד)"/>
        <s v="נוי שפרה"/>
        <s v="סילברמן (שניידר) מרגיט"/>
        <s v="סילברמן יוסף"/>
        <s v="סימן טוב ארבל"/>
        <s v="סימן טוב יונתן (ג'וני)"/>
        <s v="סימן טוב עומר"/>
        <s v="סימן טוב קדם תמר"/>
        <s v="סימן טוב קרול"/>
        <s v="סימן טוב שחר"/>
        <s v="פאוקר גדעון"/>
        <s v="קציר אברהם (רמי)"/>
        <s v="שלו דוד"/>
        <s v="שלו טל"/>
        <s v="שפיר ירמי (ירמיהו)"/>
        <s v="Bohl Caroline"/>
        <s v="Dachtuyawat Bancha"/>
        <s v="Darlington Daniel (Danny)"/>
        <s v="באבאני גדעון"/>
        <s v="מאיר דורון"/>
        <s v="מאיר מור"/>
        <s v="פופלוול רועי"/>
        <s v="כהן ברנרד (פול)"/>
        <s v="גלזברג נועה"/>
        <s v="טליה מרסל"/>
        <s v="ליפשיץ אולג"/>
        <s v="מרנסקי סילביה"/>
        <s v="Bista Dipesh Raj"/>
        <s v="Chaudhary Ashish"/>
        <s v="Lekendora Sing Dahami"/>
        <s v="Nepali Ganesh Kumar"/>
        <s v="Neupane Narayan Prasad"/>
        <s v="Phulara Rajan"/>
        <s v="Prabesh Bhandari"/>
        <s v="Shah Ananda"/>
        <s v="Swarnakar Rajesh Kumar"/>
        <s v="Thapa Padam"/>
        <s v="אוסטפנקו אליונה"/>
        <s v="גבאי עמית"/>
        <s v="הרמתי ורדה"/>
        <s v="פבר אסף"/>
        <s v="קרפ דביר"/>
        <s v="אבדלימוב סמיון"/>
        <s v="אברמוב מיכאל"/>
        <s v="איליאגוייב סלומון"/>
        <s v="ג'רג'אוי סמי"/>
        <s v="אשרף חיים"/>
        <s v="ויצמן ליאור"/>
        <s v="טולדנו עמרם אלון"/>
        <s v="טנבורה אמיר"/>
        <s v="לוזובסקי לאוניד"/>
        <s v="מאירי זוהר"/>
        <s v="מגירא אבי"/>
        <s v="מורזאחנוב מיכאל"/>
        <s v="מלכה מאיר"/>
        <s v="נווה נתיב מעיין"/>
        <s v="סוויסה אודיה"/>
        <s v="סוויסה דולב"/>
        <s v="סורוקין דמיטרי"/>
        <s v="פריאנטה קובי"/>
        <s v="שטרית אזולאי נעמי"/>
        <s v="Cao Yongcai"/>
        <s v="Wan Zhishun"/>
        <s v="Zou Deli"/>
        <s v="ביילין זינאידה (זינה)"/>
        <s v="גילר ליליה"/>
        <s v="זרבאילוב מיכל מראל"/>
        <s v="טומייב נטליה"/>
        <s v="מורטוב יעקב"/>
        <s v="ספרבצ'יקוב נדז'דה"/>
        <s v="פופוב ולדימיר"/>
        <s v="פופוב סופיה"/>
        <s v="פורמן לודמילה (לודה)"/>
        <s v="פרידמן ולרי"/>
        <s v="קורצר איגור"/>
        <s v="שמיאייב לוי ברטה בטסיין"/>
        <s v="שניטמן טטיאנה"/>
        <s v="אבו ג'מאע יזן זכריה"/>
        <s v="אבו מדיע'ם גאליה"/>
        <s v="אבו סבייח מאי זוהיר"/>
        <s v="אבו סבייח פאיזה"/>
        <s v="אלקרעאן אמין עקל"/>
        <s v="אלקרעאן ג'וואד אברהים"/>
        <s v="אלקרעאן מאלק אברהים"/>
        <s v="אלקרעאן מחמד ד'יב"/>
        <s v="בן ארצי חנה"/>
        <s v="ברודש שירז דניאל"/>
        <s v="גבאי מור"/>
        <s v="ז'וקוב ולדימיר"/>
        <s v="חטאב יהושוע"/>
        <s v="מסקאלצ'י נתנאל"/>
        <s v="מסקאלצ'י רפאל מאיר"/>
        <s v="פהימי רפאל"/>
        <s v="פרץ אבשלום יאיר"/>
        <s v="אבוהרון רוני"/>
        <s v="אוחיון אליעד"/>
        <s v="אוחיון משה"/>
        <s v="אילוז יגאל"/>
        <s v="אלעזרי יונתן"/>
        <s v="בוזגלו אבי"/>
        <s v="גורי אריאל רפאל"/>
        <s v="גורי רואי חיים"/>
        <s v="לוגסי ניסים"/>
        <s v="ליזמי מיכאל"/>
        <s v="סעיד נהוראי"/>
        <s v="צ'אנה ישראל"/>
        <s v="צידון אבי"/>
        <s v="אלטון דרור"/>
        <s v="אלם מארו"/>
        <s v="אמיתי נהוראי לוי"/>
        <s v="אמר רגב"/>
        <s v="אסתו אור"/>
        <s v="ארז אריאל"/>
        <s v="באלוי עידן"/>
        <s v="בוגלה אדיר אישטו"/>
        <s v="בוחניק לביא"/>
        <s v="בזגודוב דניאל"/>
        <s v="ביבי אוריאל"/>
        <s v="ביננשטוק עידו"/>
        <s v="בליך ודים"/>
        <s v="בן דוד ברק"/>
        <s v="בן יהודה איתמר"/>
        <s v="בן יעקב יעד"/>
        <s v="בן משה (מושיאשוילי) מיכאל"/>
        <s v="בר (בן מוחה) ליאון"/>
        <s v="בר עם נטע"/>
        <s v="ברנס שלו"/>
        <s v="ברק תומר"/>
        <s v="גאורי אדיר"/>
        <s v="גבאי יובל"/>
        <s v="גברה עומר"/>
        <s v="גדליה יוסף מלאכי"/>
        <s v="גואטה עמית"/>
        <s v="גליסקו איתי אופק"/>
        <s v="גמזו אילי"/>
        <s v="דגן שלו"/>
        <s v="דהן שקד"/>
        <s v="דוידוביץ׳ שלומי"/>
        <s v="דיין ירון מוריס"/>
        <s v="וולף עומר"/>
        <s v="זוהר ירון"/>
        <s v="זכאי דביר"/>
        <s v="חובלאשוילי אברהם"/>
        <s v="טהר יוסף (יוסי)"/>
        <s v="יאנג נתנאל"/>
        <s v="יואב מיכאל"/>
        <s v="יונה בנימין גבריאל"/>
        <s v="יענקלוב בר"/>
        <s v="ירוחין אופיר"/>
        <s v="כהן איתמר"/>
        <s v="כהן דנית"/>
        <s v="לב בנימין"/>
        <s v="לביא אמיר"/>
        <s v="לוגאסי שמעון יוחאי"/>
        <s v="לוי טל"/>
        <s v="לוי יקיר"/>
        <s v="ליאר נתן חי"/>
        <s v="מזרחי אור"/>
        <s v="מידאני סהר"/>
        <s v="מלכה אור"/>
        <s v="ממן טל"/>
        <s v="מקייס לידור"/>
        <s v="מרציאנו אריק יהודה"/>
        <s v="נגר תומר"/>
        <s v="נידם שוהם שלמה"/>
        <s v="סמוילוב אמיל"/>
        <s v="סעודין סהר"/>
        <s v="סקורי אמיר"/>
        <s v="סקיפקביץ' ויטלי"/>
        <s v="סקריסבסקי רודי"/>
        <s v="עדן חיים מאיר"/>
        <s v="עזיזוב ליאור"/>
        <s v="פרץ עמרי"/>
        <s v="צ'אפל רועי"/>
        <s v="צור יהונתן"/>
        <s v="צור עדי"/>
        <s v="ציוני אופיר"/>
        <s v="צירינג אריה שלמה"/>
        <s v="צפיר דדו"/>
        <s v="קוצרו נתיב"/>
        <s v="קיעאן חביב"/>
        <s v="ראשד דניאל"/>
        <s v="רבינוב מקס"/>
        <s v="רסלר דביר חיים"/>
        <s v="רפאל שלום מאור"/>
        <s v="רשטניקוב שלמה"/>
        <s v="רתנר דוד"/>
        <s v="שי ירון אורי"/>
        <s v="שלומי רום"/>
        <s v="ישראל שני עידו"/>
        <s v="שפרבר דניאל"/>
        <s v="שקותאי גלי רועי"/>
        <s v="טהר אדיר"/>
        <s v="אהרן יוגב"/>
        <s v="אוחיון אביתר"/>
        <s v="בזק גיא"/>
        <s v="בטיטו ראם מאיר"/>
        <s v="בלאי בנימין"/>
        <s v="בן חמו מיכאל"/>
        <s v="בן מוחה עילי נועם"/>
        <s v="טקה בנימין טשגר"/>
        <s v="מיטלמן דוד"/>
        <s v="סביצקי יונתן"/>
        <s v="סגל אוריאל"/>
        <s v="פלד עמית"/>
        <s v="פרץ רז (רזיאל)"/>
        <s v="רובין עמיחי שמעון"/>
        <s v="רוזנשטיין בר"/>
        <s v="שני אורי מרדכי"/>
        <s v="ששון אלעד מיכאל"/>
        <s v="ראוכברגר שילה"/>
        <s v="אברמוביץ' נועם"/>
        <s v="איל אמיר"/>
        <s v="אילת שיר"/>
        <s v="אמויאל דולב"/>
        <s v="אסראף סיון שמחה"/>
        <s v="אשל רוני"/>
        <s v="אשרם שי"/>
        <s v="ביטון שיר"/>
        <s v="בן שטרית שמעון אלרואי"/>
        <s v="גלס ים"/>
        <s v="גרומן עדי"/>
        <s v="דוכן יוחאי"/>
        <s v="הר אבן שילה"/>
        <s v="ויאלובו פולו מיה"/>
        <s v="חג'ג' אביב"/>
        <s v="חיים פור שיראל"/>
        <s v="יוגב בועז מנשה"/>
        <s v="יעבץ יפתח"/>
        <s v="כהן הדר מרים"/>
        <s v="כרמי אורי"/>
        <s v="לזימי דור"/>
        <s v="לייבושור יעל"/>
        <s v="לנדמן עדי"/>
        <s v="מור שיראל"/>
        <s v="נימרי עדן"/>
        <s v="ניסני שחף"/>
        <s v="סיבוני נאור"/>
        <s v="עמר שירת ים"/>
        <s v="פיטוסי ישי"/>
        <s v="פלד ירין מארי"/>
        <s v="פרייס נועה"/>
        <s v="קרסנינסקי יעקב (יענקי) שלמה"/>
        <s v="רון איתי אברהם"/>
        <s v="שוחט שירה"/>
        <s v="דקל נחמן"/>
        <s v="מוסט עמית"/>
        <s v="מלמן אופיר"/>
        <s v="סעדון הלל שמואל"/>
        <s v="שוורץ שגב"/>
        <s v="סויסה דקל"/>
        <s v="פרי רועי"/>
        <s v="אסייג רווית חנה"/>
        <s v="סאלם פלג"/>
        <s v="אביטל גיל"/>
        <s v="בן יעקב ליאור"/>
        <s v="אסולין דן"/>
        <s v="נחמיאס איתי"/>
        <s v="בהרב רבינוביץ' עדי"/>
        <s v="דולב תומר"/>
        <s v="וקס יגאל"/>
        <s v="וקס עמית"/>
        <s v="שטרן אורן"/>
        <s v="תעסה גיל"/>
        <s v="כהן אביעד גד"/>
        <s v="סויד בכור חי"/>
        <s v="שישפורטיש ראובן"/>
        <s v="דוידיאן אופיר"/>
        <s v="לוי ליאור"/>
        <s v="עיש איתמר"/>
        <s v="פרבוסודובה אלינה"/>
        <s v="פרש אהרון"/>
        <s v="שלמה שיר"/>
        <s v="אביטל אור"/>
        <s v="אלון לוי עדן"/>
        <s v="בוני נעמה"/>
        <s v="בן סימון אדר"/>
        <s v="בר שדה עילי"/>
        <s v="גולן יונתן"/>
        <s v="טל סהר"/>
        <s v="טסטה אופיר"/>
        <s v="לוקר אורי"/>
        <s v="ליבוביץ' תומר"/>
        <s v="לישה דביר"/>
        <s v="מאור איתי"/>
        <s v="מוזס אור"/>
        <s v="מלייב יואב"/>
        <s v="משה אוראל"/>
        <s v="נגרי נריה אהרון"/>
        <s v="עבודי אדיר"/>
        <s v="ניב פיירשטיין עומרי"/>
        <s v="צור עמית"/>
        <s v="קמינקא ינאי"/>
        <s v="בן יעקב יובל"/>
        <s v="הרוש עידו"/>
        <s v="אבן מרעי סלמאן"/>
        <s v="אברהם אוריאל"/>
        <s v="אברהם דבי (דבורה)"/>
        <s v="בלוכמן יקיר"/>
        <s v="ברזילי אושר שמחה"/>
        <s v="הנקין אברהם"/>
        <s v="ח'רובה איברהים"/>
        <s v="יהושע עידו"/>
        <s v="ינין סיון"/>
        <s v="יפרח אליאור"/>
        <s v="כהן יוראי אליהו"/>
        <s v="מחלוף סהר ציון"/>
        <s v="שלמה משהאל"/>
        <s v="סיון בר"/>
        <s v="עזר עילי"/>
        <s v="עמאר נתאי"/>
        <s v="פלורס גרסיה ברנדו דוד"/>
        <s v="רז עידן"/>
        <s v="שיינקמן סטניסלב"/>
        <s v="שמעיה אושר"/>
        <s v="אדרי עידו"/>
        <s v="אליהו אביב"/>
        <s v="אלמלם מתן (קידו)"/>
        <s v="ארביב אופק"/>
        <s v="באוסי איתי יהודה"/>
        <s v="דוקרקר קים"/>
        <s v="דראושה עווד"/>
        <s v="ווקסר דאונוב יוליה"/>
        <s v="חושן הדר"/>
        <s v="חנום חזי (יחזקאל)"/>
        <s v="טוויג יפתח דן"/>
        <s v="טויטו עדיאל"/>
        <s v="טיברג אברהם גלעד"/>
        <s v="טשרניחובסקי אורי"/>
        <s v="לוק אלכסנדר (אלכס)"/>
        <s v="ליבוביץ' שרון"/>
        <s v="מרלו ג'ייק"/>
        <s v="נחמן עילי"/>
        <s v="סאסי אבי"/>
        <s v="קנפו שי אל"/>
        <s v="קרסיק ויטלי"/>
        <s v="רחמני שרון"/>
        <s v="ריבלין אביעד שר שלום"/>
        <s v="ריבלין גדעון הראל"/>
        <s v="ריכטר יונתן (שפיק)"/>
        <s v="רם עמרי"/>
        <s v="שפירא ענר אליקים"/>
        <s v="נעים אמיר"/>
        <s v="אבני חגי"/>
        <s v="אברג'יל אלירן"/>
        <s v="אוחנה אריאל"/>
        <s v="אליהו אריאל"/>
        <s v="בויום גיל"/>
        <s v="בלקין עמרי"/>
        <s v="בן דוד נריה"/>
        <s v="גוטין יונתן"/>
        <s v="גולן שגיא"/>
        <s v="גינסברג אלי"/>
        <s v="גנות דן"/>
        <s v="גנסיה ולנטין (אלי)"/>
        <s v="דוידוב ג'יאר"/>
        <s v="דנילוב בוריס"/>
        <s v="חדד איתן"/>
        <s v="טרקינסקי בנימין (בנג׳י)"/>
        <s v="יהושע איתי"/>
        <s v="כהן אהד (בודי)"/>
        <s v="כהן שילה"/>
        <s v="לקס נווה אלעזר"/>
        <s v="מאיר דוד חיים"/>
        <s v="מולוגטה גדיף"/>
        <s v="מנגדי דור"/>
        <s v="נגרי רועי"/>
        <s v="עמר אבי"/>
        <s v="צמח שחר"/>
        <s v="קלמנזון אלחנן מאיר"/>
        <s v="קראוניק אריה (אריק)"/>
        <s v="רוסו אופק"/>
        <s v="אלון אוראל שלום"/>
        <s v="מונס אלמוסנינו לירן"/>
        <s v="גורני יפתח"/>
        <s v="כצמן חיים ישורון"/>
        <s v="קורין אברהם גבריאל"/>
        <s v="חוברה עידו"/>
        <s v="מלכה מתן"/>
        <s v="מרגוליס סער"/>
        <s v="אביאני שחר"/>
        <s v="אילון טל"/>
        <s v="ברגשטיין שחף"/>
        <s v="ברונשטיין בן"/>
        <s v="ברעם אביב"/>
        <s v="דושי רותם"/>
        <s v="הנדי אברהם חננאל"/>
        <s v="ונינו עמיחי יעקב"/>
        <s v="זיסר עילי"/>
        <s v="כהן טל"/>
        <s v="ליבשטיין אופיר"/>
        <s v="מיכאלי עמרי"/>
        <s v="נהרי רועי"/>
        <s v="סלומון יובל"/>
        <s v="עדני איליי"/>
        <s v="עמיקם נדב"/>
        <s v="פישר אמיר"/>
        <s v="צור אמיר"/>
        <s v="קמה הדר"/>
        <s v="רוסו אורי שמעון"/>
        <s v="רן אור יוסף"/>
        <s v="בן הרוש שהם משה"/>
        <s v="וייזר רועי חיים"/>
        <s v="ויצן ישראל עמיחי"/>
        <s v="רזיאל (רוזנברג) ידידיה משה"/>
        <s v="שוהם תומר"/>
        <s v="שטיינברג יהונתן"/>
        <s v="ירון אופיר מרדכי"/>
        <s v="פליישר אברהם (אבי)"/>
        <s v="בוכריס חן"/>
        <s v="ברקת רועי"/>
        <s v="ירחי דור"/>
        <s v="פוסלושני רן"/>
        <s v="פיורנטינו אילן"/>
        <s v="רוזנטל אפיק"/>
        <s v="אברהם בועז"/>
        <s v="ארזי אופק"/>
        <s v="חיימי טל"/>
        <s v="שחר ירון ויקטור"/>
        <s v="אצילי אביב"/>
        <s v="אברג'יל מתן"/>
        <s v="גנדל רומן"/>
        <s v="אגמון אדם"/>
        <s v="אחימס תומר יעקב"/>
        <s v="אלפסי אורן"/>
        <s v="ברודסקי קיריל"/>
        <s v="חממי אסף"/>
        <s v="פוזדניאקוב אליק"/>
        <s v="ארז אופיר"/>
        <s v="יעקב מזרחי תומר"/>
        <s v="קליין אייל"/>
        <s v="נגבי רם"/>
        <s v="כהן איתי"/>
        <s v="סלוטקי ישי"/>
        <s v="סלוטקי נועם"/>
        <s v="רוזנטל עידו"/>
        <s v="אוחנדוב אמין"/>
        <s v="בודובסקי אלכסיי"/>
        <s v="בוזוקושווילי יצחק (בוזוקה)"/>
        <s v="בן בסט יותם"/>
        <s v="בן משה אריאל"/>
        <s v="ברד אלון"/>
        <s v="לוי רועי יוסף"/>
        <s v="מרקוביצ'י אהרון ארתור"/>
        <s v="פושיבאי אנדריי"/>
        <s v="קרים מליק"/>
        <s v="רוטנברג נועם אלימלך"/>
        <s v="שמחי גיא"/>
        <s v="שמיר מרדכי (מוטי)"/>
        <s v="שמעיה יעקב (קובי)"/>
        <s v="אבו סבילה עאמר"/>
        <s v="אברג'ל מאיר"/>
        <s v="בלנקי דניס"/>
        <s v="בן דיין דוד"/>
        <s v="ברוכים יוסף איתמר"/>
        <s v="גולימה סמצאו שמואל"/>
        <s v="גרושקה טל"/>
        <s v="הרוש אליהו מיכאל"/>
        <s v="מרציאנו איתי אליהו"/>
        <s v="נאמן איתן מנחם"/>
        <s v="נחמיאס חן"/>
        <s v="צבאן שלום"/>
        <s v="קאדר יהודה"/>
        <s v="קוזמיצקס מרטין"/>
        <s v="רובינשטיין בן"/>
        <s v="שלמה אדיר"/>
        <s v="שמקלוב אלכסיי"/>
        <s v="שקורי מור"/>
        <s v="אילוז גיא"/>
        <s v="טאללקה סאמר פואד"/>
        <s v="אנגל רונן"/>
        <s v="בייזר ניק"/>
        <s v="ברוך סהר"/>
        <s v="גורן מיה"/>
        <s v="וייס יהודית"/>
        <s v="זכריה עדן"/>
        <s v="זלמנוביץ' אריה"/>
        <s v="חיים יותם"/>
        <s v="טולדנו אליה"/>
        <s v="לוי איתן"/>
        <s v="לוק שני ניקול"/>
        <s v="מרגלית אליהו (צ'רצ'יל)"/>
        <s v="מרציאנו נועה"/>
        <s v="סמרנו יונתן מרדכי"/>
        <s v="קידר עופרה"/>
        <s v="שמריז אלון (לולו)"/>
        <s v="שרמן רון"/>
        <s v="Mollel Joshua Loitu"/>
        <s v="אברהים מאג'ד"/>
        <s v="אבו קרינאת נעאמה"/>
        <s v="Natalia Demidova"/>
        <s v="הייניק ראובן"/>
        <s v="וייס אילן"/>
        <s v="הלל יותם"/>
        <s v="כהן עמית"/>
        <s v="אמסלם אביחי"/>
        <s v="הימן ענבר"/>
        <s v="דנינו דניאל משה"/>
        <s v="איוס ניב"/>
        <s v="הליבני יובל"/>
        <s v="ויינשטיין ג'ודי"/>
        <s v="חגי גדי"/>
        <s v="אדר תמיר"/>
        <s v="מאסלי אלכסנדר"/>
        <s v="שדה דור"/>
        <s v="מלקמו אביאל"/>
        <s v="Diawthaisong Jakkapan"/>
        <s v="Champasim Saksit"/>
        <s v="Ra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עלוש דני"/>
        <s v="דניאלי טל"/>
        <s v="סבירסקי איתי"/>
        <s v="שרעבי יוסי"/>
        <s v="לוינסון שי"/>
        <s v="Goyitom Gebrehiyet"/>
        <s v="Berhe Wolderaphael Hagos"/>
        <s v="גואילי רן"/>
        <s v="יעקב יאיר"/>
        <s v="דניאל עוז"/>
        <s v="חן איתי"/>
        <s v="פרץ דניאל"/>
        <s v="ברוך אוריאל"/>
        <s v="בראווי האשם"/>
        <s v="מסרי סוהייל"/>
        <s v="אלמסרי חורי"/>
        <s v="אלעטאר סלימאן"/>
      </sharedItems>
    </cacheField>
    <cacheField name="age" numFmtId="0">
      <sharedItems containsString="0" containsBlank="1" containsNumber="1" containsInteger="1">
        <n v="77.0"/>
        <n v="35.0"/>
        <n v="28.0"/>
        <n v="53.0"/>
        <n v="58.0"/>
        <n v="39.0"/>
        <n v="45.0"/>
        <n v="81.0"/>
        <n v="56.0"/>
        <n v="43.0"/>
        <n v="52.0"/>
        <n v="29.0"/>
        <n v="25.0"/>
        <n v="66.0"/>
        <n v="61.0"/>
        <n v="76.0"/>
        <n v="65.0"/>
        <n v="86.0"/>
        <n v="78.0"/>
        <n v="40.0"/>
        <n v="68.0"/>
        <n v="71.0"/>
        <n v="70.0"/>
        <n v="17.0"/>
        <n v="63.0"/>
        <n v="24.0"/>
        <n v="64.0"/>
        <n v="33.0"/>
        <n v="34.0"/>
        <n v="36.0"/>
        <n v="4.0"/>
        <n v="7.0"/>
        <n v="48.0"/>
        <n v="26.0"/>
        <n v="49.0"/>
        <n v="47.0"/>
        <n v="38.0"/>
        <n v="22.0"/>
        <n v="27.0"/>
        <n v="42.0"/>
        <n v="31.0"/>
        <n v="37.0"/>
        <n v="54.0"/>
        <n v="60.0"/>
        <n v="18.0"/>
        <n v="21.0"/>
        <n v="72.0"/>
        <n v="32.0"/>
        <n v="67.0"/>
        <n v="59.0"/>
        <n v="62.0"/>
        <n v="30.0"/>
        <n v="23.0"/>
        <n v="41.0"/>
        <n v="57.0"/>
        <n v="20.0"/>
        <n v="44.0"/>
        <n v="46.0"/>
        <n v="50.0"/>
        <n v="19.0"/>
        <n v="74.0"/>
        <n v="16.0"/>
        <n v="14.0"/>
        <n v="51.0"/>
        <n v="15.0"/>
        <n v="75.0"/>
        <n v="73.0"/>
        <n v="69.0"/>
        <n v="12.0"/>
        <n v="0.0"/>
        <n v="87.0"/>
        <n v="80.0"/>
        <n v="84.0"/>
        <n v="88.0"/>
        <n v="13.0"/>
        <n v="91.0"/>
        <n v="90.0"/>
        <n v="85.0"/>
        <n v="79.0"/>
        <n v="5.0"/>
        <n v="2.0"/>
        <n v="55.0"/>
        <n v="9.0"/>
        <m/>
      </sharedItems>
    </cacheField>
    <cacheField name="residence" numFmtId="0">
      <sharedItems>
        <s v="אופקים"/>
        <s v="ערערה בנגב"/>
        <s v="טבריה"/>
        <s v="גילת"/>
        <s v="רהט"/>
        <s v="אשדוד"/>
        <s v="אשקלון"/>
        <s v="באר שבע"/>
        <s v="רמת גן"/>
        <s v="בית שקמה"/>
        <s v="נתיב העשרה"/>
        <s v="עמיעוז"/>
        <s v="מבקיעים"/>
        <s v="ניר יצחק"/>
        <s v="הוד השרון"/>
        <s v="שדה ניצן"/>
        <s v="פיליפינים"/>
        <s v="סודן"/>
        <s v="תאילנד"/>
        <s v="קמבודיה"/>
        <s v="טנזניה"/>
        <s v="יכיני"/>
        <s v="צוהר"/>
        <s v="דקל"/>
        <s v="כפר סבא"/>
        <s v="יתד"/>
        <s v="נען"/>
        <s v="חולון"/>
        <s v="נס ציונה"/>
        <s v="נוקדים"/>
        <s v="רנן"/>
        <s v="קריית גת"/>
        <s v="קריית אונו"/>
        <s v="ישע"/>
        <s v="דימונה"/>
        <s v="מודיעין מכבים רעות"/>
        <s v="נהריה"/>
        <s v="אבו תלול"/>
        <s v="ירושלים"/>
        <s v="תל שבע"/>
        <s v="ראש העין"/>
        <s v="אילת"/>
        <s v="גן חיים"/>
        <s v="קיסריה"/>
        <s v="מרכז שפירא"/>
        <s v="בית אריה"/>
        <s v="פרדס חנה-כרכור"/>
        <s v="חדרה"/>
        <s v="תל אביב"/>
        <s v="לפיד"/>
        <s v="טירת הכרמל"/>
        <s v="ראשון לציון"/>
        <s v="קריית מלאכי"/>
        <s v="אליכין"/>
        <s v="גני תקווה"/>
        <s v="ענתות"/>
        <s v="כיסופים"/>
        <s v="כסייפה"/>
        <s v="בני ברק"/>
        <s v="קריית ביאליק"/>
        <s v="רעננה"/>
        <s v="עפולה"/>
        <s v="פתח תקווה"/>
        <s v="חד נס"/>
        <s v="אבן יהודה"/>
        <s v="סעד"/>
        <s v="הרצליה"/>
        <s v="עצמון"/>
        <s v="נתניה"/>
        <s v="בית אלפא"/>
        <s v="גן השומרון"/>
        <s v="כרמיאל"/>
        <s v="כפר מסריק"/>
        <s v="בית נחמיה"/>
        <s v="ביתר עלית"/>
        <s v="מבטחים"/>
        <s v="רחובות"/>
        <s v="צור משה"/>
        <s v="אור עקיבא"/>
        <s v="צפת"/>
        <s v="חיפה"/>
        <s v="אחוזת ברק"/>
        <s v="כפר יונה"/>
        <s v="שערי תקווה"/>
        <s v="גן נר"/>
        <s v="ציפורי"/>
        <s v="יקנעם עילית"/>
        <s v="כפר בן נון"/>
        <s v="גן יבנה"/>
        <s v="עומר"/>
        <s v="קדרון"/>
        <s v="בת ים"/>
        <s v="צופים"/>
        <s v="קריית ים"/>
        <s v="בית דגן"/>
        <s v="בית שמש"/>
        <s v="גבעון"/>
        <s v="להבים"/>
        <s v="צוחר"/>
        <s v="גדרה"/>
        <s v="עין המפרץ"/>
        <s v="גן הדרום"/>
        <s v="פלמחים"/>
        <s v="אלפי מנשה"/>
        <s v="מזכרת בתיה"/>
        <s v="אלעזר"/>
        <s v="רמת השרון"/>
        <s v="כפר ורבורג"/>
        <s v="מצפה עדי"/>
        <s v="גבים"/>
        <s v="רמלה"/>
        <s v="יהוד מונוסון"/>
        <s v="מחולה"/>
        <s v="בית חשמונאי"/>
        <s v="אזור"/>
        <s v="מיתר"/>
        <s v="מעלות תרשיחא"/>
        <s v="נווה ימין"/>
        <s v="פרדסיה"/>
        <s v="שדי חמד"/>
        <s v="חריש"/>
        <s v="פדויים"/>
        <s v="שדה נחום"/>
        <s v="קבוצת יבנה"/>
        <s v="קרני שומרון"/>
        <s v="שוהם"/>
        <s v="חניאל"/>
        <s v="כפר הס"/>
        <s v="גבעת זאב"/>
        <s v="גבעתי"/>
        <s v="נווה אור"/>
        <s v="יבנה"/>
        <s v="קריית עקרון"/>
        <s v="הסוללים"/>
        <s v="זכרון יעקב"/>
        <s v="בית שאן"/>
        <s v="תל מונד"/>
        <s v="אריאל"/>
        <s v="קריית חיים"/>
        <s v="קריית אתא"/>
        <s v="קרית אתא"/>
        <s v="ניר בנים"/>
        <s v="תלמי יוסף"/>
        <s v="שדרות"/>
        <s v="סמר"/>
        <s v="קריית מוצקין"/>
        <s v="רמת ישי"/>
        <s v="נשר"/>
        <s v="מבשרת"/>
        <s v="שפיר"/>
        <s v="בארי"/>
        <s v="בית יצחק"/>
        <s v="כפר תבור"/>
        <s v="קציר"/>
        <s v="לוד"/>
        <s v="ניר עם"/>
        <s v="משמר איילון"/>
        <s v="עין שמר"/>
        <s v="משואות יצחק"/>
        <s v="כפר עזה"/>
        <s v="נתיבות"/>
        <s v="סרי לנקה"/>
        <s v="חולית"/>
        <s v="מולדובה"/>
        <s v="כפר חיים"/>
        <s v="נחל עוז"/>
        <s v="ניר עוז"/>
        <s v="גרמניה"/>
        <s v="בריטניה"/>
        <s v="נירים"/>
        <s v="סופה"/>
        <s v="עין השלושה"/>
        <s v="קריית ארבע"/>
        <s v="נפאל"/>
        <s v="רעים"/>
        <s v="שגב שלום"/>
        <s v="סין"/>
        <s v="כפר כוחלה"/>
        <s v="אבו קרינאת"/>
        <s v="כפר אביב"/>
        <s v="רמות מאיר"/>
        <s v="אלון שבות"/>
        <s v="יבול"/>
        <s v="צורית"/>
        <s v="רינתיה"/>
        <s v="שדה נחמיה"/>
        <s v="עמקה"/>
        <s v="שלומית"/>
        <s v="כפר ברוך"/>
        <s v="גבעת חיים איחוד"/>
        <s v="ביצרון"/>
        <s v="גבעת שמואל"/>
        <s v="עכו"/>
        <s v="מורשת"/>
        <s v="קריית שמונה"/>
        <s v="אוהד"/>
        <s v="קדומים"/>
        <s v="מעלה אדומים"/>
        <s v="חורה"/>
        <s v="שפרעם"/>
        <s v="ערוגות"/>
        <s v="קדימה צורן"/>
        <s v="גנות"/>
        <s v="צופר"/>
        <s v="כוכב יאיר"/>
        <s v="מודיעין עילית"/>
        <s v="מוצא עלית"/>
        <s v="עלי"/>
        <s v="גבעת ברנר"/>
        <s v="כפר שמואל"/>
        <s v="צור יצחק"/>
        <s v="חוגלה"/>
        <s v="עלמון"/>
        <s v="גבעתיים"/>
        <s v="טלמון"/>
        <s v="זיתן"/>
        <s v="גיאה"/>
        <s v="מבועים"/>
        <s v="עמנואל"/>
        <s v="מעלה מכמש"/>
        <s v="בר-גיורא"/>
        <s v="פטיש"/>
        <s v="מרום גולן"/>
        <s v="נירית"/>
        <s v="נווה זיו"/>
        <s v="צרעה"/>
        <s v="ניצן"/>
        <s v="רכסים"/>
        <s v="צור הדסה"/>
        <s v="כפר מנחם"/>
        <s v="מצפה רמון"/>
        <s v="אלון"/>
        <s v="מע'אר"/>
        <s v="איילת השחר"/>
        <s v="ערד"/>
        <s v="שפיים"/>
        <s v="עלומים"/>
        <s v="באר יעקב"/>
        <s v="אלקוש"/>
        <s v="איכסאל"/>
        <s v="עזריה"/>
        <s v="קנדה"/>
        <s v="אבשלום"/>
        <s v="לוס אנג׳לס"/>
        <s v="עתניאל"/>
        <s v="עין הוד"/>
        <s v="עשרת"/>
        <s v="ארז"/>
        <s v="רבדים"/>
        <s v="מצפה יריחו"/>
        <s v="דברת"/>
        <s v="חדיד"/>
        <s v="עידן"/>
        <s v="עוצם"/>
        <s v="כמהין"/>
        <s v="באר מילכה"/>
        <s v="גשר הזיו"/>
        <s v="שמשית"/>
        <s v="קצרין"/>
        <s v="גבעת אלה"/>
        <s v="גני טל"/>
        <s v="אורה"/>
        <s v="גבעת שפירא"/>
        <s v="איתמר"/>
        <s v="חספין"/>
        <s v="אפרת"/>
        <s v="כרם שלום"/>
        <s v="שריגים"/>
        <s v="שומריה"/>
        <s v="מגן"/>
        <s v="חרמש"/>
        <s v="כמון"/>
        <s v="הושעיה"/>
        <s v="כפר הרי&quot;ף"/>
        <s v="בן שמן"/>
        <s v="בת חפר"/>
        <s v="שבי ציון"/>
        <s v="חוות יאיר"/>
        <s v="ניר עקיבא"/>
        <s v="בית עריף"/>
        <s v="טנא"/>
        <s v="עין בשור"/>
        <s v="אבו גוש"/>
        <s v="אוקראינה"/>
        <s v="ברקת"/>
        <s v="משגב דב"/>
        <s v="גבעת אבני"/>
        <s v="אריתריאה"/>
        <s v="יד בנימין"/>
        <s v="טבעון"/>
        <s v="עזה"/>
      </sharedItems>
    </cacheField>
    <cacheField name="sex" numFmtId="0">
      <sharedItems>
        <s v="גבר"/>
        <s v="אישה"/>
        <s v="ילדה"/>
        <s v="ילד"/>
      </sharedItems>
    </cacheField>
    <cacheField name="citizenGroup" numFmtId="0">
      <sharedItems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</sharedItems>
    </cacheField>
    <cacheField name="rank" numFmtId="0">
      <sharedItems containsBlank="1">
        <m/>
        <s v="רס״ל"/>
        <s v="סמ״ר"/>
        <s v="סמל"/>
        <s v="סרן"/>
        <s v="רס״ב"/>
        <s v="רב״ט"/>
        <s v="רס״ן"/>
        <s v="רס״מ"/>
        <s v="רנ״ג"/>
        <s v="רס״ר"/>
        <s v="פקד"/>
        <s v="רפ״ק"/>
        <s v="סנ״צ"/>
        <s v="אל״ם"/>
        <s v="סגן"/>
        <s v="רס״ם"/>
        <s v="סא״ל"/>
        <s v="סמ״ש"/>
        <s v="נצ״מ"/>
        <s v="סרן (במיל')"/>
        <s v="סגן טפסר"/>
        <s v="סמ&quot;ר"/>
        <s v="רס&quot;ל"/>
      </sharedItems>
    </cacheField>
    <cacheField name="date">
      <sharedItems containsMixedTypes="1" containsNumber="1" containsInteger="1">
        <s v="07.10.2023"/>
        <n v="2023.0"/>
        <s v="08.10.2023"/>
        <s v="09.10.2023"/>
        <s v="14.10.2023"/>
        <s v="15.12.2023"/>
        <s v="10.11.2023"/>
        <s v="08.12.2023"/>
        <s v="17.11.2023"/>
        <s v="09.11.2023"/>
        <s v="14.01.2024"/>
        <s v="10.01.2024"/>
      </sharedItems>
    </cacheField>
    <cacheField name="location" numFmtId="0">
      <sharedItems>
        <s v="צומת מגן"/>
        <s v="צומת מעון"/>
        <s v="אופקים"/>
        <s v="אנדרטת חץ שחור"/>
        <s v="צומת קרית חינוך מרחבים"/>
        <s v="חוף זיקים; מיגונית"/>
        <s v="חוף זיקים"/>
        <s v="חוף זיקים; שירותים"/>
        <s v="עמיעוז"/>
        <s v="ירי בשוגג ליד תחנת כח רוטנברג"/>
        <s v="נתיב העשרה - ארז"/>
        <s v="ניר יצחק"/>
        <s v="צומת גמה"/>
        <s v="שדות יכיני"/>
        <s v="סמוך למפלסים"/>
        <s v="צומת שער הנגב"/>
        <s v="סמוך לנובה"/>
        <s v="צומת מבטחים"/>
        <s v="דרומית לגבים"/>
        <s v="שדרות"/>
        <s v="ניר עוז"/>
        <s v="חולית"/>
        <s v="עלומים; מגורי עובדים"/>
        <s v="כיסופים"/>
        <s v="כפר עזה"/>
        <s v="ישע"/>
        <s v="יכיני"/>
        <s v="מזרחית לניר יצחק"/>
        <s v="נתיב העשרה"/>
        <s v="מיגונית בצומת בארי"/>
        <s v="סמוך לצומת גמה"/>
        <s v="שער ניר עוז"/>
        <s v="מדרום לצומת גמה"/>
        <s v="פסטיבל נובה; מיגונית חניון רעים"/>
        <s v="מזרחית לצומת מעון"/>
        <s v="בארי; ארוע בני ערובה"/>
        <s v="מיגונית בכניסה לרעים (מערב)"/>
        <s v="פסטיבל נובה; סמוך למכולות הצהובות"/>
        <s v="מיגונית בכניסה לרעים (מזרח)"/>
        <s v="סמוך למיגונית בצומת גמה (דרום)"/>
        <s v="פסטיבל נובה; במה מרכזית"/>
        <s v="פסטיבל נובה"/>
        <s v="פסטיבל נובה; בר צפוני"/>
        <s v="סמוך לצומת בארי"/>
        <s v="בכניסה לעלומים"/>
        <s v="מיגונית בכניסה לעלומים"/>
        <s v="סמוך לתל גמה"/>
        <s v="ירי בשוגג בעלומים"/>
        <s v="כביש שער הנגב מפלסים"/>
        <s v="סמוך לצומת רעים"/>
        <s v="מיגונית בצומת גמה (צפון)"/>
        <s v="מיגונית בצומת גמה (מערב)"/>
        <s v="פסטיבל נובה; בר מרכזי"/>
        <s v="בכניסה לרעים"/>
        <s v="פסטיבל נובה; קמפינג"/>
        <s v="בין נובה לרעים"/>
        <s v="בארי"/>
        <s v="פסטיבל נובה; מכולות צהובות"/>
        <s v="עיקול נחל בוהו"/>
        <s v="עיקול נחל גרר"/>
        <s v="מיגונית מפלסים"/>
        <s v="כביש רעים - אורים"/>
        <s v="פסטיבל נובה; חניה"/>
        <s v="מיגונית בצומת גמה (דרום)"/>
        <s v="מזרחית לחניון רעים"/>
        <s v="פסטיבל נובה; אמבולנס"/>
        <s v="פסטיבל נובה; גשר נחל גרר"/>
        <s v="מזרחית לכניסה לרעים"/>
        <s v="כביש רעים - צומת מעון"/>
        <s v="פסטיבל נובה; חסימה בכביש 232"/>
        <s v="פסטיבל נובה; פקק ביציאה"/>
        <s v="סמוך לכיסופים"/>
        <s v="דרומית מזרחית לחניון רעים"/>
        <s v="פסטיבל נובה; שירותים כימיים"/>
        <s v="סמוך לצומת מבטחים"/>
        <s v="צפונית לצומת גמה"/>
        <s v="מערבית לצומת גמה"/>
        <s v="מזרחית לרעים"/>
        <s v="צומת ניר יצחק"/>
        <s v="סמוך למיגונית בצומת גמה (צפון)"/>
        <s v="מצפון לתל גמה"/>
        <s v="כביש יכיני יושיביה"/>
        <s v="כביש עלומים - בארי"/>
        <s v="עזה; מסגד סמוך לביה&quot;ח שיפא"/>
        <s v="רעים"/>
        <s v="נחל גרר מערב"/>
        <s v="נחל עוז"/>
        <s v="בין ניר עוז לגבול"/>
        <s v="מערבית לניר עוז"/>
        <s v="נירים"/>
        <s v="סופה"/>
        <s v="עין השלושה"/>
        <s v="צפונית לצומת שער הנגב"/>
        <s v="יד מרדכי - נתיב העשרה; קבוצת ריצה"/>
        <s v="שדרות; אוטובוס הגמלאים"/>
        <s v="ערערה בנגב"/>
        <s v="דרומית למבטחים"/>
        <s v="כוחלה"/>
        <s v="אבו קרינאת"/>
        <s v="כפר אביב"/>
        <s v="אשקלון"/>
        <s v="נתיבות"/>
        <s v="פרי גן"/>
        <s v="מוצב הבית הלבן"/>
        <s v="מוצב נחל עוז; מיגונית 13"/>
        <s v="מוצב כיסופים; מיגונית"/>
        <s v="מעבר ארז"/>
        <s v="מוצב נחל עוז; חמ&quot;ל"/>
        <s v="מוצב נחל עוז; ש.ג."/>
        <s v="מוצב סופה"/>
        <s v="מוצב פגה"/>
        <s v="מוצב נחל עוז; נמ&quot;ר"/>
        <s v="מערבית לזיקים"/>
        <s v="מוצב נחל עוז; בלונאים"/>
        <s v="מזרחית למחנה עופר"/>
        <s v="צומת שדרות דרום"/>
        <s v="שדרות; תחנת משטרה"/>
        <s v="מוצב ק2"/>
        <s v="מחנה אורים"/>
        <s v="כרם שלום"/>
        <s v="מוצב כרם שלום"/>
        <s v="מבטחים"/>
        <s v="סמוך למוצב כיסופים"/>
        <s v="מוצב נחל עוז; סמוך לבלונאים"/>
        <s v="מש&quot;א ארז"/>
        <s v="מוצב יפתח"/>
        <s v="מו&quot;פ דרום"/>
        <s v="מחנה רעים"/>
        <s v="בין סופה לחולית"/>
        <s v="מוצב כיסופים"/>
        <s v="סמוך לכביש 2424"/>
        <s v="מוצב נחל עוז; מיגונית בנות"/>
        <s v="מוצב נחל עוז; מגורים"/>
        <s v="מוצב נחל עוז; מיגונית צמא"/>
        <s v="כביש סעד - נחל עוז"/>
        <s v="ירי בשוגג בדרך לנתיב העשרה"/>
        <s v="מוצב נחל עוז; טנק א"/>
        <s v="מחנה זיקים"/>
        <s v="מוצב נחל עוז; טנק ב"/>
        <s v="סמוך למחנה רעים"/>
        <s v="כביש רעים - בארי"/>
        <s v="סמוך לארז"/>
        <s v="עמדה 91"/>
        <s v="בין יתד לאמיתי"/>
        <s v="צפונית לכרם שלום"/>
        <s v="צומת מועצה אזורית אשכול"/>
        <s v="מגן"/>
        <s v="מערבית לניר עם"/>
        <s v="עלומים"/>
        <s v="כביש מפלסים - כפר עזה"/>
        <s v="דיר אל בלח; בי&quot;ח חללי אל אקצא"/>
        <s v="ירי בשוגג בשג'אעיה"/>
        <s v="ג'באליה"/>
        <s v="רצועת עזה"/>
        <s v="עזה; מבנה סמוך לביה&quot;ח שיפא"/>
        <s v="חאן יונס; ביה&quot;ח נאצר"/>
        <s v="עזה; ביה&quot;ח שיפא"/>
        <s v="בארי הישנה"/>
        <s v="אבו גוש"/>
        <s v="מטע סמוך לבארי"/>
        <s v="ירי בשוגג ליד צומת ניצן"/>
        <s v="סמוך למחלף שורק"/>
        <s v="ירי בשוגג בצומת אבשלום"/>
        <s v="נוסייראת"/>
      </sharedItems>
    </cacheField>
    <cacheField name="category" numFmtId="0">
      <sharedItems>
        <s v="אזרחים וכיתות כוננות"/>
        <s v="שוטרים וכוחות הצלה"/>
        <s v="ירי רקטי"/>
        <s v="חיילים"/>
      </sharedItems>
    </cacheField>
    <cacheField name="comment" numFmtId="0">
      <sharedItems containsBlank="1">
        <m/>
        <s v="פסטיבל נובה"/>
        <s v="מידברן"/>
        <s v="מסיבת פסיידאק"/>
      </sharedItems>
    </cacheField>
    <cacheField name="eng" numFmtId="0">
      <sharedItems>
        <s v="Michael Ostrovsky"/>
        <s v="Fatma Altlakat"/>
        <s v="Ariel Bilya"/>
        <s v="Itzhak Balti"/>
        <s v="Moshe Ben Porat"/>
        <s v="Andrei Jambacov"/>
        <s v="Zoya Jambacov"/>
        <s v="Victoria Gredeskul"/>
        <s v="Sergei Gredeskul"/>
        <s v="Reuven Vizman"/>
        <s v="Zarek Hativ"/>
        <s v="Avi Zakuto"/>
        <s v="Avi Hatuel"/>
        <s v="Shimi Hayat"/>
        <s v="Aharon Haimov"/>
        <s v="Yiftach Yahnagilov"/>
        <s v="Maria Yahnagilov"/>
        <s v="Yuri Yadgarov"/>
        <s v="Rosa Yadgarov"/>
        <s v="Edna Malkamo"/>
        <s v="Anna Mishayev"/>
        <s v="Emma Poliakov"/>
        <s v="Yelizabeta Kostitzin"/>
        <s v="Binyamin Rahamim"/>
        <s v="Eliyahu Ozen"/>
        <s v="Aryeh Ozen"/>
        <s v="Alrahman Atef Alziadna Abed"/>
        <s v="John Aslanov"/>
        <s v="Benyamin Genish"/>
        <s v="Alina Weissberg"/>
        <s v="Avi Hasday"/>
        <s v="Nadav Yossef Hai Tayeb"/>
        <s v="Yuri Lisovoy"/>
        <s v="Svetlana Lisovoy"/>
        <s v="Yulia Chaben"/>
        <s v="Denil Kimenfeld"/>
        <s v="Shahaf Krief"/>
        <s v="Tal Keren"/>
        <s v="Robert Shaulov"/>
        <s v="Or Tasa"/>
        <s v="Ziva Ovitz"/>
        <s v="Adi Ohana"/>
        <s v="Chaimi Ben Naim"/>
        <s v="Oren Goldin"/>
        <s v="Vitaly Lugvinechenko"/>
        <s v="Roei moshe"/>
        <s v="Nir Popov"/>
        <s v="Ethan Kapshetar"/>
        <s v="Aline Kapshetar"/>
        <s v="Dina Kapshetar"/>
        <s v="Evgeni Kapshetar"/>
        <s v="Hagit Refaeli Mishkin"/>
        <s v="David (Dudi) Turgeman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h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Elitzur Tzuriel Hajbi"/>
        <s v="Yehonathan Hajbi"/>
        <s v="Izhar Hajbi"/>
        <s v="Osamah Abu Madi'am"/>
        <s v="Shir Yaron"/>
        <s v="Zion Levy"/>
        <s v="Marina Almagor"/>
        <s v="Or Akuni"/>
        <s v="Aryeh Akuni"/>
        <s v="Ruti Akuni"/>
        <s v="Nurit Berger"/>
        <s v="Dani Woveck"/>
        <s v="Bilha Yinon"/>
        <s v="Yaacobi Yinon"/>
        <s v="Ayelet Nir Molcho"/>
        <s v="Shlomi Molcho"/>
        <s v="Havik Segal"/>
        <s v="Moti Elkabatz"/>
        <s v="Gilad Ben-Yehuda"/>
        <s v="Yuval Ben Yehuda"/>
        <s v="Itay Hadar Houston"/>
        <s v="Dan Zomer"/>
        <s v="Noy Zafraani"/>
        <s v="Daniel Asher Cohen"/>
        <s v="Noy Maodi"/>
        <s v="Shahar Gal Kadman"/>
        <s v="Zlata Kosovsky"/>
        <s v="Savyon Chen Kipper"/>
        <s v="Yuval Rabia"/>
        <s v="Noam Rabia"/>
        <s v="Matan Rozeberg"/>
        <s v="Dor Hanan Shafir"/>
        <s v="Dudi Sharon"/>
        <s v="Shamil Abbasov"/>
        <s v="Eden Abdulayev"/>
        <s v="Musa Abu Sabila"/>
        <s v="Suhaib Abu Ame"/>
        <s v="Osama Ibrahim Abu Asa"/>
        <s v="Orel Abuhatzira"/>
        <s v="Aviv Noy"/>
        <s v="Dor Avitan"/>
        <s v="Lotan Abir"/>
        <s v="Gil Avni"/>
        <s v="Oded Abargel"/>
        <s v="Ilan Avraham"/>
        <s v="Laor Abramov"/>
        <s v="Asaf Edberg"/>
        <s v="Mapal Adam"/>
        <s v="Gili Adar"/>
        <s v="Eden Liz Ohayon"/>
        <s v="Daniel Ohana"/>
        <s v="Ben Uri"/>
        <s v="Aviel Oren"/>
        <s v="Gabi Azulay"/>
        <s v="Yohai Azulay"/>
        <s v="Yonatan Chai Azulay"/>
        <s v="Omri Ahrak"/>
        <s v="Ofek Aton"/>
        <s v="Dorin Atias"/>
        <s v="Liel Eitah"/>
        <s v="Sigal Itah"/>
        <s v="Shira Eylon"/>
        <s v="Eliya Iluz"/>
        <s v="Adam Ilaev"/>
        <s v="Iván Illarramendi Saizar"/>
        <s v="Yonatan Eliyahu"/>
        <s v="Shlomo Alfasi"/>
        <s v="Khaled al-Farajin"/>
        <s v="Einav Elkayam-Levy"/>
        <s v="Abd Al-Karim Nasasra"/>
        <s v="Shlomo Eliyahu Alshich"/>
        <s v="Shani Amin"/>
        <s v="Noa Englander"/>
        <s v="Lior Asulin"/>
        <s v="Liraz Asulin"/>
        <s v="Liav Asayag"/>
        <s v="Yarin Moshe Efraim"/>
        <s v="Noam Efraim"/>
        <s v="Matan Ekstein"/>
        <s v="Ori Arad"/>
        <s v="Nevo Arad"/>
        <s v="Dan Ariel"/>
        <s v="Ayelet Arnin"/>
        <s v="Sahar Ashuan"/>
        <s v="Dror Bahat"/>
        <s v="ortal Bubtas Ben-Ayun"/>
        <s v="Doron Bolds"/>
        <s v="Sofia Bongrat"/>
        <s v="Yarden Buskila"/>
        <s v="Neta Boaziz Morali"/>
        <s v="Raz Bokovza"/>
        <s v="Liam Gallon"/>
        <s v="Matias Burstein"/>
        <s v="Einav (Hen) Burstein"/>
        <s v="Benayahu Biton"/>
        <s v="Maya Bitton"/>
        <s v="Ariel Ben Mordechai Bitton"/>
        <s v="Nadav Biton"/>
        <s v="Oron Beiilin"/>
        <s v="Sagiv Baylin Ben Zvi"/>
        <s v="Naomie Bikhar"/>
        <s v="Sapir Bilmes"/>
        <s v="Yehuda Bachar"/>
        <s v="Chen Ben Avi"/>
        <s v="Amit (Yehuda) Ben Avida"/>
        <s v="Celine Ben-David Nagar"/>
        <s v="Ido Ben Zino"/>
        <s v="Yohay Ben Zechariah"/>
        <s v="Or Chaim Ben Hemo"/>
        <s v="Dan Ben Hemo"/>
        <s v="Shahar Ben Naim"/>
        <s v="Daniel Ben Senior"/>
        <s v="Shani Ben-Ami"/>
        <s v="Elyasif Ben Porat"/>
        <s v="Eden Ben Rubi"/>
        <s v="Itay Banjo"/>
        <s v="Din Bar"/>
        <s v="Shoham Bar"/>
        <s v="Yuval Bar-On"/>
        <s v="Gabriel Ishay Barel"/>
        <s v="Eldad (Angel) Bergman"/>
        <s v="Liron Barda"/>
        <s v="Stav Barazani"/>
        <s v="Tal Bartik"/>
        <s v="Nadav Bartal"/>
        <s v="Romi Eli Bernat"/>
        <s v="Eliyahu Ya'akov Bernstein"/>
        <s v="Ben Bernstein"/>
        <s v="Daniel Braslavsky"/>
        <s v="Ilai Baram"/>
        <s v="Shir Georgy Hanna"/>
        <s v="Liel Gherafi"/>
        <s v="Shani Gabay"/>
        <s v="Tamar Gutman"/>
        <s v="Nitzan Goldenberg"/>
        <s v="Tamar Goldenberg"/>
        <s v="Daniel Goltman"/>
        <s v="Margarita Gusak"/>
        <s v="Lilia Gurevich"/>
        <s v="Sharon Gordeni"/>
        <s v="Anton Guryonov"/>
        <s v="Victoria Gorlov"/>
        <s v="Eden Guez"/>
        <s v="Stav Gueta"/>
        <s v="Yaroslav Giler Slava"/>
        <s v="Shahar Gindi"/>
        <s v="Shalev Gal"/>
        <s v="Izabella Gandlin"/>
        <s v="Aviya Ganot"/>
        <s v="Shiran Ganon"/>
        <s v="Sefi Yossef Genis"/>
        <s v="Maor Graziani"/>
        <s v="Dafna Garcovich"/>
        <s v="Rachel Dove"/>
        <s v="Avi Dadon"/>
        <s v="Itzik Dahan"/>
        <s v="Hodaya David"/>
        <s v="Amit David"/>
        <s v="Tair David"/>
        <s v="Karina Ella Davidov"/>
        <s v="Barak Davidi"/>
        <s v="Sean Deutchvili"/>
        <s v="Idan Dor"/>
        <s v="Ronen Deitchman"/>
        <s v="Dan Damri"/>
        <s v="Kim Damti"/>
        <s v="Gal Danguri"/>
        <s v="Lynn Daphne"/>
        <s v="Sharon Hirsch"/>
        <s v="Aviad Halevi"/>
        <s v="Idan Herman"/>
        <s v="Idan Haramaty"/>
        <s v="Limor Vaknin Permuter"/>
        <s v="Daniel Vadai"/>
        <s v="Moshe Vadi"/>
        <s v="Danielle Waldman"/>
        <s v="Simon Vigdergauz"/>
        <s v="Ron Weinberg"/>
        <s v="Liel Weinstein"/>
        <s v="Bruna Valeanu"/>
        <s v="Osher Vaknin"/>
        <s v="Michael Vaknin"/>
        <s v="Alon Werber"/>
        <s v="Laurie Vardi"/>
        <s v="Karin Vernikov"/>
        <s v="Karin Journo"/>
        <s v="Rinat Hodia Zagdon"/>
        <s v="Motti Zoherman"/>
        <s v="Bar Zohar"/>
        <s v="Or Ziv"/>
        <s v="Jonathan Seidmen"/>
        <s v="Noa Zender"/>
        <s v="Matan Znati"/>
        <s v="Itay Zafrani"/>
        <s v="Shaked Habani"/>
        <s v="Ziv Hajbi"/>
        <s v="Lior Hadad Atias"/>
        <s v="Gidon Chiell"/>
        <s v="Noa Chiell"/>
        <s v="Maya Chaim"/>
        <s v="Gaya Halifa"/>
        <s v="Ella Hamoy"/>
        <s v="Ben Ben Zion Hassid"/>
        <s v="Arie Hefetz"/>
        <s v="Katerina Tavgan Goldman"/>
        <s v="Adir Tamam"/>
        <s v="Lior Tkach"/>
        <s v="Mor Trabelsi"/>
        <s v="Ron Yehudai"/>
        <s v="Ilan Moshe Yaacov"/>
        <s v="Shoham Yaakov Gherafi"/>
        <s v="Shoval Yaakov"/>
        <s v="Shenhav Yaakov Gherafi"/>
        <s v="San-Amnon Yaacobov"/>
        <s v="Mai Itzhaki"/>
        <s v="Shiraz Shiran Tamam"/>
        <s v="Avraham Neriya Cohen"/>
        <s v="Ben Binyamin Cohen"/>
        <s v="Daniel Cohen"/>
        <s v="Libby Cohen Maguri"/>
        <s v="Mor Cohen"/>
        <s v="Amit Cohen"/>
        <s v="Gilad Kfir"/>
        <s v="Tal Katz"/>
        <s v="Omri Lavi"/>
        <s v="Amit Lahav"/>
        <s v="Guy Gabriel Levy"/>
        <s v="Itzhak Levy"/>
        <s v="Livnat Levy"/>
        <s v="Lidor Levy"/>
        <s v="Naor Levy"/>
        <s v="Nissim Levy"/>
        <s v="Sigal Levy"/>
        <s v="Amit Levi"/>
        <s v="Rotem Rachel Levi"/>
        <s v="Alisia Levin"/>
        <s v="Matan Mordechai Lior"/>
        <s v="Oriya Litman Ricardo"/>
        <s v="Anita Lisman"/>
        <s v="David Lischov"/>
        <s v="Ilan Lipovsky"/>
        <s v="Yulia Didenko Lamai"/>
        <s v="Tiferet Lapidot"/>
        <s v="Amit Magnezi"/>
        <s v="Nir Madmon"/>
        <s v="Shalev Madmoni"/>
        <s v="Shahak Madar"/>
        <s v="Naama Moalem"/>
        <s v="Shai Shalom Elior Musafi"/>
        <s v="Eliran Mizrahi"/>
        <s v="Ben Menashe Mizrahi"/>
        <s v="Raz Mizrahi"/>
        <s v="Adi Rivka Mayzel"/>
        <s v="Lior Maimon"/>
        <s v="Amitay Malihi"/>
        <s v="Dor Malka"/>
        <s v="Shahar Mantzur"/>
        <s v="Norel Manzouri"/>
        <s v="Roya Manzouri"/>
        <s v="Yaniv Macias Montano Antonio"/>
        <s v="Addir Mesika"/>
        <s v="Steven Makarchenko"/>
        <s v="Adi Margalit"/>
        <s v="Eden David Moshe"/>
        <s v="David Yair Shalom Newman"/>
        <s v="Gal Navon"/>
        <s v="Ilkin Nazarov"/>
        <s v="Dor Nahum"/>
        <s v="Ranani Glazer"/>
        <s v="Rotem Neumann"/>
        <s v="Jenny Nisimboim Carmeli"/>
        <s v="Liraz Nissan"/>
        <s v="May Naim"/>
        <s v="Eden Naftali"/>
        <s v="Bar Lior Nakmoli"/>
        <s v="Shlomi Svidia"/>
        <s v="Moriya Or Swisa"/>
        <s v="Hilly Solomon"/>
        <s v="Karla Stelzer"/>
        <s v="Tomer Strosta"/>
        <s v="Yaakov Salomon"/>
        <s v="Ram (Nesher) Sela"/>
        <s v="Elazar Samuelov"/>
        <s v="Alexander Samoilov"/>
        <s v="Tamar Samet"/>
        <s v="Zur Saidi"/>
        <s v="Moshe (Moshiko) Saidian"/>
        <s v="Yaniv Sarudi"/>
        <s v="Gal Abdush"/>
        <s v="Nagi Abdush"/>
        <s v="Idan Edri"/>
        <s v="Ofer Udi"/>
        <s v="Guy Azar"/>
        <s v="Oz Ezra"/>
        <s v="Lior Atun"/>
        <s v="Hanan Amar"/>
        <s v="Mercedes Amar"/>
        <s v="Yoad Peer"/>
        <s v="Maya Puder"/>
        <s v="Roni Polanov"/>
        <s v="Evgeni Postel"/>
        <s v="Nir Forti"/>
        <s v="Roni Petrovski"/>
        <s v="Daniela Petrenko"/>
        <s v="Ben Fishman"/>
        <s v="Alina Palhati"/>
        <s v="Orel Pesso"/>
        <s v="Noa Farage"/>
        <s v="Karina Pritika"/>
        <s v="Hadar Prince"/>
        <s v="Ziv Frenkel"/>
        <s v="Eric Perez"/>
        <s v="Ido Perez"/>
        <s v="Ruth Perez"/>
        <s v="Haim (Hai) Tzfati"/>
        <s v="Ofir Tzarfati"/>
        <s v="Ron Zarfati"/>
        <s v="Irit Konderov"/>
        <s v="Shani Kupervaser"/>
        <s v="Segev Israel Kishner"/>
        <s v="Hila Keylin"/>
        <s v="Linor Keinan"/>
        <s v="Maayan Kalihman"/>
        <s v="Ofek Kimchi"/>
        <s v="Stav Kimchi"/>
        <s v="Jonathan Ken-Dror"/>
        <s v="Daniel Kasavchuck"/>
        <s v="Keshet Kasroti-Kalfa"/>
        <s v="Moriya Raviv"/>
        <s v="Ofek Revia"/>
        <s v="Shai Regev"/>
        <s v="Michal Roimi"/>
        <s v="Ivonne Patricia Rubio Vargas Eden"/>
        <s v="Yael Rozman"/>
        <s v="Yonatan Rom"/>
        <s v="Olga Naomi Romashkin"/>
        <s v="Nitzan Rahum"/>
        <s v="Aviel Shalom Rahamim"/>
        <s v="Dvir Rahamim"/>
        <s v="Eli Refai"/>
        <s v="Sharon Refai"/>
        <s v="Eliya Shamatz"/>
        <s v="Segev Shushan"/>
        <s v="Tomer Segev"/>
        <s v="Sivan Shaharbani"/>
        <s v="Moshe Shuva"/>
        <s v="Karin Schwartzman"/>
        <s v="Ziv Shoffen"/>
        <s v="Roni Shitrit"/>
        <s v="Noam Shay"/>
        <s v="Daniel Sheinkerman"/>
        <s v="Mark Schindel"/>
        <s v="Bar Shechter"/>
        <s v="Shai Shalev"/>
        <s v="Noam Shalom"/>
        <s v="Ram Shalom"/>
        <s v="Asaf Shlezinger"/>
        <s v="Inbar Shem-Tov"/>
        <s v="Sharona Shmunis Harel"/>
        <s v="Ben Shimoni"/>
        <s v="Ron Shemer"/>
        <s v="Eitan Snir"/>
        <s v="Ziv pepe Shapira"/>
        <s v="Ran Sheffer"/>
        <s v="Liam Shrem"/>
        <s v="Dor Toar"/>
        <s v="Bar Tomer"/>
        <s v="Avidan Turgeman"/>
        <s v="Shoham Lia Turgeman"/>
        <s v="Niv Tel-Tzur"/>
        <s v="Ziv Dedo"/>
        <s v="Tomer Shpirer"/>
        <s v="Alon Even"/>
        <s v="Chen Even"/>
        <s v="Ido Even"/>
        <s v="Rinat Even"/>
        <s v="Silvia Ohayon"/>
        <s v="Yonat Or"/>
        <s v="Yossi Aptalon"/>
        <s v="Inbar Buyum"/>
        <s v="Oron Bira"/>
        <s v="Tal Bira"/>
        <s v="Yasmin Bira"/>
        <s v="Tair Bira"/>
        <s v="Tahel Bira"/>
        <s v="Geula Bachar"/>
        <s v="Dana Bachar"/>
        <s v="Carmel Bachar"/>
        <s v="Mezzi Bachar"/>
        <s v="Chava Ben-Ami"/>
        <s v="Yuval Bar"/>
        <s v="Maayan Bar"/>
        <s v="Yoram Bar-Sinai"/>
        <s v="Idan Baruch"/>
        <s v="Ayelet Godard"/>
        <s v="Meni Godard"/>
        <s v="Evgeny Galsky"/>
        <s v="Kinneret Gat"/>
        <s v="Adi Dagan"/>
        <s v="Narkis Hand"/>
        <s v="Zeev Haker"/>
        <s v="Zehava Haker"/>
        <s v="Avshalom Haran"/>
        <s v="Mayana Hershkowitz"/>
        <s v="Noah Hershkowitz"/>
        <s v="Mati Weiss"/>
        <s v="Amir Weiss"/>
        <s v="Shmulik Weiss"/>
        <s v="Chaim Zohar"/>
        <s v="Hillel Zalmanovich"/>
        <s v="Ayala Hetzroni"/>
        <s v="Liel Hetzroni"/>
        <s v="Omer Hermesh"/>
        <s v="Lior Tarshansky"/>
        <s v="Yehudit Itzhaki"/>
        <s v="Ohad Cohen"/>
        <s v="Yona Cohen"/>
        <s v="Mila Cohen"/>
        <s v="Pessy Cohen"/>
        <s v="Shoshana Karasenti"/>
        <s v="Daniel Levy"/>
        <s v="Ronnie Levy"/>
        <s v="Igor Lusev"/>
        <s v="Marina Lusev"/>
        <s v="Avi Mor"/>
        <s v="Raffi Mordo"/>
        <s v="Galit Carbone"/>
        <s v="Albert Avlom Miles"/>
        <s v="Amit Mann"/>
        <s v="Mordechai Naveh"/>
        <s v="Neta Adrian"/>
        <s v="Raffi Svirski"/>
        <s v="Tamar Sochman"/>
        <s v="Hanna Siton"/>
        <s v="Tal Siton"/>
        <s v="Itzhak Siton"/>
        <s v="Vivian Silver"/>
        <s v="Orit Svirski"/>
        <s v="Tchelet Fishbein"/>
        <s v="Marcel Frailich"/>
        <s v="Yona Fricker"/>
        <s v="Yitzhak Cozin"/>
        <s v="Sami Keidar"/>
        <s v="Evyatar Kipnis"/>
        <s v="Lilach Kipnis"/>
        <s v="Rotem Kalderon"/>
        <s v="Dror Kaplun"/>
        <s v="David Carol"/>
        <s v="Hanna Kritzman"/>
        <s v="Dor Rider"/>
        <s v="Jonathan Rappaport"/>
        <s v="Noy Shosh"/>
        <s v="Yahel Sharabi"/>
        <s v="Lianne Sharabi"/>
        <s v="Noya Sharabi"/>
        <s v="Cabrera Gracie"/>
        <s v="Paul Vincent Castelvi"/>
        <s v="Anula Jayathilaka"/>
        <s v="Sae Yang Sumchai"/>
        <s v="Yatawara Bandara Susujith"/>
        <s v="Liz Elharar"/>
        <s v="Meir Elharar"/>
        <s v="Shachar Deborah Troen Matias"/>
        <s v="Shlomi Mathias"/>
        <s v="Roland Sultan"/>
        <s v="Ronit Sultan"/>
        <s v="Lily Keisman"/>
        <s v="Tehila Katabi"/>
        <s v="Adi Kaploun Vital"/>
        <s v="Moshe Ridler"/>
        <s v="Bosco Petro"/>
        <s v="Tom Godo"/>
        <s v="Etty Zak"/>
        <s v="Etay Zak"/>
        <s v="Sagi Zak"/>
        <s v="Menuha Hulati"/>
        <s v="Maayan Mor"/>
        <s v="Gina Smiatich"/>
        <s v="Ofer Ron"/>
        <s v="Chandrasena Chakkraphong"/>
        <s v="Kaison Aranthit"/>
        <s v="Khunsri Pongsatorn"/>
        <s v="Klangsuwan Theerapong"/>
        <s v="Prakotwong Thanakrit"/>
        <s v="Sanusan Chairat"/>
        <s v="Sophakun Anucha"/>
        <s v="Srithat Kawao"/>
        <s v="Guy Admoni"/>
        <s v="Michal Admoni"/>
        <s v="Aviad Avraham Edri"/>
        <s v="Eliyahu Orgad"/>
        <s v="Lili Itamary"/>
        <s v="Ram Itamary"/>
        <s v="Sivan Elkabets"/>
        <s v="Mordechai (Mody) Amir"/>
        <s v="Bilha Epstein"/>
        <s v="Neta Epstein"/>
        <s v="Yuval Boyum"/>
        <s v="Maya Ben David"/>
        <s v="Hadar Berdichevsky"/>
        <s v="Itay Berdichevsky"/>
        <s v="Yam Goldstein Almog"/>
        <s v="Nadav Goldstein"/>
        <s v="Aran Goren"/>
        <s v="Tova Goren"/>
        <s v="Naomi Dgani"/>
        <s v="Yahav Winner"/>
        <s v="Dorit Werthheim"/>
        <s v="Aviv Werthheim"/>
        <s v="Eitan Ziv"/>
        <s v="Nirel Zini"/>
        <s v="Naor Hassidim"/>
        <s v="Avia Hetzroni"/>
        <s v="Yanai Heler Hetzroni"/>
        <s v="Nitzan Libstein"/>
        <s v="Smadar Idan"/>
        <s v="Roee Idan"/>
        <s v="Tammy Peleg Ziv"/>
        <s v="Gila Peled"/>
        <s v="Daniel Peled"/>
        <s v="Izhar Peled"/>
        <s v="Yigal Flash"/>
        <s v="Cynthia Tamar Flash"/>
        <s v="Mark Peretz"/>
        <s v="Omer Zadikevitch"/>
        <s v="Aviv Kutz"/>
        <s v="Yonatan Kutz"/>
        <s v="Yiftach Kutz"/>
        <s v="Livnat Kutz"/>
        <s v="Rotem Kutz"/>
        <s v="David (Kachko) Katzir"/>
        <s v="Niv Raviv"/>
        <s v="Nira Ronen"/>
        <s v="Eliyahu Reichenstein"/>
        <s v="David Schwartzman Pinko"/>
        <s v="Orly Schwartzman Pinko"/>
        <s v="Ofir Shoshani"/>
        <s v="Mira Shtahl"/>
        <s v="Aguirre Angelyn"/>
        <s v="Noam Elyakim"/>
        <s v="Shoshana Brosh"/>
        <s v="Yaniv Zohar"/>
        <s v="Yasmin Zohar"/>
        <s v="Keshet Zohar"/>
        <s v="Tchelet Zohar"/>
        <s v="Efrat Katz"/>
        <s v="Haim Livne"/>
        <s v="Maayan Idan"/>
        <s v="Tomer Arava"/>
        <s v="Dikla Arava"/>
        <s v="Shlomo Ron"/>
        <s v="Somkuan Pansa-ard"/>
        <s v="Rebecca Ben-Horin"/>
        <s v="Amitai Ben-Zvi"/>
        <s v="Avner Goren"/>
        <s v="Yossef Gross"/>
        <s v="Carmela Sara Dan"/>
        <s v="Noya Dan"/>
        <s v="Yossef (Yossi) Vahav"/>
        <s v="Vitaly Trupanob"/>
        <s v="Ravid Katz"/>
        <s v="Bracha Levinson"/>
        <s v="Roey Munder"/>
        <s v="Sai'd (David) Moshe"/>
        <s v="Shifra Noy"/>
        <s v="Margit Silberman"/>
        <s v="Yosef Yossi Silberman"/>
        <s v="Arbel Siman-Tov"/>
        <s v="Yonatan Siman-Tov"/>
        <s v="Omer Siman-Tov"/>
        <s v="Tamar Kedem Siman-Tov"/>
        <s v="Carol Siman-Tov"/>
        <s v="Shachar Siman-Tov"/>
        <s v="Gidon Pauker"/>
        <s v="Avraham Katzir"/>
        <s v="David Shalev"/>
        <s v="Tal Shalev"/>
        <s v="Yermiyahu Shafir"/>
        <s v="Carolin Bohl"/>
        <s v="Bancha Dachtuyawat"/>
        <s v="Darlington Daniel (Danny)"/>
        <s v="Gidon Bavani"/>
        <s v="Doron Meir"/>
        <s v="Mor Meir"/>
        <s v="Roey Popplewell"/>
        <s v="Bernard Cohen"/>
        <s v="Noa Glazberg"/>
        <s v="Talia Marcel"/>
        <s v="Olag Lifshitz"/>
        <s v="Silvia Marnasky"/>
        <s v="Dipesh Raj Bista"/>
        <s v="Chaudhary Ashish"/>
        <s v="Lekendora Sing Dahami"/>
        <s v="Ganesh Kumar Nepali"/>
        <s v="Neupane Narayan Prasad"/>
        <s v="Phulara Rajan"/>
        <s v="Prabesh Bhandari"/>
        <s v="Shah Ananda"/>
        <s v="Swarnakar Raj Kumar"/>
        <s v="Padam Thapa"/>
        <s v="Eliona Astafniko"/>
        <s v="Amit Gabay"/>
        <s v="Varda Haramati"/>
        <s v="Asaf Fever"/>
        <s v="Dvir Karp"/>
        <s v="Semion Avdalimov"/>
        <s v="Michael Avramov"/>
        <s v="Solomon Ilyaguyev"/>
        <s v="Sammi Elgargawi"/>
        <s v="Chaim Ashraf"/>
        <s v="Lior Weizman"/>
        <s v="Alon Amram Toledano"/>
        <s v="Amir Tanbora"/>
        <s v="Leonid Luzovski"/>
        <s v="Meiri Zohar"/>
        <s v="Avi Megira"/>
        <s v="Michael Muzarkov"/>
        <s v="Meir Malka"/>
        <s v="Nativ Maayan Nave"/>
        <s v="Odaya Swisa"/>
        <s v="Dolev Swisa"/>
        <s v="Dimitri Sorokin"/>
        <s v="Kobi Paryante"/>
        <s v="Neomi Shitrit-Azulay"/>
        <s v="Cao Yongkai"/>
        <s v="Wan Zhishun"/>
        <s v="Zou Deli"/>
        <s v="Zinaida Beilin"/>
        <s v="Lilya Giler"/>
        <s v="Michal Zrabailov"/>
        <s v="Natalia Tomayev"/>
        <s v="Yaakov Mortov"/>
        <s v="Nadejda Spravchikov"/>
        <s v="Vladimir Popov"/>
        <s v="Sonia Popov"/>
        <s v="Lyudmila Furman"/>
        <s v="Valerie Friedman"/>
        <s v="Igor Kortzov"/>
        <s v="Barta Shmeyev"/>
        <s v="Tatiana Shnitman"/>
        <s v="Yazan Zakaria Abu Jama"/>
        <s v="Dalia Abu Madi'am"/>
        <s v="May Abu Sabaakh"/>
        <s v="Faiza Abu Sabaakh"/>
        <s v="Amin Akal Alkra’an"/>
        <s v="Jawad Ibrahim Alkra’an"/>
        <s v="Malek Ibrahim Alkra’an"/>
        <s v="Mahmoud Diab Alkra’an"/>
        <s v="Hana Ben-Artzi"/>
        <s v="Shiraz Brodash"/>
        <s v="Mor Gabay"/>
        <s v="Vladimir Zukov"/>
        <s v="Yehoshua Hatab"/>
        <s v="Rabbi Netanel Maskalatchi"/>
        <s v="Rafael Meir Maskalatchi"/>
        <s v="Rabbi Rafael Fahimi"/>
        <s v="Avshalom Yair Peretz"/>
        <s v="Roni Abuharon"/>
        <s v="Eliad Ohayon"/>
        <s v="Moshe Ohayon"/>
        <s v="Yigal Iluz"/>
        <s v="Yonatan Elazari"/>
        <s v="Avi Buzaglo"/>
        <s v="Refael Ariel Guri"/>
        <s v="Roeh-Haim Guri"/>
        <s v="Nisim Lugasi"/>
        <s v="Michael Lizmi"/>
        <s v="Nehorai Said"/>
        <s v="Israel Chana"/>
        <s v="Avi Zidon"/>
        <s v="Dror Alton"/>
        <s v="Maro Elem"/>
        <s v="Nehorai Levi Amitay"/>
        <s v="Regev Amar"/>
        <s v="Or Esto"/>
        <s v="Ariel Erez"/>
        <s v="Idan Balui"/>
        <s v="Adir Ishto Bogla"/>
        <s v="Lavie Buchnik"/>
        <s v="Daniel Bezgodov"/>
        <s v="Oriel Bibi"/>
        <s v="Ido Binenstock"/>
        <s v="Vadim Blich"/>
        <s v="Barak Ben-David"/>
        <s v="Itamar Ben-Yehuda"/>
        <s v="Ya'ad Ben-Yakov"/>
        <s v="Michael Ben-Moshe (Moshiasvhili)"/>
        <s v="Leon Bar"/>
        <s v="Neta Baram"/>
        <s v="Shalev Baranes"/>
        <s v="Tomer Barak"/>
        <s v="Adir Gaori"/>
        <s v="Yuval Gabay"/>
        <s v="Omer Gavra"/>
        <s v="Yosef Malachi Guedalia"/>
        <s v="Amit Gueta"/>
        <s v="Itay Ofek Glisko"/>
        <s v="ilay Gamzo"/>
        <s v="Shalev Dagan"/>
        <s v="Shaked Dahan"/>
        <s v="Shlomi Davidovich"/>
        <s v="Yaron Dayan Moris"/>
        <s v="Omer Wolf"/>
        <s v="Yaron Zohar"/>
        <s v="Dvir Zakai"/>
        <s v="Avraham Hobelashvili"/>
        <s v="Yossi Tahar"/>
        <s v="Nethanel Young"/>
        <s v="Michael Yoav"/>
        <s v="Benyamin Gabriel Yona"/>
        <s v="Bar Yancolov"/>
        <s v="Ofir Yeruhin"/>
        <s v="Itamar Cohen"/>
        <s v="Danit Cohen"/>
        <s v="Benyamin Lev"/>
        <s v="Amir Lavi"/>
        <s v="Shimon Lugassi"/>
        <s v="Tal Levi"/>
        <s v="Yakir Levy"/>
        <s v="Natan Lier Chai"/>
        <s v="Or Mizrahi"/>
        <s v="Sahar Midani"/>
        <s v="Tal Maman"/>
        <s v="Lidor Makayes"/>
        <s v="Arik Yehuda Marciano"/>
        <s v="Tomer Nagar"/>
        <s v="Shoham Shlomo Nidam"/>
        <s v="Emil Samoilov"/>
        <s v="Sahar Saudin"/>
        <s v="Amir Skoury"/>
        <s v="Vitaly Skipkavich"/>
        <s v="Rodolfo (Rody) Fabián Skariszewski"/>
        <s v="Haim Meir Eden"/>
        <s v="Lior Azizov"/>
        <s v="Omri Peretz"/>
        <s v="Roey Chapell"/>
        <s v="Yonatan Tzur"/>
        <s v="Adi Tzur"/>
        <s v="Ofir Tzioni"/>
        <s v="Aryeh Shlomo Ziring"/>
        <s v="Dedo Tzafir"/>
        <s v="Nativ Kotzro"/>
        <s v="Haviv Qyan"/>
        <s v="Daniel Rashad"/>
        <s v="Max Rabinov"/>
        <s v="Dvir Haim Resler"/>
        <s v="Maor Shalom"/>
        <s v="Shlomo Reshetnikov"/>
        <s v="David Rathner"/>
        <s v="Yaron Oree Shay"/>
        <s v="Rom Shlomi"/>
        <s v="Ido Israel-Shani"/>
        <s v="Daniel Shperber"/>
        <s v="Gali Roi Shakotai"/>
        <s v="Adir Tahar"/>
        <s v="Yogev Aharon"/>
        <s v="Evyatar Ohayon"/>
        <s v="Guy Bazak"/>
        <s v="Re'em Meir-Betito"/>
        <s v="Benyamin Blay"/>
        <s v="Michael Ben Chemo"/>
        <s v="Ilay Noam Ben Muha"/>
        <s v="Benjamin Taka Tashgar"/>
        <s v="David Mittleman"/>
        <s v="Jonathan Savitsky"/>
        <s v="Uriel Segal"/>
        <s v="Amit Peled"/>
        <s v="Raz Peretz"/>
        <s v="Amichay Shimon Rubin"/>
        <s v="Bar Rosenstein"/>
        <s v="Ori Mordechay Shani"/>
        <s v="Elad Michael Sasson"/>
        <s v="Shilo Rauchberger"/>
        <s v="Noam Abramovich"/>
        <s v="Amir Eyal"/>
        <s v="Shir Eilat"/>
        <s v="Dolev Amouyal"/>
        <s v="Sivan Asraf"/>
        <s v="Roni Eshel"/>
        <s v="Shai Ashram"/>
        <s v="Shir Biton"/>
        <s v="Elroy Ben Shitrit"/>
        <s v="Yam Glass"/>
        <s v="Adi Gruman"/>
        <s v="Yohai Dukhan"/>
        <s v="Shilo Har-Even"/>
        <s v="Mia Viallovo Polo"/>
        <s v="Aviv Hajaj"/>
        <s v="Shirel Haim Pour"/>
        <s v="Boaz Menashe Yoggev"/>
        <s v="Yiftach Yavetz"/>
        <s v="Hadar Miriam Cohen"/>
        <s v="Ori Karmi"/>
        <s v="Dor Lazimi"/>
        <s v="Yael Leibushor"/>
        <s v="Adi Landman"/>
        <s v="Shirel Mor"/>
        <s v="Eden Nimri"/>
        <s v="Shahaf Nissani"/>
        <s v="Naor Sivoni"/>
        <s v="Shirat-Yam Amar"/>
        <s v="Yishai Fitussi"/>
        <s v="Yarin Marie Peled"/>
        <s v="Noa Price"/>
        <s v="Yakov Shlomo Karsninski"/>
        <s v="Itay Ron"/>
        <s v="Shira Shohat"/>
        <s v="Nahman Dekel"/>
        <s v="Amit Most"/>
        <s v="Ofir Melman"/>
        <s v="Hallel Shmuel Saadon"/>
        <s v="Segev Schwartz"/>
        <s v="Dekel Swisa"/>
        <s v="Roey Peri"/>
        <s v="Ravit Hana Assayag"/>
        <s v="Peleg Salem"/>
        <s v="Gil Avital"/>
        <s v="Lior Ben-Yakov"/>
        <s v="Dan Asulin"/>
        <s v="Itay Nahmias"/>
        <s v="Adi Baharav"/>
        <s v="Tomer Dolev"/>
        <s v="Yigal Vaks"/>
        <s v="Amit Vaks"/>
        <s v="Oren Stern"/>
        <s v="Gil Tasa"/>
        <s v="Aviad Gad Cohen"/>
        <s v="Bechor Sueid"/>
        <s v="Reuven Shishportish"/>
        <s v="Ofir Davidyan"/>
        <s v="Lior Levy"/>
        <s v="Itamar Ayish"/>
        <s v="Alina Pravosudova"/>
        <s v="Aharon Fresh"/>
        <s v="Shir Shlomo"/>
        <s v="Or Avital"/>
        <s v="Eden Alon-Levy"/>
        <s v="Naama Boni"/>
        <s v="Adar Ben-Simon"/>
        <s v="Ilai Bar-Sadeh"/>
        <s v="Yonatan Golan"/>
        <s v="Sahar Tal"/>
        <s v="Ofir Tasta"/>
        <s v="Ori Locker"/>
        <s v="Tomer Leibovitz"/>
        <s v="Dvir Lisha"/>
        <s v="Itay Maor"/>
        <s v="Or Moses"/>
        <s v="Yoav Meliev"/>
        <s v="Orel Moshe"/>
        <s v="Neria Aaron Nagari"/>
        <s v="Adir Abudi"/>
        <s v="Omri Niv- Fierstein"/>
        <s v="Amit Tzur"/>
        <s v="Yanai Kaminka"/>
        <s v="Yuval Ben-Yaakov"/>
        <s v="Ido Harush"/>
        <s v="Salaman Eban Merei"/>
        <s v="Uriel Avraham"/>
        <s v="Dvora Avraham"/>
        <s v="Yakir Blochman"/>
        <s v="Osher (Simcha) Barzilay"/>
        <s v="Avraham Henkin"/>
        <s v="Ibrahim Kharuba"/>
        <s v="Ido Yehoshua"/>
        <s v="Yenin Sivan"/>
        <s v="Elior Yifrach"/>
        <s v="Yorai Eliyahu Cohen"/>
        <s v="Sahar Zion Machaluf"/>
        <s v="Shlomo Moshe-El"/>
        <s v="Bar Sivan"/>
        <s v="Ilay Azar"/>
        <s v="Nitay Amar"/>
        <s v="David Flores Gracia"/>
        <s v="Idan Raz"/>
        <s v="Stas Sheinkman"/>
        <s v="Osher Shmaya"/>
        <s v="Ido Edri"/>
        <s v="Aviv Eliyahu"/>
        <s v="Matan (Kido) Elmalem"/>
        <s v="Ofek Arbiv"/>
        <s v="Itai Yehuda Bausi"/>
        <s v="Kim Dukarker"/>
        <s v="Awad Darawshe"/>
        <s v="Yulia Vakser"/>
        <s v="Hadar Hoshen"/>
        <s v="Hezi (Yechezkel) Hanom"/>
        <s v="Yiftach Twig"/>
        <s v="Adiel Twitto"/>
        <s v="Avraham Gilad Tiberg"/>
        <s v="Ori Tchernichovsky"/>
        <s v="Alexandre look"/>
        <s v="Sharon Leibovitz"/>
        <s v="Jake Marlowe"/>
        <s v="Ilay Nahman"/>
        <s v="Avi Sasi"/>
        <s v="Shai El Knafo"/>
        <s v="Vitaly Karasik"/>
        <s v="Sharon Rachmani"/>
        <s v="Aviad Rivlin"/>
        <s v="Gideon Rivlin"/>
        <s v="Yonatan Richter"/>
        <s v="Omri Ram"/>
        <s v="Aner Elyakim Shapira"/>
        <s v="Amir Naim"/>
        <s v="Haggai Avni"/>
        <s v="Eliran Abargil"/>
        <s v="Ariel Ohana"/>
        <s v="Ariel Eliyahu"/>
        <s v="Gil Buyum"/>
        <s v="Omri Belkin"/>
        <s v="Neria Ben-David"/>
        <s v="Yonatan Gutin"/>
        <s v="Sagi Golan"/>
        <s v="Eli Ginsberg"/>
        <s v="Dan Ganot"/>
        <s v="Valentin (Eli) Ghnassia"/>
        <s v="Jayar Davidov"/>
        <s v="Boris Danilov"/>
        <s v="Eitan Hadad"/>
        <s v="Benjamin Trakeniski"/>
        <s v="Itay Yehoshua"/>
        <s v="Shilo Cohen"/>
        <s v="Naveh Eliezer Lax"/>
        <s v="David Haim Meir"/>
        <s v="Gadif Mologota"/>
        <s v="Dor Mangadi"/>
        <s v="Roee Negri"/>
        <s v="Avi Amar"/>
        <s v="Shachar Zemach"/>
        <s v="Meir Elhanan Clemanzon"/>
        <s v="Eric kraunik"/>
        <s v="Ofek Rousso"/>
        <s v="Orel Alon"/>
        <s v="Liran Almosnino"/>
        <s v="Yiftach Gorny"/>
        <s v="Haim Katzman"/>
        <s v="Avraham Gabriel Korin"/>
        <s v="Ido Hubara"/>
        <s v="Matan Malka"/>
        <s v="Saar Margolis"/>
        <s v="Shachar Aviani"/>
        <s v="Tal Eilon"/>
        <s v="Shachaf Bergstein"/>
        <s v="Ben Bronshtein"/>
        <s v="Aviv Baram"/>
        <s v="Rotem Dushi"/>
        <s v="Avraham Hananel Hindi"/>
        <s v="Amichai Yakov-Vaninu"/>
        <s v="Ilay Zisser"/>
        <s v="Tal Cohen"/>
        <s v="Ofir Libstein"/>
        <s v="Omri Michaeli"/>
        <s v="Roey Nahari"/>
        <s v="Yuval Salomon"/>
        <s v="Eily Adani"/>
        <s v="Nadav Amikam"/>
        <s v="Amir Fisher"/>
        <s v="Amir Tzur"/>
        <s v="Hadar Kamah"/>
        <s v="Uri Shimon Russo"/>
        <s v="Or Yossef Ran"/>
        <s v="Shoham Moshe Ben-Harush"/>
        <s v="Roey Weiser"/>
        <s v="Amichai Israel Vitzan"/>
        <s v="Yedidya Moshe Raziel"/>
        <s v="Tomer Shoham"/>
        <s v="Jonathan Steinberg"/>
        <s v="Ofir Mordechai Yaron"/>
        <s v="Avi Fleisher"/>
        <s v="Chen Buchris"/>
        <s v="Roi Bareket"/>
        <s v="Dor Yarchi"/>
        <s v="Ran Poslushni"/>
        <s v="Ilan Fiorentino"/>
        <s v="Afik Rozental"/>
        <s v="Avraham Boaz"/>
        <s v="Ofek Arazi"/>
        <s v="Tal Chaimi"/>
        <s v="Yaron Shahar"/>
        <s v="Aviv Atzili"/>
        <s v="Matan Abarjil"/>
        <s v="Roman Gendel"/>
        <s v="Adam Agmon"/>
        <s v="Tomer Yaakov Ahimas"/>
        <s v="Oran Elfassi"/>
        <s v="Kiril Brodski"/>
        <s v="Asaf Hamami"/>
        <s v="Alik Pozdnyakov"/>
        <s v="Ofir Erez"/>
        <s v="Tomer Yaakov Mizrahi"/>
        <s v="Eyal Klein"/>
        <s v="Rami Negbi"/>
        <s v="Itay Cohen"/>
        <s v="Yishai Slotki"/>
        <s v="Noam Slotki"/>
        <s v="Ido Rosental"/>
        <s v="Amin Ohanadov"/>
        <s v="Alexy Budovski"/>
        <s v="Itzhak Bazuka-Shvili"/>
        <s v="Yotam Ben-Basat"/>
        <s v="Ariel Ben Moshe"/>
        <s v="Alon Barad"/>
        <s v="Roey Yosef Levy"/>
        <s v="Aharon Arthur Marcovichi"/>
        <s v="Andrei Poshivay"/>
        <s v="Malik Karim"/>
        <s v="Noam Elimelech Rotenberg"/>
        <s v="Guy Simhi"/>
        <s v="Mordechai (moti) Shamir"/>
        <s v="Kobi Shmaya"/>
        <s v="Amer Abu Sabila Odeh"/>
        <s v="Meir Abragil"/>
        <s v="Denis Belinki"/>
        <s v="David Ben-Dayan"/>
        <s v="Yosef Itamar-Bruchim"/>
        <s v="Shmuel Gulima"/>
        <s v="Tal Grushka"/>
        <s v="Eliyahu Michael Harush"/>
        <s v="Itay-Eliyahu Marchiano"/>
        <s v="Eitan Neeman"/>
        <s v="Chen Nahmias"/>
        <s v="Shalom Tzaban"/>
        <s v="Yehuda Kedar"/>
        <s v="Martin Kuzmickas"/>
        <s v="Ben Rubinstein"/>
        <s v="Adir Shlomo"/>
        <s v="Alexei Shmakalov"/>
        <s v="Mor Shkuri"/>
        <s v="Guy Illouz"/>
        <s v="Samar Fouad Talalka"/>
        <s v="Ronen Engel"/>
        <s v="Nik Beizer"/>
        <s v="Sahar Baruch"/>
        <s v="Maya Goren"/>
        <s v="Judith Weiss"/>
        <s v="Eden Zecharya"/>
        <s v="Arye Zalmanovich"/>
        <s v="Yotam Haim"/>
        <s v="Elia Toledano"/>
        <s v="Eitan Levy"/>
        <s v="Shani Louk"/>
        <s v="Eliyahu Margalit"/>
        <s v="Noa Marciano"/>
        <s v="Yonatan Samerano"/>
        <s v="Ofra Kedar"/>
        <s v="Alon Lulu Shamriz"/>
        <s v="Ron Scherman"/>
        <s v="Mollel Joshua Loitu"/>
        <s v="Majed Ibrahim"/>
        <s v="one day old baby Abu Rashed"/>
        <s v="Natalia Demidova"/>
        <s v="Reuven Heinek"/>
        <s v="Ilan Weiss"/>
        <s v="Yotam Hillel"/>
        <s v="Avichai Amsalem"/>
        <s v="Inbar Haiman"/>
        <s v="Daniel Moshe-Danino"/>
        <s v="Niv Ayos"/>
        <s v="Yuval Halivni"/>
        <s v="Judy Weinstein Haggai"/>
        <s v="Gadi Haggai"/>
        <s v="Tamir Adar"/>
        <s v="Alexander Masli"/>
        <s v="Dor Sade"/>
        <s v="Aviel Malkamu"/>
        <s v="Diawtmaisong Jakkapan"/>
        <s v="Champasim Saksit"/>
        <s v="Ru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Dani Alush"/>
        <s v="Tal Danieli"/>
        <s v="Itay Svirski"/>
        <s v="Yossi Sharabi"/>
        <s v="Shai Levinson"/>
        <s v="Goyitom Gebrehiyet"/>
        <s v="Berhe Wolderaphael Hagos"/>
        <s v="Ran Guili"/>
        <s v="Yaakov Yair"/>
        <s v="Oz Daniel"/>
        <s v="Itay Hen"/>
        <s v="Daniel Perets"/>
        <s v="Uriel Baruch"/>
        <s v="Hashem Barawi"/>
        <s v="Suheil Masri"/>
        <s v="Huri Elmasri"/>
        <s v="Suliman Elatar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500" sheet="data"/>
  </cacheSource>
  <cacheFields>
    <cacheField name="pid" numFmtId="0">
      <sharedItems containsString="0" containsBlank="1" containsNumber="1" containsInteger="1">
        <n v="1719.0"/>
        <n v="1363.0"/>
        <n v="976.0"/>
        <n v="974.0"/>
        <n v="1005.0"/>
        <n v="987.0"/>
        <n v="1720.0"/>
        <n v="1500.0"/>
        <n v="1501.0"/>
        <n v="1717.0"/>
        <n v="985.0"/>
        <n v="999.0"/>
        <n v="1718.0"/>
        <n v="1608.0"/>
        <n v="984.0"/>
        <n v="1030.0"/>
        <n v="1029.0"/>
        <n v="1487.0"/>
        <n v="1488.0"/>
        <n v="1001.0"/>
        <n v="1002.0"/>
        <n v="1722.0"/>
        <n v="1721.0"/>
        <n v="992.0"/>
        <n v="1359.0"/>
        <n v="1360.0"/>
        <n v="1210.0"/>
        <n v="1676.0"/>
        <n v="1207.0"/>
        <n v="883.0"/>
        <n v="1208.0"/>
        <n v="1211.0"/>
        <n v="1463.0"/>
        <n v="1462.0"/>
        <n v="1558.0"/>
        <n v="1209.0"/>
        <n v="1492.0"/>
        <n v="507.0"/>
        <n v="1675.0"/>
        <n v="515.0"/>
        <n v="1420.0"/>
        <n v="2001.0"/>
        <n v="517.0"/>
        <n v="652.0"/>
        <n v="1596.0"/>
        <n v="1591.0"/>
        <n v="1629.0"/>
        <n v="498.0"/>
        <n v="500.0"/>
        <n v="497.0"/>
        <n v="499.0"/>
        <n v="143.0"/>
        <n v="1370.0"/>
        <n v="146.0"/>
        <n v="1698.0"/>
        <n v="1396.0"/>
        <n v="1696.0"/>
        <n v="1401.0"/>
        <n v="1682.0"/>
        <n v="1413.0"/>
        <n v="1409.0"/>
        <n v="1412.0"/>
        <n v="1419.0"/>
        <n v="1404.0"/>
        <n v="1397.0"/>
        <n v="1398.0"/>
        <n v="1411.0"/>
        <n v="1415.0"/>
        <n v="1399.0"/>
        <n v="1414.0"/>
        <n v="1403.0"/>
        <n v="1402.0"/>
        <n v="1564.0"/>
        <n v="1451.0"/>
        <n v="1563.0"/>
        <n v="1362.0"/>
        <n v="1524.0"/>
        <n v="1625.0"/>
        <n v="504.0"/>
        <n v="502.0"/>
        <n v="501.0"/>
        <n v="503.0"/>
        <n v="506.0"/>
        <n v="531.0"/>
        <n v="532.0"/>
        <n v="533.0"/>
        <n v="510.0"/>
        <n v="511.0"/>
        <n v="512.0"/>
        <n v="1039.0"/>
        <n v="1036.0"/>
        <n v="707.0"/>
        <n v="1040.0"/>
        <n v="1051.0"/>
        <n v="1044.0"/>
        <n v="1037.0"/>
        <n v="1043.0"/>
        <n v="1041.0"/>
        <n v="1042.0"/>
        <n v="1048.0"/>
        <n v="1046.0"/>
        <n v="1045.0"/>
        <n v="1047.0"/>
        <n v="1049.0"/>
        <n v="1050.0"/>
        <n v="912.0"/>
        <n v="735.0"/>
        <n v="1384.0"/>
        <n v="1432.0"/>
        <n v="1383.0"/>
        <n v="672.0"/>
        <n v="890.0"/>
        <n v="1438.0"/>
        <n v="1421.0"/>
        <n v="1521.0"/>
        <n v="1304.0"/>
        <n v="1490.0"/>
        <n v="1470.0"/>
        <n v="1393.0"/>
        <n v="673.0"/>
        <n v="674.0"/>
        <n v="817.0"/>
        <n v="816.0"/>
        <n v="820.0"/>
        <n v="819.0"/>
        <n v="891.0"/>
        <n v="690.0"/>
        <n v="689.0"/>
        <n v="1519.0"/>
        <n v="686.0"/>
        <n v="733.0"/>
        <n v="738.0"/>
        <n v="739.0"/>
        <n v="687.0"/>
        <n v="776.0"/>
        <n v="1575.0"/>
        <n v="383.0"/>
        <n v="743.0"/>
        <n v="1595.0"/>
        <n v="1381.0"/>
        <n v="745.0"/>
        <n v="1380.0"/>
        <n v="1616.0"/>
        <n v="676.0"/>
        <n v="747.0"/>
        <n v="684.0"/>
        <n v="685.0"/>
        <n v="682.0"/>
        <n v="1478.0"/>
        <n v="1433.0"/>
        <n v="740.0"/>
        <n v="679.0"/>
        <n v="678.0"/>
        <n v="681.0"/>
        <n v="1536.0"/>
        <n v="683.0"/>
        <n v="1504.0"/>
        <n v="715.0"/>
        <n v="1485.0"/>
        <n v="1499.0"/>
        <n v="717.0"/>
        <n v="713.0"/>
        <n v="915.0"/>
        <n v="1389.0"/>
        <n v="1436.0"/>
        <n v="1435.0"/>
        <n v="711.0"/>
        <n v="1526.0"/>
        <n v="913.0"/>
        <n v="712.0"/>
        <n v="701.0"/>
        <n v="1339.0"/>
        <n v="710.0"/>
        <n v="1583.0"/>
        <n v="691.0"/>
        <n v="886.0"/>
        <n v="922.0"/>
        <n v="703.0"/>
        <n v="1531.0"/>
        <n v="1590.0"/>
        <n v="1522.0"/>
        <n v="704.0"/>
        <n v="1557.0"/>
        <n v="706.0"/>
        <n v="702.0"/>
        <n v="1082.0"/>
        <n v="705.0"/>
        <n v="1446.0"/>
        <n v="692.0"/>
        <n v="693.0"/>
        <n v="695.0"/>
        <n v="1617.0"/>
        <n v="1303.0"/>
        <n v="698.0"/>
        <n v="1390.0"/>
        <n v="700.0"/>
        <n v="699.0"/>
        <n v="1422.0"/>
        <n v="1517.0"/>
        <n v="709.0"/>
        <n v="1550.0"/>
        <n v="697.0"/>
        <n v="755.0"/>
        <n v="1428.0"/>
        <n v="751.0"/>
        <n v="766.0"/>
        <n v="759.0"/>
        <n v="760.0"/>
        <n v="761.0"/>
        <n v="1445.0"/>
        <n v="882.0"/>
        <n v="1618.0"/>
        <n v="1503.0"/>
        <n v="763.0"/>
        <n v="764.0"/>
        <n v="1391.0"/>
        <n v="757.0"/>
        <n v="758.0"/>
        <n v="1568.0"/>
        <n v="752.0"/>
        <n v="754.0"/>
        <n v="753.0"/>
        <n v="1440.0"/>
        <n v="1392.0"/>
        <n v="1314.0"/>
        <n v="1547.0"/>
        <n v="885.0"/>
        <n v="723.0"/>
        <n v="728.0"/>
        <n v="1534.0"/>
        <n v="729.0"/>
        <n v="1549.0"/>
        <n v="730.0"/>
        <n v="731.0"/>
        <n v="1299.0"/>
        <n v="1619.0"/>
        <n v="1457.0"/>
        <n v="724.0"/>
        <n v="725.0"/>
        <n v="727.0"/>
        <n v="902.0"/>
        <n v="769.0"/>
        <n v="1424.0"/>
        <n v="896.0"/>
        <n v="1358.0"/>
        <n v="951.0"/>
        <n v="892.0"/>
        <n v="959.0"/>
        <n v="958.0"/>
        <n v="1493.0"/>
        <n v="1507.0"/>
        <n v="954.0"/>
        <n v="953.0"/>
        <n v="952.0"/>
        <n v="960.0"/>
        <n v="955.0"/>
        <n v="957.0"/>
        <n v="779.0"/>
        <n v="1486.0"/>
        <n v="1621.0"/>
        <n v="970.0"/>
        <n v="1622.0"/>
        <n v="852.0"/>
        <n v="1426.0"/>
        <n v="901.0"/>
        <n v="967.0"/>
        <n v="919.0"/>
        <n v="768.0"/>
        <n v="1453.0"/>
        <n v="718.0"/>
        <n v="719.0"/>
        <n v="1728.0"/>
        <n v="770.0"/>
        <n v="1456.0"/>
        <n v="708.0"/>
        <n v="1302.0"/>
        <n v="875.0"/>
        <n v="873.0"/>
        <n v="906.0"/>
        <n v="1553.0"/>
        <n v="966.0"/>
        <n v="1529.0"/>
        <n v="962.0"/>
        <n v="1423.0"/>
        <n v="1427.0"/>
        <n v="961.0"/>
        <n v="777.0"/>
        <n v="874.0"/>
        <n v="1572.0"/>
        <n v="917.0"/>
        <n v="721.0"/>
        <n v="903.0"/>
        <n v="1483.0"/>
        <n v="1730.0"/>
        <n v="508.0"/>
        <n v="1624.0"/>
        <n v="1520.0"/>
        <n v="788.0"/>
        <n v="791.0"/>
        <n v="792.0"/>
        <n v="1301.0"/>
        <n v="793.0"/>
        <n v="794.0"/>
        <n v="795.0"/>
        <n v="797.0"/>
        <n v="905.0"/>
        <n v="911.0"/>
        <n v="790.0"/>
        <n v="1505.0"/>
        <n v="838.0"/>
        <n v="800.0"/>
        <n v="895.0"/>
        <n v="799.0"/>
        <n v="732.0"/>
        <n v="789.0"/>
        <n v="1592.0"/>
        <n v="1626.0"/>
        <n v="802.0"/>
        <n v="1388.0"/>
        <n v="1506.0"/>
        <n v="855.0"/>
        <n v="1527.0"/>
        <n v="1627.0"/>
        <n v="1454.0"/>
        <n v="889.0"/>
        <n v="803.0"/>
        <n v="1502.0"/>
        <n v="804.0"/>
        <n v="805.0"/>
        <n v="806.0"/>
        <n v="807.0"/>
        <n v="677.0"/>
        <n v="1476.0"/>
        <n v="1552.0"/>
        <n v="1548.0"/>
        <n v="1356.0"/>
        <n v="963.0"/>
        <n v="1441.0"/>
        <n v="900.0"/>
        <n v="887.0"/>
        <n v="813.0"/>
        <n v="1471.0"/>
        <n v="815.0"/>
        <n v="814.0"/>
        <n v="812.0"/>
        <n v="811.0"/>
        <n v="918.0"/>
        <n v="871.0"/>
        <n v="872.0"/>
        <n v="897.0"/>
        <n v="1523.0"/>
        <n v="870.0"/>
        <n v="2003.0"/>
        <n v="1533.0"/>
        <n v="909.0"/>
        <n v="845.0"/>
        <n v="844.0"/>
        <n v="971.0"/>
        <n v="920.0"/>
        <n v="846.0"/>
        <n v="670.0"/>
        <n v="671.0"/>
        <n v="736.0"/>
        <n v="1309.0"/>
        <n v="688.0"/>
        <n v="1628.0"/>
        <n v="908.0"/>
        <n v="675.0"/>
        <n v="1577.0"/>
        <n v="822.0"/>
        <n v="808.0"/>
        <n v="1305.0"/>
        <n v="828.0"/>
        <n v="749.0"/>
        <n v="1323.0"/>
        <n v="826.0"/>
        <n v="748.0"/>
        <n v="827.0"/>
        <n v="1631.0"/>
        <n v="1455.0"/>
        <n v="821.0"/>
        <n v="1430.0"/>
        <n v="750.0"/>
        <n v="823.0"/>
        <n v="824.0"/>
        <n v="825.0"/>
        <n v="1570.0"/>
        <n v="29.0"/>
        <n v="1296.0"/>
        <n v="784.0"/>
        <n v="787.0"/>
        <n v="1535.0"/>
        <n v="1537.0"/>
        <n v="782.0"/>
        <n v="1300.0"/>
        <n v="1429.0"/>
        <n v="1067.0"/>
        <n v="783.0"/>
        <n v="1140.0"/>
        <n v="781.0"/>
        <n v="832.0"/>
        <n v="837.0"/>
        <n v="836.0"/>
        <n v="840.0"/>
        <n v="778.0"/>
        <n v="843.0"/>
        <n v="841.0"/>
        <n v="842.0"/>
        <n v="830.0"/>
        <n v="1530.0"/>
        <n v="829.0"/>
        <n v="1593.0"/>
        <n v="833.0"/>
        <n v="858.0"/>
        <n v="867.0"/>
        <n v="851.0"/>
        <n v="1431.0"/>
        <n v="868.0"/>
        <n v="850.0"/>
        <n v="124.0"/>
        <n v="863.0"/>
        <n v="853.0"/>
        <n v="860.0"/>
        <n v="849.0"/>
        <n v="1480.0"/>
        <n v="854.0"/>
        <n v="857.0"/>
        <n v="1528.0"/>
        <n v="864.0"/>
        <n v="861.0"/>
        <n v="865.0"/>
        <n v="862.0"/>
        <n v="907.0"/>
        <n v="869.0"/>
        <n v="859.0"/>
        <n v="123.0"/>
        <n v="866.0"/>
        <n v="1332.0"/>
        <n v="879.0"/>
        <n v="880.0"/>
        <n v="1509.0"/>
        <n v="876.0"/>
        <n v="1703.0"/>
        <n v="1368.0"/>
        <n v="68.0"/>
        <n v="69.0"/>
        <n v="70.0"/>
        <n v="71.0"/>
        <n v="110.0"/>
        <n v="141.0"/>
        <n v="32.0"/>
        <n v="55.0"/>
        <n v="48.0"/>
        <n v="51.0"/>
        <n v="52.0"/>
        <n v="50.0"/>
        <n v="49.0"/>
        <n v="39.0"/>
        <n v="38.0"/>
        <n v="37.0"/>
        <n v="40.0"/>
        <n v="47.0"/>
        <n v="42.0"/>
        <n v="41.0"/>
        <n v="43.0"/>
        <n v="44.0"/>
        <n v="77.0"/>
        <n v="78.0"/>
        <n v="1367.0"/>
        <n v="75.0"/>
        <n v="64.0"/>
        <n v="84.0"/>
        <n v="81.0"/>
        <n v="82.0"/>
        <n v="36.0"/>
        <n v="86.0"/>
        <n v="87.0"/>
        <n v="184.0"/>
        <n v="182.0"/>
        <n v="185.0"/>
        <n v="188.0"/>
        <n v="1442.0"/>
        <n v="155.0"/>
        <n v="158.0"/>
        <n v="313.0"/>
        <n v="147.0"/>
        <n v="89.0"/>
        <n v="140.0"/>
        <n v="62.0"/>
        <n v="60.0"/>
        <n v="61.0"/>
        <n v="92.0"/>
        <n v="65.0"/>
        <n v="99.0"/>
        <n v="101.0"/>
        <n v="102.0"/>
        <n v="105.0"/>
        <n v="106.0"/>
        <n v="57.0"/>
        <n v="596.0"/>
        <n v="103.0"/>
        <n v="108.0"/>
        <n v="31.0"/>
        <n v="137.0"/>
        <n v="134.0"/>
        <n v="131.0"/>
        <n v="133.0"/>
        <n v="132.0"/>
        <n v="1330.0"/>
        <n v="136.0"/>
        <n v="72.0"/>
        <n v="73.0"/>
        <n v="1479.0"/>
        <n v="63.0"/>
        <n v="93.0"/>
        <n v="96.0"/>
        <n v="95.0"/>
        <n v="90.0"/>
        <n v="91.0"/>
        <n v="58.0"/>
        <n v="148.0"/>
        <n v="113.0"/>
        <n v="112.0"/>
        <n v="129.0"/>
        <n v="121.0"/>
        <n v="119.0"/>
        <n v="120.0"/>
        <n v="56.0"/>
        <n v="144.0"/>
        <n v="145.0"/>
        <n v="1681.0"/>
        <n v="1511.0"/>
        <n v="268.0"/>
        <n v="269.0"/>
        <n v="277.0"/>
        <n v="278.0"/>
        <n v="281.0"/>
        <n v="282.0"/>
        <n v="275.0"/>
        <n v="273.0"/>
        <n v="272.0"/>
        <n v="280.0"/>
        <n v="279.0"/>
        <n v="375.0"/>
        <n v="393.0"/>
        <n v="394.0"/>
        <n v="395.0"/>
        <n v="378.0"/>
        <n v="810.0"/>
        <n v="381.0"/>
        <n v="379.0"/>
        <n v="1405.0"/>
        <n v="1687.0"/>
        <n v="1416.0"/>
        <n v="1417.0"/>
        <n v="1407.0"/>
        <n v="1418.0"/>
        <n v="1410.0"/>
        <n v="1408.0"/>
        <n v="288.0"/>
        <n v="289.0"/>
        <n v="348.0"/>
        <n v="344.0"/>
        <n v="317.0"/>
        <n v="318.0"/>
        <n v="300.0"/>
        <n v="351.0"/>
        <n v="1365.0"/>
        <n v="301.0"/>
        <n v="345.0"/>
        <n v="1444.0"/>
        <n v="294.0"/>
        <n v="295.0"/>
        <n v="307.0"/>
        <n v="308.0"/>
        <n v="1449.0"/>
        <n v="1450.0"/>
        <n v="298.0"/>
        <n v="369.0"/>
        <n v="368.0"/>
        <n v="367.0"/>
        <n v="373.0"/>
        <n v="372.0"/>
        <n v="312.0"/>
        <n v="88.0"/>
        <n v="152.0"/>
        <n v="326.0"/>
        <n v="316.0"/>
        <n v="315.0"/>
        <n v="333.0"/>
        <n v="331.0"/>
        <n v="330.0"/>
        <n v="332.0"/>
        <n v="1727.0"/>
        <n v="302.0"/>
        <n v="1473.0"/>
        <n v="371.0"/>
        <n v="321.0"/>
        <n v="325.0"/>
        <n v="324.0"/>
        <n v="322.0"/>
        <n v="323.0"/>
        <n v="320.0"/>
        <n v="335.0"/>
        <n v="350.0"/>
        <n v="336.0"/>
        <n v="347.0"/>
        <n v="346.0"/>
        <n v="338.0"/>
        <n v="339.0"/>
        <n v="1699.0"/>
        <n v="411.0"/>
        <n v="409.0"/>
        <n v="457.0"/>
        <n v="458.0"/>
        <n v="455.0"/>
        <n v="456.0"/>
        <n v="581.0"/>
        <n v="419.0"/>
        <n v="430.0"/>
        <n v="406.0"/>
        <n v="405.0"/>
        <n v="426.0"/>
        <n v="1400.0"/>
        <n v="549.0"/>
        <n v="550.0"/>
        <n v="568.0"/>
        <n v="630.0"/>
        <n v="559.0"/>
        <n v="558.0"/>
        <n v="628.0"/>
        <n v="626.0"/>
        <n v="582.0"/>
        <n v="629.0"/>
        <n v="602.0"/>
        <n v="610.0"/>
        <n v="614.0"/>
        <n v="615.0"/>
        <n v="616.0"/>
        <n v="617.0"/>
        <n v="622.0"/>
        <n v="619.0"/>
        <n v="621.0"/>
        <n v="618.0"/>
        <n v="620.0"/>
        <n v="566.0"/>
        <n v="583.0"/>
        <n v="612.0"/>
        <n v="613.0"/>
        <n v="611.0"/>
        <n v="631.0"/>
        <n v="1395.0"/>
        <n v="563.0"/>
        <n v="662.0"/>
        <n v="664.0"/>
        <n v="663.0"/>
        <n v="667.0"/>
        <n v="1174.0"/>
        <n v="201.0"/>
        <n v="202.0"/>
        <n v="1610.0"/>
        <n v="203.0"/>
        <n v="11.0"/>
        <n v="14.0"/>
        <n v="16.0"/>
        <n v="12.0"/>
        <n v="17.0"/>
        <n v="15.0"/>
        <n v="22.0"/>
        <n v="20.0"/>
        <n v="21.0"/>
        <n v="13.0"/>
        <n v="1731.0"/>
        <n v="1059.0"/>
        <n v="1061.0"/>
        <n v="1058.0"/>
        <n v="1056.0"/>
        <n v="1372.0"/>
        <n v="1162.0"/>
        <n v="1148.0"/>
        <n v="1469.0"/>
        <n v="1164.0"/>
        <n v="1166.0"/>
        <n v="1474.0"/>
        <n v="1145.0"/>
        <n v="1165.0"/>
        <n v="1168.0"/>
        <n v="1163.0"/>
        <n v="1597.0"/>
        <n v="1167.0"/>
        <n v="2006.0"/>
        <n v="1147.0"/>
        <n v="1146.0"/>
        <n v="1607.0"/>
        <n v="1491.0"/>
        <n v="1489.0"/>
        <n v="2007.0"/>
        <n v="1701.0"/>
        <n v="1700.0"/>
        <n v="1151.0"/>
        <n v="981.0"/>
        <n v="1031.0"/>
        <n v="1149.0"/>
        <n v="1000.0"/>
        <n v="1150.0"/>
        <n v="1515.0"/>
        <n v="1516.0"/>
        <n v="1512.0"/>
        <n v="1514.0"/>
        <n v="1152.0"/>
        <n v="995.0"/>
        <n v="1513.0"/>
        <n v="1373.0"/>
        <n v="1361.0"/>
        <n v="1386.0"/>
        <n v="1379.0"/>
        <n v="1376.0"/>
        <n v="1375.0"/>
        <n v="1374.0"/>
        <n v="1377.0"/>
        <n v="1567.0"/>
        <n v="714.0"/>
        <n v="516.0"/>
        <n v="1261.0"/>
        <n v="1614.0"/>
        <n v="1541.0"/>
        <n v="1542.0"/>
        <n v="1540.0"/>
        <n v="1560.0"/>
        <n v="1182.0"/>
        <n v="990.0"/>
        <n v="991.0"/>
        <n v="986.0"/>
        <n v="1640.0"/>
        <n v="977.0"/>
        <n v="982.0"/>
        <n v="983.0"/>
        <n v="1604.0"/>
        <n v="988.0"/>
        <n v="993.0"/>
        <n v="978.0"/>
        <n v="1716.0"/>
        <n v="1186.0"/>
        <n v="222.0"/>
        <n v="479.0"/>
        <n v="1556.0"/>
        <n v="224.0"/>
        <n v="257.0"/>
        <n v="407.0"/>
        <n v="475.0"/>
        <n v="1275.0"/>
        <n v="216.0"/>
        <n v="1032.0"/>
        <n v="1354.0"/>
        <n v="53.0"/>
        <n v="468.0"/>
        <n v="470.0"/>
        <n v="469.0"/>
        <n v="1612.0"/>
        <n v="401.0"/>
        <n v="465.0"/>
        <n v="1274.0"/>
        <n v="467.0"/>
        <n v="1709.0"/>
        <n v="226.0"/>
        <n v="2008.0"/>
        <n v="260.0"/>
        <n v="230.0"/>
        <n v="487.0"/>
        <n v="228.0"/>
        <n v="669.0"/>
        <n v="1666.0"/>
        <n v="1498.0"/>
        <n v="1185.0"/>
        <n v="247.0"/>
        <n v="253.0"/>
        <n v="1582.0"/>
        <n v="234.0"/>
        <n v="1693.0"/>
        <n v="496.0"/>
        <n v="1306.0"/>
        <n v="227.0"/>
        <n v="1295.0"/>
        <n v="250.0"/>
        <n v="1579.0"/>
        <n v="1137.0"/>
        <n v="235.0"/>
        <n v="1179.0"/>
        <n v="481.0"/>
        <n v="1714.0"/>
        <n v="480.0"/>
        <n v="1280.0"/>
        <n v="484.0"/>
        <n v="264.0"/>
        <n v="2009.0"/>
        <n v="2010.0"/>
        <n v="403.0"/>
        <n v="259.0"/>
        <n v="1562.0"/>
        <n v="1282.0"/>
        <n v="1284.0"/>
        <n v="1723.0"/>
        <n v="1288.0"/>
        <n v="1437.0"/>
        <n v="1144.0"/>
        <n v="1554.0"/>
        <n v="1704.0"/>
        <n v="1581.0"/>
        <n v="1555.0"/>
        <n v="1539.0"/>
        <n v="246.0"/>
        <n v="382.0"/>
        <n v="245.0"/>
        <n v="252.0"/>
        <n v="1609.0"/>
        <n v="418.0"/>
        <n v="489.0"/>
        <n v="1461.0"/>
        <n v="490.0"/>
        <n v="493.0"/>
        <n v="1298.0"/>
        <n v="492.0"/>
        <n v="491.0"/>
        <n v="286.0"/>
        <n v="994.0"/>
        <n v="1279.0"/>
        <n v="1496.0"/>
        <n v="242.0"/>
        <n v="1585.0"/>
        <n v="254.0"/>
        <n v="1725.0"/>
        <n v="213.0"/>
        <n v="483.0"/>
        <n v="374.0"/>
        <n v="1443.0"/>
        <n v="2011.0"/>
        <n v="1294.0"/>
        <n v="1712.0"/>
        <n v="392.0"/>
        <n v="380.0"/>
        <n v="397.0"/>
        <n v="398.0"/>
        <n v="1733.0"/>
        <n v="1285.0"/>
        <n v="2012.0"/>
        <n v="1287.0"/>
        <n v="1732.0"/>
        <n v="459.0"/>
        <n v="473.0"/>
        <n v="1544.0"/>
        <n v="1497.0"/>
        <n v="464.0"/>
        <n v="1313.0"/>
        <n v="463.0"/>
        <n v="217.0"/>
        <n v="1378.0"/>
        <n v="1495.0"/>
        <n v="474.0"/>
        <n v="1605.0"/>
        <n v="416.0"/>
        <n v="1642.0"/>
        <n v="1641.0"/>
        <n v="1394.0"/>
        <n v="1181.0"/>
        <n v="248.0"/>
        <n v="472.0"/>
        <n v="476.0"/>
        <n v="477.0"/>
        <n v="478.0"/>
        <n v="1518.0"/>
        <n v="1543.0"/>
        <n v="1475.0"/>
        <n v="486.0"/>
        <n v="495.0"/>
        <n v="461.0"/>
        <n v="414.0"/>
        <n v="420.0"/>
        <n v="488.0"/>
        <n v="1139.0"/>
        <n v="1606.0"/>
        <n v="494.0"/>
        <n v="221.0"/>
        <n v="1715.0"/>
        <n v="1180.0"/>
        <n v="1659.0"/>
        <n v="1289.0"/>
        <n v="1293.0"/>
        <n v="422.0"/>
        <n v="1191.0"/>
        <n v="1192.0"/>
        <n v="1204.0"/>
        <n v="1206.0"/>
        <n v="1364.0"/>
        <n v="1366.0"/>
        <n v="505.0"/>
        <n v="1615.0"/>
        <n v="530.0"/>
        <n v="529.0"/>
        <n v="513.0"/>
        <n v="514.0"/>
        <n v="1033.0"/>
        <n v="1035.0"/>
        <n v="1034.0"/>
        <n v="220.0"/>
        <n v="236.0"/>
        <n v="212.0"/>
        <n v="1460.0"/>
        <n v="980.0"/>
        <n v="1291.0"/>
        <n v="211.0"/>
        <n v="1262.0"/>
        <n v="1264.0"/>
        <n v="1263.0"/>
        <n v="466.0"/>
        <n v="229.0"/>
        <n v="266.0"/>
        <n v="139.0"/>
        <n v="509.0"/>
        <n v="429.0"/>
        <n v="237.0"/>
        <n v="1266.0"/>
        <n v="1268.0"/>
        <n v="1267.0"/>
        <n v="1269.0"/>
        <n v="210.0"/>
        <n v="209.0"/>
        <n v="1270.0"/>
        <n v="255.0"/>
        <n v="1265.0"/>
        <n v="258.0"/>
        <n v="232.0"/>
        <n v="1281.0"/>
        <n v="1586.0"/>
        <n v="973.0"/>
        <n v="1658.0"/>
        <n v="1355.0"/>
        <n v="233.0"/>
        <n v="1434.0"/>
        <n v="249.0"/>
        <n v="646.0"/>
        <n v="1076.0"/>
        <n v="1184.0"/>
        <n v="238.0"/>
        <n v="239.0"/>
        <n v="1143.0"/>
        <n v="1077.0"/>
        <n v="26.0"/>
        <n v="1277.0"/>
        <n v="1580.0"/>
        <n v="244.0"/>
        <n v="1066.0"/>
        <n v="737.0"/>
        <n v="742.0"/>
        <n v="746.0"/>
        <n v="256.0"/>
        <n v="1708.0"/>
        <n v="1569.0"/>
        <n v="1468.0"/>
        <n v="956.0"/>
        <n v="774.0"/>
        <n v="1425.0"/>
        <n v="916.0"/>
        <n v="881.0"/>
        <n v="877.0"/>
        <n v="910.0"/>
        <n v="894.0"/>
        <n v="998.0"/>
        <n v="893.0"/>
        <n v="1477.0"/>
        <n v="847.0"/>
        <n v="1057.0"/>
        <n v="1188.0"/>
        <n v="1729.0"/>
        <n v="1643.0"/>
        <n v="921.0"/>
        <n v="839.0"/>
        <n v="831.0"/>
        <n v="744.0"/>
        <n v="206.0"/>
        <n v="35.0"/>
        <n v="30.0"/>
        <n v="109.0"/>
        <n v="1545.0"/>
        <n v="54.0"/>
        <n v="214.0"/>
        <n v="215.0"/>
        <n v="231.0"/>
        <n v="79.0"/>
        <n v="1178.0"/>
        <n v="1578.0"/>
        <n v="76.0"/>
        <n v="979.0"/>
        <n v="149.0"/>
        <n v="80.0"/>
        <n v="138.0"/>
        <n v="186.0"/>
        <n v="219.0"/>
        <n v="1138.0"/>
        <n v="223.0"/>
        <n v="154.0"/>
        <n v="150.0"/>
        <n v="151.0"/>
        <n v="107.0"/>
        <n v="1705.0"/>
        <n v="187.0"/>
        <n v="59.0"/>
        <n v="97.0"/>
        <n v="116.0"/>
        <n v="142.0"/>
        <n v="267.0"/>
        <n v="1561.0"/>
        <n v="274.0"/>
        <n v="276.0"/>
        <n v="1176.0"/>
        <n v="261.0"/>
        <n v="396.0"/>
        <n v="291.0"/>
        <n v="299.0"/>
        <n v="296.0"/>
        <n v="1472.0"/>
        <n v="293.0"/>
        <n v="1588.0"/>
        <n v="311.0"/>
        <n v="370.0"/>
        <n v="1710.0"/>
        <n v="297.0"/>
        <n v="327.0"/>
        <n v="328.0"/>
        <n v="329.0"/>
        <n v="343.0"/>
        <n v="1571.0"/>
        <n v="290.0"/>
        <n v="225.0"/>
        <n v="1711.0"/>
        <n v="319.0"/>
        <n v="337.0"/>
        <n v="334.0"/>
        <n v="1707.0"/>
        <n v="1439.0"/>
        <n v="287.0"/>
        <n v="283.0"/>
        <n v="285.0"/>
        <n v="284.0"/>
        <n v="400.0"/>
        <n v="399.0"/>
        <n v="218.0"/>
        <n v="1538.0"/>
        <n v="1508.0"/>
        <n v="423.0"/>
        <n v="413.0"/>
        <n v="265.0"/>
        <n v="651.0"/>
        <n v="650.0"/>
        <n v="653.0"/>
        <n v="660.0"/>
        <n v="546.0"/>
        <n v="535.0"/>
        <n v="536.0"/>
        <n v="1551.0"/>
        <n v="1664.0"/>
        <n v="661.0"/>
        <n v="1665.0"/>
        <n v="1668.0"/>
        <n v="1190.0"/>
        <n v="1175.0"/>
        <n v="1574.0"/>
        <n v="1713.0"/>
        <n v="204.0"/>
        <n v="1038.0"/>
        <n v="28.0"/>
        <n v="27.0"/>
        <n v="1079.0"/>
        <n v="1064.0"/>
        <n v="1183.0"/>
        <n v="975.0"/>
        <n v="1053.0"/>
        <n v="1692.0"/>
        <n v="1052.0"/>
        <n v="1063.0"/>
        <n v="1611.0"/>
        <n v="241.0"/>
        <n v="1062.0"/>
        <n v="1286.0"/>
        <n v="1447.0"/>
        <n v="1290.0"/>
        <n v="1065.0"/>
        <n v="1385.0"/>
        <n v="208.0"/>
        <n v="1135.0"/>
        <n v="1136.0"/>
        <n v="1078.0"/>
        <n v="1566.0"/>
        <n v="309.0"/>
        <n v="1565.0"/>
        <n v="1633.0"/>
        <n v="1283.0"/>
        <n v="240.0"/>
        <n v="1369.0"/>
        <n v="1189.0"/>
        <n v="1141.0"/>
        <n v="115.0"/>
        <n v="1142.0"/>
        <n v="243.0"/>
        <n v="1459.0"/>
        <n v="775.0"/>
        <n v="1690.0"/>
        <n v="543.0"/>
        <n v="192.0"/>
        <n v="1452.0"/>
        <n v="569.0"/>
        <n v="183.0"/>
        <n v="968.0"/>
        <n v="648.0"/>
        <n v="310.0"/>
        <n v="878.0"/>
        <n v="98.0"/>
        <n v="801.0"/>
        <n v="565.0"/>
        <n v="482.0"/>
        <n v="1326.0"/>
        <n v="1601.0"/>
        <n v="1327.0"/>
        <n v="193.0"/>
        <n v="1694.0"/>
        <n v="2013.0"/>
        <n v="2014.0"/>
        <n v="2015.0"/>
        <n v="376.0"/>
        <n v="1333.0"/>
        <n v="1187.0"/>
        <n v="720.0"/>
        <n v="1273.0"/>
        <n v="767.0"/>
        <n v="485.0"/>
        <n v="2016.0"/>
        <n v="1278.0"/>
        <n v="639.0"/>
        <n v="567.0"/>
        <n v="538.0"/>
        <n v="263.0"/>
        <n v="2017.0"/>
        <n v="1587.0"/>
        <n v="1678.0"/>
        <n v="1680.0"/>
        <n v="1679.0"/>
        <n v="1686.0"/>
        <n v="1685.0"/>
        <n v="1677.0"/>
        <n v="1684.0"/>
        <n v="1683.0"/>
        <n v="2019.0"/>
        <n v="1689.0"/>
        <n v="1688.0"/>
        <n v="2020.0"/>
        <n v="2021.0"/>
        <n v="135.0"/>
        <n v="122.0"/>
        <n v="1706.0"/>
        <n v="1697.0"/>
        <n v="2023.0"/>
        <n v="23.0"/>
        <n v="644.0"/>
        <n v="1726.0"/>
        <n v="428.0"/>
        <n v="1599.0"/>
        <n v="1338.0"/>
        <n v="2024.0"/>
        <n v="2027.0"/>
        <n v="2028.0"/>
        <n v="2029.0"/>
        <n v="2030.0"/>
        <n v="584.0"/>
        <n v="1320.0"/>
        <n v="798.0"/>
        <n v="659.0"/>
        <n v="1702.0"/>
        <n v="2031.0"/>
        <n v="2032.0"/>
        <n v="1734.0"/>
        <n v="1735.0"/>
        <n v="716.0"/>
        <n v="1600.0"/>
        <n v="402.0"/>
        <n v="605.0"/>
        <n v="1589.0"/>
        <n v="1335.0"/>
        <n v="562.0"/>
        <n v="666.0"/>
        <n v="556.0"/>
        <n v="608.0"/>
        <n v="595.0"/>
        <n v="2038.0"/>
        <n v="1695.0"/>
        <n v="560.0"/>
        <n v="1347.0"/>
        <n v="600.0"/>
        <n v="74.0"/>
        <n v="1336.0"/>
        <n v="773.0"/>
        <n v="100.0"/>
        <n v="1458.0"/>
        <n v="726.0"/>
        <n v="1329.0"/>
        <m/>
      </sharedItems>
    </cacheField>
    <cacheField name="fullName" numFmtId="0">
      <sharedItems containsBlank="1">
        <s v="אוסטרובסקי מיכאל"/>
        <s v="אלטלאקת פאטמה"/>
        <s v="ביליה אריאל (אריק)"/>
        <s v="בלטי יצחק (איציק)"/>
        <s v="בן פורת משה"/>
        <s v="ג'מבקוב אנדריי"/>
        <s v="ג'מבקוב זויה"/>
        <s v="גרידסקול ויקטוריה"/>
        <s v="גרידסקול סרגיי"/>
        <s v="ויזמן ראובן"/>
        <s v="חטיב טארק"/>
        <s v="זקוטו אבי"/>
        <s v="חטואל אברהם (אבי)"/>
        <s v="חייט שמעון"/>
        <s v="חיימוב אהרון"/>
        <s v="יאחנגילוב יפתח"/>
        <s v="יאחנגילוב מריה"/>
        <s v="ידגרוב יורי"/>
        <s v="ידגרוב רוזה"/>
        <s v="מלקמו עדנה"/>
        <s v="משייב אנה"/>
        <s v="פוליאקוב אמה"/>
        <s v="קוסטיצין יליזבטה (ליליה)"/>
        <s v="רחמים בנימין"/>
        <s v="אוזן אליהו (אליקו)"/>
        <s v="אוזן אריה"/>
        <s v="אלזיאדנא עבד אלרחמן עאטף"/>
        <s v="אסלנוב ג'ון"/>
        <s v="גניש בנימין (בני)"/>
        <s v="וייסברג אלינה"/>
        <s v="חסדאי אבי"/>
        <s v="טייב נדב יוסף חי"/>
        <s v="ליסובוי יורי"/>
        <s v="ליסובוי סבטלנה"/>
        <s v="צ'בן יוליה"/>
        <s v="קימנפלד דניל"/>
        <s v="קרייף שחף"/>
        <s v="קרן טל"/>
        <s v="שאולוב רוברט"/>
        <s v="תעסה אור"/>
        <s v="אוביץ זיוה"/>
        <s v="אוחנה עדי"/>
        <s v="בנעים חיימי (חיים)"/>
        <s v="גולדין אורן"/>
        <s v="לוגבינצ'נקו ויטלי"/>
        <s v="משה רועי"/>
        <s v="פופוב ניר (ניקיטה)"/>
        <s v="קפשיטר איתן"/>
        <s v="קפשיטר אלין"/>
        <s v="קפשיטר דינה"/>
        <s v="קפשיטר יבגני (ג'ניה)"/>
        <s v="רפאלי מישקין חגית"/>
        <s v="תורג'מן דוד (דודי)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חג'בי אליצור צוריאל"/>
        <s v="חג'בי יהונתן"/>
        <s v="חג'בי יזהר"/>
        <s v="אבו מדיע'ם אוסאמה עלי"/>
        <s v="ירון שיר"/>
        <s v="לוי ציון"/>
        <s v="אלמגור מרינה"/>
        <s v="אקוני אור"/>
        <s v="אקוני אריה"/>
        <s v="אקוני ארלט (רותי)"/>
        <s v="ברגר נורית"/>
        <s v="וובק דני"/>
        <s v="ינון בלהה"/>
        <s v="ינון יעקובי"/>
        <s v="מולכו איילת"/>
        <s v="מולכו שלמה (שלומי)"/>
        <s v="סגל חויק"/>
        <s v="אלקבץ מוטי"/>
        <s v="בן יהודה גלעד"/>
        <s v="בן יהודה יובל"/>
        <s v="הדר איתי (יוסטון)"/>
        <s v="זומר דן"/>
        <s v="זעפרני נוי תפארת"/>
        <s v="כהן דניאל אשר"/>
        <s v="מעודי נוי"/>
        <s v="קדמן שחר גל"/>
        <s v="קוסובסקי זלטה"/>
        <s v="קיפר סביון חן"/>
        <s v="רביע יובל"/>
        <s v="רביע נועם"/>
        <s v="רוזנברג מתן"/>
        <s v="שפיר דור חנן"/>
        <s v="שרון (שוקרון) דודי"/>
        <s v="אבאסוב שמיל"/>
        <s v="אבדולאייב עדן"/>
        <s v="אבו סבילה מוסא"/>
        <s v="אבו עאמר אלרזאם סוהייב"/>
        <s v="אבו עסא אוסאמה"/>
        <s v="אבוחצירה אוראל"/>
        <s v="אביב נוי"/>
        <s v="אביטן דור"/>
        <s v="אביר לוטן"/>
        <s v="אבני גיל יוסף"/>
        <s v="אברג'יל עודד"/>
        <s v="אברהם אילן"/>
        <s v="אברמוב לאור"/>
        <s v="אדברג אסף מרדכי"/>
        <s v="אדם מפל"/>
        <s v="אדר גילי"/>
        <s v="אוחיון עדן ליז"/>
        <s v="אוחנה דניאל"/>
        <s v="אורי בן"/>
        <s v="אורן אביאל"/>
        <s v="אזולאי גמליאל גבי גבריאל"/>
        <s v="אזולאי יוחאי"/>
        <s v="אזולאי יונתן חי"/>
        <s v="אחרק עמרי"/>
        <s v="אטון אופק"/>
        <s v="אטיאס דורין"/>
        <s v="איטח ליאל"/>
        <s v="איטח סיגל"/>
        <s v="איילון שירה"/>
        <s v="אילוז אליה אליהו"/>
        <s v="אילייב אדם"/>
        <s v="איירמנדי סיזר איוון"/>
        <s v="אליהו יהונתן"/>
        <s v="אלפסי שלמה אליהו"/>
        <s v="אלפראחין ח'אלד"/>
        <s v="אלקיים לוי עינב"/>
        <s v="נסאסרה עבד אלכרים"/>
        <s v="אלשיך שלמה (שלומי) אליהו"/>
        <s v="אמין שני"/>
        <s v="אנגלנדר נועה"/>
        <s v="אסולין ליאור"/>
        <s v="אסולין לירז"/>
        <s v="אסייג ליאב"/>
        <s v="אפרים ירין משה"/>
        <s v="אפרים נעם ליאל"/>
        <s v="אקשטיין מתן"/>
        <s v="ארד אורי"/>
        <s v="ארד נבו"/>
        <s v="אריאל דן"/>
        <s v="ארנין איילת"/>
        <s v="אשואן סהר"/>
        <s v="בהט דרור"/>
        <s v="בובטס בן איון אורטל"/>
        <s v="בולדס דורון"/>
        <s v="בונגרט סופיה"/>
        <s v="בוסקילה ירדן"/>
        <s v="בועזיז מורלי נטע"/>
        <s v="בוקובזה רז"/>
        <s v="בור גלאון ליעם"/>
        <s v="בורשטיין מטיאס (הרנן)"/>
        <s v="בורשטיין עינב (חן)"/>
        <s v="ביטון בניהו"/>
        <s v="ביטון מאיה"/>
        <s v="ביטון מרדכי בן אריאל"/>
        <s v="ביטון נדב"/>
        <s v="ביילין אורון"/>
        <s v="ביילין בן צבי שגיב"/>
        <s v="ביכר נעומי"/>
        <s v="בילמס ספיר"/>
        <s v="בכר יהודה"/>
        <s v="בן אבי חן"/>
        <s v="בן אבידה עמית (יהודה)"/>
        <s v="בן דוד נגר סלין רחל"/>
        <s v="בן זינו עידו"/>
        <s v="בן זכריה יוחאי"/>
        <s v="בן חמו אור חיים"/>
        <s v="בן חמו דן"/>
        <s v="בן נעים שחר"/>
        <s v="בן סניור דניאל"/>
        <s v="בן עמי שני"/>
        <s v="בן פורת אליסף"/>
        <s v="בן רובי עדן"/>
        <s v="בנג'ו איתי"/>
        <s v="בר דין נהוראי"/>
        <s v="בר שהם"/>
        <s v="בראון יובל"/>
        <s v="בראל גבריאל ישי"/>
        <s v="ברגמן אלדד (אנג'ל)"/>
        <s v="ברדה לירון"/>
        <s v="ברזני סתיו"/>
        <s v="ברטיק (קליין) טל"/>
        <s v="ברטל נדב"/>
        <s v="אליהו ברנט רומי"/>
        <s v="ברנשטיין אליהו יעקב"/>
        <s v="ברנשטיין בן"/>
        <s v="ברסלבסקי דניאל (דני)"/>
        <s v="ברעם עילי"/>
        <s v="ג'ורג'י שיר חנה"/>
        <s v="ג'רפי ליאל"/>
        <s v="גבאי שני"/>
        <s v="גוטמן תמר"/>
        <s v="גולדנברג ניצן"/>
        <s v="גולדנברג תמר"/>
        <s v="גולטמן דניאל"/>
        <s v="גוסק מרגריטה"/>
        <s v="גורביץ' (וסילקובסקי) ליליה"/>
        <s v="גורדני שרון"/>
        <s v="גוריונוב אנטון"/>
        <s v="גורלוב ויקטוריה"/>
        <s v="גז עדן"/>
        <s v="גטה סתיו"/>
        <s v="גילר ירוסלב (סלבה)"/>
        <s v="גינדי שחר"/>
        <s v="גל שלו"/>
        <s v="גנדלין איזבלה"/>
        <s v="גנוט אביה"/>
        <s v="גנון שירן"/>
        <s v="גניס יוסף (ספי)"/>
        <s v="גרציאני מאור"/>
        <s v="גרקוביץ' דפנה"/>
        <s v="דב רחל (רייצ'ל)"/>
        <s v="דדון אבי"/>
        <s v="דהן יצחק איציק"/>
        <s v="דוד הודיה"/>
        <s v="דוד עמית יצחק"/>
        <s v="דוד תאיר"/>
        <s v="דוידוב קרינה אלה"/>
        <s v="דוידי ברק"/>
        <s v="דויטשוילי שון"/>
        <s v="דור עידן"/>
        <s v="דייטשמן רונן"/>
        <s v="דמרי דן"/>
        <s v="דמתי קים"/>
        <s v="דנגורי גל"/>
        <s v="דפני לין"/>
        <s v="הירש (אוזן) שרון"/>
        <s v="הלוי אביעד"/>
        <s v="הרמן עידן"/>
        <s v="הרמתי עידן"/>
        <s v="ואקנין פרמוטר לימור"/>
        <s v="ודעי דניאל מאיר"/>
        <s v="והדי משה"/>
        <s v="וולדמן דניאל"/>
        <s v="ויגדרגאוז (דובז'נקו) סיימון"/>
        <s v="ויינברג רון"/>
        <s v="ויינשטיין ליאל"/>
        <s v="ולאנו פונטס ברונה"/>
        <s v="וקנין אושר"/>
        <s v="וקנין מיכאל"/>
        <s v="ורבר אלון"/>
        <s v="ורדי לורי"/>
        <s v="ורניקוב קרין"/>
        <s v="ז'ורנו קארין"/>
        <s v="זגדון רינת הודיה"/>
        <s v="זוארמן מוטי (מרדכי)"/>
        <s v="זהר בר"/>
        <s v="זיו אור"/>
        <s v="זיידמן יונתן (ג'וני)"/>
        <s v="זנדר נועה"/>
        <s v="זנטי מתן"/>
        <s v="זפרני איתי"/>
        <s v="חבני שקד"/>
        <s v="חג'בי זיו"/>
        <s v="חדד אטיאס ליאור"/>
        <s v="חיאל גידי"/>
        <s v="חיאל נועה"/>
        <s v="חיים מאיה"/>
        <s v="חליפה גאיה"/>
        <s v="חמוי אלה"/>
        <s v="חסיד בן בנציון"/>
        <s v="חפץ אריה אריק"/>
        <s v="טבגן גולדמן קטרינה (קטיה)"/>
        <s v="טמם אדיר"/>
        <s v="טקאץ' ליאור"/>
        <s v="טרבלסי מור"/>
        <s v="יהודאי רון"/>
        <s v="יעקב אילן משה"/>
        <s v="יעקב שהם"/>
        <s v="יעקב שובל"/>
        <s v="יעקב שנהב"/>
        <s v="יעקובוב סאן אמנון"/>
        <s v="יצחקי מאי"/>
        <s v="ישמרני (טמם) שירז שירן"/>
        <s v="כהן אברהם נריה"/>
        <s v="כהן בן בנימין"/>
        <s v="כהן דניאל"/>
        <s v="כהן מגורי ליבי"/>
        <s v="כהן מור"/>
        <s v="כהן עמית חיים"/>
        <s v="כפיר גלעד"/>
        <s v="כץ טל"/>
        <s v="לביא עומרי יעקב"/>
        <s v="להב עמית"/>
        <s v="לוי גיא גבריאל"/>
        <s v="לוי יצחק"/>
        <s v="לוי ליבנת"/>
        <s v="לוי לידור יוסף"/>
        <s v="לוי נאור"/>
        <s v="לוי ניסים (מעיין)"/>
        <s v="לוי סיגל"/>
        <s v="לוי עמית"/>
        <s v="לוי רותם רחל"/>
        <s v="לוין אליסיה"/>
        <s v="ליאור מתן מרדכי"/>
        <s v="ליטמן אוריה ריקרדו"/>
        <s v="ליסמן אניטה"/>
        <s v="ליסצ'וב דוד"/>
        <s v="ליפובסקי אילן"/>
        <s v="למאי דידנקו יוליה"/>
        <s v="לפידות תפארת"/>
        <s v="מגנזי עמית"/>
        <s v="מדמון ניר"/>
        <s v="מדמוני שליו"/>
        <s v="מדר שחק יוסף"/>
        <s v="מועלם נעמה"/>
        <s v="מוצפי שי שלום אליאור"/>
        <s v="מזרחי אלירן"/>
        <s v="מזרחי בן מנשה"/>
        <s v="מזרחי רז"/>
        <s v="מייזל עדי רבקה"/>
        <s v="מימון ליאור"/>
        <s v="מליחי אמיתי"/>
        <s v="מלכה דור"/>
        <s v="מנצור שחר"/>
        <s v="מנצורי נורל"/>
        <s v="מנצורי רויה"/>
        <s v="מסיאס מונטנו אנטוניו יניב"/>
        <s v="מסיקה אדיר"/>
        <s v="מקרצ'נקו סטיבן"/>
        <s v="מרגלית עדי"/>
        <s v="משה עדן דוד"/>
        <s v="נאמן דוד יאיר שלום"/>
        <s v="נבון גל"/>
        <s v="נזרוב אילקין"/>
        <s v="נחום דור"/>
        <s v="נידג'לסקי גלזר חנני"/>
        <s v="ניימן רותם"/>
        <s v="ניסימבוים (כרמלי) ג'ני"/>
        <s v="ניסן לירז"/>
        <s v="נעים מאי"/>
        <s v="נפתלי עדן"/>
        <s v="נקמולי בר ליאור (ברלי)"/>
        <s v="סבידיה שלומי"/>
        <s v="סוויסה מוריה אור"/>
        <s v="סולומון הילי"/>
        <s v="סטלזר מנדס קרלה"/>
        <s v="סטרוסטה תומר"/>
        <s v="סלומון יעקב"/>
        <s v="סלע רם"/>
        <s v="סמואלוב אלעזר"/>
        <s v="סמוילוב אלכסנדר"/>
        <s v="סמט תמר"/>
        <s v="סעידי צור"/>
        <s v="סעידיאן משה (מושיקו)"/>
        <s v="סרודי יניב"/>
        <s v="עבדוש גל"/>
        <s v="עבדוש נאג'י"/>
        <s v="עדרי עידן"/>
        <s v="עודי עופר"/>
        <s v="עזר גיא"/>
        <s v="עזרא עוז משה"/>
        <s v="עטון ליאור"/>
        <s v="עמר חנן (חנניה)"/>
        <s v="עמר מרסדס אוריה"/>
        <s v="פאר יועד"/>
        <s v="פודר מאיה"/>
        <s v="פולבנוב רוני"/>
        <s v="פוסטל יבגני"/>
        <s v="פורטי ניר"/>
        <s v="פטרובסקי רוני"/>
        <s v="פטרנקו דניאלה (דנה)"/>
        <s v="פישמן בן"/>
        <s v="פלחטי אלינה"/>
        <s v="פסו אוראל"/>
        <s v="פרג' נועה"/>
        <s v="פריטיקה קארינה"/>
        <s v="פרינץ הדר"/>
        <s v="פרנקל זיו"/>
        <s v="פרץ אריק (אריה)"/>
        <s v="פרץ עידו"/>
        <s v="פרץ רות הודיה"/>
        <s v="צפתי חי חיים"/>
        <s v="צרפתי אופיר"/>
        <s v="צרפתי רון"/>
        <s v="קונדרוב אירית"/>
        <s v="קופרווסר שני"/>
        <s v="קיז'נר שגב ישראל"/>
        <s v="קיילין הילה"/>
        <s v="קינן לינור"/>
        <s v="קליכמן מעין"/>
        <s v="קמחי אופק"/>
        <s v="קמחי סתיו"/>
        <s v="קן דרור יהונתן (מאיר)"/>
        <s v="קסבצ'וק דניאל"/>
        <s v="קסרוטי כלפה קשת"/>
        <s v="רביב מוריה"/>
        <s v="רביע אופק"/>
        <s v="רגב שי"/>
        <s v="רואימי מיכל"/>
        <s v="רוביו ורגס איבון עדן פטריסיה"/>
        <s v="רוזמן יעל"/>
        <s v="רום יהונתן"/>
        <s v="רומשקין אולגה נעמי"/>
        <s v="רחום ניצן"/>
        <s v="רחמים אביאל שלום"/>
        <s v="רחמים דביר"/>
        <s v="רפאל (רפאי) אלי"/>
        <s v="רפאי שרון"/>
        <s v="שאמץ איליה"/>
        <s v="שגב שושן"/>
        <s v="שגב תומר"/>
        <s v="שהרבני סיון"/>
        <s v="שובה משה"/>
        <s v="שוורצמן קארין"/>
        <s v="שופן זיו"/>
        <s v="שטרית רוני"/>
        <s v="שי נעם"/>
        <s v="שיינקרמן דניאל"/>
        <s v="שינדל מארק"/>
        <s v="שכטר בר"/>
        <s v="שלו שי"/>
        <s v="שלום נעם"/>
        <s v="שלום רם"/>
        <s v="שלזינגר אסף"/>
        <s v="שם טוב עינבר"/>
        <s v="שמוניס הראל שרונה"/>
        <s v="שמעוני בנימין (בן)"/>
        <s v="שמר רון"/>
        <s v="שניר איתן רפאל"/>
        <s v="שפירא זיו פפה"/>
        <s v="שפר רן"/>
        <s v="שרם ליאם"/>
        <s v="תאר דור"/>
        <s v="תומר בר"/>
        <s v="תורג'מן אבידן"/>
        <s v="תורג'מן שהם ליה"/>
        <s v="תל צור ניב"/>
        <s v="זיו דדו"/>
        <s v="שפירר תומר"/>
        <s v="אבן אלון"/>
        <s v="אבן חן"/>
        <s v="אבן עידו"/>
        <s v="אבן רינת"/>
        <s v="אוחיון סילביה"/>
        <s v="אור יונת"/>
        <s v="אפטלון יוסי (זיגי)"/>
        <s v="בויום ענבר"/>
        <s v="בירה אורון"/>
        <s v="בירה טל"/>
        <s v="בירה יסמין"/>
        <s v="בירה תאיר"/>
        <s v="בירה תהל"/>
        <s v="בכר גאולה"/>
        <s v="בכר דנה"/>
        <s v="בכר כרמל"/>
        <s v="בכר מזל (מזי)"/>
        <s v="בן עמי חוה"/>
        <s v="בר יובל"/>
        <s v="בר מעיין"/>
        <s v="בר סיני יורם"/>
        <s v="ברוך עידן"/>
        <s v="גודארד (פרג) איילת"/>
        <s v="גודארד מני"/>
        <s v="גלסקי יבגני"/>
        <s v="גת כנרת"/>
        <s v="דגן עדי"/>
        <s v="הנד נרקיס"/>
        <s v="הקר זאב"/>
        <s v="הקר זהבה"/>
        <s v="הרן אבשלום (אבשל)"/>
        <s v="הרשקוביץ מעיינה"/>
        <s v="הרשקוביץ נח"/>
        <s v="וייס מתי"/>
        <s v="וייס עמיר"/>
        <s v="וייס שמואל (שמוליק)"/>
        <s v="זוהר חיים"/>
        <s v="זלמנוביץ' הלל"/>
        <s v="חצרוני איילה"/>
        <s v="חצרוני הלר ליאל"/>
        <s v="חרמש עומר"/>
        <s v="טרשצ'נסקי ליאור"/>
        <s v="יצחקי יהודית"/>
        <s v="כהן אוהד"/>
        <s v="כהן יונה"/>
        <s v="כהן מילה"/>
        <s v="כהן פסיה (פסי)"/>
        <s v="כרסנתי שושנה (שוש)"/>
        <s v="לוי לודמיר דניאל"/>
        <s v="לוי רוני"/>
        <s v="לוסב איגור"/>
        <s v="לוסב מרינה"/>
        <s v="מור אבי"/>
        <s v="מורדו רפאל (רפי)"/>
        <s v="מייזנר קרבונה גלית"/>
        <s v="מילס אלברט (אבלום)"/>
        <s v="מן עמית"/>
        <s v="נווה מרדכי"/>
        <s v="נטע אדריאן"/>
        <s v="סבירסקי רפי"/>
        <s v="סוכמן תמי"/>
        <s v="סיטון חנה"/>
        <s v="סיטון טל"/>
        <s v="סיטון יצחק"/>
        <s v="סילבר ויויאן"/>
        <s v="סלע סבירסקי אורית"/>
        <s v="פישביין זערור תכלת"/>
        <s v="פרייליך קפלון מרסל"/>
        <s v="פריקר יונה"/>
        <s v="קוזין יצחק"/>
        <s v="קידר סמי"/>
        <s v="קיפניס אביתר (תרי)"/>
        <s v="קיפניס לילך"/>
        <s v="קלדרון רותם"/>
        <s v="קפלון דרור"/>
        <s v="קרול דוד"/>
        <s v="קריצמן חנה"/>
        <s v="רידר דור"/>
        <s v="רפופורט יונתן"/>
        <s v="שוש נוי"/>
        <s v="שרעבי יהל"/>
        <s v="שרעבי ליאן"/>
        <s v="שרעבי נויה"/>
        <s v="Prodigo Cabrera Gracie"/>
        <s v="Castelvi Paul Vincent"/>
        <s v="Jayathilaka Anula"/>
        <s v="Sae Yang Sumchai"/>
        <s v="Yatawara Bandara Susujith"/>
        <s v="אלחרר חלפון ליז"/>
        <s v="אלחרר מאיר"/>
        <s v="מתיאס טרואן שחר דבורה (דבי)"/>
        <s v="מתיאס שלומי"/>
        <s v="סולטן רולאן"/>
        <s v="סולטן רונית"/>
        <s v="קייסמן לילי"/>
        <s v="קעטבי תהילה"/>
        <s v="קפלון עדי ויטל"/>
        <s v="רידלר משה"/>
        <s v="Busko Petro"/>
        <s v="גודו תום"/>
        <s v="זק (בן יעיש) אתי"/>
        <s v="זק איתי"/>
        <s v="זק שגיא"/>
        <s v="חולתי מנוחה"/>
        <s v="מור מעיין"/>
        <s v="סמיאטיץ' ג'ינה"/>
        <s v="רון עופר"/>
        <s v="Jakkaphong Jantharasena"/>
        <s v="Kaison Aranthit"/>
        <s v="Khunsri Pongsatorn"/>
        <s v="Klangsuwan Theerapong"/>
        <s v="Prakotwong Thanakrit"/>
        <s v="Sanusan Chairat"/>
        <s v="Sophakun Anucha"/>
        <s v="Srithat Kawao"/>
        <s v="אדמוני גיא"/>
        <s v="אדמוני מיכל"/>
        <s v="אדרי אביעד אברהם"/>
        <s v="אורגד גולדנברג אליהו (אלי)"/>
        <s v="איתמרי לילי"/>
        <s v="איתמרי רם"/>
        <s v="אלקבץ סיון"/>
        <s v="אמיר מודי (מרדכי)"/>
        <s v="אפשטיין בלהה"/>
        <s v="אפשטיין נטע"/>
        <s v="בויום יובל"/>
        <s v="בן דוד (ג'יבלי) מאיה"/>
        <s v="ברדיצ'בסקי (רוזנפלד) הדר"/>
        <s v="ברדיצ'בסקי איתי"/>
        <s v="גולדשטיין אלמוג ים"/>
        <s v="גולדשטיין אלמוג נדב"/>
        <s v="גורן ארן"/>
        <s v="גורן טובה"/>
        <s v="דגני נעמי"/>
        <s v="וינר יהב"/>
        <s v="ורטהיים (בר אילן) דורית"/>
        <s v="ורטהיים אביב"/>
        <s v="זיו איתן"/>
        <s v="זיני ניראל"/>
        <s v="חסידים נאור"/>
        <s v="חצרוני אביה"/>
        <s v="חצרוני הלר ינאי"/>
        <s v="ליבשטיין ניצן"/>
        <s v="מור עידן סמדר"/>
        <s v="עידן רועי"/>
        <s v="פלג זיו (נאור) תמי"/>
        <s v="פלד גילה"/>
        <s v="פלד דניאל"/>
        <s v="פלד יזהר"/>
        <s v="פלש יגאל"/>
        <s v="פלש סינתיה תמר (סינדי)"/>
        <s v="פרץ מארק (מרדכי)"/>
        <s v="צדיקביץ' עומר"/>
        <s v="קוץ אביב"/>
        <s v="קוץ יונתן"/>
        <s v="קוץ יפתח"/>
        <s v="קוץ לבנת"/>
        <s v="קוץ רותם"/>
        <s v="קציר (קצ'קו) דוד"/>
        <s v="רביב ניב"/>
        <s v="רונן נירה"/>
        <s v="רייכנשטיין אליהו (אליקו)"/>
        <s v="שוורצמן דוד אלברטו"/>
        <s v="שוורצמן פינקו אורלי"/>
        <s v="שושני אופיר"/>
        <s v="שטהל מירה"/>
        <s v="Aguirre Angelyn"/>
        <s v="אליקים נועם"/>
        <s v="ברוש שושנה (שושי)"/>
        <s v="זוהר יניב"/>
        <s v="זוהר יסמין"/>
        <s v="זוהר קשת"/>
        <s v="זוהר תכלת"/>
        <s v="כץ אפרת"/>
        <s v="ליבנה חיים"/>
        <s v="עידן מעיין"/>
        <s v="ערבה אליעז תומר"/>
        <s v="ערבה דקלה"/>
        <s v="רון שלמה"/>
        <s v="Somkuan Pansa-ard"/>
        <s v="בן חורין רבקה"/>
        <s v="בן צבי אמיתי"/>
        <s v="גורן אבנר"/>
        <s v="גרוס יוסף (יוסיניו)"/>
        <s v="דן כרמלה"/>
        <s v="דן נויה"/>
        <s v="והב יוסף (יוסי)"/>
        <s v="טרופנוב ויטלי"/>
        <s v="כץ רביד"/>
        <s v="לוינסון ברכה"/>
        <s v="מונדר רועי"/>
        <s v="משה סעיד (דוד)"/>
        <s v="נוי שפרה"/>
        <s v="סילברמן (שניידר) מרגיט"/>
        <s v="סילברמן יוסף"/>
        <s v="סימן טוב ארבל"/>
        <s v="סימן טוב יונתן (ג'וני)"/>
        <s v="סימן טוב עומר"/>
        <s v="סימן טוב קדם תמר"/>
        <s v="סימן טוב קרול"/>
        <s v="סימן טוב שחר"/>
        <s v="פאוקר גדעון"/>
        <s v="קציר אברהם (רמי)"/>
        <s v="שלו דוד"/>
        <s v="שלו טל"/>
        <s v="שפיר ירמי (ירמיהו)"/>
        <s v="Bohl Caroline"/>
        <s v="Dachtuyawat Bancha"/>
        <s v="Darlington Daniel (Danny)"/>
        <s v="באבאני גדעון"/>
        <s v="מאיר דורון"/>
        <s v="מאיר מור"/>
        <s v="פופלוול רועי"/>
        <s v="כהן ברנרד (פול)"/>
        <s v="גלזברג נועה"/>
        <s v="טליה מרסל"/>
        <s v="ליפשיץ אולג"/>
        <s v="מרנסקי סילביה"/>
        <s v="Bista Dipesh Raj"/>
        <s v="Chaudhary Ashish"/>
        <s v="Lekendora Sing Dahami"/>
        <s v="Nepali Ganesh Kumar"/>
        <s v="Neupane Narayan Prasad"/>
        <s v="Phulara Rajan"/>
        <s v="Prabesh Bhandari"/>
        <s v="Shah Ananda"/>
        <s v="Swarnakar Rajesh Kumar"/>
        <s v="Thapa Padam"/>
        <s v="אוסטפנקו אליונה"/>
        <s v="גבאי עמית"/>
        <s v="הרמתי ורדה"/>
        <s v="פבר אסף"/>
        <s v="קרפ דביר"/>
        <s v="אבדלימוב סמיון"/>
        <s v="אברמוב מיכאל"/>
        <s v="איליאגוייב סלומון"/>
        <s v="ג'רג'אוי סמי"/>
        <s v="אשרף חיים"/>
        <s v="ויצמן ליאור"/>
        <s v="טולדנו עמרם אלון"/>
        <s v="טנבורה אמיר"/>
        <s v="לוזובסקי לאוניד"/>
        <s v="מאירי זוהר"/>
        <s v="מגירא אבי"/>
        <s v="מורזאחנוב מיכאל"/>
        <s v="מלכה מאיר"/>
        <s v="נווה נתיב מעיין"/>
        <s v="סוויסה אודיה"/>
        <s v="סוויסה דולב"/>
        <s v="סורוקין דמיטרי"/>
        <s v="פריאנטה קובי"/>
        <s v="שטרית אזולאי נעמי"/>
        <s v="Cao Yongcai"/>
        <s v="Wan Zhishun"/>
        <s v="Zou Deli"/>
        <s v="ביילין זינאידה (זינה)"/>
        <s v="גילר ליליה"/>
        <s v="זרבאילוב מיכל מראל"/>
        <s v="טומייב נטליה"/>
        <s v="מורטוב יעקב"/>
        <s v="ספרבצ'יקוב נדז'דה"/>
        <s v="פופוב ולדימיר"/>
        <s v="פופוב סופיה"/>
        <s v="פורמן לודמילה (לודה)"/>
        <s v="פרידמן ולרי"/>
        <s v="קורצר איגור"/>
        <s v="שמיאייב לוי ברטה בטסיין"/>
        <s v="שניטמן טטיאנה"/>
        <s v="אבו ג'מאע יזן זכריה"/>
        <s v="אבו מדיע'ם גאליה"/>
        <s v="אבו סבייח מאי זוהיר"/>
        <s v="אבו סבייח פאיזה"/>
        <s v="אלקרעאן אמין עקל"/>
        <s v="אלקרעאן ג'וואד אברהים"/>
        <s v="אלקרעאן מאלק אברהים"/>
        <s v="אלקרעאן מחמד ד'יב"/>
        <s v="בן ארצי חנה"/>
        <s v="ברודש שירז דניאל"/>
        <s v="גבאי מור"/>
        <s v="ז'וקוב ולדימיר"/>
        <s v="חטאב יהושוע"/>
        <s v="מסקאלצ'י נתנאל"/>
        <s v="מסקאלצ'י רפאל מאיר"/>
        <s v="פהימי רפאל"/>
        <s v="פרץ אבשלום יאיר"/>
        <s v="אבוהרון רוני"/>
        <s v="אוחיון אליעד"/>
        <s v="אוחיון משה"/>
        <s v="אילוז יגאל"/>
        <s v="אלעזרי יונתן"/>
        <s v="בוזגלו אבי"/>
        <s v="גורי אריאל רפאל"/>
        <s v="גורי רואי חיים"/>
        <s v="לוגסי ניסים"/>
        <s v="ליזמי מיכאל"/>
        <s v="סעיד נהוראי"/>
        <s v="צ'אנה ישראל"/>
        <s v="צידון אבי"/>
        <s v="אלטון דרור"/>
        <s v="אלם מארו"/>
        <s v="אמיתי נהוראי לוי"/>
        <s v="אמר רגב"/>
        <s v="אסתו אור"/>
        <s v="ארז אריאל"/>
        <s v="באלוי עידן"/>
        <s v="בוגלה אדיר אישטו"/>
        <s v="בוחניק לביא"/>
        <s v="בזגודוב דניאל"/>
        <s v="ביבי אוריאל"/>
        <s v="ביננשטוק עידו"/>
        <s v="בליך ודים"/>
        <s v="בן דוד ברק"/>
        <s v="בן יהודה איתמר"/>
        <s v="בן יעקב יעד"/>
        <s v="בן משה (מושיאשוילי) מיכאל"/>
        <s v="בר (בן מוחה) ליאון"/>
        <s v="בר עם נטע"/>
        <s v="ברנס שלו"/>
        <s v="ברק תומר"/>
        <s v="גאורי אדיר"/>
        <s v="גבאי יובל"/>
        <s v="גברה עומר"/>
        <s v="גדליה יוסף מלאכי"/>
        <s v="גואטה עמית"/>
        <s v="גליסקו איתי אופק"/>
        <s v="גמזו אילי"/>
        <s v="דגן שלו"/>
        <s v="דהן שקד"/>
        <s v="דוידוביץ׳ שלומי"/>
        <s v="דיין ירון מוריס"/>
        <s v="וולף עומר"/>
        <s v="זוהר ירון"/>
        <s v="זכאי דביר"/>
        <s v="חובלאשוילי אברהם"/>
        <s v="טהר יוסף (יוסי)"/>
        <s v="יאנג נתנאל"/>
        <s v="יואב מיכאל"/>
        <s v="יונה בנימין גבריאל"/>
        <s v="יענקלוב בר"/>
        <s v="ירוחין אופיר"/>
        <s v="כהן איתמר"/>
        <s v="כהן דנית"/>
        <s v="לב בנימין"/>
        <s v="לביא אמיר"/>
        <s v="לוגאסי שמעון יוחאי"/>
        <s v="לוי טל"/>
        <s v="לוי יקיר"/>
        <s v="ליאר נתן חי"/>
        <s v="מזרחי אור"/>
        <s v="מידאני סהר"/>
        <s v="מלכה אור"/>
        <s v="ממן טל"/>
        <s v="מקייס לידור"/>
        <s v="מרציאנו אריק יהודה"/>
        <s v="נגר תומר"/>
        <s v="נידם שוהם שלמה"/>
        <s v="סמוילוב אמיל"/>
        <s v="סעודין סהר"/>
        <s v="סקורי אמיר"/>
        <s v="סקיפקביץ' ויטלי"/>
        <s v="סקריסבסקי רודי"/>
        <s v="עדן חיים מאיר"/>
        <s v="עזיזוב ליאור"/>
        <s v="פרץ עמרי"/>
        <s v="צ'אפל רועי"/>
        <s v="צור יהונתן"/>
        <s v="צור עדי"/>
        <s v="ציוני אופיר"/>
        <s v="צירינג אריה שלמה"/>
        <s v="צפיר דדו"/>
        <s v="קוצרו נתיב"/>
        <s v="קיעאן חביב"/>
        <s v="ראשד דניאל"/>
        <s v="רבינוב מקס"/>
        <s v="רסלר דביר חיים"/>
        <s v="רפאל שלום מאור"/>
        <s v="רשטניקוב שלמה"/>
        <s v="רתנר דוד"/>
        <s v="שי ירון אורי"/>
        <s v="שלומי רום"/>
        <s v="ישראל שני עידו"/>
        <s v="שפרבר דניאל"/>
        <s v="שקותאי גלי רועי"/>
        <s v="טהר אדיר"/>
        <s v="אהרן יוגב"/>
        <s v="אוחיון אביתר"/>
        <s v="בזק גיא"/>
        <s v="בטיטו ראם מאיר"/>
        <s v="בלאי בנימין"/>
        <s v="בן חמו מיכאל"/>
        <s v="בן מוחה עילי נועם"/>
        <s v="טקה בנימין טשגר"/>
        <s v="מיטלמן דוד"/>
        <s v="סביצקי יונתן"/>
        <s v="סגל אוריאל"/>
        <s v="פלד עמית"/>
        <s v="פרץ רז (רזיאל)"/>
        <s v="רובין עמיחי שמעון"/>
        <s v="רוזנשטיין בר"/>
        <s v="שני אורי מרדכי"/>
        <s v="ששון אלעד מיכאל"/>
        <s v="ראוכברגר שילה"/>
        <s v="אברמוביץ' נועם"/>
        <s v="איל אמיר"/>
        <s v="אילת שיר"/>
        <s v="אמויאל דולב"/>
        <s v="אסראף סיון שמחה"/>
        <s v="אשל רוני"/>
        <s v="אשרם שי"/>
        <s v="ביטון שיר"/>
        <s v="בן שטרית שמעון אלרואי"/>
        <s v="גלס ים"/>
        <s v="גרומן עדי"/>
        <s v="דוכן יוחאי"/>
        <s v="הר אבן שילה"/>
        <s v="ויאלובו פולו מיה"/>
        <s v="חג'ג' אביב"/>
        <s v="חיים פור שיראל"/>
        <s v="יוגב בועז מנשה"/>
        <s v="יעבץ יפתח"/>
        <s v="כהן הדר מרים"/>
        <s v="כרמי אורי"/>
        <s v="לזימי דור"/>
        <s v="לייבושור יעל"/>
        <s v="לנדמן עדי"/>
        <s v="מור שיראל"/>
        <s v="נימרי עדן"/>
        <s v="ניסני שחף"/>
        <s v="סיבוני נאור"/>
        <s v="עמר שירת ים"/>
        <s v="פיטוסי ישי"/>
        <s v="פלד ירין מארי"/>
        <s v="פרייס נועה"/>
        <s v="קרסנינסקי יעקב (יענקי) שלמה"/>
        <s v="רון איתי אברהם"/>
        <s v="שוחט שירה"/>
        <s v="דקל נחמן"/>
        <s v="מוסט עמית"/>
        <s v="מלמן אופיר"/>
        <s v="סעדון הלל שמואל"/>
        <s v="שוורץ שגב"/>
        <s v="סויסה דקל"/>
        <s v="פרי רועי"/>
        <s v="אסייג רווית חנה"/>
        <s v="סאלם פלג"/>
        <s v="אביטל גיל"/>
        <s v="בן יעקב ליאור"/>
        <s v="אסולין דן"/>
        <s v="נחמיאס איתי"/>
        <s v="בהרב רבינוביץ' עדי"/>
        <s v="דולב תומר"/>
        <s v="וקס יגאל"/>
        <s v="וקס עמית"/>
        <s v="שטרן אורן"/>
        <s v="תעסה גיל"/>
        <s v="כהן אביעד גד"/>
        <s v="סויד בכור חי"/>
        <s v="שישפורטיש ראובן"/>
        <s v="דוידיאן אופיר"/>
        <s v="לוי ליאור"/>
        <s v="עיש איתמר"/>
        <s v="פרבוסודובה אלינה"/>
        <s v="פרש אהרון"/>
        <s v="שלמה שיר"/>
        <s v="אביטל אור"/>
        <s v="אלון לוי עדן"/>
        <s v="בוני נעמה"/>
        <s v="בן סימון אדר"/>
        <s v="בר שדה עילי"/>
        <s v="גולן יונתן"/>
        <s v="טל סהר"/>
        <s v="טסטה אופיר"/>
        <s v="לוקר אורי"/>
        <s v="ליבוביץ' תומר"/>
        <s v="לישה דביר"/>
        <s v="מאור איתי"/>
        <s v="מוזס אור"/>
        <s v="מלייב יואב"/>
        <s v="משה אוראל"/>
        <s v="נגרי נריה אהרון"/>
        <s v="עבודי אדיר"/>
        <s v="ניב פיירשטיין עומרי"/>
        <s v="צור עמית"/>
        <s v="קמינקא ינאי"/>
        <s v="בן יעקב יובל"/>
        <s v="הרוש עידו"/>
        <s v="אבן מרעי סלמאן"/>
        <s v="אברהם אוריאל"/>
        <s v="אברהם דבי (דבורה)"/>
        <s v="בלוכמן יקיר"/>
        <s v="ברזילי אושר שמחה"/>
        <s v="הנקין אברהם"/>
        <s v="ח'רובה איברהים"/>
        <s v="יהושע עידו"/>
        <s v="ינין סיון"/>
        <s v="יפרח אליאור"/>
        <s v="כהן יוראי אליהו"/>
        <s v="מחלוף סהר ציון"/>
        <s v="שלמה משהאל"/>
        <s v="סיון בר"/>
        <s v="עזר עילי"/>
        <s v="עמאר נתאי"/>
        <s v="פלורס גרסיה ברנדו דוד"/>
        <s v="רז עידן"/>
        <s v="שיינקמן סטניסלב"/>
        <s v="שמעיה אושר"/>
        <s v="אדרי עידו"/>
        <s v="אליהו אביב"/>
        <s v="אלמלם מתן (קידו)"/>
        <s v="ארביב אופק"/>
        <s v="באוסי איתי יהודה"/>
        <s v="דוקרקר קים"/>
        <s v="דראושה עווד"/>
        <s v="ווקסר דאונוב יוליה"/>
        <s v="חושן הדר"/>
        <s v="חנום חזי (יחזקאל)"/>
        <s v="טוויג יפתח דן"/>
        <s v="טויטו עדיאל"/>
        <s v="טיברג אברהם גלעד"/>
        <s v="טשרניחובסקי אורי"/>
        <s v="לוק אלכסנדר (אלכס)"/>
        <s v="ליבוביץ' שרון"/>
        <s v="מרלו ג'ייק"/>
        <s v="נחמן עילי"/>
        <s v="סאסי אבי"/>
        <s v="קנפו שי אל"/>
        <s v="קרסיק ויטלי"/>
        <s v="רחמני שרון"/>
        <s v="ריבלין אביעד שר שלום"/>
        <s v="ריבלין גדעון הראל"/>
        <s v="ריכטר יונתן (שפיק)"/>
        <s v="רם עמרי"/>
        <s v="שפירא ענר אליקים"/>
        <s v="נעים אמיר"/>
        <s v="אבני חגי"/>
        <s v="אברג'יל אלירן"/>
        <s v="אוחנה אריאל"/>
        <s v="אליהו אריאל"/>
        <s v="בויום גיל"/>
        <s v="בלקין עמרי"/>
        <s v="בן דוד נריה"/>
        <s v="גוטין יונתן"/>
        <s v="גולן שגיא"/>
        <s v="גינסברג אלי"/>
        <s v="גנות דן"/>
        <s v="גנסיה ולנטין (אלי)"/>
        <s v="דוידוב ג'יאר"/>
        <s v="דנילוב בוריס"/>
        <s v="חדד איתן"/>
        <s v="טרקינסקי בנימין (בנג׳י)"/>
        <s v="יהושע איתי"/>
        <s v="כהן אהד (בודי)"/>
        <s v="כהן שילה"/>
        <s v="לקס נווה אלעזר"/>
        <s v="מאיר דוד חיים"/>
        <s v="מולוגטה גדיף"/>
        <s v="מנגדי דור"/>
        <s v="נגרי רועי"/>
        <s v="עמר אבי"/>
        <s v="צמח שחר"/>
        <s v="קלמנזון אלחנן מאיר"/>
        <s v="קראוניק אריה (אריק)"/>
        <s v="רוסו אופק"/>
        <s v="אלון אוראל שלום"/>
        <s v="מונס אלמוסנינו לירן"/>
        <s v="גורני יפתח"/>
        <s v="כצמן חיים ישורון"/>
        <s v="קורין אברהם גבריאל"/>
        <s v="חוברה עידו"/>
        <s v="מלכה מתן"/>
        <s v="מרגוליס סער"/>
        <s v="אביאני שחר"/>
        <s v="אילון טל"/>
        <s v="ברגשטיין שחף"/>
        <s v="ברונשטיין בן"/>
        <s v="ברעם אביב"/>
        <s v="דושי רותם"/>
        <s v="הנדי אברהם חננאל"/>
        <s v="ונינו עמיחי יעקב"/>
        <s v="זיסר עילי"/>
        <s v="כהן טל"/>
        <s v="ליבשטיין אופיר"/>
        <s v="מיכאלי עמרי"/>
        <s v="נהרי רועי"/>
        <s v="סלומון יובל"/>
        <s v="עדני איליי"/>
        <s v="עמיקם נדב"/>
        <s v="פישר אמיר"/>
        <s v="צור אמיר"/>
        <s v="קמה הדר"/>
        <s v="רוסו אורי שמעון"/>
        <s v="רן אור יוסף"/>
        <s v="בן הרוש שהם משה"/>
        <s v="וייזר רועי חיים"/>
        <s v="ויצן ישראל עמיחי"/>
        <s v="רזיאל (רוזנברג) ידידיה משה"/>
        <s v="שוהם תומר"/>
        <s v="שטיינברג יהונתן"/>
        <s v="ירון אופיר מרדכי"/>
        <s v="פליישר אברהם (אבי)"/>
        <s v="בוכריס חן"/>
        <s v="ברקת רועי"/>
        <s v="ירחי דור"/>
        <s v="פוסלושני רן"/>
        <s v="פיורנטינו אילן"/>
        <s v="רוזנטל אפיק"/>
        <s v="אברהם בועז"/>
        <s v="ארזי אופק"/>
        <s v="חיימי טל"/>
        <s v="שחר ירון ויקטור"/>
        <s v="אצילי אביב"/>
        <s v="אברג'יל מתן"/>
        <s v="גנדל רומן"/>
        <s v="אגמון אדם"/>
        <s v="אחימס תומר יעקב"/>
        <s v="אלפסי אורן"/>
        <s v="ברודסקי קיריל"/>
        <s v="חממי אסף"/>
        <s v="פוזדניאקוב אליק"/>
        <s v="ארז אופיר"/>
        <s v="יעקב מזרחי תומר"/>
        <s v="קליין אייל"/>
        <s v="נגבי רם"/>
        <s v="כהן איתי"/>
        <s v="סלוטקי ישי"/>
        <s v="סלוטקי נועם"/>
        <s v="רוזנטל עידו"/>
        <s v="אוחנדוב אמין"/>
        <s v="בודובסקי אלכסיי"/>
        <s v="בוזוקושווילי יצחק (בוזוקה)"/>
        <s v="בן בסט יותם"/>
        <s v="בן משה אריאל"/>
        <s v="ברד אלון"/>
        <s v="לוי רועי יוסף"/>
        <s v="מרקוביצ'י אהרון ארתור"/>
        <s v="פושיבאי אנדריי"/>
        <s v="קרים מליק"/>
        <s v="רוטנברג נועם אלימלך"/>
        <s v="שמחי גיא"/>
        <s v="שמיר מרדכי (מוטי)"/>
        <s v="שמעיה יעקב (קובי)"/>
        <s v="אבו סבילה עאמר"/>
        <s v="אברג'ל מאיר"/>
        <s v="בלנקי דניס"/>
        <s v="בן דיין דוד"/>
        <s v="ברוכים יוסף איתמר"/>
        <s v="גולימה סמצאו שמואל"/>
        <s v="גרושקה טל"/>
        <s v="הרוש אליהו מיכאל"/>
        <s v="מרציאנו איתי אליהו"/>
        <s v="נאמן איתן מנחם"/>
        <s v="נחמיאס חן"/>
        <s v="צבאן שלום"/>
        <s v="קאדר יהודה"/>
        <s v="קוזמיצקס מרטין"/>
        <s v="רובינשטיין בן"/>
        <s v="שלמה אדיר"/>
        <s v="שמקלוב אלכסיי"/>
        <s v="שקורי מור"/>
        <s v="אילוז גיא"/>
        <s v="טאללקה סאמר פואד"/>
        <s v="אנגל רונן"/>
        <s v="בייזר ניק"/>
        <s v="ברוך סהר"/>
        <s v="גורן מיה"/>
        <s v="וייס יהודית"/>
        <s v="זכריה עדן"/>
        <s v="זלמנוביץ' אריה"/>
        <s v="חיים יותם"/>
        <s v="טולדנו אליה"/>
        <s v="לוי איתן"/>
        <s v="לוק שני ניקול"/>
        <s v="מרגלית אליהו (צ'רצ'יל)"/>
        <s v="מרציאנו נועה"/>
        <s v="סמרנו יונתן מרדכי"/>
        <s v="קידר עופרה"/>
        <s v="שמריז אלון (לולו)"/>
        <s v="שרמן רון"/>
        <s v="Mollel Joshua Loitu"/>
        <s v="אברהים מאג'ד"/>
        <s v="אבו קרינאת נעאמה"/>
        <s v="Natalia Demidova"/>
        <s v="הייניק ראובן"/>
        <s v="וייס אילן"/>
        <s v="הלל יותם"/>
        <s v="כהן עמית"/>
        <s v="אמסלם אביחי"/>
        <s v="הימן ענבר"/>
        <s v="דנינו דניאל משה"/>
        <s v="איוס ניב"/>
        <s v="הליבני יובל"/>
        <s v="ויינשטיין ג'ודי"/>
        <s v="חגי גדי"/>
        <s v="אדר תמיר"/>
        <s v="מאסלי אלכסנדר"/>
        <s v="שדה דור"/>
        <s v="מלקמו אביאל"/>
        <s v="Diawthaisong Jakkapan"/>
        <s v="Champasim Saksit"/>
        <s v="Ra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עלוש דני"/>
        <s v="דניאלי טל"/>
        <s v="סבירסקי איתי"/>
        <s v="שרעבי יוסי"/>
        <s v="לוינסון שי"/>
        <s v="Goyitom Gebrehiyet"/>
        <s v="Berhe Wolderaphael Hagos"/>
        <s v="גואילי רן"/>
        <s v="יעקב יאיר"/>
        <s v="דניאל עוז"/>
        <s v="חן איתי"/>
        <s v="פרץ דניאל"/>
        <s v="ברוך אוריאל"/>
        <s v="בראווי האשם"/>
        <s v="מסרי סוהייל"/>
        <s v="אלמסרי חורי"/>
        <s v="אלעטאר סלימאן"/>
        <s v="גאנם זיאד"/>
        <s v="קציר אלעד"/>
        <s v="אור דרור"/>
        <s v="ליבמן אליקים"/>
        <s v="רודאיף ליאור"/>
        <s v="Shi Zhenhong"/>
        <s v="Liu Jianhe"/>
        <s v="Liu Zhiguo"/>
        <s v="Oakkharasri Sonthaya"/>
        <s v="Rinthalak Sudthisak"/>
        <s v="בוסקילה עמית"/>
        <s v="גלרנטר יצחק (איציק)"/>
        <s v="בנימין רון"/>
        <s v="ניסנבאום מישל"/>
        <s v="ראדו אוריון הרננדס"/>
        <s v="יבלונקה חנן"/>
        <s v="יהוד דולב"/>
        <s v="פופלוול נדב"/>
        <s v="קופר עמירם"/>
        <s v="פרי חיים"/>
        <s v="מצגר יורם"/>
        <s v="חסיד שרגא"/>
        <s v="אלאטרש מחמד"/>
        <s v="אלכסנדר דנציג"/>
        <s v="בוכשטב יגב"/>
        <s v="מונדר אברהם"/>
        <s v="גת כרמל"/>
        <s v="ירושלמי עדן"/>
        <s v="גולדברג-פולין הירש"/>
        <s v="לובנוב אלכסנדר"/>
        <s v="סרוסי אלמוג"/>
        <s v="דנינו אורי"/>
        <s v="שתיוי עידן"/>
        <m/>
      </sharedItems>
    </cacheField>
    <cacheField name="age" numFmtId="0">
      <sharedItems containsString="0" containsBlank="1" containsNumber="1" containsInteger="1">
        <n v="77.0"/>
        <n v="35.0"/>
        <n v="28.0"/>
        <n v="53.0"/>
        <n v="58.0"/>
        <n v="39.0"/>
        <n v="45.0"/>
        <n v="81.0"/>
        <n v="56.0"/>
        <n v="43.0"/>
        <n v="52.0"/>
        <n v="29.0"/>
        <n v="25.0"/>
        <n v="66.0"/>
        <n v="61.0"/>
        <n v="76.0"/>
        <n v="65.0"/>
        <n v="86.0"/>
        <n v="78.0"/>
        <n v="40.0"/>
        <n v="68.0"/>
        <n v="71.0"/>
        <n v="70.0"/>
        <n v="17.0"/>
        <n v="63.0"/>
        <n v="24.0"/>
        <n v="64.0"/>
        <n v="33.0"/>
        <n v="34.0"/>
        <n v="36.0"/>
        <n v="4.0"/>
        <n v="7.0"/>
        <n v="48.0"/>
        <n v="26.0"/>
        <n v="49.0"/>
        <n v="47.0"/>
        <n v="38.0"/>
        <n v="22.0"/>
        <n v="27.0"/>
        <n v="42.0"/>
        <n v="31.0"/>
        <n v="37.0"/>
        <n v="54.0"/>
        <n v="60.0"/>
        <n v="18.0"/>
        <n v="21.0"/>
        <n v="72.0"/>
        <n v="32.0"/>
        <n v="67.0"/>
        <n v="59.0"/>
        <n v="62.0"/>
        <n v="30.0"/>
        <n v="23.0"/>
        <n v="41.0"/>
        <n v="57.0"/>
        <n v="20.0"/>
        <n v="44.0"/>
        <n v="46.0"/>
        <n v="50.0"/>
        <n v="19.0"/>
        <n v="74.0"/>
        <n v="16.0"/>
        <n v="14.0"/>
        <n v="51.0"/>
        <n v="15.0"/>
        <n v="75.0"/>
        <n v="73.0"/>
        <n v="69.0"/>
        <n v="12.0"/>
        <n v="0.0"/>
        <n v="87.0"/>
        <n v="80.0"/>
        <n v="84.0"/>
        <n v="88.0"/>
        <n v="13.0"/>
        <n v="91.0"/>
        <n v="90.0"/>
        <n v="85.0"/>
        <n v="79.0"/>
        <n v="5.0"/>
        <n v="2.0"/>
        <n v="55.0"/>
        <n v="9.0"/>
        <m/>
      </sharedItems>
    </cacheField>
    <cacheField name="residence" numFmtId="0">
      <sharedItems containsBlank="1">
        <s v="אופקים"/>
        <s v="ערערה בנגב"/>
        <s v="טבריה"/>
        <s v="גילת"/>
        <s v="רהט"/>
        <s v="אשדוד"/>
        <s v="אשקלון"/>
        <s v="באר שבע"/>
        <s v="רמת גן"/>
        <s v="בית שקמה"/>
        <s v="נתיב העשרה"/>
        <s v="עמיעוז"/>
        <s v="מבקיעים"/>
        <s v="ניר יצחק"/>
        <s v="הוד השרון"/>
        <s v="שדה ניצן"/>
        <s v="פיליפינים"/>
        <s v="סודן"/>
        <s v="תאילנד"/>
        <s v="קמבודיה"/>
        <s v="טנזניה"/>
        <s v="יכיני"/>
        <s v="צוהר"/>
        <s v="דקל"/>
        <s v="כפר סבא"/>
        <s v="יתד"/>
        <s v="נען"/>
        <s v="חולון"/>
        <s v="נס ציונה"/>
        <s v="נוקדים"/>
        <s v="רנן"/>
        <s v="קריית גת"/>
        <s v="קריית אונו"/>
        <s v="ישע"/>
        <s v="דימונה"/>
        <s v="מודיעין מכבים רעות"/>
        <s v="נהריה"/>
        <s v="אבו תלול"/>
        <s v="ירושלים"/>
        <s v="תל שבע"/>
        <s v="ראש העין"/>
        <s v="אילת"/>
        <s v="גן חיים"/>
        <s v="קיסריה"/>
        <s v="מרכז שפירא"/>
        <s v="בית אריה"/>
        <s v="פרדס חנה-כרכור"/>
        <s v="חדרה"/>
        <s v="תל אביב"/>
        <s v="לפיד"/>
        <s v="טירת הכרמל"/>
        <s v="ראשון לציון"/>
        <s v="קריית מלאכי"/>
        <s v="אליכין"/>
        <s v="גני תקווה"/>
        <s v="ענתות"/>
        <s v="כיסופים"/>
        <s v="כסייפה"/>
        <s v="בני ברק"/>
        <s v="קריית ביאליק"/>
        <s v="רעננה"/>
        <s v="עפולה"/>
        <s v="פתח תקווה"/>
        <s v="חד נס"/>
        <s v="אבן יהודה"/>
        <s v="סעד"/>
        <s v="הרצליה"/>
        <s v="עצמון"/>
        <s v="נתניה"/>
        <s v="בית אלפא"/>
        <s v="גן השומרון"/>
        <s v="כרמיאל"/>
        <s v="כפר מסריק"/>
        <s v="בית נחמיה"/>
        <s v="ביתר עלית"/>
        <s v="מבטחים"/>
        <s v="רחובות"/>
        <s v="צור משה"/>
        <s v="אור עקיבא"/>
        <s v="צפת"/>
        <s v="חיפה"/>
        <s v="אחוזת ברק"/>
        <s v="כפר יונה"/>
        <s v="שערי תקווה"/>
        <s v="גן נר"/>
        <s v="ציפורי"/>
        <s v="יקנעם עילית"/>
        <s v="כפר בן נון"/>
        <s v="גן יבנה"/>
        <s v="עומר"/>
        <s v="קדרון"/>
        <s v="בת ים"/>
        <s v="צופים"/>
        <s v="קריית ים"/>
        <s v="בית דגן"/>
        <s v="בית שמש"/>
        <s v="גבעון"/>
        <s v="להבים"/>
        <s v="צוחר"/>
        <s v="גדרה"/>
        <s v="עין המפרץ"/>
        <s v="גן הדרום"/>
        <s v="פלמחים"/>
        <s v="אלפי מנשה"/>
        <s v="מזכרת בתיה"/>
        <s v="אלעזר"/>
        <s v="רמת השרון"/>
        <s v="כפר ורבורג"/>
        <s v="מצפה עדי"/>
        <s v="גבים"/>
        <s v="רמלה"/>
        <s v="יהוד מונוסון"/>
        <s v="מחולה"/>
        <s v="בית חשמונאי"/>
        <s v="אזור"/>
        <s v="מיתר"/>
        <s v="מעלות תרשיחא"/>
        <s v="נווה ימין"/>
        <s v="פרדסיה"/>
        <s v="שדי חמד"/>
        <s v="חריש"/>
        <s v="פדויים"/>
        <s v="שדה נחום"/>
        <s v="קבוצת יבנה"/>
        <s v="קרני שומרון"/>
        <s v="שוהם"/>
        <s v="חניאל"/>
        <s v="כפר הס"/>
        <s v="גבעת זאב"/>
        <s v="גבעתי"/>
        <s v="נווה אור"/>
        <s v="יבנה"/>
        <s v="קריית עקרון"/>
        <s v="הסוללים"/>
        <s v="זכרון יעקב"/>
        <s v="בית שאן"/>
        <s v="תל מונד"/>
        <s v="אריאל"/>
        <s v="קריית חיים"/>
        <s v="קריית אתא"/>
        <s v="קרית אתא"/>
        <s v="ניר בנים"/>
        <s v="תלמי יוסף"/>
        <s v="שדרות"/>
        <s v="סמר"/>
        <s v="קריית מוצקין"/>
        <s v="רמת ישי"/>
        <s v="נשר"/>
        <s v="מבשרת"/>
        <s v="שפיר"/>
        <s v="בארי"/>
        <s v="בית יצחק"/>
        <s v="כפר תבור"/>
        <s v="קציר"/>
        <s v="לוד"/>
        <s v="ניר עם"/>
        <s v="משמר איילון"/>
        <s v="עין שמר"/>
        <s v="משואות יצחק"/>
        <s v="כפר עזה"/>
        <s v="נתיבות"/>
        <s v="סרי לנקה"/>
        <s v="חולית"/>
        <s v="מולדובה"/>
        <s v="כפר חיים"/>
        <s v="נחל עוז"/>
        <s v="ניר עוז"/>
        <s v="גרמניה"/>
        <s v="בריטניה"/>
        <s v="נירים"/>
        <s v="סופה"/>
        <s v="עין השלושה"/>
        <s v="קריית ארבע"/>
        <s v="נפאל"/>
        <s v="רעים"/>
        <s v="שגב שלום"/>
        <s v="סין"/>
        <s v="כפר כוחלה"/>
        <s v="אבו קרינאת"/>
        <s v="כפר אביב"/>
        <s v="רמות מאיר"/>
        <s v="אלון שבות"/>
        <s v="יבול"/>
        <s v="צורית"/>
        <s v="רינתיה"/>
        <s v="שדה נחמיה"/>
        <s v="עמקה"/>
        <s v="שלומית"/>
        <s v="כפר ברוך"/>
        <s v="גבעת חיים איחוד"/>
        <s v="ביצרון"/>
        <s v="גבעת שמואל"/>
        <s v="עכו"/>
        <s v="מורשת"/>
        <s v="קריית שמונה"/>
        <s v="אוהד"/>
        <s v="קדומים"/>
        <s v="מעלה אדומים"/>
        <s v="חורה"/>
        <s v="שפרעם"/>
        <s v="ערוגות"/>
        <s v="קדימה צורן"/>
        <s v="גנות"/>
        <s v="צופר"/>
        <s v="כוכב יאיר"/>
        <s v="מודיעין עילית"/>
        <s v="מוצא עלית"/>
        <s v="עלי"/>
        <s v="גבעת ברנר"/>
        <s v="כפר שמואל"/>
        <s v="צור יצחק"/>
        <s v="חוגלה"/>
        <s v="עלמון"/>
        <s v="גבעתיים"/>
        <s v="טלמון"/>
        <s v="זיתן"/>
        <s v="גיאה"/>
        <s v="מבועים"/>
        <s v="עמנואל"/>
        <s v="מעלה מכמש"/>
        <s v="בר-גיורא"/>
        <s v="פטיש"/>
        <s v="מרום גולן"/>
        <s v="נירית"/>
        <s v="נווה זיו"/>
        <s v="צרעה"/>
        <s v="ניצן"/>
        <s v="רכסים"/>
        <s v="צור הדסה"/>
        <s v="כפר מנחם"/>
        <s v="מצפה רמון"/>
        <s v="אלון"/>
        <s v="מע'אר"/>
        <s v="איילת השחר"/>
        <s v="ערד"/>
        <s v="שפיים"/>
        <s v="עלומים"/>
        <s v="באר יעקב"/>
        <s v="אלקוש"/>
        <s v="איכסאל"/>
        <s v="עזריה"/>
        <s v="קנדה"/>
        <s v="אבשלום"/>
        <s v="לוס אנג׳לס"/>
        <s v="עתניאל"/>
        <s v="עין הוד"/>
        <s v="עשרת"/>
        <s v="ארז"/>
        <s v="רבדים"/>
        <s v="מצפה יריחו"/>
        <s v="דברת"/>
        <s v="חדיד"/>
        <s v="עידן"/>
        <s v="עוצם"/>
        <s v="כמהין"/>
        <s v="באר מילכה"/>
        <s v="גשר הזיו"/>
        <s v="שמשית"/>
        <s v="קצרין"/>
        <s v="גבעת אלה"/>
        <s v="גני טל"/>
        <s v="אורה"/>
        <s v="גבעת שפירא"/>
        <s v="איתמר"/>
        <s v="חספין"/>
        <s v="אפרת"/>
        <s v="כרם שלום"/>
        <s v="שריגים"/>
        <s v="שומריה"/>
        <s v="מגן"/>
        <s v="חרמש"/>
        <s v="כמון"/>
        <s v="הושעיה"/>
        <s v="כפר הרי&quot;ף"/>
        <s v="בן שמן"/>
        <s v="בת חפר"/>
        <s v="שבי ציון"/>
        <s v="חוות יאיר"/>
        <s v="ניר עקיבא"/>
        <s v="בית עריף"/>
        <s v="טנא"/>
        <s v="עין בשור"/>
        <s v="אבו גוש"/>
        <s v="אוקראינה"/>
        <s v="ברקת"/>
        <s v="משגב דב"/>
        <s v="גבעת אבני"/>
        <s v="אריתריאה"/>
        <s v="יד בנימין"/>
        <s v="טבעון"/>
        <s v="עזה"/>
        <s v="קרית ארבע"/>
        <s v="אירוס"/>
        <s v="מקסיקו"/>
        <s v="סעווה"/>
        <m/>
      </sharedItems>
    </cacheField>
    <cacheField name="sex" numFmtId="0">
      <sharedItems containsBlank="1">
        <s v="גבר"/>
        <s v="אישה"/>
        <s v="ילדה"/>
        <s v="ילד"/>
        <m/>
      </sharedItems>
    </cacheField>
    <cacheField name="citizenGroup" numFmtId="0">
      <sharedItems containsBlank="1">
        <s v="אזרחים"/>
        <s v="מגן דוד אדום"/>
        <s v="כיתות כוננות"/>
        <s v="כבאות והצלה"/>
        <s v="אזרחים זרים"/>
        <s v="צה&quot;ל"/>
        <s v="שב&quot;כ"/>
        <s v="משטרה"/>
        <s v="צה&quot;ל (מיל')"/>
        <s v="משטרה (מיל')"/>
        <m/>
      </sharedItems>
    </cacheField>
    <cacheField name="rank" numFmtId="0">
      <sharedItems containsBlank="1">
        <m/>
        <s v="רס״ל"/>
        <s v="סמ״ר"/>
        <s v="סמל"/>
        <s v="סרן"/>
        <s v="רס״ב"/>
        <s v="רב״ט"/>
        <s v="רס״ן"/>
        <s v="רס״מ"/>
        <s v="רנ״ג"/>
        <s v="רס״ר"/>
        <s v="פקד"/>
        <s v="רפ״ק"/>
        <s v="סנ״צ"/>
        <s v="אל״ם"/>
        <s v="סגן"/>
        <s v="רס״ם"/>
        <s v="סא״ל"/>
        <s v="סמ״ש"/>
        <s v="נצ״מ"/>
        <s v="סרן (במיל')"/>
        <s v="סגן טפסר"/>
        <s v="סמ&quot;ר"/>
        <s v="רס&quot;ל"/>
      </sharedItems>
    </cacheField>
    <cacheField name="date">
      <sharedItems containsBlank="1" containsMixedTypes="1" containsNumber="1" containsInteger="1">
        <s v="07.10.2023"/>
        <n v="2023.0"/>
        <s v="08.10.2023"/>
        <s v="09.10.2023"/>
        <s v="14.10.2023"/>
        <s v="15.12.2023"/>
        <s v="10.11.2023"/>
        <s v="08.12.2023"/>
        <s v="17.11.2023"/>
        <s v="09.11.2023"/>
        <s v="14.01.2024"/>
        <s v="10.01.2024"/>
        <s v="15.01.2024"/>
        <n v="2024.0"/>
        <s v="29.8.2024"/>
        <m/>
      </sharedItems>
    </cacheField>
    <cacheField name="location" numFmtId="0">
      <sharedItems containsBlank="1">
        <s v="צומת מגן"/>
        <s v="צומת מעון"/>
        <s v="אופקים"/>
        <s v="אנדרטת חץ שחור"/>
        <s v="צומת קרית חינוך מרחבים"/>
        <s v="חוף זיקים; מיגונית"/>
        <s v="חוף זיקים"/>
        <s v="חוף זיקים; שירותים"/>
        <s v="עמיעוז"/>
        <s v="ירי בשוגג ליד תחנת כח רוטנברג"/>
        <s v="נתיב העשרה - ארז"/>
        <s v="ניר יצחק"/>
        <s v="צומת גמה"/>
        <s v="שדות יכיני"/>
        <s v="סמוך למפלסים"/>
        <s v="צומת שער הנגב"/>
        <s v="סמוך לנובה"/>
        <s v="צומת מבטחים"/>
        <s v="דרומית לגבים"/>
        <s v="שדרות"/>
        <s v="ניר עוז"/>
        <s v="חולית"/>
        <s v="עלומים; מגורי עובדים"/>
        <s v="כיסופים"/>
        <s v="כפר עזה"/>
        <s v="ישע"/>
        <s v="יכיני"/>
        <s v="מזרחית לניר יצחק"/>
        <s v="נתיב העשרה"/>
        <s v="מיגונית בצומת בארי"/>
        <s v="סמוך לצומת גמה"/>
        <s v="שער ניר עוז"/>
        <s v="מדרום לצומת גמה"/>
        <s v="פסטיבל נובה; מיגונית חניון רעים"/>
        <s v="מזרחית לצומת מעון"/>
        <s v="בארי; ארוע בני ערובה"/>
        <s v="מיגונית בכניסה לרעים (מערב)"/>
        <s v="פסטיבל נובה; סמוך למכולות הצהובות"/>
        <s v="מיגונית בכניסה לרעים (מזרח)"/>
        <s v="סמוך למיגונית בצומת גמה (דרום)"/>
        <s v="פסטיבל נובה; במה מרכזית"/>
        <s v="פסטיבל נובה"/>
        <s v="פסטיבל נובה; בר צפוני"/>
        <s v="סמוך לצומת בארי"/>
        <s v="בכניסה לעלומים"/>
        <s v="מיגונית בכניסה לעלומים"/>
        <s v="סמוך לתל גמה"/>
        <s v="ירי בשוגג בעלומים"/>
        <s v="כביש שער הנגב מפלסים"/>
        <s v="סמוך לצומת רעים"/>
        <s v="מיגונית בצומת גמה (צפון)"/>
        <s v="מיגונית בצומת גמה (מערב)"/>
        <s v="פסטיבל נובה; בר מרכזי"/>
        <s v="בכניסה לרעים"/>
        <s v="פסטיבל נובה; קמפינג"/>
        <s v="בין נובה לרעים"/>
        <s v="בארי"/>
        <s v="פסטיבל נובה; מכולות צהובות"/>
        <s v="עיקול נחל בוהו"/>
        <s v="עיקול נחל גרר"/>
        <s v="מיגונית מפלסים"/>
        <s v="כביש רעים - אורים"/>
        <s v="פסטיבל נובה; חניה"/>
        <s v="מיגונית בצומת גמה (דרום)"/>
        <s v="מזרחית לחניון רעים"/>
        <s v="פסטיבל נובה; אמבולנס"/>
        <s v="פסטיבל נובה; גשר נחל גרר"/>
        <s v="מזרחית לכניסה לרעים"/>
        <s v="כביש רעים - צומת מעון"/>
        <s v="פסטיבל נובה; חסימה בכביש 232"/>
        <s v="פסטיבל נובה; פקק ביציאה"/>
        <s v="סמוך לכיסופים"/>
        <s v="דרומית מזרחית לחניון רעים"/>
        <s v="פסטיבל נובה; שירותים כימיים"/>
        <s v="סמוך לצומת מבטחים"/>
        <s v="צפונית לצומת גמה"/>
        <s v="מערבית לצומת גמה"/>
        <s v="מזרחית לרעים"/>
        <s v="צומת ניר יצחק"/>
        <s v="סמוך למיגונית בצומת גמה (צפון)"/>
        <s v="מצפון לתל גמה"/>
        <s v="כביש יכיני יושיביה"/>
        <s v="כביש עלומים - בארי"/>
        <s v="עזה; מסגד סמוך לביה&quot;ח שיפא"/>
        <s v="רעים"/>
        <s v="נחל גרר מערב"/>
        <s v="נחל עוז"/>
        <s v="בין ניר עוז לגבול"/>
        <s v="מערבית לניר עוז"/>
        <s v="נירים"/>
        <s v="סופה"/>
        <s v="עין השלושה"/>
        <s v="צפונית לצומת שער הנגב"/>
        <s v="יד מרדכי - נתיב העשרה; קבוצת ריצה"/>
        <s v="שדרות; אוטובוס הגמלאים"/>
        <s v="ערערה בנגב"/>
        <s v="דרומית למבטחים"/>
        <s v="כוחלה"/>
        <s v="אבו קרינאת"/>
        <s v="כפר אביב"/>
        <s v="אשקלון"/>
        <s v="נתיבות"/>
        <s v="פרי גן"/>
        <s v="מוצב הבית הלבן"/>
        <s v="מוצב נחל עוז; מיגונית 13"/>
        <s v="מוצב כיסופים; מיגונית"/>
        <s v="מעבר ארז"/>
        <s v="מוצב נחל עוז; חמ&quot;ל"/>
        <s v="מוצב נחל עוז; ש.ג."/>
        <s v="מוצב סופה"/>
        <s v="מוצב פגה"/>
        <s v="מוצב נחל עוז; נמ&quot;ר"/>
        <s v="מערבית לזיקים"/>
        <s v="מוצב נחל עוז; בלונאים"/>
        <s v="מזרחית למחנה עופר"/>
        <s v="צומת שדרות דרום"/>
        <s v="שדרות; תחנת משטרה"/>
        <s v="מוצב ק2"/>
        <s v="מחנה אורים"/>
        <s v="כרם שלום"/>
        <s v="מוצב כרם שלום"/>
        <s v="מבטחים"/>
        <s v="סמוך למוצב כיסופים"/>
        <s v="מוצב נחל עוז; סמוך לבלונאים"/>
        <s v="מש&quot;א ארז"/>
        <s v="מוצב יפתח"/>
        <s v="מו&quot;פ דרום"/>
        <s v="מחנה רעים"/>
        <s v="בין סופה לחולית"/>
        <s v="מוצב כיסופים"/>
        <s v="סמוך לכביש 2424"/>
        <s v="מוצב נחל עוז; מיגונית בנות"/>
        <s v="מוצב נחל עוז; מגורים"/>
        <s v="מוצב נחל עוז; מיגונית צמא"/>
        <s v="כביש סעד - נחל עוז"/>
        <s v="ירי בשוגג בדרך לנתיב העשרה"/>
        <s v="מוצב נחל עוז; טנק א"/>
        <s v="מחנה זיקים"/>
        <s v="מוצב נחל עוז; טנק ב"/>
        <s v="סמוך למחנה רעים"/>
        <s v="כביש רעים - בארי"/>
        <s v="סמוך לארז"/>
        <s v="עמדה 91"/>
        <s v="בין יתד לאמיתי"/>
        <s v="צפונית לכרם שלום"/>
        <s v="צומת מועצה אזורית אשכול"/>
        <s v="מגן"/>
        <s v="מערבית לניר עם"/>
        <s v="עלומים"/>
        <s v="כביש מפלסים - כפר עזה"/>
        <s v="דיר אל בלח; בי&quot;ח חללי אל אקצא"/>
        <s v="ירי בשוגג בשג'אעיה"/>
        <s v="ג'באליה"/>
        <s v="רצועת עזה"/>
        <s v="עזה; מבנה סמוך לביה&quot;ח שיפא"/>
        <s v="חאן יונס; ביה&quot;ח נאצר"/>
        <s v="עזה; ביה&quot;ח שיפא"/>
        <s v="בארי הישנה"/>
        <s v="אבו גוש"/>
        <s v="מטע סמוך לבארי"/>
        <s v="ירי בשוגג ליד צומת ניצן"/>
        <s v="סמוך למחלף שורק"/>
        <s v="ירי בשוגג בצומת אבשלום"/>
        <s v="נוסייראת"/>
        <s v="חאן יונס"/>
        <s v="מטעים של בארי (מגורי עובדים)"/>
        <s v="אשקלון; בי&quot;ח ברזילי"/>
        <s v="בין בארי לגבול"/>
        <s v="רפיח"/>
        <m/>
      </sharedItems>
    </cacheField>
    <cacheField name="category" numFmtId="0">
      <sharedItems containsBlank="1">
        <s v="אזרחים וכיתות כוננות"/>
        <s v="שוטרים וכוחות הצלה"/>
        <s v="ירי רקטי"/>
        <s v="חיילים"/>
        <m/>
      </sharedItems>
    </cacheField>
    <cacheField name="comment" numFmtId="0">
      <sharedItems containsBlank="1">
        <m/>
        <s v="פסטיבל נובה"/>
        <s v="מידברן"/>
        <s v="מסיבת פסיידאק"/>
      </sharedItems>
    </cacheField>
    <cacheField name="eng" numFmtId="0">
      <sharedItems containsBlank="1">
        <s v="Michael Ostrovsky"/>
        <s v="Fatma Altlakat"/>
        <s v="Ariel Bilya"/>
        <s v="Itzhak Balti"/>
        <s v="Moshe Ben Porat"/>
        <s v="Andrei Jambacov"/>
        <s v="Zoya Jambacov"/>
        <s v="Victoria Gredeskul"/>
        <s v="Sergei Gredeskul"/>
        <s v="Reuven Vizman"/>
        <s v="Zarek Hativ"/>
        <s v="Avi Zakuto"/>
        <s v="Avi Hatuel"/>
        <s v="Shimi Hayat"/>
        <s v="Aharon Haimov"/>
        <s v="Yiftach Yahnagilov"/>
        <s v="Maria Yahnagilov"/>
        <s v="Yuri Yadgarov"/>
        <s v="Rosa Yadgarov"/>
        <s v="Edna Malkamo"/>
        <s v="Anna Mishayev"/>
        <s v="Emma Poliakov"/>
        <s v="Yelizabeta Kostitzin"/>
        <s v="Binyamin Rahamim"/>
        <s v="Eliyahu Ozen"/>
        <s v="Aryeh Ozen"/>
        <s v="Alrahman Atef Alziadna Abed"/>
        <s v="John Aslanov"/>
        <s v="Benyamin Genish"/>
        <s v="Alina Weissberg"/>
        <s v="Avi Hasday"/>
        <s v="Nadav Yossef Hai Tayeb"/>
        <s v="Yuri Lisovoy"/>
        <s v="Svetlana Lisovoy"/>
        <s v="Yulia Chaben"/>
        <s v="Denil Kimenfeld"/>
        <s v="Shahaf Krief"/>
        <s v="Tal Keren"/>
        <s v="Robert Shaulov"/>
        <s v="Or Tasa"/>
        <s v="Ziva Ovitz"/>
        <s v="Adi Ohana"/>
        <s v="Chaimi Ben Naim"/>
        <s v="Oren Goldin"/>
        <s v="Vitaly Lugvinechenko"/>
        <s v="Roei moshe"/>
        <s v="Nir Popov"/>
        <s v="Ethan Kapshetar"/>
        <s v="Aline Kapshetar"/>
        <s v="Dina Kapshetar"/>
        <s v="Evgeni Kapshetar"/>
        <s v="Hagit Refaeli Mishkin"/>
        <s v="David (Dudi) Turgeman"/>
        <s v="Alacre Loreta Lori Villarin"/>
        <s v="Brema (Boma) Adam Mohammad"/>
        <s v="Cae Lee Tou"/>
        <s v="Chan Udom"/>
        <s v="Chatdamdee Charoon"/>
        <s v="Clemence Felix Mtenga"/>
        <s v="Kusaram Apichart"/>
        <s v="Kusaram Phongthep"/>
        <s v="Nachanׂ pichit"/>
        <s v="Phetkaew Anan"/>
        <s v="Phiia-ia Satawat"/>
        <s v="Pinjai Nanthawat"/>
        <s v="Ritthiphon Meechai"/>
        <s v="Sae Wang Nitikorn"/>
        <s v="Surakhai Sakda"/>
        <s v="Tamklang Parinya"/>
        <s v="Thanonphim Phirun"/>
        <s v="Tholaeng Phithak"/>
        <s v="Wisetdonwai Wutthipat"/>
        <s v="Elitzur Tzuriel Hajbi"/>
        <s v="Yehonathan Hajbi"/>
        <s v="Izhar Hajbi"/>
        <s v="Osamah Abu Madi'am"/>
        <s v="Shir Yaron"/>
        <s v="Zion Levy"/>
        <s v="Marina Almagor"/>
        <s v="Or Akuni"/>
        <s v="Aryeh Akuni"/>
        <s v="Ruti Akuni"/>
        <s v="Nurit Berger"/>
        <s v="Dani Woveck"/>
        <s v="Bilha Yinon"/>
        <s v="Yaacobi Yinon"/>
        <s v="Ayelet Nir Molcho"/>
        <s v="Shlomi Molcho"/>
        <s v="Havik Segal"/>
        <s v="Moti Elkabatz"/>
        <s v="Gilad Ben-Yehuda"/>
        <s v="Yuval Ben Yehuda"/>
        <s v="Itay Hadar Houston"/>
        <s v="Dan Zomer"/>
        <s v="Noy Zafraani"/>
        <s v="Daniel Asher Cohen"/>
        <s v="Noy Maodi"/>
        <s v="Shahar Gal Kadman"/>
        <s v="Zlata Kosovsky"/>
        <s v="Savyon Chen Kipper"/>
        <s v="Yuval Rabia"/>
        <s v="Noam Rabia"/>
        <s v="Matan Rozeberg"/>
        <s v="Dor Hanan Shafir"/>
        <s v="Dudi Sharon"/>
        <s v="Shamil Abbasov"/>
        <s v="Eden Abdulayev"/>
        <s v="Musa Abu Sabila"/>
        <s v="Suhaib Abu Ame"/>
        <s v="Osama Ibrahim Abu Asa"/>
        <s v="Orel Abuhatzira"/>
        <s v="Aviv Noy"/>
        <s v="Dor Avitan"/>
        <s v="Lotan Abir"/>
        <s v="Gil Avni"/>
        <s v="Oded Abargel"/>
        <s v="Ilan Avraham"/>
        <s v="Laor Abramov"/>
        <s v="Asaf Edberg"/>
        <s v="Mapal Adam"/>
        <s v="Gili Adar"/>
        <s v="Eden Liz Ohayon"/>
        <s v="Daniel Ohana"/>
        <s v="Ben Uri"/>
        <s v="Aviel Oren"/>
        <s v="Gabi Azulay"/>
        <s v="Yohai Azulay"/>
        <s v="Yonatan Chai Azulay"/>
        <s v="Omri Ahrak"/>
        <s v="Ofek Aton"/>
        <s v="Dorin Atias"/>
        <s v="Liel Eitah"/>
        <s v="Sigal Itah"/>
        <s v="Shira Eylon"/>
        <s v="Eliya Iluz"/>
        <s v="Adam Ilaev"/>
        <s v="Iván Illarramendi Saizar"/>
        <s v="Yonatan Eliyahu"/>
        <s v="Shlomo Alfasi"/>
        <s v="Khaled al-Farajin"/>
        <s v="Einav Elkayam-Levy"/>
        <s v="Abd Al-Karim Nasasra"/>
        <s v="Shlomo Eliyahu Alshich"/>
        <s v="Shani Amin"/>
        <s v="Noa Englander"/>
        <s v="Lior Asulin"/>
        <s v="Liraz Asulin"/>
        <s v="Liav Asayag"/>
        <s v="Yarin Moshe Efraim"/>
        <s v="Noam Efraim"/>
        <s v="Matan Ekstein"/>
        <s v="Ori Arad"/>
        <s v="Nevo Arad"/>
        <s v="Dan Ariel"/>
        <s v="Ayelet Arnin"/>
        <s v="Sahar Ashuan"/>
        <s v="Dror Bahat"/>
        <s v="ortal Bubtas Ben-Ayun"/>
        <s v="Doron Bolds"/>
        <s v="Sofia Bongrat"/>
        <s v="Yarden Buskila"/>
        <s v="Neta Boaziz Morali"/>
        <s v="Raz Bokovza"/>
        <s v="Liam Gallon"/>
        <s v="Matias Burstein"/>
        <s v="Einav (Hen) Burstein"/>
        <s v="Benayahu Biton"/>
        <s v="Maya Bitton"/>
        <s v="Ariel Ben Mordechai Bitton"/>
        <s v="Nadav Biton"/>
        <s v="Oron Beiilin"/>
        <s v="Sagiv Baylin Ben Zvi"/>
        <s v="Naomie Bikhar"/>
        <s v="Sapir Bilmes"/>
        <s v="Yehuda Bachar"/>
        <s v="Chen Ben Avi"/>
        <s v="Amit (Yehuda) Ben Avida"/>
        <s v="Celine Ben-David Nagar"/>
        <s v="Ido Ben Zino"/>
        <s v="Yohay Ben Zechariah"/>
        <s v="Or Chaim Ben Hemo"/>
        <s v="Dan Ben Hemo"/>
        <s v="Shahar Ben Naim"/>
        <s v="Daniel Ben Senior"/>
        <s v="Shani Ben-Ami"/>
        <s v="Elyasif Ben Porat"/>
        <s v="Eden Ben Rubi"/>
        <s v="Itay Banjo"/>
        <s v="Din Bar"/>
        <s v="Shoham Bar"/>
        <s v="Yuval Bar-On"/>
        <s v="Gabriel Ishay Barel"/>
        <s v="Eldad (Angel) Bergman"/>
        <s v="Liron Barda"/>
        <s v="Stav Barazani"/>
        <s v="Tal Bartik"/>
        <s v="Nadav Bartal"/>
        <s v="Romi Eli Bernat"/>
        <s v="Eliyahu Ya'akov Bernstein"/>
        <s v="Ben Bernstein"/>
        <s v="Daniel Braslavsky"/>
        <s v="Ilai Baram"/>
        <s v="Shir Georgy Hanna"/>
        <s v="Liel Gherafi"/>
        <s v="Shani Gabay"/>
        <s v="Tamar Gutman"/>
        <s v="Nitzan Goldenberg"/>
        <s v="Tamar Goldenberg"/>
        <s v="Daniel Goltman"/>
        <s v="Margarita Gusak"/>
        <s v="Lilia Gurevich"/>
        <s v="Sharon Gordeni"/>
        <s v="Anton Guryonov"/>
        <s v="Victoria Gorlov"/>
        <s v="Eden Guez"/>
        <s v="Stav Gueta"/>
        <s v="Yaroslav Giler Slava"/>
        <s v="Shahar Gindi"/>
        <s v="Shalev Gal"/>
        <s v="Izabella Gandlin"/>
        <s v="Aviya Ganot"/>
        <s v="Shiran Ganon"/>
        <s v="Sefi Yossef Genis"/>
        <s v="Maor Graziani"/>
        <s v="Dafna Garcovich"/>
        <s v="Rachel Dove"/>
        <s v="Avi Dadon"/>
        <s v="Itzik Dahan"/>
        <s v="Hodaya David"/>
        <s v="Amit David"/>
        <s v="Tair David"/>
        <s v="Karina Ella Davidov"/>
        <s v="Barak Davidi"/>
        <s v="Sean Deutchvili"/>
        <s v="Idan Dor"/>
        <s v="Ronen Deitchman"/>
        <s v="Dan Damri"/>
        <s v="Kim Damti"/>
        <s v="Gal Danguri"/>
        <s v="Lynn Daphne"/>
        <s v="Sharon Hirsch"/>
        <s v="Aviad Halevi"/>
        <s v="Idan Herman"/>
        <s v="Idan Haramaty"/>
        <s v="Limor Vaknin Permuter"/>
        <s v="Daniel Vadai"/>
        <s v="Moshe Vadi"/>
        <s v="Danielle Waldman"/>
        <s v="Simon Vigdergauz"/>
        <s v="Ron Weinberg"/>
        <s v="Liel Weinstein"/>
        <s v="Bruna Valeanu"/>
        <s v="Osher Vaknin"/>
        <s v="Michael Vaknin"/>
        <s v="Alon Werber"/>
        <s v="Laurie Vardi"/>
        <s v="Karin Vernikov"/>
        <s v="Karin Journo"/>
        <s v="Rinat Hodia Zagdon"/>
        <s v="Motti Zoherman"/>
        <s v="Bar Zohar"/>
        <s v="Or Ziv"/>
        <s v="Jonathan Seidmen"/>
        <s v="Noa Zender"/>
        <s v="Matan Znati"/>
        <s v="Itay Zafrani"/>
        <s v="Shaked Habani"/>
        <s v="Ziv Hajbi"/>
        <s v="Lior Hadad Atias"/>
        <s v="Gidon Chiell"/>
        <s v="Noa Chiell"/>
        <s v="Maya Chaim"/>
        <s v="Gaya Halifa"/>
        <s v="Ella Hamoy"/>
        <s v="Ben Ben Zion Hassid"/>
        <s v="Arie Hefetz"/>
        <s v="Katerina Tavgan Goldman"/>
        <s v="Adir Tamam"/>
        <s v="Lior Tkach"/>
        <s v="Mor Trabelsi"/>
        <s v="Ron Yehudai"/>
        <s v="Ilan Moshe Yaacov"/>
        <s v="Shoham Yaakov Gherafi"/>
        <s v="Shoval Yaakov"/>
        <s v="Shenhav Yaakov Gherafi"/>
        <s v="San-Amnon Yaacobov"/>
        <s v="Mai Itzhaki"/>
        <s v="Shiraz Shiran Tamam"/>
        <s v="Avraham Neriya Cohen"/>
        <s v="Ben Binyamin Cohen"/>
        <s v="Daniel Cohen"/>
        <s v="Libby Cohen Maguri"/>
        <s v="Mor Cohen"/>
        <s v="Amit Cohen"/>
        <s v="Gilad Kfir"/>
        <s v="Tal Katz"/>
        <s v="Omri Lavi"/>
        <s v="Amit Lahav"/>
        <s v="Guy Gabriel Levy"/>
        <s v="Itzhak Levy"/>
        <s v="Livnat Levy"/>
        <s v="Lidor Levy"/>
        <s v="Naor Levy"/>
        <s v="Nissim Levy"/>
        <s v="Sigal Levy"/>
        <s v="Amit Levi"/>
        <s v="Rotem Rachel Levi"/>
        <s v="Alisia Levin"/>
        <s v="Matan Mordechai Lior"/>
        <s v="Oriya Litman Ricardo"/>
        <s v="Anita Lisman"/>
        <s v="David Lischov"/>
        <s v="Ilan Lipovsky"/>
        <s v="Yulia Didenko Lamai"/>
        <s v="Tiferet Lapidot"/>
        <s v="Amit Magnezi"/>
        <s v="Nir Madmon"/>
        <s v="Shalev Madmoni"/>
        <s v="Shahak Madar"/>
        <s v="Naama Moalem"/>
        <s v="Shai Shalom Elior Musafi"/>
        <s v="Eliran Mizrahi"/>
        <s v="Ben Menashe Mizrahi"/>
        <s v="Raz Mizrahi"/>
        <s v="Adi Rivka Mayzel"/>
        <s v="Lior Maimon"/>
        <s v="Amitay Malihi"/>
        <s v="Dor Malka"/>
        <s v="Shahar Mantzur"/>
        <s v="Norel Manzouri"/>
        <s v="Roya Manzouri"/>
        <s v="Yaniv Macias Montano Antonio"/>
        <s v="Addir Mesika"/>
        <s v="Steven Makarchenko"/>
        <s v="Adi Margalit"/>
        <s v="Eden David Moshe"/>
        <s v="David Yair Shalom Newman"/>
        <s v="Gal Navon"/>
        <s v="Ilkin Nazarov"/>
        <s v="Dor Nahum"/>
        <s v="Ranani Glazer"/>
        <s v="Rotem Neumann"/>
        <s v="Jenny Nisimboim Carmeli"/>
        <s v="Liraz Nissan"/>
        <s v="May Naim"/>
        <s v="Eden Naftali"/>
        <s v="Bar Lior Nakmoli"/>
        <s v="Shlomi Svidia"/>
        <s v="Moriya Or Swisa"/>
        <s v="Hilly Solomon"/>
        <s v="Karla Stelzer"/>
        <s v="Tomer Strosta"/>
        <s v="Yaakov Salomon"/>
        <s v="Ram (Nesher) Sela"/>
        <s v="Elazar Samuelov"/>
        <s v="Alexander Samoilov"/>
        <s v="Tamar Samet"/>
        <s v="Zur Saidi"/>
        <s v="Moshe (Moshiko) Saidian"/>
        <s v="Yaniv Sarudi"/>
        <s v="Gal Abdush"/>
        <s v="Nagi Abdush"/>
        <s v="Idan Edri"/>
        <s v="Ofer Udi"/>
        <s v="Guy Azar"/>
        <s v="Oz Ezra"/>
        <s v="Lior Atun"/>
        <s v="Hanan Amar"/>
        <s v="Mercedes Amar"/>
        <s v="Yoad Peer"/>
        <s v="Maya Puder"/>
        <s v="Roni Polanov"/>
        <s v="Evgeni Postel"/>
        <s v="Nir Forti"/>
        <s v="Roni Petrovski"/>
        <s v="Daniela Petrenko"/>
        <s v="Ben Fishman"/>
        <s v="Alina Palhati"/>
        <s v="Orel Pesso"/>
        <s v="Noa Farage"/>
        <s v="Karina Pritika"/>
        <s v="Hadar Prince"/>
        <s v="Ziv Frenkel"/>
        <s v="Eric Perez"/>
        <s v="Ido Perez"/>
        <s v="Ruth Perez"/>
        <s v="Haim (Hai) Tzfati"/>
        <s v="Ofir Tzarfati"/>
        <s v="Ron Zarfati"/>
        <s v="Irit Konderov"/>
        <s v="Shani Kupervaser"/>
        <s v="Segev Israel Kishner"/>
        <s v="Hila Keylin"/>
        <s v="Linor Keinan"/>
        <s v="Maayan Kalihman"/>
        <s v="Ofek Kimchi"/>
        <s v="Stav Kimchi"/>
        <s v="Jonathan Ken-Dror"/>
        <s v="Daniel Kasavchuck"/>
        <s v="Keshet Kasroti-Kalfa"/>
        <s v="Moriya Raviv"/>
        <s v="Ofek Revia"/>
        <s v="Shai Regev"/>
        <s v="Michal Roimi"/>
        <s v="Ivonne Patricia Rubio Vargas Eden"/>
        <s v="Yael Rozman"/>
        <s v="Yonatan Rom"/>
        <s v="Olga Naomi Romashkin"/>
        <s v="Nitzan Rahum"/>
        <s v="Aviel Shalom Rahamim"/>
        <s v="Dvir Rahamim"/>
        <s v="Eli Refai"/>
        <s v="Sharon Refai"/>
        <s v="Eliya Shamatz"/>
        <s v="Segev Shushan"/>
        <s v="Tomer Segev"/>
        <s v="Sivan Shaharbani"/>
        <s v="Moshe Shuva"/>
        <s v="Karin Schwartzman"/>
        <s v="Ziv Shoffen"/>
        <s v="Roni Shitrit"/>
        <s v="Noam Shay"/>
        <s v="Daniel Sheinkerman"/>
        <s v="Mark Schindel"/>
        <s v="Bar Shechter"/>
        <s v="Shai Shalev"/>
        <s v="Noam Shalom"/>
        <s v="Ram Shalom"/>
        <s v="Asaf Shlezinger"/>
        <s v="Inbar Shem-Tov"/>
        <s v="Sharona Shmunis Harel"/>
        <s v="Ben Shimoni"/>
        <s v="Ron Shemer"/>
        <s v="Eitan Snir"/>
        <s v="Ziv pepe Shapira"/>
        <s v="Ran Sheffer"/>
        <s v="Liam Shrem"/>
        <s v="Dor Toar"/>
        <s v="Bar Tomer"/>
        <s v="Avidan Turgeman"/>
        <s v="Shoham Lia Turgeman"/>
        <s v="Niv Tel-Tzur"/>
        <s v="Ziv Dedo"/>
        <s v="Tomer Shpirer"/>
        <s v="Alon Even"/>
        <s v="Chen Even"/>
        <s v="Ido Even"/>
        <s v="Rinat Even"/>
        <s v="Silvia Ohayon"/>
        <s v="Yonat Or"/>
        <s v="Yossi Aptalon"/>
        <s v="Inbar Buyum"/>
        <s v="Oron Bira"/>
        <s v="Tal Bira"/>
        <s v="Yasmin Bira"/>
        <s v="Tair Bira"/>
        <s v="Tahel Bira"/>
        <s v="Geula Bachar"/>
        <s v="Dana Bachar"/>
        <s v="Carmel Bachar"/>
        <s v="Mezzi Bachar"/>
        <s v="Chava Ben-Ami"/>
        <s v="Yuval Bar"/>
        <s v="Maayan Bar"/>
        <s v="Yoram Bar-Sinai"/>
        <s v="Idan Baruch"/>
        <s v="Ayelet Godard"/>
        <s v="Meni Godard"/>
        <s v="Evgeny Galsky"/>
        <s v="Kinneret Gat"/>
        <s v="Adi Dagan"/>
        <s v="Narkis Hand"/>
        <s v="Zeev Haker"/>
        <s v="Zehava Haker"/>
        <s v="Avshalom Haran"/>
        <s v="Mayana Hershkowitz"/>
        <s v="Noah Hershkowitz"/>
        <s v="Mati Weiss"/>
        <s v="Amir Weiss"/>
        <s v="Shmulik Weiss"/>
        <s v="Chaim Zohar"/>
        <s v="Hillel Zalmanovich"/>
        <s v="Ayala Hetzroni"/>
        <s v="Liel Hetzroni"/>
        <s v="Omer Hermesh"/>
        <s v="Lior Tarshansky"/>
        <s v="Yehudit Itzhaki"/>
        <s v="Ohad Cohen"/>
        <s v="Yona Cohen"/>
        <s v="Mila Cohen"/>
        <s v="Pessy Cohen"/>
        <s v="Shoshana Karasenti"/>
        <s v="Daniel Levy"/>
        <s v="Ronnie Levy"/>
        <s v="Igor Lusev"/>
        <s v="Marina Lusev"/>
        <s v="Avi Mor"/>
        <s v="Raffi Mordo"/>
        <s v="Galit Carbone"/>
        <s v="Albert Avlom Miles"/>
        <s v="Amit Mann"/>
        <s v="Mordechai Naveh"/>
        <s v="Neta Adrian"/>
        <s v="Raffi Svirski"/>
        <s v="Tamar Sochman"/>
        <s v="Hanna Siton"/>
        <s v="Tal Siton"/>
        <s v="Itzhak Siton"/>
        <s v="Vivian Silver"/>
        <s v="Orit Svirski"/>
        <s v="Tchelet Fishbein"/>
        <s v="Marcel Frailich"/>
        <s v="Yona Fricker"/>
        <s v="Yitzhak Cozin"/>
        <s v="Sami Keidar"/>
        <s v="Evyatar Kipnis"/>
        <s v="Lilach Kipnis"/>
        <s v="Rotem Kalderon"/>
        <s v="Dror Kaplun"/>
        <s v="David Carol"/>
        <s v="Hanna Kritzman"/>
        <s v="Dor Rider"/>
        <s v="Jonathan Rappaport"/>
        <s v="Noy Shosh"/>
        <s v="Yahel Sharabi"/>
        <s v="Lianne Sharabi"/>
        <s v="Noya Sharabi"/>
        <s v="Cabrera Gracie"/>
        <s v="Paul Vincent Castelvi"/>
        <s v="Anula Jayathilaka"/>
        <s v="Sae Yang Sumchai"/>
        <s v="Yatawara Bandara Susujith"/>
        <s v="Liz Elharar"/>
        <s v="Meir Elharar"/>
        <s v="Shachar Deborah Troen Matias"/>
        <s v="Shlomi Mathias"/>
        <s v="Roland Sultan"/>
        <s v="Ronit Sultan"/>
        <s v="Lily Keisman"/>
        <s v="Tehila Katabi"/>
        <s v="Adi Kaploun Vital"/>
        <s v="Moshe Ridler"/>
        <s v="Bosco Petro"/>
        <s v="Tom Godo"/>
        <s v="Etty Zak"/>
        <s v="Etay Zak"/>
        <s v="Sagi Zak"/>
        <s v="Menuha Hulati"/>
        <s v="Maayan Mor"/>
        <s v="Gina Smiatich"/>
        <s v="Ofer Ron"/>
        <s v="Chandrasena Chakkraphong"/>
        <s v="Kaison Aranthit"/>
        <s v="Khunsri Pongsatorn"/>
        <s v="Klangsuwan Theerapong"/>
        <s v="Prakotwong Thanakrit"/>
        <s v="Sanusan Chairat"/>
        <s v="Sophakun Anucha"/>
        <s v="Srithat Kawao"/>
        <s v="Guy Admoni"/>
        <s v="Michal Admoni"/>
        <s v="Aviad Avraham Edri"/>
        <s v="Eliyahu Orgad"/>
        <s v="Lili Itamary"/>
        <s v="Ram Itamary"/>
        <s v="Sivan Elkabets"/>
        <s v="Mordechai (Mody) Amir"/>
        <s v="Bilha Epstein"/>
        <s v="Neta Epstein"/>
        <s v="Yuval Boyum"/>
        <s v="Maya Ben David"/>
        <s v="Hadar Berdichevsky"/>
        <s v="Itay Berdichevsky"/>
        <s v="Yam Goldstein Almog"/>
        <s v="Nadav Goldstein"/>
        <s v="Aran Goren"/>
        <s v="Tova Goren"/>
        <s v="Naomi Dgani"/>
        <s v="Yahav Winner"/>
        <s v="Dorit Werthheim"/>
        <s v="Aviv Werthheim"/>
        <s v="Eitan Ziv"/>
        <s v="Nirel Zini"/>
        <s v="Naor Hassidim"/>
        <s v="Avia Hetzroni"/>
        <s v="Yanai Heler Hetzroni"/>
        <s v="Nitzan Libstein"/>
        <s v="Smadar Idan"/>
        <s v="Roee Idan"/>
        <s v="Tammy Peleg Ziv"/>
        <s v="Gila Peled"/>
        <s v="Daniel Peled"/>
        <s v="Izhar Peled"/>
        <s v="Yigal Flash"/>
        <s v="Cynthia Tamar Flash"/>
        <s v="Mark Peretz"/>
        <s v="Omer Zadikevitch"/>
        <s v="Aviv Kutz"/>
        <s v="Yonatan Kutz"/>
        <s v="Yiftach Kutz"/>
        <s v="Livnat Kutz"/>
        <s v="Rotem Kutz"/>
        <s v="David (Kachko) Katzir"/>
        <s v="Niv Raviv"/>
        <s v="Nira Ronen"/>
        <s v="Eliyahu Reichenstein"/>
        <s v="David Schwartzman Pinko"/>
        <s v="Orly Schwartzman Pinko"/>
        <s v="Ofir Shoshani"/>
        <s v="Mira Shtahl"/>
        <s v="Aguirre Angelyn"/>
        <s v="Noam Elyakim"/>
        <s v="Shoshana Brosh"/>
        <s v="Yaniv Zohar"/>
        <s v="Yasmin Zohar"/>
        <s v="Keshet Zohar"/>
        <s v="Tchelet Zohar"/>
        <s v="Efrat Katz"/>
        <s v="Haim Livne"/>
        <s v="Maayan Idan"/>
        <s v="Tomer Arava"/>
        <s v="Dikla Arava"/>
        <s v="Shlomo Ron"/>
        <s v="Somkuan Pansa-ard"/>
        <s v="Rebecca Ben-Horin"/>
        <s v="Amitai Ben-Zvi"/>
        <s v="Avner Goren"/>
        <s v="Yossef Gross"/>
        <s v="Carmela Sara Dan"/>
        <s v="Noya Dan"/>
        <s v="Yossef (Yossi) Vahav"/>
        <s v="Vitaly Trupanob"/>
        <s v="Ravid Katz"/>
        <s v="Bracha Levinson"/>
        <s v="Roey Munder"/>
        <s v="Sai'd (David) Moshe"/>
        <s v="Shifra Noy"/>
        <s v="Margit Silberman"/>
        <s v="Yosef Yossi Silberman"/>
        <s v="Arbel Siman-Tov"/>
        <s v="Yonatan Siman-Tov"/>
        <s v="Omer Siman-Tov"/>
        <s v="Tamar Kedem Siman-Tov"/>
        <s v="Carol Siman-Tov"/>
        <s v="Shachar Siman-Tov"/>
        <s v="Gidon Pauker"/>
        <s v="Avraham Katzir"/>
        <s v="David Shalev"/>
        <s v="Tal Shalev"/>
        <s v="Yermiyahu Shafir"/>
        <s v="Carolin Bohl"/>
        <s v="Bancha Dachtuyawat"/>
        <s v="Darlington Daniel (Danny)"/>
        <s v="Gidon Bavani"/>
        <s v="Doron Meir"/>
        <s v="Mor Meir"/>
        <s v="Roey Popplewell"/>
        <s v="Bernard Cohen"/>
        <s v="Noa Glazberg"/>
        <s v="Talia Marcel"/>
        <s v="Olag Lifshitz"/>
        <s v="Silvia Marnasky"/>
        <s v="Dipesh Raj Bista"/>
        <s v="Chaudhary Ashish"/>
        <s v="Lekendora Sing Dahami"/>
        <s v="Ganesh Kumar Nepali"/>
        <s v="Neupane Narayan Prasad"/>
        <s v="Phulara Rajan"/>
        <s v="Prabesh Bhandari"/>
        <s v="Shah Ananda"/>
        <s v="Swarnakar Raj Kumar"/>
        <s v="Padam Thapa"/>
        <s v="Eliona Astafniko"/>
        <s v="Amit Gabay"/>
        <s v="Varda Haramati"/>
        <s v="Asaf Fever"/>
        <s v="Dvir Karp"/>
        <s v="Semion Avdalimov"/>
        <s v="Michael Avramov"/>
        <s v="Solomon Ilyaguyev"/>
        <s v="Sammi Elgargawi"/>
        <s v="Chaim Ashraf"/>
        <s v="Lior Weizman"/>
        <s v="Alon Amram Toledano"/>
        <s v="Amir Tanbora"/>
        <s v="Leonid Luzovski"/>
        <s v="Meiri Zohar"/>
        <s v="Avi Megira"/>
        <s v="Michael Muzarkov"/>
        <s v="Meir Malka"/>
        <s v="Nativ Maayan Nave"/>
        <s v="Odaya Swisa"/>
        <s v="Dolev Swisa"/>
        <s v="Dimitri Sorokin"/>
        <s v="Kobi Paryante"/>
        <s v="Neomi Shitrit-Azulay"/>
        <s v="Cao Yongkai"/>
        <s v="Wan Zhishun"/>
        <s v="Zou Deli"/>
        <s v="Zinaida Beilin"/>
        <s v="Lilya Giler"/>
        <s v="Michal Zrabailov"/>
        <s v="Natalia Tomayev"/>
        <s v="Yaakov Mortov"/>
        <s v="Nadejda Spravchikov"/>
        <s v="Vladimir Popov"/>
        <s v="Sonia Popov"/>
        <s v="Lyudmila Furman"/>
        <s v="Valerie Friedman"/>
        <s v="Igor Kortzov"/>
        <s v="Barta Shmeyev"/>
        <s v="Tatiana Shnitman"/>
        <s v="Yazan Zakaria Abu Jama"/>
        <s v="Dalia Abu Madi'am"/>
        <s v="May Abu Sabaakh"/>
        <s v="Faiza Abu Sabaakh"/>
        <s v="Amin Akal Alkra’an"/>
        <s v="Jawad Ibrahim Alkra’an"/>
        <s v="Malek Ibrahim Alkra’an"/>
        <s v="Mahmoud Diab Alkra’an"/>
        <s v="Hana Ben-Artzi"/>
        <s v="Shiraz Brodash"/>
        <s v="Mor Gabay"/>
        <s v="Vladimir Zukov"/>
        <s v="Yehoshua Hatab"/>
        <s v="Rabbi Netanel Maskalatchi"/>
        <s v="Rafael Meir Maskalatchi"/>
        <s v="Rabbi Rafael Fahimi"/>
        <s v="Avshalom Yair Peretz"/>
        <s v="Roni Abuharon"/>
        <s v="Eliad Ohayon"/>
        <s v="Moshe Ohayon"/>
        <s v="Yigal Iluz"/>
        <s v="Yonatan Elazari"/>
        <s v="Avi Buzaglo"/>
        <s v="Refael Ariel Guri"/>
        <s v="Roeh-Haim Guri"/>
        <s v="Nisim Lugasi"/>
        <s v="Michael Lizmi"/>
        <s v="Nehorai Said"/>
        <s v="Israel Chana"/>
        <s v="Avi Zidon"/>
        <s v="Dror Alton"/>
        <s v="Maro Elem"/>
        <s v="Nehorai Levi Amitay"/>
        <s v="Regev Amar"/>
        <s v="Or Esto"/>
        <s v="Ariel Erez"/>
        <s v="Idan Balui"/>
        <s v="Adir Ishto Bogla"/>
        <s v="Lavie Buchnik"/>
        <s v="Daniel Bezgodov"/>
        <s v="Oriel Bibi"/>
        <s v="Ido Binenstock"/>
        <s v="Vadim Blich"/>
        <s v="Barak Ben-David"/>
        <s v="Itamar Ben-Yehuda"/>
        <s v="Ya'ad Ben-Yakov"/>
        <s v="Michael Ben-Moshe (Moshiasvhili)"/>
        <s v="Leon Bar"/>
        <s v="Neta Baram"/>
        <s v="Shalev Baranes"/>
        <s v="Tomer Barak"/>
        <s v="Adir Gaori"/>
        <s v="Yuval Gabay"/>
        <s v="Omer Gavra"/>
        <s v="Yosef Malachi Guedalia"/>
        <s v="Amit Gueta"/>
        <s v="Itay Ofek Glisko"/>
        <s v="ilay Gamzo"/>
        <s v="Shalev Dagan"/>
        <s v="Shaked Dahan"/>
        <s v="Shlomi Davidovich"/>
        <s v="Yaron Dayan Moris"/>
        <s v="Omer Wolf"/>
        <s v="Yaron Zohar"/>
        <s v="Dvir Zakai"/>
        <s v="Avraham Hobelashvili"/>
        <s v="Yossi Tahar"/>
        <s v="Nethanel Young"/>
        <s v="Michael Yoav"/>
        <s v="Benyamin Gabriel Yona"/>
        <s v="Bar Yancolov"/>
        <s v="Ofir Yeruhin"/>
        <s v="Itamar Cohen"/>
        <s v="Danit Cohen"/>
        <s v="Benyamin Lev"/>
        <s v="Amir Lavi"/>
        <s v="Shimon Lugassi"/>
        <s v="Tal Levi"/>
        <s v="Yakir Levy"/>
        <s v="Natan Lier Chai"/>
        <s v="Or Mizrahi"/>
        <s v="Sahar Midani"/>
        <s v="Tal Maman"/>
        <s v="Lidor Makayes"/>
        <s v="Arik Yehuda Marciano"/>
        <s v="Tomer Nagar"/>
        <s v="Shoham Shlomo Nidam"/>
        <s v="Emil Samoilov"/>
        <s v="Sahar Saudin"/>
        <s v="Amir Skoury"/>
        <s v="Vitaly Skipkavich"/>
        <s v="Rodolfo (Rody) Fabián Skariszewski"/>
        <s v="Haim Meir Eden"/>
        <s v="Lior Azizov"/>
        <s v="Omri Peretz"/>
        <s v="Roey Chapell"/>
        <s v="Yonatan Tzur"/>
        <s v="Adi Tzur"/>
        <s v="Ofir Tzioni"/>
        <s v="Aryeh Shlomo Ziring"/>
        <s v="Dedo Tzafir"/>
        <s v="Nativ Kotzro"/>
        <s v="Haviv Qyan"/>
        <s v="Daniel Rashad"/>
        <s v="Max Rabinov"/>
        <s v="Dvir Haim Resler"/>
        <s v="Maor Shalom"/>
        <s v="Shlomo Reshetnikov"/>
        <s v="David Rathner"/>
        <s v="Yaron Oree Shay"/>
        <s v="Rom Shlomi"/>
        <s v="Ido Israel-Shani"/>
        <s v="Daniel Shperber"/>
        <s v="Gali Roi Shakotai"/>
        <s v="Adir Tahar"/>
        <s v="Yogev Aharon"/>
        <s v="Evyatar Ohayon"/>
        <s v="Guy Bazak"/>
        <s v="Re'em Meir-Betito"/>
        <s v="Benyamin Blay"/>
        <s v="Michael Ben Chemo"/>
        <s v="Ilay Noam Ben Muha"/>
        <s v="Benjamin Taka Tashgar"/>
        <s v="David Mittleman"/>
        <s v="Jonathan Savitsky"/>
        <s v="Uriel Segal"/>
        <s v="Amit Peled"/>
        <s v="Raz Peretz"/>
        <s v="Amichay Shimon Rubin"/>
        <s v="Bar Rosenstein"/>
        <s v="Ori Mordechay Shani"/>
        <s v="Elad Michael Sasson"/>
        <s v="Shilo Rauchberger"/>
        <s v="Noam Abramovich"/>
        <s v="Amir Eyal"/>
        <s v="Shir Eilat"/>
        <s v="Dolev Amouyal"/>
        <s v="Sivan Asraf"/>
        <s v="Roni Eshel"/>
        <s v="Shai Ashram"/>
        <s v="Shir Biton"/>
        <s v="Elroy Ben Shitrit"/>
        <s v="Yam Glass"/>
        <s v="Adi Gruman"/>
        <s v="Yohai Dukhan"/>
        <s v="Shilo Har-Even"/>
        <s v="Mia Viallovo Polo"/>
        <s v="Aviv Hajaj"/>
        <s v="Shirel Haim Pour"/>
        <s v="Boaz Menashe Yoggev"/>
        <s v="Yiftach Yavetz"/>
        <s v="Hadar Miriam Cohen"/>
        <s v="Ori Karmi"/>
        <s v="Dor Lazimi"/>
        <s v="Yael Leibushor"/>
        <s v="Adi Landman"/>
        <s v="Shirel Mor"/>
        <s v="Eden Nimri"/>
        <s v="Shahaf Nissani"/>
        <s v="Naor Sivoni"/>
        <s v="Shirat-Yam Amar"/>
        <s v="Yishai Fitussi"/>
        <s v="Yarin Marie Peled"/>
        <s v="Noa Price"/>
        <s v="Yakov Shlomo Karsninski"/>
        <s v="Itay Ron"/>
        <s v="Shira Shohat"/>
        <s v="Nahman Dekel"/>
        <s v="Amit Most"/>
        <s v="Ofir Melman"/>
        <s v="Hallel Shmuel Saadon"/>
        <s v="Segev Schwartz"/>
        <s v="Dekel Swisa"/>
        <s v="Roey Peri"/>
        <s v="Ravit Hana Assayag"/>
        <s v="Peleg Salem"/>
        <s v="Gil Avital"/>
        <s v="Lior Ben-Yakov"/>
        <s v="Dan Asulin"/>
        <s v="Itay Nahmias"/>
        <s v="Adi Baharav"/>
        <s v="Tomer Dolev"/>
        <s v="Yigal Vaks"/>
        <s v="Amit Vaks"/>
        <s v="Oren Stern"/>
        <s v="Gil Tasa"/>
        <s v="Aviad Gad Cohen"/>
        <s v="Bechor Sueid"/>
        <s v="Reuven Shishportish"/>
        <s v="Ofir Davidyan"/>
        <s v="Lior Levy"/>
        <s v="Itamar Ayish"/>
        <s v="Alina Pravosudova"/>
        <s v="Aharon Fresh"/>
        <s v="Shir Shlomo"/>
        <s v="Or Avital"/>
        <s v="Eden Alon-Levy"/>
        <s v="Naama Boni"/>
        <s v="Adar Ben-Simon"/>
        <s v="Ilai Bar-Sadeh"/>
        <s v="Yonatan Golan"/>
        <s v="Sahar Tal"/>
        <s v="Ofir Tasta"/>
        <s v="Ori Locker"/>
        <s v="Tomer Leibovitz"/>
        <s v="Dvir Lisha"/>
        <s v="Itay Maor"/>
        <s v="Or Moses"/>
        <s v="Yoav Meliev"/>
        <s v="Orel Moshe"/>
        <s v="Neria Aaron Nagari"/>
        <s v="Adir Abudi"/>
        <s v="Omri Niv- Fierstein"/>
        <s v="Amit Tzur"/>
        <s v="Yanai Kaminka"/>
        <s v="Yuval Ben-Yaakov"/>
        <s v="Ido Harush"/>
        <s v="Salaman Eban Merei"/>
        <s v="Uriel Avraham"/>
        <s v="Dvora Avraham"/>
        <s v="Yakir Blochman"/>
        <s v="Osher (Simcha) Barzilay"/>
        <s v="Avraham Henkin"/>
        <s v="Ibrahim Kharuba"/>
        <s v="Ido Yehoshua"/>
        <s v="Yenin Sivan"/>
        <s v="Elior Yifrach"/>
        <s v="Yorai Eliyahu Cohen"/>
        <s v="Sahar Zion Machaluf"/>
        <s v="Shlomo Moshe-El"/>
        <s v="Bar Sivan"/>
        <s v="Ilay Azar"/>
        <s v="Nitay Amar"/>
        <s v="David Flores Gracia"/>
        <s v="Idan Raz"/>
        <s v="Stas Sheinkman"/>
        <s v="Osher Shmaya"/>
        <s v="Ido Edri"/>
        <s v="Aviv Eliyahu"/>
        <s v="Matan (Kido) Elmalem"/>
        <s v="Ofek Arbiv"/>
        <s v="Itai Yehuda Bausi"/>
        <s v="Kim Dukarker"/>
        <s v="Awad Darawshe"/>
        <s v="Yulia Vakser"/>
        <s v="Hadar Hoshen"/>
        <s v="Hezi (Yechezkel) Hanom"/>
        <s v="Yiftach Twig"/>
        <s v="Adiel Twitto"/>
        <s v="Avraham Gilad Tiberg"/>
        <s v="Ori Tchernichovsky"/>
        <s v="Alexandre look"/>
        <s v="Sharon Leibovitz"/>
        <s v="Jake Marlowe"/>
        <s v="Ilay Nahman"/>
        <s v="Avi Sasi"/>
        <s v="Shai El Knafo"/>
        <s v="Vitaly Karasik"/>
        <s v="Sharon Rachmani"/>
        <s v="Aviad Rivlin"/>
        <s v="Gideon Rivlin"/>
        <s v="Yonatan Richter"/>
        <s v="Omri Ram"/>
        <s v="Aner Elyakim Shapira"/>
        <s v="Amir Naim"/>
        <s v="Haggai Avni"/>
        <s v="Eliran Abargil"/>
        <s v="Ariel Ohana"/>
        <s v="Ariel Eliyahu"/>
        <s v="Gil Buyum"/>
        <s v="Omri Belkin"/>
        <s v="Neria Ben-David"/>
        <s v="Yonatan Gutin"/>
        <s v="Sagi Golan"/>
        <s v="Eli Ginsberg"/>
        <s v="Dan Ganot"/>
        <s v="Valentin (Eli) Ghnassia"/>
        <s v="Jayar Davidov"/>
        <s v="Boris Danilov"/>
        <s v="Eitan Hadad"/>
        <s v="Benjamin Trakeniski"/>
        <s v="Itay Yehoshua"/>
        <s v="Shilo Cohen"/>
        <s v="Naveh Eliezer Lax"/>
        <s v="David Haim Meir"/>
        <s v="Gadif Mologota"/>
        <s v="Dor Mangadi"/>
        <s v="Roee Negri"/>
        <s v="Avi Amar"/>
        <s v="Shachar Zemach"/>
        <s v="Meir Elhanan Clemanzon"/>
        <s v="Eric kraunik"/>
        <s v="Ofek Rousso"/>
        <s v="Orel Alon"/>
        <s v="Liran Almosnino"/>
        <s v="Yiftach Gorny"/>
        <s v="Haim Katzman"/>
        <s v="Avraham Gabriel Korin"/>
        <s v="Ido Hubara"/>
        <s v="Matan Malka"/>
        <s v="Saar Margolis"/>
        <s v="Shachar Aviani"/>
        <s v="Tal Eilon"/>
        <s v="Shachaf Bergstein"/>
        <s v="Ben Bronshtein"/>
        <s v="Aviv Baram"/>
        <s v="Rotem Dushi"/>
        <s v="Avraham Hananel Hindi"/>
        <s v="Amichai Yakov-Vaninu"/>
        <s v="Ilay Zisser"/>
        <s v="Tal Cohen"/>
        <s v="Ofir Libstein"/>
        <s v="Omri Michaeli"/>
        <s v="Roey Nahari"/>
        <s v="Yuval Salomon"/>
        <s v="Eily Adani"/>
        <s v="Nadav Amikam"/>
        <s v="Amir Fisher"/>
        <s v="Amir Tzur"/>
        <s v="Hadar Kamah"/>
        <s v="Uri Shimon Russo"/>
        <s v="Or Yossef Ran"/>
        <s v="Shoham Moshe Ben-Harush"/>
        <s v="Roey Weiser"/>
        <s v="Amichai Israel Vitzan"/>
        <s v="Yedidya Moshe Raziel"/>
        <s v="Tomer Shoham"/>
        <s v="Jonathan Steinberg"/>
        <s v="Ofir Mordechai Yaron"/>
        <s v="Avi Fleisher"/>
        <s v="Chen Buchris"/>
        <s v="Roi Bareket"/>
        <s v="Dor Yarchi"/>
        <s v="Ran Poslushni"/>
        <s v="Ilan Fiorentino"/>
        <s v="Afik Rozental"/>
        <s v="Avraham Boaz"/>
        <s v="Ofek Arazi"/>
        <s v="Tal Chaimi"/>
        <s v="Yaron Shahar"/>
        <s v="Aviv Atzili"/>
        <s v="Matan Abarjil"/>
        <s v="Roman Gendel"/>
        <s v="Adam Agmon"/>
        <s v="Tomer Yaakov Ahimas"/>
        <s v="Oran Elfassi"/>
        <s v="Kiril Brodski"/>
        <s v="Asaf Hamami"/>
        <s v="Alik Pozdnyakov"/>
        <s v="Ofir Erez"/>
        <s v="Tomer Yaakov Mizrahi"/>
        <s v="Eyal Klein"/>
        <s v="Rami Negbi"/>
        <s v="Itay Cohen"/>
        <s v="Yishai Slotki"/>
        <s v="Noam Slotki"/>
        <s v="Ido Rosental"/>
        <s v="Amin Ohanadov"/>
        <s v="Alexy Budovski"/>
        <s v="Itzhak Bazuka-Shvili"/>
        <s v="Yotam Ben-Basat"/>
        <s v="Ariel Ben Moshe"/>
        <s v="Alon Barad"/>
        <s v="Roey Yosef Levy"/>
        <s v="Aharon Arthur Marcovichi"/>
        <s v="Andrei Poshivay"/>
        <s v="Malik Karim"/>
        <s v="Noam Elimelech Rotenberg"/>
        <s v="Guy Simhi"/>
        <s v="Mordechai (moti) Shamir"/>
        <s v="Kobi Shmaya"/>
        <s v="Amer Abu Sabila Odeh"/>
        <s v="Meir Abragil"/>
        <s v="Denis Belinki"/>
        <s v="David Ben-Dayan"/>
        <s v="Yosef Itamar-Bruchim"/>
        <s v="Shmuel Gulima"/>
        <s v="Tal Grushka"/>
        <s v="Eliyahu Michael Harush"/>
        <s v="Itay-Eliyahu Marchiano"/>
        <s v="Eitan Neeman"/>
        <s v="Chen Nahmias"/>
        <s v="Shalom Tzaban"/>
        <s v="Yehuda Kedar"/>
        <s v="Martin Kuzmickas"/>
        <s v="Ben Rubinstein"/>
        <s v="Adir Shlomo"/>
        <s v="Alexei Shmakalov"/>
        <s v="Mor Shkuri"/>
        <s v="Guy Illouz"/>
        <s v="Samar Fouad Talalka"/>
        <s v="Ronen Engel"/>
        <s v="Nik Beizer"/>
        <s v="Sahar Baruch"/>
        <s v="Maya Goren"/>
        <s v="Judith Weiss"/>
        <s v="Eden Zecharya"/>
        <s v="Arye Zalmanovich"/>
        <s v="Yotam Haim"/>
        <s v="Elia Toledano"/>
        <s v="Eitan Levy"/>
        <s v="Shani Louk"/>
        <s v="Eliyahu Margalit"/>
        <s v="Noa Marciano"/>
        <s v="Yonatan Samerano"/>
        <s v="Ofra Kedar"/>
        <s v="Alon Lulu Shamriz"/>
        <s v="Ron Scherman"/>
        <s v="Mollel Joshua Loitu"/>
        <s v="Majed Ibrahim"/>
        <s v="one day old baby Abu Rashed"/>
        <s v="Natalia Demidova"/>
        <s v="Reuven Heinek"/>
        <s v="Ilan Weiss"/>
        <s v="Yotam Hillel"/>
        <s v="Avichai Amsalem"/>
        <s v="Inbar Haiman"/>
        <s v="Daniel Moshe-Danino"/>
        <s v="Niv Ayos"/>
        <s v="Yuval Halivni"/>
        <s v="Judy Weinstein Haggai"/>
        <s v="Gadi Haggai"/>
        <s v="Tamir Adar"/>
        <s v="Alexander Masli"/>
        <s v="Dor Sade"/>
        <s v="Aviel Malkamu"/>
        <s v="Diawtmaisong Jakkapan"/>
        <s v="Champasim Saksit"/>
        <s v="Ruksanon Chaiya"/>
        <s v="Homsorn Settha"/>
        <s v="Kraisorn Thumyoma"/>
        <s v="Yotthongdee Tianchai"/>
        <s v="Seayang Dua"/>
        <s v="Saethao Thawatchai"/>
        <s v="Pongkhrurea Paphonthanai"/>
        <s v="Pankitvanitjaroen Sarayuth"/>
        <s v="Patee Kiattisak"/>
        <s v="Dani Alush"/>
        <s v="Tal Danieli"/>
        <s v="Itay Svirski"/>
        <s v="Yossi Sharabi"/>
        <s v="Shai Levinson"/>
        <s v="Goyitom Gebrehiyet"/>
        <s v="Berhe Wolderaphael Hagos"/>
        <s v="Ran Guili"/>
        <s v="Yaakov Yair"/>
        <s v="Oz Daniel"/>
        <s v="Itay Hen"/>
        <s v="Daniel Perets"/>
        <s v="Uriel Baruch"/>
        <s v="Hashem Barawi"/>
        <s v="Suheil Masri"/>
        <s v="Huri Elmasri"/>
        <s v="Suliman Elatar"/>
        <s v="Ziad Ganem"/>
        <s v="Elad Katzir"/>
        <s v="Dror Or"/>
        <s v="Elyakim Libman"/>
        <s v="Lior Rudaeff"/>
        <s v="Zanhung Chi"/>
        <s v="Jianhe Liu"/>
        <s v="Zhiguo Liu"/>
        <s v="Sonthaya Oakkharasri"/>
        <s v="Sudthisak Rinthalak"/>
        <s v="Amit Esther Buskila"/>
        <s v="Itzhak Gelerenter"/>
        <s v="Ron Binyamin"/>
        <s v="Michel Nisenbaum"/>
        <s v="Orión Hernández Radoux"/>
        <s v="Chanan Yablonka"/>
        <s v="Dolev Yehoud"/>
        <s v="Nadav Popplewell"/>
        <s v="Amiram Cooper"/>
        <s v="Chaim Peri"/>
        <s v="Yoram Metzger"/>
        <s v="Shraga Hasid"/>
        <s v="Muhammad Alatrash"/>
        <s v="Alexander Dancyg"/>
        <s v="Yegev Buchshtab"/>
        <s v="Abraham Munder"/>
        <s v="Carmel Gat"/>
        <s v="Eden Yerushalmi"/>
        <s v="Hersh Goldberg-Polin"/>
        <s v="Alexander Lubnov"/>
        <s v="Almog Sarusi"/>
        <s v="Ori Danino"/>
        <s v="Idan Shtivi"/>
        <m/>
      </sharedItems>
    </cacheField>
    <cacheField name=" " numFmtId="0">
      <sharedItems containsBlank="1">
        <m/>
        <s v="עובדת זרה"/>
      </sharedItems>
    </cacheField>
    <cacheField name=" 2" numFmtId="0">
      <sharedItems containsBlank="1">
        <m/>
        <s v="אוקראינה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מיגוניות" cacheId="0" dataCaption="" rowGrandTotals="0" compact="0" compactData="0">
  <location ref="A1:C40" firstHeaderRow="0" firstDataRow="2" firstDataCol="0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t="default"/>
      </items>
    </pivotField>
    <pivotField name="fullName" axis="axisRow" compact="0" outline="0" multipleItemSelectionAllowed="1" showAll="0" sortType="ascending">
      <items>
        <item x="610"/>
        <item x="53"/>
        <item x="1158"/>
        <item x="662"/>
        <item x="650"/>
        <item x="54"/>
        <item x="542"/>
        <item x="55"/>
        <item x="696"/>
        <item x="528"/>
        <item x="1142"/>
        <item x="56"/>
        <item x="57"/>
        <item x="663"/>
        <item x="58"/>
        <item x="651"/>
        <item x="652"/>
        <item x="1141"/>
        <item x="1157"/>
        <item x="1144"/>
        <item x="551"/>
        <item x="529"/>
        <item x="552"/>
        <item x="553"/>
        <item x="554"/>
        <item x="1145"/>
        <item x="59"/>
        <item x="60"/>
        <item x="664"/>
        <item x="1175"/>
        <item x="1176"/>
        <item x="1122"/>
        <item x="61"/>
        <item x="1125"/>
        <item x="665"/>
        <item x="666"/>
        <item x="1177"/>
        <item x="1150"/>
        <item x="1151"/>
        <item x="62"/>
        <item x="63"/>
        <item x="667"/>
        <item x="64"/>
        <item x="1149"/>
        <item x="668"/>
        <item x="555"/>
        <item x="527"/>
        <item x="1143"/>
        <item x="1178"/>
        <item x="65"/>
        <item x="66"/>
        <item x="530"/>
        <item x="1148"/>
        <item x="556"/>
        <item x="1147"/>
        <item x="669"/>
        <item x="1174"/>
        <item x="623"/>
        <item x="557"/>
        <item x="558"/>
        <item x="67"/>
        <item x="670"/>
        <item x="68"/>
        <item x="69"/>
        <item x="671"/>
        <item x="70"/>
        <item x="697"/>
        <item x="71"/>
        <item x="531"/>
        <item x="1146"/>
        <item x="698"/>
        <item x="105"/>
        <item x="106"/>
        <item x="677"/>
        <item x="712"/>
        <item x="75"/>
        <item x="713"/>
        <item x="714"/>
        <item x="715"/>
        <item x="107"/>
        <item x="1085"/>
        <item x="108"/>
        <item x="109"/>
        <item x="1124"/>
        <item x="729"/>
        <item x="110"/>
        <item x="1015"/>
        <item x="111"/>
        <item x="908"/>
        <item x="889"/>
        <item x="112"/>
        <item x="113"/>
        <item x="444"/>
        <item x="445"/>
        <item x="930"/>
        <item x="446"/>
        <item x="447"/>
        <item x="114"/>
        <item x="978"/>
        <item x="979"/>
        <item x="1055"/>
        <item x="115"/>
        <item x="1086"/>
        <item x="1123"/>
        <item x="931"/>
        <item x="116"/>
        <item x="1050"/>
        <item x="932"/>
        <item x="117"/>
        <item x="678"/>
        <item x="846"/>
        <item x="1057"/>
        <item x="118"/>
        <item x="119"/>
        <item x="559"/>
        <item x="560"/>
        <item x="120"/>
        <item x="1137"/>
        <item x="561"/>
        <item x="950"/>
        <item x="828"/>
        <item x="40"/>
        <item x="24"/>
        <item x="25"/>
        <item x="829"/>
        <item x="730"/>
        <item x="731"/>
        <item x="448"/>
        <item x="121"/>
        <item x="1071"/>
        <item x="980"/>
        <item x="122"/>
        <item x="41"/>
        <item x="672"/>
        <item x="0"/>
        <item x="1171"/>
        <item x="449"/>
        <item x="562"/>
        <item x="123"/>
        <item x="124"/>
        <item x="125"/>
        <item x="126"/>
        <item x="127"/>
        <item x="1058"/>
        <item x="128"/>
        <item x="129"/>
        <item x="130"/>
        <item x="1133"/>
        <item x="131"/>
        <item x="132"/>
        <item x="133"/>
        <item x="136"/>
        <item x="847"/>
        <item x="134"/>
        <item x="1103"/>
        <item x="732"/>
        <item x="1016"/>
        <item x="679"/>
        <item x="135"/>
        <item x="848"/>
        <item x="563"/>
        <item x="564"/>
        <item x="1007"/>
        <item x="909"/>
        <item x="26"/>
        <item x="532"/>
        <item x="533"/>
        <item x="742"/>
        <item x="1"/>
        <item x="951"/>
        <item x="981"/>
        <item x="197"/>
        <item x="137"/>
        <item x="611"/>
        <item x="743"/>
        <item x="78"/>
        <item x="952"/>
        <item x="1167"/>
        <item x="733"/>
        <item x="1168"/>
        <item x="1059"/>
        <item x="138"/>
        <item x="139"/>
        <item x="89"/>
        <item x="565"/>
        <item x="140"/>
        <item x="716"/>
        <item x="717"/>
        <item x="718"/>
        <item x="719"/>
        <item x="142"/>
        <item x="849"/>
        <item x="143"/>
        <item x="566"/>
        <item x="744"/>
        <item x="1130"/>
        <item x="745"/>
        <item x="1105"/>
        <item x="144"/>
        <item x="891"/>
        <item x="145"/>
        <item x="146"/>
        <item x="147"/>
        <item x="887"/>
        <item x="27"/>
        <item x="850"/>
        <item x="746"/>
        <item x="450"/>
        <item x="148"/>
        <item x="149"/>
        <item x="567"/>
        <item x="568"/>
        <item x="1054"/>
        <item x="79"/>
        <item x="80"/>
        <item x="81"/>
        <item x="150"/>
        <item x="953"/>
        <item x="151"/>
        <item x="152"/>
        <item x="1063"/>
        <item x="747"/>
        <item x="1051"/>
        <item x="153"/>
        <item x="154"/>
        <item x="155"/>
        <item x="851"/>
        <item x="852"/>
        <item x="681"/>
        <item x="653"/>
        <item x="954"/>
        <item x="748"/>
        <item x="156"/>
        <item x="893"/>
        <item x="157"/>
        <item x="749"/>
        <item x="1072"/>
        <item x="734"/>
        <item x="1073"/>
        <item x="750"/>
        <item x="982"/>
        <item x="569"/>
        <item x="451"/>
        <item x="1044"/>
        <item x="158"/>
        <item x="159"/>
        <item x="910"/>
        <item x="160"/>
        <item x="1179"/>
        <item x="161"/>
        <item x="162"/>
        <item x="163"/>
        <item x="164"/>
        <item x="165"/>
        <item x="751"/>
        <item x="830"/>
        <item x="831"/>
        <item x="752"/>
        <item x="166"/>
        <item x="167"/>
        <item x="168"/>
        <item x="169"/>
        <item x="853"/>
        <item x="1106"/>
        <item x="170"/>
        <item x="171"/>
        <item x="699"/>
        <item x="172"/>
        <item x="2"/>
        <item x="173"/>
        <item x="753"/>
        <item x="452"/>
        <item x="453"/>
        <item x="454"/>
        <item x="455"/>
        <item x="456"/>
        <item x="457"/>
        <item x="458"/>
        <item x="174"/>
        <item x="459"/>
        <item x="460"/>
        <item x="832"/>
        <item x="933"/>
        <item x="3"/>
        <item x="754"/>
        <item x="1087"/>
        <item x="983"/>
        <item x="175"/>
        <item x="176"/>
        <item x="720"/>
        <item x="1074"/>
        <item x="570"/>
        <item x="755"/>
        <item x="177"/>
        <item x="984"/>
        <item x="1088"/>
        <item x="1036"/>
        <item x="178"/>
        <item x="179"/>
        <item x="624"/>
        <item x="180"/>
        <item x="181"/>
        <item x="833"/>
        <item x="756"/>
        <item x="90"/>
        <item x="91"/>
        <item x="928"/>
        <item x="757"/>
        <item x="890"/>
        <item x="834"/>
        <item x="758"/>
        <item x="1075"/>
        <item x="182"/>
        <item x="911"/>
        <item x="183"/>
        <item x="461"/>
        <item x="184"/>
        <item x="185"/>
        <item x="4"/>
        <item x="625"/>
        <item x="186"/>
        <item x="854"/>
        <item x="187"/>
        <item x="1181"/>
        <item x="42"/>
        <item x="759"/>
        <item x="188"/>
        <item x="462"/>
        <item x="463"/>
        <item x="464"/>
        <item x="760"/>
        <item x="912"/>
        <item x="189"/>
        <item x="1165"/>
        <item x="190"/>
        <item x="191"/>
        <item x="192"/>
        <item x="82"/>
        <item x="1017"/>
        <item x="1076"/>
        <item x="193"/>
        <item x="571"/>
        <item x="572"/>
        <item x="1060"/>
        <item x="721"/>
        <item x="1164"/>
        <item x="1107"/>
        <item x="465"/>
        <item x="1089"/>
        <item x="1018"/>
        <item x="612"/>
        <item x="934"/>
        <item x="194"/>
        <item x="195"/>
        <item x="196"/>
        <item x="761"/>
        <item x="198"/>
        <item x="199"/>
        <item x="200"/>
        <item x="1019"/>
        <item x="201"/>
        <item x="762"/>
        <item x="1045"/>
        <item x="202"/>
        <item x="5"/>
        <item x="6"/>
        <item x="680"/>
        <item x="203"/>
        <item x="763"/>
        <item x="1169"/>
        <item x="764"/>
        <item x="722"/>
        <item x="673"/>
        <item x="204"/>
        <item x="765"/>
        <item x="766"/>
        <item x="767"/>
        <item x="1159"/>
        <item x="466"/>
        <item x="467"/>
        <item x="543"/>
        <item x="985"/>
        <item x="205"/>
        <item x="43"/>
        <item x="206"/>
        <item x="207"/>
        <item x="573"/>
        <item x="574"/>
        <item x="208"/>
        <item x="1090"/>
        <item x="913"/>
        <item x="986"/>
        <item x="209"/>
        <item x="210"/>
        <item x="211"/>
        <item x="735"/>
        <item x="736"/>
        <item x="212"/>
        <item x="213"/>
        <item x="626"/>
        <item x="575"/>
        <item x="576"/>
        <item x="1108"/>
        <item x="1009"/>
        <item x="214"/>
        <item x="215"/>
        <item x="216"/>
        <item x="700"/>
        <item x="217"/>
        <item x="987"/>
        <item x="218"/>
        <item x="658"/>
        <item x="768"/>
        <item x="855"/>
        <item x="468"/>
        <item x="1180"/>
        <item x="769"/>
        <item x="1056"/>
        <item x="219"/>
        <item x="220"/>
        <item x="221"/>
        <item x="988"/>
        <item x="222"/>
        <item x="28"/>
        <item x="989"/>
        <item x="856"/>
        <item x="627"/>
        <item x="1091"/>
        <item x="7"/>
        <item x="8"/>
        <item x="223"/>
        <item x="224"/>
        <item x="469"/>
        <item x="225"/>
        <item x="470"/>
        <item x="770"/>
        <item x="577"/>
        <item x="226"/>
        <item x="227"/>
        <item x="771"/>
        <item x="228"/>
        <item x="229"/>
        <item x="230"/>
        <item x="990"/>
        <item x="231"/>
        <item x="772"/>
        <item x="232"/>
        <item x="902"/>
        <item x="233"/>
        <item x="857"/>
        <item x="894"/>
        <item x="955"/>
        <item x="234"/>
        <item x="1020"/>
        <item x="235"/>
        <item x="773"/>
        <item x="236"/>
        <item x="237"/>
        <item x="628"/>
        <item x="629"/>
        <item x="238"/>
        <item x="1161"/>
        <item x="1153"/>
        <item x="991"/>
        <item x="1132"/>
        <item x="239"/>
        <item x="880"/>
        <item x="956"/>
        <item x="92"/>
        <item x="1126"/>
        <item x="1131"/>
        <item x="240"/>
        <item x="241"/>
        <item x="1134"/>
        <item x="1128"/>
        <item x="471"/>
        <item x="1021"/>
        <item x="935"/>
        <item x="472"/>
        <item x="473"/>
        <item x="858"/>
        <item x="1092"/>
        <item x="929"/>
        <item x="242"/>
        <item x="674"/>
        <item x="243"/>
        <item x="474"/>
        <item x="475"/>
        <item x="476"/>
        <item x="244"/>
        <item x="245"/>
        <item x="630"/>
        <item x="246"/>
        <item x="83"/>
        <item x="247"/>
        <item x="774"/>
        <item x="957"/>
        <item x="859"/>
        <item x="248"/>
        <item x="9"/>
        <item x="1037"/>
        <item x="249"/>
        <item x="1135"/>
        <item x="250"/>
        <item x="1127"/>
        <item x="1109"/>
        <item x="477"/>
        <item x="478"/>
        <item x="479"/>
        <item x="29"/>
        <item x="578"/>
        <item x="682"/>
        <item x="1038"/>
        <item x="251"/>
        <item x="1022"/>
        <item x="252"/>
        <item x="253"/>
        <item x="895"/>
        <item x="896"/>
        <item x="254"/>
        <item x="255"/>
        <item x="579"/>
        <item x="580"/>
        <item x="256"/>
        <item x="723"/>
        <item x="257"/>
        <item x="258"/>
        <item x="260"/>
        <item x="259"/>
        <item x="480"/>
        <item x="613"/>
        <item x="614"/>
        <item x="775"/>
        <item x="615"/>
        <item x="616"/>
        <item x="93"/>
        <item x="261"/>
        <item x="581"/>
        <item x="442"/>
        <item x="262"/>
        <item x="582"/>
        <item x="1023"/>
        <item x="776"/>
        <item x="1110"/>
        <item x="1111"/>
        <item x="481"/>
        <item x="263"/>
        <item x="264"/>
        <item x="94"/>
        <item x="265"/>
        <item x="544"/>
        <item x="545"/>
        <item x="546"/>
        <item x="11"/>
        <item x="701"/>
        <item x="936"/>
        <item x="266"/>
        <item x="72"/>
        <item x="267"/>
        <item x="73"/>
        <item x="74"/>
        <item x="860"/>
        <item x="1136"/>
        <item x="268"/>
        <item x="992"/>
        <item x="777"/>
        <item x="1012"/>
        <item x="547"/>
        <item x="958"/>
        <item x="724"/>
        <item x="12"/>
        <item x="10"/>
        <item x="269"/>
        <item x="270"/>
        <item x="13"/>
        <item x="1112"/>
        <item x="271"/>
        <item x="861"/>
        <item x="14"/>
        <item x="1052"/>
        <item x="272"/>
        <item x="273"/>
        <item x="1061"/>
        <item x="1162"/>
        <item x="959"/>
        <item x="30"/>
        <item x="274"/>
        <item x="583"/>
        <item x="275"/>
        <item x="584"/>
        <item x="482"/>
        <item x="585"/>
        <item x="483"/>
        <item x="484"/>
        <item x="1104"/>
        <item x="276"/>
        <item x="827"/>
        <item x="778"/>
        <item x="960"/>
        <item x="961"/>
        <item x="1113"/>
        <item x="683"/>
        <item x="702"/>
        <item x="962"/>
        <item x="31"/>
        <item x="914"/>
        <item x="659"/>
        <item x="277"/>
        <item x="684"/>
        <item x="915"/>
        <item x="278"/>
        <item x="835"/>
        <item x="279"/>
        <item x="631"/>
        <item x="993"/>
        <item x="485"/>
        <item x="963"/>
        <item x="15"/>
        <item x="16"/>
        <item x="779"/>
        <item x="1184"/>
        <item x="17"/>
        <item x="18"/>
        <item x="1185"/>
        <item x="280"/>
        <item x="994"/>
        <item x="937"/>
        <item x="780"/>
        <item x="862"/>
        <item x="781"/>
        <item x="84"/>
        <item x="85"/>
        <item x="938"/>
        <item x="863"/>
        <item x="782"/>
        <item x="281"/>
        <item x="1160"/>
        <item x="1064"/>
        <item x="282"/>
        <item x="283"/>
        <item x="284"/>
        <item x="285"/>
        <item x="939"/>
        <item x="486"/>
        <item x="286"/>
        <item x="783"/>
        <item x="1042"/>
        <item x="76"/>
        <item x="1046"/>
        <item x="287"/>
        <item x="824"/>
        <item x="899"/>
        <item x="288"/>
        <item x="995"/>
        <item x="487"/>
        <item x="1067"/>
        <item x="784"/>
        <item x="289"/>
        <item x="657"/>
        <item x="290"/>
        <item x="95"/>
        <item x="785"/>
        <item x="864"/>
        <item x="1024"/>
        <item x="488"/>
        <item x="940"/>
        <item x="291"/>
        <item x="292"/>
        <item x="489"/>
        <item x="1129"/>
        <item x="293"/>
        <item x="490"/>
        <item x="996"/>
        <item x="294"/>
        <item x="617"/>
        <item x="295"/>
        <item x="632"/>
        <item x="1010"/>
        <item x="865"/>
        <item x="491"/>
        <item x="786"/>
        <item x="787"/>
        <item x="296"/>
        <item x="297"/>
        <item x="788"/>
        <item x="44"/>
        <item x="737"/>
        <item x="685"/>
        <item x="1114"/>
        <item x="298"/>
        <item x="789"/>
        <item x="299"/>
        <item x="790"/>
        <item x="492"/>
        <item x="903"/>
        <item x="300"/>
        <item x="301"/>
        <item x="302"/>
        <item x="303"/>
        <item x="304"/>
        <item x="305"/>
        <item x="77"/>
        <item x="493"/>
        <item x="1077"/>
        <item x="306"/>
        <item x="307"/>
        <item x="633"/>
        <item x="1156"/>
        <item x="494"/>
        <item x="495"/>
        <item x="964"/>
        <item x="1115"/>
        <item x="916"/>
        <item x="866"/>
        <item x="308"/>
        <item x="791"/>
        <item x="965"/>
        <item x="917"/>
        <item x="1172"/>
        <item x="618"/>
        <item x="1025"/>
        <item x="586"/>
        <item x="738"/>
        <item x="309"/>
        <item x="867"/>
        <item x="32"/>
        <item x="33"/>
        <item x="310"/>
        <item x="311"/>
        <item x="312"/>
        <item x="660"/>
        <item x="918"/>
        <item x="313"/>
        <item x="868"/>
        <item x="314"/>
        <item x="997"/>
        <item x="919"/>
        <item x="998"/>
        <item x="654"/>
        <item x="655"/>
        <item x="686"/>
        <item x="1138"/>
        <item x="687"/>
        <item x="315"/>
        <item x="316"/>
        <item x="317"/>
        <item x="318"/>
        <item x="920"/>
        <item x="999"/>
        <item x="86"/>
        <item x="87"/>
        <item x="634"/>
        <item x="1008"/>
        <item x="881"/>
        <item x="319"/>
        <item x="320"/>
        <item x="496"/>
        <item x="548"/>
        <item x="587"/>
        <item x="869"/>
        <item x="497"/>
        <item x="688"/>
        <item x="703"/>
        <item x="792"/>
        <item x="321"/>
        <item x="322"/>
        <item x="323"/>
        <item x="941"/>
        <item x="793"/>
        <item x="836"/>
        <item x="324"/>
        <item x="498"/>
        <item x="1026"/>
        <item x="499"/>
        <item x="325"/>
        <item x="326"/>
        <item x="921"/>
        <item x="794"/>
        <item x="327"/>
        <item x="689"/>
        <item x="1013"/>
        <item x="882"/>
        <item x="1140"/>
        <item x="19"/>
        <item x="795"/>
        <item x="500"/>
        <item x="1000"/>
        <item x="328"/>
        <item x="329"/>
        <item x="330"/>
        <item x="331"/>
        <item x="332"/>
        <item x="725"/>
        <item x="726"/>
        <item x="1166"/>
        <item x="96"/>
        <item x="796"/>
        <item x="333"/>
        <item x="1014"/>
        <item x="1116"/>
        <item x="334"/>
        <item x="966"/>
        <item x="661"/>
        <item x="1093"/>
        <item x="797"/>
        <item x="1117"/>
        <item x="1078"/>
        <item x="922"/>
        <item x="635"/>
        <item x="335"/>
        <item x="45"/>
        <item x="20"/>
        <item x="534"/>
        <item x="535"/>
        <item x="1094"/>
        <item x="336"/>
        <item x="337"/>
        <item x="1066"/>
        <item x="798"/>
        <item x="923"/>
        <item x="1001"/>
        <item x="1027"/>
        <item x="501"/>
        <item x="690"/>
        <item x="636"/>
        <item x="338"/>
        <item x="339"/>
        <item x="892"/>
        <item x="1095"/>
        <item x="967"/>
        <item x="502"/>
        <item x="925"/>
        <item x="340"/>
        <item x="799"/>
        <item x="341"/>
        <item x="870"/>
        <item x="342"/>
        <item x="343"/>
        <item x="1182"/>
        <item x="871"/>
        <item x="141"/>
        <item x="977"/>
        <item x="344"/>
        <item x="345"/>
        <item x="346"/>
        <item x="888"/>
        <item x="968"/>
        <item x="347"/>
        <item x="837"/>
        <item x="1154"/>
        <item x="503"/>
        <item x="838"/>
        <item x="88"/>
        <item x="691"/>
        <item x="692"/>
        <item x="348"/>
        <item x="900"/>
        <item x="885"/>
        <item x="504"/>
        <item x="349"/>
        <item x="536"/>
        <item x="537"/>
        <item x="693"/>
        <item x="350"/>
        <item x="351"/>
        <item x="872"/>
        <item x="943"/>
        <item x="505"/>
        <item x="506"/>
        <item x="507"/>
        <item x="508"/>
        <item x="637"/>
        <item x="638"/>
        <item x="639"/>
        <item x="640"/>
        <item x="641"/>
        <item x="642"/>
        <item x="643"/>
        <item x="644"/>
        <item x="1068"/>
        <item x="1069"/>
        <item x="1028"/>
        <item x="352"/>
        <item x="509"/>
        <item x="353"/>
        <item x="354"/>
        <item x="355"/>
        <item x="800"/>
        <item x="356"/>
        <item x="549"/>
        <item x="1118"/>
        <item x="883"/>
        <item x="801"/>
        <item x="739"/>
        <item x="357"/>
        <item x="358"/>
        <item x="704"/>
        <item x="802"/>
        <item x="803"/>
        <item x="804"/>
        <item x="359"/>
        <item x="360"/>
        <item x="361"/>
        <item x="924"/>
        <item x="805"/>
        <item x="1029"/>
        <item x="362"/>
        <item x="363"/>
        <item x="806"/>
        <item x="364"/>
        <item x="944"/>
        <item x="365"/>
        <item x="366"/>
        <item x="619"/>
        <item x="588"/>
        <item x="904"/>
        <item x="1152"/>
        <item x="945"/>
        <item x="1030"/>
        <item x="1002"/>
        <item x="367"/>
        <item x="368"/>
        <item x="873"/>
        <item x="620"/>
        <item x="621"/>
        <item x="645"/>
        <item x="369"/>
        <item x="675"/>
        <item x="727"/>
        <item x="370"/>
        <item x="1062"/>
        <item x="371"/>
        <item x="21"/>
        <item x="372"/>
        <item x="1047"/>
        <item x="705"/>
        <item x="46"/>
        <item x="706"/>
        <item x="656"/>
        <item x="373"/>
        <item x="707"/>
        <item x="1079"/>
        <item x="374"/>
        <item x="375"/>
        <item x="1048"/>
        <item x="874"/>
        <item x="510"/>
        <item x="376"/>
        <item x="1031"/>
        <item x="589"/>
        <item x="590"/>
        <item x="591"/>
        <item x="592"/>
        <item x="875"/>
        <item x="839"/>
        <item x="946"/>
        <item x="377"/>
        <item x="1043"/>
        <item x="593"/>
        <item x="594"/>
        <item x="378"/>
        <item x="905"/>
        <item x="379"/>
        <item x="886"/>
        <item x="694"/>
        <item x="708"/>
        <item x="380"/>
        <item x="511"/>
        <item x="876"/>
        <item x="381"/>
        <item x="512"/>
        <item x="382"/>
        <item x="728"/>
        <item x="383"/>
        <item x="1163"/>
        <item x="595"/>
        <item x="384"/>
        <item x="807"/>
        <item x="385"/>
        <item x="840"/>
        <item x="906"/>
        <item x="740"/>
        <item x="808"/>
        <item x="34"/>
        <item x="1096"/>
        <item x="596"/>
        <item x="1032"/>
        <item x="809"/>
        <item x="810"/>
        <item x="926"/>
        <item x="741"/>
        <item x="811"/>
        <item x="812"/>
        <item x="1003"/>
        <item x="813"/>
        <item x="386"/>
        <item x="387"/>
        <item x="388"/>
        <item x="1097"/>
        <item x="97"/>
        <item x="513"/>
        <item x="1098"/>
        <item x="389"/>
        <item x="98"/>
        <item x="22"/>
        <item x="390"/>
        <item x="597"/>
        <item x="598"/>
        <item x="599"/>
        <item x="600"/>
        <item x="601"/>
        <item x="814"/>
        <item x="1011"/>
        <item x="709"/>
        <item x="514"/>
        <item x="1119"/>
        <item x="391"/>
        <item x="392"/>
        <item x="538"/>
        <item x="35"/>
        <item x="393"/>
        <item x="815"/>
        <item x="515"/>
        <item x="516"/>
        <item x="99"/>
        <item x="517"/>
        <item x="1065"/>
        <item x="394"/>
        <item x="1004"/>
        <item x="1033"/>
        <item x="395"/>
        <item x="396"/>
        <item x="927"/>
        <item x="397"/>
        <item x="969"/>
        <item x="398"/>
        <item x="399"/>
        <item x="539"/>
        <item x="518"/>
        <item x="540"/>
        <item x="47"/>
        <item x="48"/>
        <item x="49"/>
        <item x="50"/>
        <item x="602"/>
        <item x="646"/>
        <item x="1170"/>
        <item x="1005"/>
        <item x="519"/>
        <item x="36"/>
        <item x="1080"/>
        <item x="520"/>
        <item x="37"/>
        <item x="970"/>
        <item x="877"/>
        <item x="676"/>
        <item x="1183"/>
        <item x="845"/>
        <item x="816"/>
        <item x="400"/>
        <item x="603"/>
        <item x="817"/>
        <item x="401"/>
        <item x="100"/>
        <item x="101"/>
        <item x="402"/>
        <item x="403"/>
        <item x="404"/>
        <item x="841"/>
        <item x="1099"/>
        <item x="1173"/>
        <item x="405"/>
        <item x="102"/>
        <item x="1049"/>
        <item x="1070"/>
        <item x="842"/>
        <item x="1081"/>
        <item x="406"/>
        <item x="407"/>
        <item x="878"/>
        <item x="550"/>
        <item x="622"/>
        <item x="604"/>
        <item x="1006"/>
        <item x="1034"/>
        <item x="947"/>
        <item x="1039"/>
        <item x="408"/>
        <item x="409"/>
        <item x="23"/>
        <item x="410"/>
        <item x="971"/>
        <item x="972"/>
        <item x="973"/>
        <item x="541"/>
        <item x="521"/>
        <item x="605"/>
        <item x="974"/>
        <item x="975"/>
        <item x="1035"/>
        <item x="818"/>
        <item x="412"/>
        <item x="411"/>
        <item x="819"/>
        <item x="51"/>
        <item x="522"/>
        <item x="820"/>
        <item x="821"/>
        <item x="38"/>
        <item x="413"/>
        <item x="414"/>
        <item x="415"/>
        <item x="1139"/>
        <item x="416"/>
        <item x="417"/>
        <item x="1040"/>
        <item x="884"/>
        <item x="606"/>
        <item x="607"/>
        <item x="418"/>
        <item x="879"/>
        <item x="419"/>
        <item x="523"/>
        <item x="608"/>
        <item x="1053"/>
        <item x="609"/>
        <item x="1041"/>
        <item x="695"/>
        <item x="420"/>
        <item x="897"/>
        <item x="822"/>
        <item x="421"/>
        <item x="948"/>
        <item x="422"/>
        <item x="423"/>
        <item x="901"/>
        <item x="424"/>
        <item x="647"/>
        <item x="648"/>
        <item x="425"/>
        <item x="426"/>
        <item x="427"/>
        <item x="823"/>
        <item x="428"/>
        <item x="1100"/>
        <item x="942"/>
        <item x="907"/>
        <item x="429"/>
        <item x="430"/>
        <item x="1082"/>
        <item x="710"/>
        <item x="1083"/>
        <item x="431"/>
        <item x="949"/>
        <item x="1084"/>
        <item x="1101"/>
        <item x="432"/>
        <item x="1120"/>
        <item x="843"/>
        <item x="711"/>
        <item x="433"/>
        <item x="103"/>
        <item x="649"/>
        <item x="434"/>
        <item x="976"/>
        <item x="443"/>
        <item x="435"/>
        <item x="825"/>
        <item x="1102"/>
        <item x="826"/>
        <item x="104"/>
        <item x="436"/>
        <item x="1121"/>
        <item x="524"/>
        <item x="1155"/>
        <item x="525"/>
        <item x="526"/>
        <item x="844"/>
        <item x="437"/>
        <item x="438"/>
        <item x="439"/>
        <item x="52"/>
        <item x="440"/>
        <item x="441"/>
        <item x="39"/>
        <item x="8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location" axis="axisRow" compact="0" outline="0" multipleItemSelectionAllowed="1" showAll="0" sortType="ascending" defaultSubtotal="0">
      <items>
        <item h="1" x="158"/>
        <item h="1" x="98"/>
        <item h="1" x="2"/>
        <item h="1" x="3"/>
        <item h="1" x="100"/>
        <item h="1" x="56"/>
        <item h="1" x="157"/>
        <item h="1" x="35"/>
        <item h="1" x="143"/>
        <item h="1" x="55"/>
        <item h="1" x="87"/>
        <item h="1" x="128"/>
        <item h="1" x="44"/>
        <item h="1" x="53"/>
        <item h="1" x="152"/>
        <item h="1" x="150"/>
        <item h="1" x="18"/>
        <item h="1" x="96"/>
        <item h="1" x="72"/>
        <item h="1" x="164"/>
        <item h="1" x="155"/>
        <item h="1" x="21"/>
        <item h="1" x="6"/>
        <item h="1" x="5"/>
        <item h="1" x="7"/>
        <item h="1" x="93"/>
        <item h="1" x="26"/>
        <item h="1" x="135"/>
        <item h="1" x="47"/>
        <item h="1" x="162"/>
        <item h="1" x="151"/>
        <item h="1" x="160"/>
        <item h="1" x="9"/>
        <item h="1" x="25"/>
        <item h="1" x="81"/>
        <item h="1" x="149"/>
        <item h="1" x="134"/>
        <item h="1" x="82"/>
        <item h="1" x="61"/>
        <item h="1" x="140"/>
        <item h="1" x="68"/>
        <item h="1" x="48"/>
        <item h="1" x="97"/>
        <item h="1" x="23"/>
        <item h="1" x="99"/>
        <item h="1" x="24"/>
        <item h="1" x="119"/>
        <item h="1" x="121"/>
        <item h="1" x="146"/>
        <item h="1" x="32"/>
        <item h="1" x="126"/>
        <item h="1" x="103"/>
        <item h="1" x="125"/>
        <item h="1" x="129"/>
        <item h="1" x="105"/>
        <item h="1" x="120"/>
        <item h="1" x="113"/>
        <item h="1" x="107"/>
        <item h="1" x="136"/>
        <item h="1" x="138"/>
        <item h="1" x="132"/>
        <item h="1" x="104"/>
        <item h="1" x="131"/>
        <item h="1" x="133"/>
        <item h="1" x="111"/>
        <item h="1" x="123"/>
        <item h="1" x="108"/>
        <item h="1" x="109"/>
        <item h="1" x="110"/>
        <item h="1" x="117"/>
        <item h="1" x="64"/>
        <item h="1" x="67"/>
        <item h="1" x="114"/>
        <item h="1" x="27"/>
        <item h="1" x="34"/>
        <item h="1" x="77"/>
        <item h="1" x="118"/>
        <item h="1" x="137"/>
        <item h="1" x="127"/>
        <item h="1" x="159"/>
        <item h="1" x="165"/>
        <item x="45"/>
        <item h="1" x="38"/>
        <item h="1" x="36"/>
        <item x="29"/>
        <item x="63"/>
        <item x="51"/>
        <item x="50"/>
        <item x="60"/>
        <item h="1" x="106"/>
        <item h="1" x="112"/>
        <item h="1" x="88"/>
        <item h="1" x="147"/>
        <item h="1" x="76"/>
        <item h="1" x="80"/>
        <item h="1" x="124"/>
        <item h="1" x="163"/>
        <item h="1" x="85"/>
        <item h="1" x="86"/>
        <item h="1" x="11"/>
        <item h="1" x="20"/>
        <item h="1" x="89"/>
        <item h="1" x="28"/>
        <item h="1" x="10"/>
        <item h="1" x="101"/>
        <item h="1" x="90"/>
        <item h="1" x="141"/>
        <item h="1" x="130"/>
        <item h="1" x="71"/>
        <item h="1" x="122"/>
        <item h="1" x="161"/>
        <item h="1" x="139"/>
        <item h="1" x="39"/>
        <item h="1" x="79"/>
        <item h="1" x="14"/>
        <item h="1" x="16"/>
        <item h="1" x="43"/>
        <item h="1" x="30"/>
        <item h="1" x="74"/>
        <item h="1" x="49"/>
        <item h="1" x="46"/>
        <item h="1" x="156"/>
        <item h="1" x="154"/>
        <item h="1" x="83"/>
        <item h="1" x="91"/>
        <item h="1" x="58"/>
        <item h="1" x="59"/>
        <item h="1" x="148"/>
        <item h="1" x="22"/>
        <item h="1" x="142"/>
        <item h="1" x="8"/>
        <item h="1" x="95"/>
        <item h="1" x="41"/>
        <item h="1" x="65"/>
        <item h="1" x="40"/>
        <item h="1" x="52"/>
        <item h="1" x="42"/>
        <item h="1" x="66"/>
        <item h="1" x="62"/>
        <item h="1" x="69"/>
        <item h="1" x="33"/>
        <item h="1" x="57"/>
        <item h="1" x="37"/>
        <item h="1" x="70"/>
        <item h="1" x="54"/>
        <item h="1" x="73"/>
        <item h="1" x="102"/>
        <item h="1" x="12"/>
        <item h="1" x="17"/>
        <item h="1" x="0"/>
        <item h="1" x="145"/>
        <item h="1" x="1"/>
        <item h="1" x="78"/>
        <item h="1" x="4"/>
        <item h="1" x="115"/>
        <item h="1" x="15"/>
        <item h="1" x="144"/>
        <item h="1" x="75"/>
        <item h="1" x="92"/>
        <item h="1" x="84"/>
        <item h="1" x="153"/>
        <item h="1" x="13"/>
        <item h="1" x="19"/>
        <item h="1" x="94"/>
        <item h="1" x="116"/>
        <item h="1" x="31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</pivotFields>
  <rowFields>
    <field x="8"/>
    <field x="1"/>
  </rowFields>
</pivotTableDefinition>
</file>

<file path=xl/pivotTables/pivotTable2.xml><?xml version="1.0" encoding="utf-8"?>
<pivotTableDefinition xmlns="http://schemas.openxmlformats.org/spreadsheetml/2006/main" name="age" cacheId="1" dataCaption="" compact="0" compactData="0">
  <location ref="I1:U8" firstHeaderRow="0" firstDataRow="1" firstDataCol="1"/>
  <pivotFields>
    <pivotField name="citizenGroup" axis="axisCol" compact="0" outline="0" multipleItemSelectionAllowed="1" showAll="0" sortType="ascending">
      <items>
        <item x="10"/>
        <item x="0"/>
        <item x="4"/>
        <item x="3"/>
        <item x="2"/>
        <item x="1"/>
        <item x="7"/>
        <item x="9"/>
        <item x="5"/>
        <item x="8"/>
        <item x="6"/>
        <item t="default"/>
      </items>
    </pivotField>
    <pivotField name="age_group" axis="axisRow" dataField="1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</pivotFields>
  <rowFields>
    <field x="1"/>
  </rowFields>
  <colFields>
    <field x="0"/>
  </colFields>
  <dataFields>
    <dataField name="COUNTA of age_group" fld="1" subtotal="count" baseField="0"/>
  </dataFields>
</pivotTableDefinition>
</file>

<file path=xl/pivotTables/pivotTable3.xml><?xml version="1.0" encoding="utf-8"?>
<pivotTableDefinition xmlns="http://schemas.openxmlformats.org/spreadsheetml/2006/main" name="age 2" cacheId="2" dataCaption="" compact="0" compactData="0">
  <location ref="J35:U47" firstHeaderRow="0" firstDataRow="1" firstDataCol="1"/>
  <pivotFields>
    <pivotField name="קטגוריה" axis="axisCol" dataField="1" compact="0" outline="0" multipleItemSelectionAllowed="1" showAll="0" sortType="ascending">
      <items>
        <item x="10"/>
        <item x="0"/>
        <item x="3"/>
        <item x="8"/>
        <item x="7"/>
        <item x="4"/>
        <item x="2"/>
        <item x="9"/>
        <item x="1"/>
        <item x="6"/>
        <item x="5"/>
        <item t="default"/>
      </items>
    </pivotField>
    <pivotField name="עשור" axis="axisRow" compact="0" outline="0" multipleItemSelectionAllowed="1" showAll="0" sortType="ascending">
      <items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1"/>
  </rowFields>
  <colFields>
    <field x="0"/>
  </colFields>
  <dataFields>
    <dataField name="COUNTA of קטגוריה" fld="0" subtotal="count" baseField="0"/>
  </dataFields>
</pivotTableDefinition>
</file>

<file path=xl/pivotTables/pivotTable4.xml><?xml version="1.0" encoding="utf-8"?>
<pivotTableDefinition xmlns="http://schemas.openxmlformats.org/spreadsheetml/2006/main" name="age 3" cacheId="3" dataCaption="" compact="0" compactData="0">
  <location ref="K61:L106" firstHeaderRow="0" firstDataRow="1" firstDataCol="0" rowPageCount="1" colPageCount="1"/>
  <pivotFields>
    <pivotField name="pid" axis="axisRow" compact="0" outline="0" multipleItemSelectionAllowed="1" showAll="0" sortType="ascending">
      <items>
        <item x="1202"/>
        <item x="662"/>
        <item x="665"/>
        <item x="671"/>
        <item x="663"/>
        <item x="667"/>
        <item x="664"/>
        <item x="666"/>
        <item x="669"/>
        <item x="670"/>
        <item x="668"/>
        <item x="1160"/>
        <item x="946"/>
        <item x="1070"/>
        <item x="1069"/>
        <item x="387"/>
        <item x="980"/>
        <item x="502"/>
        <item x="450"/>
        <item x="979"/>
        <item x="474"/>
        <item x="459"/>
        <item x="458"/>
        <item x="457"/>
        <item x="460"/>
        <item x="463"/>
        <item x="462"/>
        <item x="464"/>
        <item x="465"/>
        <item x="461"/>
        <item x="452"/>
        <item x="456"/>
        <item x="455"/>
        <item x="453"/>
        <item x="454"/>
        <item x="754"/>
        <item x="983"/>
        <item x="451"/>
        <item x="527"/>
        <item x="498"/>
        <item x="519"/>
        <item x="1005"/>
        <item x="489"/>
        <item x="490"/>
        <item x="488"/>
        <item x="513"/>
        <item x="470"/>
        <item x="492"/>
        <item x="444"/>
        <item x="445"/>
        <item x="446"/>
        <item x="447"/>
        <item x="510"/>
        <item x="511"/>
        <item x="1196"/>
        <item x="469"/>
        <item x="990"/>
        <item x="466"/>
        <item x="467"/>
        <item x="987"/>
        <item x="993"/>
        <item x="472"/>
        <item x="473"/>
        <item x="471"/>
        <item x="475"/>
        <item x="476"/>
        <item x="584"/>
        <item x="486"/>
        <item x="517"/>
        <item x="518"/>
        <item x="491"/>
        <item x="514"/>
        <item x="516"/>
        <item x="515"/>
        <item x="1006"/>
        <item x="1115"/>
        <item x="493"/>
        <item x="1199"/>
        <item x="494"/>
        <item x="495"/>
        <item x="500"/>
        <item x="496"/>
        <item x="497"/>
        <item x="1002"/>
        <item x="501"/>
        <item x="981"/>
        <item x="448"/>
        <item x="522"/>
        <item x="521"/>
        <item x="1100"/>
        <item x="1007"/>
        <item x="525"/>
        <item x="526"/>
        <item x="524"/>
        <item x="1156"/>
        <item x="435"/>
        <item x="419"/>
        <item x="523"/>
        <item x="505"/>
        <item x="507"/>
        <item x="506"/>
        <item x="504"/>
        <item x="1155"/>
        <item x="509"/>
        <item x="503"/>
        <item x="994"/>
        <item x="916"/>
        <item x="487"/>
        <item x="449"/>
        <item x="1008"/>
        <item x="51"/>
        <item x="528"/>
        <item x="529"/>
        <item x="53"/>
        <item x="485"/>
        <item x="520"/>
        <item x="992"/>
        <item x="1000"/>
        <item x="1001"/>
        <item x="585"/>
        <item x="999"/>
        <item x="482"/>
        <item x="483"/>
        <item x="478"/>
        <item x="1110"/>
        <item x="477"/>
        <item x="479"/>
        <item x="995"/>
        <item x="1004"/>
        <item x="480"/>
        <item x="1107"/>
        <item x="1122"/>
        <item x="658"/>
        <item x="659"/>
        <item x="661"/>
        <item x="1067"/>
        <item x="978"/>
        <item x="1087"/>
        <item x="925"/>
        <item x="924"/>
        <item x="909"/>
        <item x="905"/>
        <item x="831"/>
        <item x="984"/>
        <item x="985"/>
        <item x="751"/>
        <item x="854"/>
        <item x="1045"/>
        <item x="996"/>
        <item x="903"/>
        <item x="881"/>
        <item x="743"/>
        <item x="998"/>
        <item x="746"/>
        <item x="1032"/>
        <item x="764"/>
        <item x="781"/>
        <item x="769"/>
        <item x="914"/>
        <item x="767"/>
        <item x="986"/>
        <item x="930"/>
        <item x="936"/>
        <item x="777"/>
        <item x="786"/>
        <item x="904"/>
        <item x="919"/>
        <item x="942"/>
        <item x="943"/>
        <item x="1096"/>
        <item x="1080"/>
        <item x="827"/>
        <item x="1102"/>
        <item x="949"/>
        <item x="812"/>
        <item x="810"/>
        <item x="774"/>
        <item x="864"/>
        <item x="938"/>
        <item x="783"/>
        <item x="813"/>
        <item x="775"/>
        <item x="829"/>
        <item x="927"/>
        <item x="954"/>
        <item x="747"/>
        <item x="929"/>
        <item x="797"/>
        <item x="766"/>
        <item x="1014"/>
        <item x="1139"/>
        <item x="793"/>
        <item x="1050"/>
        <item x="915"/>
        <item x="1009"/>
        <item x="532"/>
        <item x="533"/>
        <item x="540"/>
        <item x="539"/>
        <item x="1011"/>
        <item x="538"/>
        <item x="1012"/>
        <item x="534"/>
        <item x="535"/>
        <item x="542"/>
        <item x="541"/>
        <item x="536"/>
        <item x="537"/>
        <item x="1040"/>
        <item x="1042"/>
        <item x="1041"/>
        <item x="823"/>
        <item x="1039"/>
        <item x="559"/>
        <item x="560"/>
        <item x="1031"/>
        <item x="1016"/>
        <item x="1020"/>
        <item x="571"/>
        <item x="572"/>
        <item x="1018"/>
        <item x="1025"/>
        <item x="577"/>
        <item x="1017"/>
        <item x="565"/>
        <item x="568"/>
        <item x="594"/>
        <item x="573"/>
        <item x="574"/>
        <item x="1092"/>
        <item x="1113"/>
        <item x="1022"/>
        <item x="583"/>
        <item x="484"/>
        <item x="588"/>
        <item x="587"/>
        <item x="563"/>
        <item x="564"/>
        <item x="1034"/>
        <item x="602"/>
        <item x="597"/>
        <item x="600"/>
        <item x="601"/>
        <item x="599"/>
        <item x="598"/>
        <item x="586"/>
        <item x="1026"/>
        <item x="1027"/>
        <item x="1028"/>
        <item x="591"/>
        <item x="590"/>
        <item x="592"/>
        <item x="589"/>
        <item x="1036"/>
        <item x="603"/>
        <item x="605"/>
        <item x="1035"/>
        <item x="608"/>
        <item x="609"/>
        <item x="1029"/>
        <item x="562"/>
        <item x="569"/>
        <item x="607"/>
        <item x="606"/>
        <item x="561"/>
        <item x="604"/>
        <item x="566"/>
        <item x="580"/>
        <item x="579"/>
        <item x="578"/>
        <item x="1023"/>
        <item x="596"/>
        <item x="582"/>
        <item x="581"/>
        <item x="833"/>
        <item x="543"/>
        <item x="1127"/>
        <item x="547"/>
        <item x="550"/>
        <item x="839"/>
        <item x="549"/>
        <item x="811"/>
        <item x="136"/>
        <item x="838"/>
        <item x="544"/>
        <item x="545"/>
        <item x="546"/>
        <item x="1015"/>
        <item x="840"/>
        <item x="841"/>
        <item x="1044"/>
        <item x="1043"/>
        <item x="759"/>
        <item x="1182"/>
        <item x="796"/>
        <item x="621"/>
        <item x="620"/>
        <item x="748"/>
        <item x="612"/>
        <item x="611"/>
        <item x="1049"/>
        <item x="875"/>
        <item x="859"/>
        <item x="815"/>
        <item x="618"/>
        <item x="876"/>
        <item x="887"/>
        <item x="1048"/>
        <item x="622"/>
        <item x="1163"/>
        <item x="918"/>
        <item x="619"/>
        <item x="615"/>
        <item x="616"/>
        <item x="613"/>
        <item x="614"/>
        <item x="847"/>
        <item x="874"/>
        <item x="853"/>
        <item x="851"/>
        <item x="760"/>
        <item x="913"/>
        <item x="762"/>
        <item x="755"/>
        <item x="757"/>
        <item x="756"/>
        <item x="865"/>
        <item x="848"/>
        <item x="857"/>
        <item x="749"/>
        <item x="866"/>
        <item x="867"/>
        <item x="868"/>
        <item x="744"/>
        <item x="790"/>
        <item x="788"/>
        <item x="1118"/>
        <item x="832"/>
        <item x="792"/>
        <item x="1133"/>
        <item x="872"/>
        <item x="768"/>
        <item x="877"/>
        <item x="816"/>
        <item x="818"/>
        <item x="822"/>
        <item x="821"/>
        <item x="819"/>
        <item x="880"/>
        <item x="873"/>
        <item x="779"/>
        <item x="49"/>
        <item x="47"/>
        <item x="50"/>
        <item x="48"/>
        <item x="80"/>
        <item x="79"/>
        <item x="81"/>
        <item x="78"/>
        <item x="894"/>
        <item x="82"/>
        <item x="37"/>
        <item x="294"/>
        <item x="917"/>
        <item x="86"/>
        <item x="87"/>
        <item x="88"/>
        <item x="898"/>
        <item x="899"/>
        <item x="39"/>
        <item x="722"/>
        <item x="42"/>
        <item x="897"/>
        <item x="896"/>
        <item x="83"/>
        <item x="84"/>
        <item x="85"/>
        <item x="1056"/>
        <item x="1057"/>
        <item x="1138"/>
        <item x="1106"/>
        <item x="1055"/>
        <item x="624"/>
        <item x="625"/>
        <item x="1188"/>
        <item x="629"/>
        <item x="628"/>
        <item x="1193"/>
        <item x="1186"/>
        <item x="652"/>
        <item x="1117"/>
        <item x="645"/>
        <item x="1137"/>
        <item x="626"/>
        <item x="1109"/>
        <item x="617"/>
        <item x="632"/>
        <item x="646"/>
        <item x="1171"/>
        <item x="1190"/>
        <item x="499"/>
        <item x="1195"/>
        <item x="634"/>
        <item x="1183"/>
        <item x="1189"/>
        <item x="635"/>
        <item x="649"/>
        <item x="647"/>
        <item x="648"/>
        <item x="636"/>
        <item x="637"/>
        <item x="638"/>
        <item x="639"/>
        <item x="643"/>
        <item x="641"/>
        <item x="644"/>
        <item x="642"/>
        <item x="640"/>
        <item x="631"/>
        <item x="630"/>
        <item x="633"/>
        <item x="627"/>
        <item x="650"/>
        <item x="1136"/>
        <item x="1161"/>
        <item x="939"/>
        <item x="1112"/>
        <item x="1052"/>
        <item x="1051"/>
        <item x="43"/>
        <item x="1053"/>
        <item x="1174"/>
        <item x="1054"/>
        <item x="1060"/>
        <item x="653"/>
        <item x="655"/>
        <item x="654"/>
        <item x="1187"/>
        <item x="656"/>
        <item x="770"/>
        <item x="360"/>
        <item x="361"/>
        <item x="110"/>
        <item x="119"/>
        <item x="120"/>
        <item x="367"/>
        <item x="143"/>
        <item x="331"/>
        <item x="152"/>
        <item x="151"/>
        <item x="153"/>
        <item x="147"/>
        <item x="155"/>
        <item x="145"/>
        <item x="146"/>
        <item x="129"/>
        <item x="133"/>
        <item x="364"/>
        <item x="127"/>
        <item x="126"/>
        <item x="174"/>
        <item x="188"/>
        <item x="189"/>
        <item x="190"/>
        <item x="201"/>
        <item x="193"/>
        <item x="196"/>
        <item x="195"/>
        <item x="170"/>
        <item x="184"/>
        <item x="177"/>
        <item x="181"/>
        <item x="186"/>
        <item x="183"/>
        <item x="91"/>
        <item x="274"/>
        <item x="199"/>
        <item x="172"/>
        <item x="166"/>
        <item x="169"/>
        <item x="161"/>
        <item x="721"/>
        <item x="157"/>
        <item x="1180"/>
        <item x="160"/>
        <item x="269"/>
        <item x="270"/>
        <item x="1130"/>
        <item x="290"/>
        <item x="227"/>
        <item x="237"/>
        <item x="238"/>
        <item x="1201"/>
        <item x="239"/>
        <item x="228"/>
        <item x="230"/>
        <item x="232"/>
        <item x="233"/>
        <item x="313"/>
        <item x="130"/>
        <item x="106"/>
        <item x="362"/>
        <item x="951"/>
        <item x="131"/>
        <item x="132"/>
        <item x="150"/>
        <item x="952"/>
        <item x="137"/>
        <item x="977"/>
        <item x="140"/>
        <item x="953"/>
        <item x="144"/>
        <item x="376"/>
        <item x="373"/>
        <item x="382"/>
        <item x="204"/>
        <item x="219"/>
        <item x="221"/>
        <item x="220"/>
        <item x="202"/>
        <item x="216"/>
        <item x="217"/>
        <item x="206"/>
        <item x="207"/>
        <item x="208"/>
        <item x="213"/>
        <item x="214"/>
        <item x="205"/>
        <item x="1132"/>
        <item x="267"/>
        <item x="241"/>
        <item x="272"/>
        <item x="1198"/>
        <item x="959"/>
        <item x="1104"/>
        <item x="134"/>
        <item x="286"/>
        <item x="404"/>
        <item x="257"/>
        <item x="399"/>
        <item x="393"/>
        <item x="397"/>
        <item x="389"/>
        <item x="390"/>
        <item x="297"/>
        <item x="314"/>
        <item x="307"/>
        <item x="298"/>
        <item x="299"/>
        <item x="301"/>
        <item x="302"/>
        <item x="303"/>
        <item x="304"/>
        <item x="1173"/>
        <item x="312"/>
        <item x="310"/>
        <item x="1116"/>
        <item x="317"/>
        <item x="325"/>
        <item x="327"/>
        <item x="328"/>
        <item x="329"/>
        <item x="330"/>
        <item x="370"/>
        <item x="548"/>
        <item x="345"/>
        <item x="344"/>
        <item x="340"/>
        <item x="343"/>
        <item x="342"/>
        <item x="122"/>
        <item x="121"/>
        <item x="124"/>
        <item x="123"/>
        <item x="380"/>
        <item x="369"/>
        <item x="383"/>
        <item x="384"/>
        <item x="385"/>
        <item x="375"/>
        <item x="377"/>
        <item x="372"/>
        <item x="410"/>
        <item x="408"/>
        <item x="976"/>
        <item x="400"/>
        <item x="412"/>
        <item x="402"/>
        <item x="401"/>
        <item x="309"/>
        <item x="975"/>
        <item x="403"/>
        <item x="406"/>
        <item x="407"/>
        <item x="405"/>
        <item x="356"/>
        <item x="355"/>
        <item x="359"/>
        <item x="969"/>
        <item x="423"/>
        <item x="418"/>
        <item x="415"/>
        <item x="262"/>
        <item x="421"/>
        <item x="425"/>
        <item x="320"/>
        <item x="426"/>
        <item x="413"/>
        <item x="434"/>
        <item x="422"/>
        <item x="429"/>
        <item x="431"/>
        <item x="420"/>
        <item x="428"/>
        <item x="430"/>
        <item x="436"/>
        <item x="414"/>
        <item x="417"/>
        <item x="433"/>
        <item x="351"/>
        <item x="347"/>
        <item x="348"/>
        <item x="277"/>
        <item x="287"/>
        <item x="276"/>
        <item x="441"/>
        <item x="963"/>
        <item x="1114"/>
        <item x="438"/>
        <item x="439"/>
        <item x="962"/>
        <item x="210"/>
        <item x="29"/>
        <item x="226"/>
        <item x="175"/>
        <item x="339"/>
        <item x="324"/>
        <item x="111"/>
        <item x="125"/>
        <item x="246"/>
        <item x="967"/>
        <item x="965"/>
        <item x="311"/>
        <item x="243"/>
        <item x="349"/>
        <item x="338"/>
        <item x="264"/>
        <item x="240"/>
        <item x="291"/>
        <item x="305"/>
        <item x="278"/>
        <item x="432"/>
        <item x="366"/>
        <item x="354"/>
        <item x="964"/>
        <item x="306"/>
        <item x="105"/>
        <item x="168"/>
        <item x="162"/>
        <item x="961"/>
        <item x="289"/>
        <item x="346"/>
        <item x="266"/>
        <item x="358"/>
        <item x="974"/>
        <item x="176"/>
        <item x="245"/>
        <item x="253"/>
        <item x="252"/>
        <item x="251"/>
        <item x="255"/>
        <item x="958"/>
        <item x="256"/>
        <item x="248"/>
        <item x="247"/>
        <item x="254"/>
        <item x="285"/>
        <item x="282"/>
        <item x="336"/>
        <item x="280"/>
        <item x="265"/>
        <item x="1111"/>
        <item x="260"/>
        <item x="357"/>
        <item x="933"/>
        <item x="3"/>
        <item x="1074"/>
        <item x="2"/>
        <item x="734"/>
        <item x="740"/>
        <item x="991"/>
        <item x="907"/>
        <item x="700"/>
        <item x="735"/>
        <item x="736"/>
        <item x="14"/>
        <item x="10"/>
        <item x="732"/>
        <item x="5"/>
        <item x="738"/>
        <item x="730"/>
        <item x="731"/>
        <item x="23"/>
        <item x="739"/>
        <item x="824"/>
        <item x="710"/>
        <item x="966"/>
        <item x="11"/>
        <item x="703"/>
        <item x="19"/>
        <item x="20"/>
        <item x="4"/>
        <item x="16"/>
        <item x="15"/>
        <item x="701"/>
        <item x="752"/>
        <item x="900"/>
        <item x="902"/>
        <item x="901"/>
        <item x="90"/>
        <item x="95"/>
        <item x="1068"/>
        <item x="89"/>
        <item x="92"/>
        <item x="97"/>
        <item x="98"/>
        <item x="96"/>
        <item x="94"/>
        <item x="101"/>
        <item x="100"/>
        <item x="102"/>
        <item x="99"/>
        <item x="103"/>
        <item x="104"/>
        <item x="93"/>
        <item x="1077"/>
        <item x="1075"/>
        <item x="676"/>
        <item x="970"/>
        <item x="675"/>
        <item x="673"/>
        <item x="674"/>
        <item x="1081"/>
        <item x="1078"/>
        <item x="1072"/>
        <item x="1085"/>
        <item x="950"/>
        <item x="396"/>
        <item x="940"/>
        <item x="945"/>
        <item x="1090"/>
        <item x="1071"/>
        <item x="185"/>
        <item x="1088"/>
        <item x="1089"/>
        <item x="785"/>
        <item x="997"/>
        <item x="878"/>
        <item x="398"/>
        <item x="1099"/>
        <item x="1101"/>
        <item x="944"/>
        <item x="804"/>
        <item x="684"/>
        <item x="692"/>
        <item x="691"/>
        <item x="679"/>
        <item x="702"/>
        <item x="704"/>
        <item x="699"/>
        <item x="709"/>
        <item x="678"/>
        <item x="687"/>
        <item x="681"/>
        <item x="685"/>
        <item x="682"/>
        <item x="689"/>
        <item x="686"/>
        <item x="657"/>
        <item x="1064"/>
        <item x="1013"/>
        <item x="988"/>
        <item x="787"/>
        <item x="883"/>
        <item x="863"/>
        <item x="729"/>
        <item x="1073"/>
        <item x="941"/>
        <item x="773"/>
        <item x="742"/>
        <item x="1129"/>
        <item x="971"/>
        <item x="1098"/>
        <item x="1063"/>
        <item x="888"/>
        <item x="889"/>
        <item x="890"/>
        <item x="891"/>
        <item x="28"/>
        <item x="30"/>
        <item x="35"/>
        <item x="26"/>
        <item x="31"/>
        <item x="723"/>
        <item x="910"/>
        <item x="912"/>
        <item x="911"/>
        <item x="928"/>
        <item x="920"/>
        <item x="922"/>
        <item x="921"/>
        <item x="923"/>
        <item x="926"/>
        <item x="1131"/>
        <item x="761"/>
        <item x="750"/>
        <item x="947"/>
        <item x="1135"/>
        <item x="825"/>
        <item x="791"/>
        <item x="931"/>
        <item x="799"/>
        <item x="1095"/>
        <item x="800"/>
        <item x="843"/>
        <item x="1082"/>
        <item x="845"/>
        <item x="802"/>
        <item x="885"/>
        <item x="1084"/>
        <item x="908"/>
        <item x="886"/>
        <item x="836"/>
        <item x="782"/>
        <item x="388"/>
        <item x="820"/>
        <item x="234"/>
        <item x="394"/>
        <item x="300"/>
        <item x="275"/>
        <item x="192"/>
        <item x="115"/>
        <item x="371"/>
        <item x="780"/>
        <item x="363"/>
        <item x="852"/>
        <item x="224"/>
        <item x="1172"/>
        <item x="374"/>
        <item x="1119"/>
        <item x="1121"/>
        <item x="508"/>
        <item x="437"/>
        <item x="1128"/>
        <item x="1185"/>
        <item x="1197"/>
        <item x="1165"/>
        <item x="171"/>
        <item x="1194"/>
        <item x="753"/>
        <item x="935"/>
        <item x="335"/>
        <item x="244"/>
        <item x="24"/>
        <item x="25"/>
        <item x="713"/>
        <item x="75"/>
        <item x="1"/>
        <item x="892"/>
        <item x="567"/>
        <item x="893"/>
        <item x="468"/>
        <item x="443"/>
        <item x="1097"/>
        <item x="52"/>
        <item x="677"/>
        <item x="712"/>
        <item x="718"/>
        <item x="717"/>
        <item x="716"/>
        <item x="719"/>
        <item x="855"/>
        <item x="715"/>
        <item x="141"/>
        <item x="139"/>
        <item x="109"/>
        <item x="107"/>
        <item x="1086"/>
        <item x="714"/>
        <item x="318"/>
        <item x="163"/>
        <item x="194"/>
        <item x="215"/>
        <item x="223"/>
        <item x="118"/>
        <item x="862"/>
        <item x="651"/>
        <item x="55"/>
        <item x="64"/>
        <item x="65"/>
        <item x="68"/>
        <item x="623"/>
        <item x="57"/>
        <item x="71"/>
        <item x="70"/>
        <item x="63"/>
        <item x="551"/>
        <item x="555"/>
        <item x="558"/>
        <item x="60"/>
        <item x="557"/>
        <item x="66"/>
        <item x="61"/>
        <item x="59"/>
        <item x="69"/>
        <item x="67"/>
        <item x="553"/>
        <item x="554"/>
        <item x="556"/>
        <item x="62"/>
        <item x="40"/>
        <item x="113"/>
        <item x="197"/>
        <item x="283"/>
        <item x="242"/>
        <item x="960"/>
        <item x="263"/>
        <item x="284"/>
        <item x="203"/>
        <item x="395"/>
        <item x="381"/>
        <item x="416"/>
        <item x="108"/>
        <item x="149"/>
        <item x="937"/>
        <item x="165"/>
        <item x="164"/>
        <item x="803"/>
        <item x="112"/>
        <item x="1038"/>
        <item x="222"/>
        <item x="337"/>
        <item x="481"/>
        <item x="834"/>
        <item x="570"/>
        <item x="209"/>
        <item x="187"/>
        <item x="1083"/>
        <item x="575"/>
        <item x="576"/>
        <item x="73"/>
        <item x="1108"/>
        <item x="268"/>
        <item x="323"/>
        <item x="379"/>
        <item x="273"/>
        <item x="236"/>
        <item x="1200"/>
        <item x="1103"/>
        <item x="906"/>
        <item x="817"/>
        <item x="33"/>
        <item x="32"/>
        <item x="957"/>
        <item x="680"/>
        <item x="117"/>
        <item x="341"/>
        <item x="1019"/>
        <item x="595"/>
        <item x="683"/>
        <item x="871"/>
        <item x="332"/>
        <item x="968"/>
        <item x="148"/>
        <item x="512"/>
        <item x="424"/>
        <item x="292"/>
        <item x="158"/>
        <item x="258"/>
        <item x="17"/>
        <item x="18"/>
        <item x="695"/>
        <item x="116"/>
        <item x="694"/>
        <item x="36"/>
        <item x="249"/>
        <item x="856"/>
        <item x="826"/>
        <item x="850"/>
        <item x="772"/>
        <item x="159"/>
        <item x="7"/>
        <item x="8"/>
        <item x="326"/>
        <item x="212"/>
        <item x="156"/>
        <item x="308"/>
        <item x="319"/>
        <item x="250"/>
        <item x="1047"/>
        <item x="440"/>
        <item x="531"/>
        <item x="707"/>
        <item x="711"/>
        <item x="708"/>
        <item x="705"/>
        <item x="706"/>
        <item x="198"/>
        <item x="869"/>
        <item x="128"/>
        <item x="296"/>
        <item x="114"/>
        <item x="180"/>
        <item x="350"/>
        <item x="76"/>
        <item x="167"/>
        <item x="321"/>
        <item x="427"/>
        <item x="281"/>
        <item x="409"/>
        <item x="178"/>
        <item x="353"/>
        <item x="229"/>
        <item x="391"/>
        <item x="154"/>
        <item x="392"/>
        <item x="1046"/>
        <item x="809"/>
        <item x="727"/>
        <item x="725"/>
        <item x="726"/>
        <item x="870"/>
        <item x="849"/>
        <item x="982"/>
        <item x="225"/>
        <item x="334"/>
        <item x="231"/>
        <item x="200"/>
        <item x="1058"/>
        <item x="333"/>
        <item x="279"/>
        <item x="805"/>
        <item x="808"/>
        <item x="745"/>
        <item x="182"/>
        <item x="34"/>
        <item x="728"/>
        <item x="1010"/>
        <item x="798"/>
        <item x="74"/>
        <item x="72"/>
        <item x="1093"/>
        <item x="1091"/>
        <item x="720"/>
        <item x="218"/>
        <item x="956"/>
        <item x="386"/>
        <item x="1030"/>
        <item x="288"/>
        <item x="1065"/>
        <item x="135"/>
        <item x="368"/>
        <item x="989"/>
        <item x="784"/>
        <item x="948"/>
        <item x="807"/>
        <item x="776"/>
        <item x="173"/>
        <item x="828"/>
        <item x="932"/>
        <item x="1141"/>
        <item x="1021"/>
        <item x="1184"/>
        <item x="179"/>
        <item x="45"/>
        <item x="315"/>
        <item x="411"/>
        <item x="138"/>
        <item x="44"/>
        <item x="688"/>
        <item x="1164"/>
        <item x="1181"/>
        <item x="1120"/>
        <item x="737"/>
        <item x="858"/>
        <item x="879"/>
        <item x="693"/>
        <item x="13"/>
        <item x="814"/>
        <item x="660"/>
        <item x="1079"/>
        <item x="758"/>
        <item x="724"/>
        <item x="895"/>
        <item x="142"/>
        <item x="191"/>
        <item x="211"/>
        <item x="235"/>
        <item x="259"/>
        <item x="261"/>
        <item x="295"/>
        <item x="77"/>
        <item x="316"/>
        <item x="322"/>
        <item x="365"/>
        <item x="46"/>
        <item x="378"/>
        <item x="1094"/>
        <item x="733"/>
        <item x="861"/>
        <item x="860"/>
        <item x="973"/>
        <item x="934"/>
        <item x="884"/>
        <item x="1059"/>
        <item x="1061"/>
        <item x="771"/>
        <item x="1062"/>
        <item x="38"/>
        <item x="27"/>
        <item x="1147"/>
        <item x="1142"/>
        <item x="1144"/>
        <item x="1143"/>
        <item x="530"/>
        <item x="58"/>
        <item x="1149"/>
        <item x="1148"/>
        <item x="1146"/>
        <item x="1145"/>
        <item x="552"/>
        <item x="1152"/>
        <item x="1151"/>
        <item x="1105"/>
        <item x="1076"/>
        <item x="778"/>
        <item x="1123"/>
        <item x="1192"/>
        <item x="56"/>
        <item x="1158"/>
        <item x="54"/>
        <item x="610"/>
        <item x="698"/>
        <item x="697"/>
        <item x="1175"/>
        <item x="442"/>
        <item x="806"/>
        <item x="1003"/>
        <item x="1157"/>
        <item x="1037"/>
        <item x="955"/>
        <item x="763"/>
        <item x="1024"/>
        <item x="1033"/>
        <item x="837"/>
        <item x="1066"/>
        <item x="789"/>
        <item x="882"/>
        <item x="741"/>
        <item x="9"/>
        <item x="12"/>
        <item x="0"/>
        <item x="6"/>
        <item x="22"/>
        <item x="21"/>
        <item x="801"/>
        <item x="830"/>
        <item x="1162"/>
        <item x="593"/>
        <item x="271"/>
        <item x="972"/>
        <item x="293"/>
        <item x="672"/>
        <item x="846"/>
        <item x="842"/>
        <item x="1178"/>
        <item x="1179"/>
        <item x="41"/>
        <item x="352"/>
        <item x="690"/>
        <item x="696"/>
        <item x="765"/>
        <item x="794"/>
        <item x="795"/>
        <item x="835"/>
        <item x="844"/>
        <item x="1124"/>
        <item x="1125"/>
        <item x="1126"/>
        <item x="1134"/>
        <item x="1140"/>
        <item x="1150"/>
        <item x="1153"/>
        <item x="1154"/>
        <item x="1159"/>
        <item x="1166"/>
        <item x="1167"/>
        <item x="1168"/>
        <item x="1169"/>
        <item x="1170"/>
        <item x="1176"/>
        <item x="1177"/>
        <item x="1191"/>
        <item t="default"/>
      </items>
    </pivotField>
    <pivotField name="full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ge_group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</pivotFields>
  <rowFields>
    <field x="0"/>
  </rowFields>
  <pageFields>
    <pageField fld="4"/>
  </pageFields>
</pivotTableDefinition>
</file>

<file path=xl/pivotTables/pivotTable5.xml><?xml version="1.0" encoding="utf-8"?>
<pivotTableDefinition xmlns="http://schemas.openxmlformats.org/spreadsheetml/2006/main" name="women" cacheId="4" dataCaption="" compact="0" compactData="0">
  <location ref="A3:B78" firstHeaderRow="0" firstDataRow="1" firstDataCol="0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t="default"/>
      </items>
    </pivotField>
    <pivotField name="full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t="default"/>
      </items>
    </pivotField>
    <pivotField name="age" axis="axisRow" compact="0" outline="0" multipleItemSelectionAllowed="1" showAll="0" sortType="ascending">
      <items>
        <item x="83"/>
        <item x="69"/>
        <item x="80"/>
        <item x="30"/>
        <item x="79"/>
        <item x="31"/>
        <item x="82"/>
        <item x="68"/>
        <item x="74"/>
        <item x="62"/>
        <item x="64"/>
        <item x="61"/>
        <item x="23"/>
        <item x="44"/>
        <item x="59"/>
        <item x="55"/>
        <item x="45"/>
        <item x="37"/>
        <item x="52"/>
        <item x="25"/>
        <item x="12"/>
        <item x="33"/>
        <item x="38"/>
        <item x="2"/>
        <item x="11"/>
        <item x="51"/>
        <item x="40"/>
        <item x="47"/>
        <item x="27"/>
        <item x="28"/>
        <item x="1"/>
        <item x="29"/>
        <item x="41"/>
        <item x="36"/>
        <item x="5"/>
        <item x="19"/>
        <item x="53"/>
        <item x="39"/>
        <item x="9"/>
        <item x="56"/>
        <item x="6"/>
        <item x="57"/>
        <item x="35"/>
        <item x="32"/>
        <item x="34"/>
        <item x="58"/>
        <item x="63"/>
        <item x="10"/>
        <item x="3"/>
        <item x="42"/>
        <item x="81"/>
        <item x="8"/>
        <item x="54"/>
        <item x="4"/>
        <item x="49"/>
        <item x="43"/>
        <item x="14"/>
        <item x="50"/>
        <item x="24"/>
        <item x="26"/>
        <item x="16"/>
        <item x="13"/>
        <item x="48"/>
        <item x="20"/>
        <item x="67"/>
        <item x="22"/>
        <item x="21"/>
        <item x="46"/>
        <item x="66"/>
        <item x="60"/>
        <item x="65"/>
        <item x="15"/>
        <item x="0"/>
        <item x="18"/>
        <item x="78"/>
        <item x="71"/>
        <item x="7"/>
        <item x="72"/>
        <item x="77"/>
        <item x="17"/>
        <item x="70"/>
        <item x="73"/>
        <item x="76"/>
        <item x="75"/>
        <item t="default"/>
      </items>
    </pivotField>
    <pivotField name="resid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sex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t="default"/>
      </items>
    </pivotField>
  </pivotFields>
  <rowFields>
    <field x="2"/>
  </rowFields>
  <pageFields>
    <pageField fld="4"/>
  </pageFields>
  <dataFields>
    <dataField name="COUNTA of fullName" fld="1" subtotal="count" baseField="0"/>
  </dataFields>
</pivotTableDefinition>
</file>

<file path=xl/pivotTables/pivotTable6.xml><?xml version="1.0" encoding="utf-8"?>
<pivotTableDefinition xmlns="http://schemas.openxmlformats.org/spreadsheetml/2006/main" name="women 2" cacheId="5" dataCaption="" compact="0" compactData="0">
  <location ref="H26:I34" firstHeaderRow="0" firstDataRow="1" firstDataCol="0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full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sex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citizenGroup" axis="axisRow" compact="0" outline="0" multipleItemSelectionAllowed="1" showAll="0" sortType="ascending">
      <items>
        <item x="0"/>
        <item x="4"/>
        <item x="3"/>
        <item x="2"/>
        <item x="1"/>
        <item x="7"/>
        <item x="9"/>
        <item x="5"/>
        <item x="8"/>
        <item x="6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</pivotFields>
  <rowFields>
    <field x="5"/>
  </rowFields>
  <pageFields>
    <pageField fld="4"/>
  </pageFields>
  <dataFields>
    <dataField name="COUNTA of fullName" fld="1" subtotal="count" baseField="0"/>
  </dataFields>
</pivotTableDefinition>
</file>

<file path=xl/pivotTables/pivotTable7.xml><?xml version="1.0" encoding="utf-8"?>
<pivotTableDefinition xmlns="http://schemas.openxmlformats.org/spreadsheetml/2006/main" name="women 3" cacheId="5" dataCaption="" compact="0" compactData="0">
  <location ref="K26:L36" firstHeaderRow="0" firstDataRow="1" firstDataCol="0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full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sex" axis="axisPage" compact="0" outline="0" multipleItemSelectionAllowed="1" showAll="0">
      <items>
        <item x="0"/>
        <item h="1" x="1"/>
        <item h="1" x="2"/>
        <item x="3"/>
        <item t="default"/>
      </items>
    </pivotField>
    <pivotField name="citizenGroup" axis="axisRow" compact="0" outline="0" multipleItemSelectionAllowed="1" showAll="0" sortType="ascending">
      <items>
        <item x="0"/>
        <item x="4"/>
        <item x="3"/>
        <item x="2"/>
        <item x="1"/>
        <item x="7"/>
        <item x="9"/>
        <item x="5"/>
        <item x="8"/>
        <item x="6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</pivotFields>
  <rowFields>
    <field x="5"/>
  </rowFields>
  <pageFields>
    <pageField fld="4"/>
  </pageFields>
  <dataFields>
    <dataField name="COUNTA of fullName" fld="1" subtotal="count" baseField="0"/>
  </dataFields>
</pivotTableDefinition>
</file>

<file path=xl/pivotTables/pivotTable8.xml><?xml version="1.0" encoding="utf-8"?>
<pivotTableDefinition xmlns="http://schemas.openxmlformats.org/spreadsheetml/2006/main" name="women 4" cacheId="5" dataCaption="" compact="0" compactData="0">
  <location ref="H39:I78" firstHeaderRow="0" firstDataRow="1" firstDataCol="0" rowPageCount="3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fullName" axis="axisRow" compact="0" outline="0" multipleItemSelectionAllowed="1" showAll="0" sortType="ascending">
      <items>
        <item x="610"/>
        <item x="53"/>
        <item x="1158"/>
        <item x="662"/>
        <item x="650"/>
        <item x="54"/>
        <item x="542"/>
        <item x="55"/>
        <item x="696"/>
        <item x="528"/>
        <item x="1142"/>
        <item x="56"/>
        <item x="57"/>
        <item x="663"/>
        <item x="58"/>
        <item x="651"/>
        <item x="652"/>
        <item x="1141"/>
        <item x="1157"/>
        <item x="1144"/>
        <item x="551"/>
        <item x="529"/>
        <item x="552"/>
        <item x="553"/>
        <item x="554"/>
        <item x="1145"/>
        <item x="59"/>
        <item x="60"/>
        <item x="664"/>
        <item x="1122"/>
        <item x="61"/>
        <item x="1125"/>
        <item x="665"/>
        <item x="666"/>
        <item x="1150"/>
        <item x="1151"/>
        <item x="62"/>
        <item x="63"/>
        <item x="667"/>
        <item x="64"/>
        <item x="1149"/>
        <item x="668"/>
        <item x="555"/>
        <item x="527"/>
        <item x="1143"/>
        <item x="65"/>
        <item x="66"/>
        <item x="530"/>
        <item x="1148"/>
        <item x="556"/>
        <item x="1147"/>
        <item x="669"/>
        <item x="623"/>
        <item x="557"/>
        <item x="558"/>
        <item x="67"/>
        <item x="670"/>
        <item x="68"/>
        <item x="69"/>
        <item x="671"/>
        <item x="70"/>
        <item x="697"/>
        <item x="71"/>
        <item x="531"/>
        <item x="1146"/>
        <item x="698"/>
        <item x="105"/>
        <item x="106"/>
        <item x="677"/>
        <item x="712"/>
        <item x="75"/>
        <item x="713"/>
        <item x="714"/>
        <item x="715"/>
        <item x="107"/>
        <item x="1085"/>
        <item x="108"/>
        <item x="109"/>
        <item x="1124"/>
        <item x="729"/>
        <item x="110"/>
        <item x="1015"/>
        <item x="111"/>
        <item x="908"/>
        <item x="889"/>
        <item x="112"/>
        <item x="113"/>
        <item x="444"/>
        <item x="445"/>
        <item x="930"/>
        <item x="446"/>
        <item x="447"/>
        <item x="114"/>
        <item x="978"/>
        <item x="979"/>
        <item x="1055"/>
        <item x="115"/>
        <item x="1086"/>
        <item x="1123"/>
        <item x="931"/>
        <item x="116"/>
        <item x="1050"/>
        <item x="932"/>
        <item x="117"/>
        <item x="678"/>
        <item x="846"/>
        <item x="1057"/>
        <item x="118"/>
        <item x="119"/>
        <item x="559"/>
        <item x="560"/>
        <item x="120"/>
        <item x="1137"/>
        <item x="561"/>
        <item x="950"/>
        <item x="828"/>
        <item x="40"/>
        <item x="24"/>
        <item x="25"/>
        <item x="829"/>
        <item x="730"/>
        <item x="731"/>
        <item x="448"/>
        <item x="121"/>
        <item x="1071"/>
        <item x="980"/>
        <item x="122"/>
        <item x="41"/>
        <item x="672"/>
        <item x="0"/>
        <item x="449"/>
        <item x="562"/>
        <item x="123"/>
        <item x="124"/>
        <item x="125"/>
        <item x="126"/>
        <item x="127"/>
        <item x="1058"/>
        <item x="128"/>
        <item x="129"/>
        <item x="130"/>
        <item x="1133"/>
        <item x="131"/>
        <item x="132"/>
        <item x="133"/>
        <item x="136"/>
        <item x="847"/>
        <item x="134"/>
        <item x="1103"/>
        <item x="732"/>
        <item x="1016"/>
        <item x="679"/>
        <item x="135"/>
        <item x="848"/>
        <item x="563"/>
        <item x="564"/>
        <item x="1007"/>
        <item x="909"/>
        <item x="26"/>
        <item x="532"/>
        <item x="533"/>
        <item x="742"/>
        <item x="1"/>
        <item x="951"/>
        <item x="981"/>
        <item x="197"/>
        <item x="137"/>
        <item x="611"/>
        <item x="743"/>
        <item x="78"/>
        <item x="952"/>
        <item x="1167"/>
        <item x="733"/>
        <item x="1168"/>
        <item x="1059"/>
        <item x="138"/>
        <item x="139"/>
        <item x="89"/>
        <item x="565"/>
        <item x="140"/>
        <item x="716"/>
        <item x="717"/>
        <item x="718"/>
        <item x="719"/>
        <item x="142"/>
        <item x="849"/>
        <item x="143"/>
        <item x="566"/>
        <item x="744"/>
        <item x="1130"/>
        <item x="745"/>
        <item x="1105"/>
        <item x="144"/>
        <item x="891"/>
        <item x="145"/>
        <item x="146"/>
        <item x="147"/>
        <item x="887"/>
        <item x="27"/>
        <item x="850"/>
        <item x="746"/>
        <item x="450"/>
        <item x="148"/>
        <item x="149"/>
        <item x="567"/>
        <item x="568"/>
        <item x="1054"/>
        <item x="79"/>
        <item x="80"/>
        <item x="81"/>
        <item x="150"/>
        <item x="953"/>
        <item x="151"/>
        <item x="152"/>
        <item x="1063"/>
        <item x="747"/>
        <item x="1051"/>
        <item x="153"/>
        <item x="154"/>
        <item x="155"/>
        <item x="851"/>
        <item x="852"/>
        <item x="681"/>
        <item x="653"/>
        <item x="954"/>
        <item x="748"/>
        <item x="156"/>
        <item x="893"/>
        <item x="157"/>
        <item x="749"/>
        <item x="1072"/>
        <item x="734"/>
        <item x="1073"/>
        <item x="750"/>
        <item x="982"/>
        <item x="569"/>
        <item x="451"/>
        <item x="1044"/>
        <item x="158"/>
        <item x="159"/>
        <item x="910"/>
        <item x="160"/>
        <item x="161"/>
        <item x="162"/>
        <item x="163"/>
        <item x="164"/>
        <item x="165"/>
        <item x="751"/>
        <item x="830"/>
        <item x="831"/>
        <item x="752"/>
        <item x="166"/>
        <item x="167"/>
        <item x="168"/>
        <item x="169"/>
        <item x="853"/>
        <item x="1106"/>
        <item x="170"/>
        <item x="171"/>
        <item x="699"/>
        <item x="172"/>
        <item x="2"/>
        <item x="173"/>
        <item x="753"/>
        <item x="452"/>
        <item x="453"/>
        <item x="454"/>
        <item x="455"/>
        <item x="456"/>
        <item x="457"/>
        <item x="458"/>
        <item x="174"/>
        <item x="459"/>
        <item x="460"/>
        <item x="832"/>
        <item x="933"/>
        <item x="3"/>
        <item x="754"/>
        <item x="1087"/>
        <item x="983"/>
        <item x="175"/>
        <item x="176"/>
        <item x="720"/>
        <item x="1074"/>
        <item x="570"/>
        <item x="755"/>
        <item x="177"/>
        <item x="984"/>
        <item x="1088"/>
        <item x="1036"/>
        <item x="178"/>
        <item x="179"/>
        <item x="624"/>
        <item x="180"/>
        <item x="181"/>
        <item x="833"/>
        <item x="756"/>
        <item x="90"/>
        <item x="91"/>
        <item x="928"/>
        <item x="757"/>
        <item x="890"/>
        <item x="834"/>
        <item x="758"/>
        <item x="1075"/>
        <item x="182"/>
        <item x="911"/>
        <item x="183"/>
        <item x="461"/>
        <item x="184"/>
        <item x="185"/>
        <item x="4"/>
        <item x="625"/>
        <item x="186"/>
        <item x="854"/>
        <item x="187"/>
        <item x="42"/>
        <item x="759"/>
        <item x="188"/>
        <item x="462"/>
        <item x="463"/>
        <item x="464"/>
        <item x="760"/>
        <item x="912"/>
        <item x="189"/>
        <item x="1165"/>
        <item x="190"/>
        <item x="191"/>
        <item x="192"/>
        <item x="82"/>
        <item x="1017"/>
        <item x="1076"/>
        <item x="193"/>
        <item x="571"/>
        <item x="572"/>
        <item x="1060"/>
        <item x="721"/>
        <item x="1164"/>
        <item x="1107"/>
        <item x="465"/>
        <item x="1089"/>
        <item x="1018"/>
        <item x="612"/>
        <item x="934"/>
        <item x="194"/>
        <item x="195"/>
        <item x="196"/>
        <item x="761"/>
        <item x="198"/>
        <item x="199"/>
        <item x="200"/>
        <item x="1019"/>
        <item x="201"/>
        <item x="762"/>
        <item x="1045"/>
        <item x="202"/>
        <item x="5"/>
        <item x="6"/>
        <item x="680"/>
        <item x="203"/>
        <item x="763"/>
        <item x="764"/>
        <item x="722"/>
        <item x="673"/>
        <item x="204"/>
        <item x="765"/>
        <item x="766"/>
        <item x="767"/>
        <item x="1159"/>
        <item x="466"/>
        <item x="467"/>
        <item x="543"/>
        <item x="985"/>
        <item x="205"/>
        <item x="43"/>
        <item x="206"/>
        <item x="207"/>
        <item x="573"/>
        <item x="574"/>
        <item x="208"/>
        <item x="1090"/>
        <item x="913"/>
        <item x="986"/>
        <item x="209"/>
        <item x="210"/>
        <item x="211"/>
        <item x="735"/>
        <item x="736"/>
        <item x="212"/>
        <item x="213"/>
        <item x="626"/>
        <item x="575"/>
        <item x="576"/>
        <item x="1108"/>
        <item x="1009"/>
        <item x="214"/>
        <item x="215"/>
        <item x="216"/>
        <item x="700"/>
        <item x="217"/>
        <item x="987"/>
        <item x="218"/>
        <item x="658"/>
        <item x="768"/>
        <item x="855"/>
        <item x="468"/>
        <item x="769"/>
        <item x="1056"/>
        <item x="219"/>
        <item x="220"/>
        <item x="221"/>
        <item x="988"/>
        <item x="222"/>
        <item x="28"/>
        <item x="989"/>
        <item x="856"/>
        <item x="627"/>
        <item x="1091"/>
        <item x="7"/>
        <item x="8"/>
        <item x="223"/>
        <item x="224"/>
        <item x="469"/>
        <item x="225"/>
        <item x="470"/>
        <item x="770"/>
        <item x="577"/>
        <item x="226"/>
        <item x="227"/>
        <item x="771"/>
        <item x="228"/>
        <item x="229"/>
        <item x="230"/>
        <item x="990"/>
        <item x="231"/>
        <item x="772"/>
        <item x="232"/>
        <item x="902"/>
        <item x="233"/>
        <item x="857"/>
        <item x="894"/>
        <item x="955"/>
        <item x="234"/>
        <item x="1020"/>
        <item x="235"/>
        <item x="773"/>
        <item x="236"/>
        <item x="237"/>
        <item x="628"/>
        <item x="629"/>
        <item x="238"/>
        <item x="1161"/>
        <item x="1153"/>
        <item x="991"/>
        <item x="1132"/>
        <item x="239"/>
        <item x="880"/>
        <item x="956"/>
        <item x="92"/>
        <item x="1126"/>
        <item x="1131"/>
        <item x="240"/>
        <item x="241"/>
        <item x="1134"/>
        <item x="1128"/>
        <item x="471"/>
        <item x="1021"/>
        <item x="935"/>
        <item x="472"/>
        <item x="473"/>
        <item x="858"/>
        <item x="1092"/>
        <item x="929"/>
        <item x="242"/>
        <item x="674"/>
        <item x="243"/>
        <item x="474"/>
        <item x="475"/>
        <item x="476"/>
        <item x="244"/>
        <item x="245"/>
        <item x="630"/>
        <item x="246"/>
        <item x="83"/>
        <item x="247"/>
        <item x="774"/>
        <item x="957"/>
        <item x="859"/>
        <item x="248"/>
        <item x="9"/>
        <item x="1037"/>
        <item x="249"/>
        <item x="1135"/>
        <item x="250"/>
        <item x="1127"/>
        <item x="1109"/>
        <item x="477"/>
        <item x="478"/>
        <item x="479"/>
        <item x="29"/>
        <item x="578"/>
        <item x="682"/>
        <item x="1038"/>
        <item x="251"/>
        <item x="1022"/>
        <item x="252"/>
        <item x="253"/>
        <item x="895"/>
        <item x="896"/>
        <item x="254"/>
        <item x="255"/>
        <item x="579"/>
        <item x="580"/>
        <item x="256"/>
        <item x="723"/>
        <item x="257"/>
        <item x="258"/>
        <item x="260"/>
        <item x="259"/>
        <item x="480"/>
        <item x="613"/>
        <item x="614"/>
        <item x="775"/>
        <item x="615"/>
        <item x="616"/>
        <item x="93"/>
        <item x="261"/>
        <item x="581"/>
        <item x="442"/>
        <item x="262"/>
        <item x="582"/>
        <item x="1023"/>
        <item x="776"/>
        <item x="1110"/>
        <item x="1111"/>
        <item x="481"/>
        <item x="263"/>
        <item x="264"/>
        <item x="94"/>
        <item x="265"/>
        <item x="544"/>
        <item x="545"/>
        <item x="546"/>
        <item x="11"/>
        <item x="701"/>
        <item x="936"/>
        <item x="266"/>
        <item x="72"/>
        <item x="267"/>
        <item x="73"/>
        <item x="74"/>
        <item x="860"/>
        <item x="1136"/>
        <item x="268"/>
        <item x="992"/>
        <item x="777"/>
        <item x="1012"/>
        <item x="547"/>
        <item x="958"/>
        <item x="724"/>
        <item x="12"/>
        <item x="10"/>
        <item x="269"/>
        <item x="270"/>
        <item x="13"/>
        <item x="1112"/>
        <item x="271"/>
        <item x="861"/>
        <item x="14"/>
        <item x="1052"/>
        <item x="272"/>
        <item x="273"/>
        <item x="1061"/>
        <item x="1162"/>
        <item x="959"/>
        <item x="30"/>
        <item x="274"/>
        <item x="583"/>
        <item x="275"/>
        <item x="584"/>
        <item x="482"/>
        <item x="585"/>
        <item x="483"/>
        <item x="484"/>
        <item x="1104"/>
        <item x="276"/>
        <item x="827"/>
        <item x="778"/>
        <item x="960"/>
        <item x="961"/>
        <item x="1113"/>
        <item x="683"/>
        <item x="702"/>
        <item x="962"/>
        <item x="31"/>
        <item x="914"/>
        <item x="659"/>
        <item x="277"/>
        <item x="684"/>
        <item x="915"/>
        <item x="278"/>
        <item x="835"/>
        <item x="279"/>
        <item x="631"/>
        <item x="993"/>
        <item x="485"/>
        <item x="963"/>
        <item x="15"/>
        <item x="16"/>
        <item x="779"/>
        <item x="17"/>
        <item x="18"/>
        <item x="280"/>
        <item x="994"/>
        <item x="937"/>
        <item x="780"/>
        <item x="862"/>
        <item x="781"/>
        <item x="84"/>
        <item x="85"/>
        <item x="938"/>
        <item x="863"/>
        <item x="782"/>
        <item x="281"/>
        <item x="1160"/>
        <item x="1064"/>
        <item x="282"/>
        <item x="283"/>
        <item x="284"/>
        <item x="285"/>
        <item x="939"/>
        <item x="486"/>
        <item x="286"/>
        <item x="783"/>
        <item x="1042"/>
        <item x="76"/>
        <item x="1046"/>
        <item x="287"/>
        <item x="824"/>
        <item x="899"/>
        <item x="288"/>
        <item x="995"/>
        <item x="487"/>
        <item x="1067"/>
        <item x="784"/>
        <item x="289"/>
        <item x="657"/>
        <item x="290"/>
        <item x="95"/>
        <item x="785"/>
        <item x="864"/>
        <item x="1024"/>
        <item x="488"/>
        <item x="940"/>
        <item x="291"/>
        <item x="292"/>
        <item x="489"/>
        <item x="1129"/>
        <item x="293"/>
        <item x="490"/>
        <item x="996"/>
        <item x="294"/>
        <item x="617"/>
        <item x="295"/>
        <item x="632"/>
        <item x="1010"/>
        <item x="865"/>
        <item x="491"/>
        <item x="786"/>
        <item x="787"/>
        <item x="296"/>
        <item x="297"/>
        <item x="788"/>
        <item x="44"/>
        <item x="737"/>
        <item x="685"/>
        <item x="1114"/>
        <item x="298"/>
        <item x="789"/>
        <item x="299"/>
        <item x="790"/>
        <item x="492"/>
        <item x="903"/>
        <item x="300"/>
        <item x="301"/>
        <item x="302"/>
        <item x="303"/>
        <item x="304"/>
        <item x="305"/>
        <item x="77"/>
        <item x="493"/>
        <item x="1077"/>
        <item x="306"/>
        <item x="307"/>
        <item x="633"/>
        <item x="1156"/>
        <item x="494"/>
        <item x="495"/>
        <item x="964"/>
        <item x="1115"/>
        <item x="916"/>
        <item x="866"/>
        <item x="308"/>
        <item x="791"/>
        <item x="965"/>
        <item x="917"/>
        <item x="618"/>
        <item x="1025"/>
        <item x="586"/>
        <item x="738"/>
        <item x="309"/>
        <item x="867"/>
        <item x="32"/>
        <item x="33"/>
        <item x="310"/>
        <item x="311"/>
        <item x="312"/>
        <item x="660"/>
        <item x="918"/>
        <item x="313"/>
        <item x="868"/>
        <item x="314"/>
        <item x="997"/>
        <item x="919"/>
        <item x="998"/>
        <item x="654"/>
        <item x="655"/>
        <item x="686"/>
        <item x="1138"/>
        <item x="687"/>
        <item x="315"/>
        <item x="316"/>
        <item x="317"/>
        <item x="318"/>
        <item x="920"/>
        <item x="999"/>
        <item x="86"/>
        <item x="87"/>
        <item x="634"/>
        <item x="1008"/>
        <item x="881"/>
        <item x="319"/>
        <item x="320"/>
        <item x="496"/>
        <item x="548"/>
        <item x="587"/>
        <item x="869"/>
        <item x="497"/>
        <item x="688"/>
        <item x="703"/>
        <item x="792"/>
        <item x="321"/>
        <item x="322"/>
        <item x="323"/>
        <item x="941"/>
        <item x="793"/>
        <item x="836"/>
        <item x="324"/>
        <item x="498"/>
        <item x="1026"/>
        <item x="499"/>
        <item x="325"/>
        <item x="326"/>
        <item x="921"/>
        <item x="794"/>
        <item x="327"/>
        <item x="689"/>
        <item x="1013"/>
        <item x="882"/>
        <item x="1140"/>
        <item x="19"/>
        <item x="795"/>
        <item x="500"/>
        <item x="1000"/>
        <item x="328"/>
        <item x="329"/>
        <item x="330"/>
        <item x="331"/>
        <item x="332"/>
        <item x="725"/>
        <item x="726"/>
        <item x="1166"/>
        <item x="96"/>
        <item x="796"/>
        <item x="333"/>
        <item x="1014"/>
        <item x="1116"/>
        <item x="334"/>
        <item x="966"/>
        <item x="661"/>
        <item x="1093"/>
        <item x="797"/>
        <item x="1117"/>
        <item x="1078"/>
        <item x="922"/>
        <item x="635"/>
        <item x="335"/>
        <item x="45"/>
        <item x="20"/>
        <item x="534"/>
        <item x="535"/>
        <item x="1094"/>
        <item x="336"/>
        <item x="337"/>
        <item x="1066"/>
        <item x="798"/>
        <item x="923"/>
        <item x="1001"/>
        <item x="1027"/>
        <item x="501"/>
        <item x="690"/>
        <item x="636"/>
        <item x="338"/>
        <item x="339"/>
        <item x="892"/>
        <item x="1095"/>
        <item x="967"/>
        <item x="502"/>
        <item x="925"/>
        <item x="340"/>
        <item x="799"/>
        <item x="341"/>
        <item x="870"/>
        <item x="342"/>
        <item x="343"/>
        <item x="871"/>
        <item x="141"/>
        <item x="977"/>
        <item x="344"/>
        <item x="345"/>
        <item x="346"/>
        <item x="888"/>
        <item x="968"/>
        <item x="347"/>
        <item x="837"/>
        <item x="1154"/>
        <item x="503"/>
        <item x="838"/>
        <item x="88"/>
        <item x="691"/>
        <item x="692"/>
        <item x="348"/>
        <item x="900"/>
        <item x="885"/>
        <item x="504"/>
        <item x="349"/>
        <item x="536"/>
        <item x="537"/>
        <item x="693"/>
        <item x="350"/>
        <item x="351"/>
        <item x="872"/>
        <item x="943"/>
        <item x="505"/>
        <item x="506"/>
        <item x="507"/>
        <item x="508"/>
        <item x="637"/>
        <item x="638"/>
        <item x="639"/>
        <item x="640"/>
        <item x="641"/>
        <item x="642"/>
        <item x="643"/>
        <item x="644"/>
        <item x="1068"/>
        <item x="1069"/>
        <item x="1028"/>
        <item x="352"/>
        <item x="509"/>
        <item x="353"/>
        <item x="354"/>
        <item x="355"/>
        <item x="800"/>
        <item x="356"/>
        <item x="549"/>
        <item x="1118"/>
        <item x="883"/>
        <item x="801"/>
        <item x="739"/>
        <item x="357"/>
        <item x="358"/>
        <item x="704"/>
        <item x="802"/>
        <item x="803"/>
        <item x="804"/>
        <item x="359"/>
        <item x="360"/>
        <item x="361"/>
        <item x="924"/>
        <item x="805"/>
        <item x="1029"/>
        <item x="362"/>
        <item x="363"/>
        <item x="806"/>
        <item x="364"/>
        <item x="944"/>
        <item x="365"/>
        <item x="366"/>
        <item x="619"/>
        <item x="588"/>
        <item x="904"/>
        <item x="1152"/>
        <item x="945"/>
        <item x="1030"/>
        <item x="1002"/>
        <item x="367"/>
        <item x="368"/>
        <item x="873"/>
        <item x="620"/>
        <item x="621"/>
        <item x="645"/>
        <item x="369"/>
        <item x="675"/>
        <item x="727"/>
        <item x="370"/>
        <item x="1062"/>
        <item x="371"/>
        <item x="21"/>
        <item x="372"/>
        <item x="1047"/>
        <item x="705"/>
        <item x="46"/>
        <item x="706"/>
        <item x="656"/>
        <item x="373"/>
        <item x="707"/>
        <item x="1079"/>
        <item x="374"/>
        <item x="375"/>
        <item x="1048"/>
        <item x="874"/>
        <item x="510"/>
        <item x="376"/>
        <item x="1031"/>
        <item x="589"/>
        <item x="590"/>
        <item x="591"/>
        <item x="592"/>
        <item x="875"/>
        <item x="839"/>
        <item x="946"/>
        <item x="377"/>
        <item x="1043"/>
        <item x="593"/>
        <item x="594"/>
        <item x="378"/>
        <item x="905"/>
        <item x="379"/>
        <item x="886"/>
        <item x="694"/>
        <item x="708"/>
        <item x="380"/>
        <item x="511"/>
        <item x="876"/>
        <item x="381"/>
        <item x="512"/>
        <item x="382"/>
        <item x="728"/>
        <item x="383"/>
        <item x="1163"/>
        <item x="595"/>
        <item x="384"/>
        <item x="807"/>
        <item x="385"/>
        <item x="840"/>
        <item x="906"/>
        <item x="740"/>
        <item x="808"/>
        <item x="34"/>
        <item x="1096"/>
        <item x="596"/>
        <item x="1032"/>
        <item x="809"/>
        <item x="810"/>
        <item x="926"/>
        <item x="741"/>
        <item x="811"/>
        <item x="812"/>
        <item x="1003"/>
        <item x="813"/>
        <item x="386"/>
        <item x="387"/>
        <item x="388"/>
        <item x="1097"/>
        <item x="97"/>
        <item x="513"/>
        <item x="1098"/>
        <item x="389"/>
        <item x="98"/>
        <item x="22"/>
        <item x="390"/>
        <item x="597"/>
        <item x="598"/>
        <item x="599"/>
        <item x="600"/>
        <item x="601"/>
        <item x="814"/>
        <item x="1011"/>
        <item x="709"/>
        <item x="514"/>
        <item x="1119"/>
        <item x="391"/>
        <item x="392"/>
        <item x="538"/>
        <item x="35"/>
        <item x="393"/>
        <item x="815"/>
        <item x="515"/>
        <item x="516"/>
        <item x="99"/>
        <item x="517"/>
        <item x="1065"/>
        <item x="394"/>
        <item x="1004"/>
        <item x="1033"/>
        <item x="395"/>
        <item x="396"/>
        <item x="927"/>
        <item x="397"/>
        <item x="969"/>
        <item x="398"/>
        <item x="399"/>
        <item x="539"/>
        <item x="518"/>
        <item x="540"/>
        <item x="47"/>
        <item x="48"/>
        <item x="49"/>
        <item x="50"/>
        <item x="602"/>
        <item x="646"/>
        <item x="1005"/>
        <item x="519"/>
        <item x="36"/>
        <item x="1080"/>
        <item x="520"/>
        <item x="37"/>
        <item x="970"/>
        <item x="877"/>
        <item x="676"/>
        <item x="845"/>
        <item x="816"/>
        <item x="400"/>
        <item x="603"/>
        <item x="817"/>
        <item x="401"/>
        <item x="100"/>
        <item x="101"/>
        <item x="402"/>
        <item x="403"/>
        <item x="404"/>
        <item x="841"/>
        <item x="1099"/>
        <item x="405"/>
        <item x="102"/>
        <item x="1049"/>
        <item x="1070"/>
        <item x="842"/>
        <item x="1081"/>
        <item x="406"/>
        <item x="407"/>
        <item x="878"/>
        <item x="550"/>
        <item x="622"/>
        <item x="604"/>
        <item x="1006"/>
        <item x="1034"/>
        <item x="947"/>
        <item x="1039"/>
        <item x="408"/>
        <item x="409"/>
        <item x="23"/>
        <item x="410"/>
        <item x="971"/>
        <item x="972"/>
        <item x="973"/>
        <item x="541"/>
        <item x="521"/>
        <item x="605"/>
        <item x="974"/>
        <item x="975"/>
        <item x="1035"/>
        <item x="818"/>
        <item x="412"/>
        <item x="411"/>
        <item x="819"/>
        <item x="51"/>
        <item x="522"/>
        <item x="820"/>
        <item x="821"/>
        <item x="38"/>
        <item x="413"/>
        <item x="414"/>
        <item x="415"/>
        <item x="1139"/>
        <item x="416"/>
        <item x="417"/>
        <item x="1040"/>
        <item x="884"/>
        <item x="606"/>
        <item x="607"/>
        <item x="418"/>
        <item x="879"/>
        <item x="419"/>
        <item x="523"/>
        <item x="608"/>
        <item x="1053"/>
        <item x="609"/>
        <item x="1041"/>
        <item x="695"/>
        <item x="420"/>
        <item x="897"/>
        <item x="822"/>
        <item x="421"/>
        <item x="948"/>
        <item x="422"/>
        <item x="423"/>
        <item x="901"/>
        <item x="424"/>
        <item x="647"/>
        <item x="648"/>
        <item x="425"/>
        <item x="426"/>
        <item x="427"/>
        <item x="823"/>
        <item x="428"/>
        <item x="1100"/>
        <item x="942"/>
        <item x="907"/>
        <item x="429"/>
        <item x="430"/>
        <item x="1082"/>
        <item x="710"/>
        <item x="1083"/>
        <item x="431"/>
        <item x="949"/>
        <item x="1084"/>
        <item x="1101"/>
        <item x="432"/>
        <item x="1120"/>
        <item x="843"/>
        <item x="711"/>
        <item x="433"/>
        <item x="103"/>
        <item x="649"/>
        <item x="434"/>
        <item x="976"/>
        <item x="443"/>
        <item x="435"/>
        <item x="825"/>
        <item x="1102"/>
        <item x="826"/>
        <item x="104"/>
        <item x="436"/>
        <item x="1121"/>
        <item x="524"/>
        <item x="1155"/>
        <item x="525"/>
        <item x="526"/>
        <item x="844"/>
        <item x="437"/>
        <item x="438"/>
        <item x="439"/>
        <item x="52"/>
        <item x="440"/>
        <item x="441"/>
        <item x="39"/>
        <item x="8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sex" axis="axisPage" compact="0" outline="0" multipleItemSelectionAllowed="1" showAll="0">
      <items>
        <item h="1" x="0"/>
        <item x="1"/>
        <item h="1" x="2"/>
        <item h="1" x="3"/>
        <item t="default"/>
      </items>
    </pivotField>
    <pivotField name="citizenGroup" axis="axisPage" compact="0" outline="0" multipleItemSelectionAllowed="1" showAll="0">
      <items>
        <item h="1" x="0"/>
        <item h="1" x="1"/>
        <item h="1" x="2"/>
        <item h="1" x="3"/>
        <item h="1" x="4"/>
        <item x="5"/>
        <item h="1" x="6"/>
        <item h="1" x="7"/>
        <item x="8"/>
        <item h="1" x="9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axis="axisPage" compact="0" outline="0" multipleItemSelectionAllowed="1" showAll="0">
      <items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</pivotFields>
  <rowFields>
    <field x="1"/>
  </rowFields>
  <pageFields>
    <pageField fld="4"/>
    <pageField fld="5"/>
    <pageField fld="7"/>
  </pageFields>
</pivotTableDefinition>
</file>

<file path=xl/pivotTables/pivotTable9.xml><?xml version="1.0" encoding="utf-8"?>
<pivotTableDefinition xmlns="http://schemas.openxmlformats.org/spreadsheetml/2006/main" name="party" cacheId="5" dataCaption="" rowGrandTotals="0" compact="0" compactData="0">
  <location ref="A3:B152" firstHeaderRow="0" firstDataRow="1" firstDataCol="0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full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axis="axisRow" compact="0" outline="0" multipleItemSelectionAllowed="1" showAll="0" sortType="ascending">
      <items>
        <item x="282"/>
        <item x="178"/>
        <item x="37"/>
        <item x="64"/>
        <item x="242"/>
        <item x="195"/>
        <item x="0"/>
        <item x="283"/>
        <item x="78"/>
        <item x="261"/>
        <item x="114"/>
        <item x="81"/>
        <item x="233"/>
        <item x="239"/>
        <item x="41"/>
        <item x="263"/>
        <item x="231"/>
        <item x="181"/>
        <item x="53"/>
        <item x="105"/>
        <item x="103"/>
        <item x="238"/>
        <item x="265"/>
        <item x="247"/>
        <item x="137"/>
        <item x="287"/>
        <item x="5"/>
        <item x="6"/>
        <item x="237"/>
        <item x="255"/>
        <item x="7"/>
        <item x="150"/>
        <item x="190"/>
        <item x="69"/>
        <item x="45"/>
        <item x="94"/>
        <item x="113"/>
        <item x="151"/>
        <item x="73"/>
        <item x="279"/>
        <item x="135"/>
        <item x="95"/>
        <item x="9"/>
        <item x="74"/>
        <item x="274"/>
        <item x="58"/>
        <item x="220"/>
        <item x="168"/>
        <item x="284"/>
        <item x="275"/>
        <item x="91"/>
        <item x="109"/>
        <item x="96"/>
        <item x="286"/>
        <item x="259"/>
        <item x="208"/>
        <item x="128"/>
        <item x="189"/>
        <item x="191"/>
        <item x="262"/>
        <item x="129"/>
        <item x="213"/>
        <item x="99"/>
        <item x="216"/>
        <item x="3"/>
        <item x="101"/>
        <item x="70"/>
        <item x="42"/>
        <item x="88"/>
        <item x="84"/>
        <item x="202"/>
        <item x="260"/>
        <item x="54"/>
        <item x="167"/>
        <item x="256"/>
        <item x="250"/>
        <item x="34"/>
        <item x="23"/>
        <item x="14"/>
        <item x="272"/>
        <item x="133"/>
        <item x="66"/>
        <item x="215"/>
        <item x="134"/>
        <item x="63"/>
        <item x="251"/>
        <item x="47"/>
        <item x="211"/>
        <item x="277"/>
        <item x="27"/>
        <item x="162"/>
        <item x="198"/>
        <item x="80"/>
        <item x="126"/>
        <item x="264"/>
        <item x="120"/>
        <item x="270"/>
        <item x="289"/>
        <item x="2"/>
        <item x="50"/>
        <item x="214"/>
        <item x="280"/>
        <item x="20"/>
        <item x="182"/>
        <item x="131"/>
        <item x="288"/>
        <item x="111"/>
        <item x="21"/>
        <item x="86"/>
        <item x="38"/>
        <item x="33"/>
        <item x="25"/>
        <item x="204"/>
        <item x="56"/>
        <item x="254"/>
        <item x="271"/>
        <item x="57"/>
        <item x="179"/>
        <item x="87"/>
        <item x="188"/>
        <item x="127"/>
        <item x="273"/>
        <item x="107"/>
        <item x="164"/>
        <item x="82"/>
        <item x="177"/>
        <item x="229"/>
        <item x="72"/>
        <item x="24"/>
        <item x="159"/>
        <item x="209"/>
        <item x="152"/>
        <item x="266"/>
        <item x="71"/>
        <item x="97"/>
        <item x="154"/>
        <item x="243"/>
        <item x="49"/>
        <item x="217"/>
        <item x="75"/>
        <item x="12"/>
        <item x="148"/>
        <item x="269"/>
        <item x="35"/>
        <item x="205"/>
        <item x="163"/>
        <item x="206"/>
        <item x="193"/>
        <item x="104"/>
        <item x="112"/>
        <item x="115"/>
        <item x="232"/>
        <item x="197"/>
        <item x="219"/>
        <item x="116"/>
        <item x="249"/>
        <item x="108"/>
        <item x="230"/>
        <item x="222"/>
        <item x="44"/>
        <item x="285"/>
        <item x="158"/>
        <item x="156"/>
        <item x="36"/>
        <item x="130"/>
        <item x="224"/>
        <item x="117"/>
        <item x="29"/>
        <item x="165"/>
        <item x="226"/>
        <item x="141"/>
        <item x="13"/>
        <item x="166"/>
        <item x="155"/>
        <item x="278"/>
        <item x="169"/>
        <item x="223"/>
        <item x="28"/>
        <item x="26"/>
        <item x="173"/>
        <item x="147"/>
        <item x="10"/>
        <item x="160"/>
        <item x="68"/>
        <item x="17"/>
        <item x="170"/>
        <item x="176"/>
        <item x="144"/>
        <item x="65"/>
        <item x="161"/>
        <item x="89"/>
        <item x="253"/>
        <item x="290"/>
        <item x="240"/>
        <item x="252"/>
        <item x="281"/>
        <item x="245"/>
        <item x="100"/>
        <item x="171"/>
        <item x="157"/>
        <item x="192"/>
        <item x="236"/>
        <item x="207"/>
        <item x="212"/>
        <item x="11"/>
        <item x="218"/>
        <item x="186"/>
        <item x="55"/>
        <item x="61"/>
        <item x="67"/>
        <item x="234"/>
        <item x="200"/>
        <item x="1"/>
        <item x="246"/>
        <item x="244"/>
        <item x="121"/>
        <item x="221"/>
        <item x="16"/>
        <item x="102"/>
        <item x="46"/>
        <item x="118"/>
        <item x="62"/>
        <item x="22"/>
        <item x="98"/>
        <item x="92"/>
        <item x="203"/>
        <item x="228"/>
        <item x="210"/>
        <item x="77"/>
        <item x="183"/>
        <item x="85"/>
        <item x="79"/>
        <item x="225"/>
        <item x="123"/>
        <item x="196"/>
        <item x="201"/>
        <item x="90"/>
        <item x="43"/>
        <item x="19"/>
        <item x="241"/>
        <item x="153"/>
        <item x="258"/>
        <item x="32"/>
        <item x="172"/>
        <item x="139"/>
        <item x="59"/>
        <item x="31"/>
        <item x="138"/>
        <item x="93"/>
        <item x="145"/>
        <item x="52"/>
        <item x="132"/>
        <item x="194"/>
        <item x="140"/>
        <item x="124"/>
        <item x="40"/>
        <item x="51"/>
        <item x="248"/>
        <item x="4"/>
        <item x="76"/>
        <item x="184"/>
        <item x="227"/>
        <item x="180"/>
        <item x="110"/>
        <item x="8"/>
        <item x="106"/>
        <item x="146"/>
        <item x="30"/>
        <item x="174"/>
        <item x="60"/>
        <item x="276"/>
        <item x="175"/>
        <item x="122"/>
        <item x="185"/>
        <item x="15"/>
        <item x="119"/>
        <item x="143"/>
        <item x="125"/>
        <item x="268"/>
        <item x="187"/>
        <item x="257"/>
        <item x="83"/>
        <item x="235"/>
        <item x="149"/>
        <item x="199"/>
        <item x="267"/>
        <item x="18"/>
        <item x="48"/>
        <item x="136"/>
        <item x="39"/>
        <item x="142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axis="axisPage" compact="0" outline="0" multipleItemSelectionAllowed="1" showAll="0">
      <items>
        <item h="1" x="0"/>
        <item x="1"/>
        <item h="1" x="2"/>
        <item h="1"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</pivotFields>
  <rowFields>
    <field x="3"/>
  </rowFields>
  <pageFields>
    <pageField fld="10"/>
  </pageFields>
  <dataFields>
    <dataField name="COUNTA of fullName" fld="1" subtotal="count" baseField="0"/>
  </dataFields>
</pivotTableDefinition>
</file>

<file path=xl/pivotTables/pivotTable10.xml><?xml version="1.0" encoding="utf-8"?>
<pivotTableDefinition xmlns="http://schemas.openxmlformats.org/spreadsheetml/2006/main" name="party 2" cacheId="5" dataCaption="" rowGrandTotals="0" compact="0" compactData="0">
  <location ref="H3:I15" firstHeaderRow="0" firstDataRow="1" firstDataCol="0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t="default"/>
      </items>
    </pivotField>
    <pivotField name="full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axis="axisRow" compact="0" outline="0" multipleItemSelectionAllowed="1" showAll="0" sortType="ascending">
      <items>
        <item x="282"/>
        <item x="178"/>
        <item x="37"/>
        <item x="64"/>
        <item x="242"/>
        <item x="195"/>
        <item x="0"/>
        <item x="283"/>
        <item x="78"/>
        <item x="261"/>
        <item x="114"/>
        <item x="81"/>
        <item x="233"/>
        <item x="239"/>
        <item x="41"/>
        <item x="263"/>
        <item x="231"/>
        <item x="181"/>
        <item x="53"/>
        <item x="105"/>
        <item x="103"/>
        <item x="238"/>
        <item x="265"/>
        <item x="247"/>
        <item x="137"/>
        <item x="287"/>
        <item x="5"/>
        <item x="6"/>
        <item x="237"/>
        <item x="255"/>
        <item x="7"/>
        <item x="150"/>
        <item x="190"/>
        <item x="69"/>
        <item x="45"/>
        <item x="94"/>
        <item x="113"/>
        <item x="151"/>
        <item x="73"/>
        <item x="279"/>
        <item x="135"/>
        <item x="95"/>
        <item x="9"/>
        <item x="74"/>
        <item x="274"/>
        <item x="58"/>
        <item x="220"/>
        <item x="168"/>
        <item x="284"/>
        <item x="275"/>
        <item x="91"/>
        <item x="109"/>
        <item x="96"/>
        <item x="286"/>
        <item x="259"/>
        <item x="208"/>
        <item x="128"/>
        <item x="189"/>
        <item x="191"/>
        <item x="262"/>
        <item x="129"/>
        <item x="213"/>
        <item x="99"/>
        <item x="216"/>
        <item x="3"/>
        <item x="101"/>
        <item x="70"/>
        <item x="42"/>
        <item x="88"/>
        <item x="84"/>
        <item x="202"/>
        <item x="260"/>
        <item x="54"/>
        <item x="167"/>
        <item x="256"/>
        <item x="250"/>
        <item x="34"/>
        <item x="23"/>
        <item x="14"/>
        <item x="272"/>
        <item x="133"/>
        <item x="66"/>
        <item x="215"/>
        <item x="134"/>
        <item x="63"/>
        <item x="251"/>
        <item x="47"/>
        <item x="211"/>
        <item x="277"/>
        <item x="27"/>
        <item x="162"/>
        <item x="198"/>
        <item x="80"/>
        <item x="126"/>
        <item x="264"/>
        <item x="120"/>
        <item x="270"/>
        <item x="289"/>
        <item x="2"/>
        <item x="50"/>
        <item x="214"/>
        <item x="280"/>
        <item x="20"/>
        <item x="182"/>
        <item x="131"/>
        <item x="288"/>
        <item x="111"/>
        <item x="21"/>
        <item x="86"/>
        <item x="38"/>
        <item x="33"/>
        <item x="25"/>
        <item x="204"/>
        <item x="56"/>
        <item x="254"/>
        <item x="271"/>
        <item x="57"/>
        <item x="179"/>
        <item x="87"/>
        <item x="188"/>
        <item x="127"/>
        <item x="273"/>
        <item x="107"/>
        <item x="164"/>
        <item x="82"/>
        <item x="177"/>
        <item x="229"/>
        <item x="72"/>
        <item x="24"/>
        <item x="159"/>
        <item x="209"/>
        <item x="152"/>
        <item x="266"/>
        <item x="71"/>
        <item x="97"/>
        <item x="154"/>
        <item x="243"/>
        <item x="49"/>
        <item x="217"/>
        <item x="75"/>
        <item x="12"/>
        <item x="148"/>
        <item x="269"/>
        <item x="35"/>
        <item x="205"/>
        <item x="163"/>
        <item x="206"/>
        <item x="193"/>
        <item x="104"/>
        <item x="112"/>
        <item x="115"/>
        <item x="232"/>
        <item x="197"/>
        <item x="219"/>
        <item x="116"/>
        <item x="249"/>
        <item x="108"/>
        <item x="230"/>
        <item x="222"/>
        <item x="44"/>
        <item x="285"/>
        <item x="158"/>
        <item x="156"/>
        <item x="36"/>
        <item x="130"/>
        <item x="224"/>
        <item x="117"/>
        <item x="29"/>
        <item x="165"/>
        <item x="226"/>
        <item x="141"/>
        <item x="13"/>
        <item x="166"/>
        <item x="155"/>
        <item x="278"/>
        <item x="169"/>
        <item x="223"/>
        <item x="28"/>
        <item x="26"/>
        <item x="173"/>
        <item x="147"/>
        <item x="10"/>
        <item x="160"/>
        <item x="68"/>
        <item x="17"/>
        <item x="170"/>
        <item x="176"/>
        <item x="144"/>
        <item x="65"/>
        <item x="161"/>
        <item x="89"/>
        <item x="253"/>
        <item x="290"/>
        <item x="240"/>
        <item x="252"/>
        <item x="281"/>
        <item x="245"/>
        <item x="100"/>
        <item x="171"/>
        <item x="157"/>
        <item x="192"/>
        <item x="236"/>
        <item x="207"/>
        <item x="212"/>
        <item x="11"/>
        <item x="218"/>
        <item x="186"/>
        <item x="55"/>
        <item x="61"/>
        <item x="67"/>
        <item x="234"/>
        <item x="200"/>
        <item x="1"/>
        <item x="246"/>
        <item x="244"/>
        <item x="121"/>
        <item x="221"/>
        <item x="16"/>
        <item x="102"/>
        <item x="46"/>
        <item x="118"/>
        <item x="62"/>
        <item x="22"/>
        <item x="98"/>
        <item x="92"/>
        <item x="203"/>
        <item x="228"/>
        <item x="210"/>
        <item x="77"/>
        <item x="183"/>
        <item x="85"/>
        <item x="79"/>
        <item x="225"/>
        <item x="123"/>
        <item x="196"/>
        <item x="201"/>
        <item x="90"/>
        <item x="43"/>
        <item x="19"/>
        <item x="241"/>
        <item x="153"/>
        <item x="258"/>
        <item x="32"/>
        <item x="172"/>
        <item x="139"/>
        <item x="59"/>
        <item x="31"/>
        <item x="138"/>
        <item x="93"/>
        <item x="145"/>
        <item x="52"/>
        <item x="132"/>
        <item x="194"/>
        <item x="140"/>
        <item x="124"/>
        <item x="40"/>
        <item x="51"/>
        <item x="248"/>
        <item x="4"/>
        <item x="76"/>
        <item x="184"/>
        <item x="227"/>
        <item x="180"/>
        <item x="110"/>
        <item x="8"/>
        <item x="106"/>
        <item x="146"/>
        <item x="30"/>
        <item x="174"/>
        <item x="60"/>
        <item x="276"/>
        <item x="175"/>
        <item x="122"/>
        <item x="185"/>
        <item x="15"/>
        <item x="119"/>
        <item x="143"/>
        <item x="125"/>
        <item x="268"/>
        <item x="187"/>
        <item x="257"/>
        <item x="83"/>
        <item x="235"/>
        <item x="149"/>
        <item x="199"/>
        <item x="267"/>
        <item x="18"/>
        <item x="48"/>
        <item x="136"/>
        <item x="39"/>
        <item x="142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t="default"/>
      </items>
    </pivotField>
    <pivotField name="comment" axis="axisPage" compact="0" outline="0" multipleItemSelectionAllowed="1" showAll="0">
      <items>
        <item h="1" x="0"/>
        <item h="1" x="1"/>
        <item h="1"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t="default"/>
      </items>
    </pivotField>
  </pivotFields>
  <rowFields>
    <field x="3"/>
  </rowFields>
  <pageFields>
    <pageField fld="10"/>
  </pageFields>
  <dataFields>
    <dataField name="COUNTA of fullName" fld="1" subtotal="count" baseField="0"/>
  </dataFields>
</pivotTableDefinition>
</file>

<file path=xl/pivotTables/pivotTable11.xml><?xml version="1.0" encoding="utf-8"?>
<pivotTableDefinition xmlns="http://schemas.openxmlformats.org/spreadsheetml/2006/main" name="tmp" cacheId="6" dataCaption="" compact="0" compactData="0">
  <location ref="A3:D11" firstHeaderRow="0" firstDataRow="1" firstDataCol="1" rowPageCount="1" colPageCount="1"/>
  <pivotFields>
    <pivotField name="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t="default"/>
      </items>
    </pivotField>
    <pivotField name="fullName" axis="axisRow" dataField="1" compact="0" outline="0" multipleItemSelectionAllowed="1" showAll="0" sortType="ascending">
      <items>
        <item x="1202"/>
        <item x="610"/>
        <item x="53"/>
        <item x="1158"/>
        <item x="662"/>
        <item x="650"/>
        <item x="54"/>
        <item x="542"/>
        <item x="55"/>
        <item x="696"/>
        <item x="528"/>
        <item x="1142"/>
        <item x="56"/>
        <item x="57"/>
        <item x="663"/>
        <item x="58"/>
        <item x="651"/>
        <item x="652"/>
        <item x="1141"/>
        <item x="1157"/>
        <item x="1144"/>
        <item x="551"/>
        <item x="529"/>
        <item x="552"/>
        <item x="553"/>
        <item x="554"/>
        <item x="1145"/>
        <item x="59"/>
        <item x="60"/>
        <item x="664"/>
        <item x="1175"/>
        <item x="1176"/>
        <item x="1122"/>
        <item x="61"/>
        <item x="1125"/>
        <item x="665"/>
        <item x="666"/>
        <item x="1177"/>
        <item x="1150"/>
        <item x="1151"/>
        <item x="62"/>
        <item x="63"/>
        <item x="667"/>
        <item x="64"/>
        <item x="1149"/>
        <item x="668"/>
        <item x="555"/>
        <item x="527"/>
        <item x="1143"/>
        <item x="1178"/>
        <item x="65"/>
        <item x="66"/>
        <item x="530"/>
        <item x="1148"/>
        <item x="556"/>
        <item x="1147"/>
        <item x="669"/>
        <item x="1174"/>
        <item x="623"/>
        <item x="557"/>
        <item x="558"/>
        <item x="67"/>
        <item x="670"/>
        <item x="68"/>
        <item x="69"/>
        <item x="671"/>
        <item x="70"/>
        <item x="697"/>
        <item x="71"/>
        <item x="531"/>
        <item x="1146"/>
        <item x="698"/>
        <item x="105"/>
        <item x="106"/>
        <item x="677"/>
        <item x="712"/>
        <item x="75"/>
        <item x="713"/>
        <item x="714"/>
        <item x="715"/>
        <item x="107"/>
        <item x="1085"/>
        <item x="108"/>
        <item x="109"/>
        <item x="1124"/>
        <item x="729"/>
        <item x="110"/>
        <item x="1015"/>
        <item x="111"/>
        <item x="908"/>
        <item x="889"/>
        <item x="112"/>
        <item x="113"/>
        <item x="444"/>
        <item x="445"/>
        <item x="930"/>
        <item x="446"/>
        <item x="447"/>
        <item x="114"/>
        <item x="978"/>
        <item x="979"/>
        <item x="1055"/>
        <item x="115"/>
        <item x="1086"/>
        <item x="1123"/>
        <item x="931"/>
        <item x="116"/>
        <item x="1050"/>
        <item x="932"/>
        <item x="117"/>
        <item x="678"/>
        <item x="846"/>
        <item x="1057"/>
        <item x="118"/>
        <item x="119"/>
        <item x="559"/>
        <item x="560"/>
        <item x="120"/>
        <item x="1137"/>
        <item x="561"/>
        <item x="950"/>
        <item x="828"/>
        <item x="40"/>
        <item x="24"/>
        <item x="25"/>
        <item x="829"/>
        <item x="730"/>
        <item x="731"/>
        <item x="448"/>
        <item x="121"/>
        <item x="1071"/>
        <item x="980"/>
        <item x="122"/>
        <item x="41"/>
        <item x="672"/>
        <item x="0"/>
        <item x="1171"/>
        <item x="449"/>
        <item x="562"/>
        <item x="123"/>
        <item x="124"/>
        <item x="125"/>
        <item x="126"/>
        <item x="127"/>
        <item x="1058"/>
        <item x="128"/>
        <item x="129"/>
        <item x="130"/>
        <item x="1133"/>
        <item x="131"/>
        <item x="132"/>
        <item x="133"/>
        <item x="136"/>
        <item x="847"/>
        <item x="134"/>
        <item x="1103"/>
        <item x="732"/>
        <item x="1016"/>
        <item x="679"/>
        <item x="135"/>
        <item x="848"/>
        <item x="563"/>
        <item x="564"/>
        <item x="1191"/>
        <item x="1007"/>
        <item x="909"/>
        <item x="26"/>
        <item x="532"/>
        <item x="533"/>
        <item x="742"/>
        <item x="1"/>
        <item x="951"/>
        <item x="981"/>
        <item x="197"/>
        <item x="137"/>
        <item x="611"/>
        <item x="1192"/>
        <item x="743"/>
        <item x="78"/>
        <item x="952"/>
        <item x="1167"/>
        <item x="733"/>
        <item x="1168"/>
        <item x="1059"/>
        <item x="138"/>
        <item x="139"/>
        <item x="89"/>
        <item x="565"/>
        <item x="140"/>
        <item x="716"/>
        <item x="717"/>
        <item x="718"/>
        <item x="719"/>
        <item x="142"/>
        <item x="849"/>
        <item x="143"/>
        <item x="566"/>
        <item x="744"/>
        <item x="1130"/>
        <item x="745"/>
        <item x="1105"/>
        <item x="144"/>
        <item x="891"/>
        <item x="145"/>
        <item x="146"/>
        <item x="147"/>
        <item x="887"/>
        <item x="27"/>
        <item x="850"/>
        <item x="746"/>
        <item x="450"/>
        <item x="148"/>
        <item x="149"/>
        <item x="567"/>
        <item x="568"/>
        <item x="1054"/>
        <item x="79"/>
        <item x="80"/>
        <item x="81"/>
        <item x="150"/>
        <item x="953"/>
        <item x="151"/>
        <item x="152"/>
        <item x="1063"/>
        <item x="747"/>
        <item x="1051"/>
        <item x="153"/>
        <item x="154"/>
        <item x="155"/>
        <item x="851"/>
        <item x="852"/>
        <item x="681"/>
        <item x="653"/>
        <item x="954"/>
        <item x="748"/>
        <item x="156"/>
        <item x="893"/>
        <item x="157"/>
        <item x="749"/>
        <item x="1072"/>
        <item x="734"/>
        <item x="1073"/>
        <item x="750"/>
        <item x="982"/>
        <item x="569"/>
        <item x="451"/>
        <item x="1044"/>
        <item x="1193"/>
        <item x="158"/>
        <item x="159"/>
        <item x="910"/>
        <item x="160"/>
        <item x="1179"/>
        <item x="161"/>
        <item x="162"/>
        <item x="163"/>
        <item x="164"/>
        <item x="165"/>
        <item x="751"/>
        <item x="830"/>
        <item x="831"/>
        <item x="752"/>
        <item x="166"/>
        <item x="167"/>
        <item x="168"/>
        <item x="169"/>
        <item x="853"/>
        <item x="1106"/>
        <item x="170"/>
        <item x="171"/>
        <item x="699"/>
        <item x="172"/>
        <item x="2"/>
        <item x="173"/>
        <item x="753"/>
        <item x="452"/>
        <item x="453"/>
        <item x="454"/>
        <item x="455"/>
        <item x="456"/>
        <item x="457"/>
        <item x="458"/>
        <item x="174"/>
        <item x="459"/>
        <item x="460"/>
        <item x="832"/>
        <item x="933"/>
        <item x="3"/>
        <item x="754"/>
        <item x="1087"/>
        <item x="983"/>
        <item x="175"/>
        <item x="176"/>
        <item x="720"/>
        <item x="1074"/>
        <item x="570"/>
        <item x="755"/>
        <item x="177"/>
        <item x="984"/>
        <item x="1088"/>
        <item x="1036"/>
        <item x="178"/>
        <item x="179"/>
        <item x="624"/>
        <item x="180"/>
        <item x="181"/>
        <item x="833"/>
        <item x="756"/>
        <item x="90"/>
        <item x="91"/>
        <item x="928"/>
        <item x="757"/>
        <item x="890"/>
        <item x="834"/>
        <item x="758"/>
        <item x="1075"/>
        <item x="182"/>
        <item x="911"/>
        <item x="183"/>
        <item x="461"/>
        <item x="184"/>
        <item x="185"/>
        <item x="4"/>
        <item x="625"/>
        <item x="186"/>
        <item x="854"/>
        <item x="187"/>
        <item x="1181"/>
        <item x="42"/>
        <item x="759"/>
        <item x="188"/>
        <item x="462"/>
        <item x="463"/>
        <item x="464"/>
        <item x="760"/>
        <item x="912"/>
        <item x="189"/>
        <item x="1165"/>
        <item x="190"/>
        <item x="191"/>
        <item x="192"/>
        <item x="82"/>
        <item x="1017"/>
        <item x="1076"/>
        <item x="193"/>
        <item x="571"/>
        <item x="572"/>
        <item x="1060"/>
        <item x="721"/>
        <item x="1164"/>
        <item x="1107"/>
        <item x="465"/>
        <item x="1089"/>
        <item x="1018"/>
        <item x="612"/>
        <item x="934"/>
        <item x="194"/>
        <item x="195"/>
        <item x="196"/>
        <item x="761"/>
        <item x="198"/>
        <item x="199"/>
        <item x="200"/>
        <item x="1019"/>
        <item x="201"/>
        <item x="762"/>
        <item x="1045"/>
        <item x="202"/>
        <item x="5"/>
        <item x="6"/>
        <item x="680"/>
        <item x="203"/>
        <item x="763"/>
        <item x="1169"/>
        <item x="764"/>
        <item x="722"/>
        <item x="673"/>
        <item x="204"/>
        <item x="765"/>
        <item x="766"/>
        <item x="767"/>
        <item x="1159"/>
        <item x="466"/>
        <item x="467"/>
        <item x="543"/>
        <item x="985"/>
        <item x="205"/>
        <item x="1197"/>
        <item x="43"/>
        <item x="206"/>
        <item x="207"/>
        <item x="573"/>
        <item x="574"/>
        <item x="208"/>
        <item x="1090"/>
        <item x="913"/>
        <item x="986"/>
        <item x="209"/>
        <item x="210"/>
        <item x="211"/>
        <item x="735"/>
        <item x="736"/>
        <item x="212"/>
        <item x="213"/>
        <item x="626"/>
        <item x="575"/>
        <item x="576"/>
        <item x="1108"/>
        <item x="1009"/>
        <item x="214"/>
        <item x="215"/>
        <item x="216"/>
        <item x="700"/>
        <item x="217"/>
        <item x="987"/>
        <item x="218"/>
        <item x="658"/>
        <item x="768"/>
        <item x="855"/>
        <item x="468"/>
        <item x="1180"/>
        <item x="769"/>
        <item x="1056"/>
        <item x="219"/>
        <item x="220"/>
        <item x="221"/>
        <item x="988"/>
        <item x="222"/>
        <item x="28"/>
        <item x="989"/>
        <item x="856"/>
        <item x="627"/>
        <item x="1091"/>
        <item x="7"/>
        <item x="8"/>
        <item x="223"/>
        <item x="224"/>
        <item x="469"/>
        <item x="1195"/>
        <item x="225"/>
        <item x="470"/>
        <item x="770"/>
        <item x="577"/>
        <item x="226"/>
        <item x="227"/>
        <item x="771"/>
        <item x="228"/>
        <item x="229"/>
        <item x="230"/>
        <item x="990"/>
        <item x="231"/>
        <item x="772"/>
        <item x="232"/>
        <item x="902"/>
        <item x="233"/>
        <item x="857"/>
        <item x="894"/>
        <item x="955"/>
        <item x="234"/>
        <item x="1020"/>
        <item x="235"/>
        <item x="773"/>
        <item x="236"/>
        <item x="237"/>
        <item x="628"/>
        <item x="629"/>
        <item x="238"/>
        <item x="1161"/>
        <item x="1153"/>
        <item x="991"/>
        <item x="1200"/>
        <item x="1132"/>
        <item x="239"/>
        <item x="880"/>
        <item x="956"/>
        <item x="92"/>
        <item x="1126"/>
        <item x="1131"/>
        <item x="240"/>
        <item x="241"/>
        <item x="1134"/>
        <item x="1128"/>
        <item x="471"/>
        <item x="1021"/>
        <item x="935"/>
        <item x="472"/>
        <item x="473"/>
        <item x="858"/>
        <item x="1092"/>
        <item x="929"/>
        <item x="242"/>
        <item x="674"/>
        <item x="243"/>
        <item x="474"/>
        <item x="475"/>
        <item x="476"/>
        <item x="244"/>
        <item x="245"/>
        <item x="630"/>
        <item x="246"/>
        <item x="83"/>
        <item x="247"/>
        <item x="774"/>
        <item x="957"/>
        <item x="859"/>
        <item x="248"/>
        <item x="9"/>
        <item x="1037"/>
        <item x="249"/>
        <item x="1135"/>
        <item x="250"/>
        <item x="1127"/>
        <item x="1109"/>
        <item x="477"/>
        <item x="478"/>
        <item x="479"/>
        <item x="29"/>
        <item x="578"/>
        <item x="682"/>
        <item x="1038"/>
        <item x="251"/>
        <item x="1022"/>
        <item x="252"/>
        <item x="253"/>
        <item x="895"/>
        <item x="896"/>
        <item x="254"/>
        <item x="255"/>
        <item x="579"/>
        <item x="580"/>
        <item x="256"/>
        <item x="723"/>
        <item x="257"/>
        <item x="258"/>
        <item x="260"/>
        <item x="259"/>
        <item x="480"/>
        <item x="613"/>
        <item x="614"/>
        <item x="775"/>
        <item x="615"/>
        <item x="616"/>
        <item x="93"/>
        <item x="261"/>
        <item x="581"/>
        <item x="442"/>
        <item x="262"/>
        <item x="582"/>
        <item x="1023"/>
        <item x="776"/>
        <item x="1110"/>
        <item x="1111"/>
        <item x="481"/>
        <item x="263"/>
        <item x="264"/>
        <item x="94"/>
        <item x="265"/>
        <item x="544"/>
        <item x="545"/>
        <item x="546"/>
        <item x="11"/>
        <item x="701"/>
        <item x="936"/>
        <item x="266"/>
        <item x="72"/>
        <item x="267"/>
        <item x="73"/>
        <item x="74"/>
        <item x="860"/>
        <item x="1136"/>
        <item x="268"/>
        <item x="992"/>
        <item x="777"/>
        <item x="1012"/>
        <item x="547"/>
        <item x="958"/>
        <item x="724"/>
        <item x="12"/>
        <item x="10"/>
        <item x="269"/>
        <item x="270"/>
        <item x="13"/>
        <item x="1112"/>
        <item x="271"/>
        <item x="861"/>
        <item x="14"/>
        <item x="1052"/>
        <item x="272"/>
        <item x="273"/>
        <item x="1061"/>
        <item x="1162"/>
        <item x="959"/>
        <item x="30"/>
        <item x="274"/>
        <item x="1190"/>
        <item x="583"/>
        <item x="275"/>
        <item x="584"/>
        <item x="482"/>
        <item x="585"/>
        <item x="483"/>
        <item x="484"/>
        <item x="1104"/>
        <item x="276"/>
        <item x="827"/>
        <item x="778"/>
        <item x="960"/>
        <item x="961"/>
        <item x="1113"/>
        <item x="683"/>
        <item x="702"/>
        <item x="962"/>
        <item x="31"/>
        <item x="914"/>
        <item x="659"/>
        <item x="277"/>
        <item x="684"/>
        <item x="915"/>
        <item x="278"/>
        <item x="835"/>
        <item x="279"/>
        <item x="631"/>
        <item x="993"/>
        <item x="485"/>
        <item x="963"/>
        <item x="15"/>
        <item x="16"/>
        <item x="779"/>
        <item x="1184"/>
        <item x="17"/>
        <item x="18"/>
        <item x="1185"/>
        <item x="280"/>
        <item x="994"/>
        <item x="937"/>
        <item x="780"/>
        <item x="862"/>
        <item x="781"/>
        <item x="84"/>
        <item x="85"/>
        <item x="938"/>
        <item x="863"/>
        <item x="782"/>
        <item x="281"/>
        <item x="1160"/>
        <item x="1064"/>
        <item x="282"/>
        <item x="283"/>
        <item x="284"/>
        <item x="285"/>
        <item x="939"/>
        <item x="486"/>
        <item x="286"/>
        <item x="783"/>
        <item x="1042"/>
        <item x="76"/>
        <item x="1196"/>
        <item x="1046"/>
        <item x="287"/>
        <item x="824"/>
        <item x="899"/>
        <item x="288"/>
        <item x="995"/>
        <item x="487"/>
        <item x="1067"/>
        <item x="784"/>
        <item x="289"/>
        <item x="657"/>
        <item x="290"/>
        <item x="95"/>
        <item x="785"/>
        <item x="864"/>
        <item x="1024"/>
        <item x="488"/>
        <item x="940"/>
        <item x="291"/>
        <item x="292"/>
        <item x="489"/>
        <item x="1129"/>
        <item x="293"/>
        <item x="490"/>
        <item x="996"/>
        <item x="294"/>
        <item x="617"/>
        <item x="295"/>
        <item x="632"/>
        <item x="1010"/>
        <item x="865"/>
        <item x="491"/>
        <item x="786"/>
        <item x="787"/>
        <item x="296"/>
        <item x="297"/>
        <item x="1198"/>
        <item x="788"/>
        <item x="44"/>
        <item x="737"/>
        <item x="685"/>
        <item x="1114"/>
        <item x="298"/>
        <item x="789"/>
        <item x="299"/>
        <item x="790"/>
        <item x="492"/>
        <item x="903"/>
        <item x="300"/>
        <item x="301"/>
        <item x="302"/>
        <item x="303"/>
        <item x="304"/>
        <item x="305"/>
        <item x="77"/>
        <item x="493"/>
        <item x="1077"/>
        <item x="306"/>
        <item x="307"/>
        <item x="633"/>
        <item x="1156"/>
        <item x="494"/>
        <item x="495"/>
        <item x="964"/>
        <item x="1115"/>
        <item x="916"/>
        <item x="866"/>
        <item x="308"/>
        <item x="791"/>
        <item x="965"/>
        <item x="917"/>
        <item x="1172"/>
        <item x="618"/>
        <item x="1025"/>
        <item x="586"/>
        <item x="738"/>
        <item x="309"/>
        <item x="867"/>
        <item x="32"/>
        <item x="33"/>
        <item x="310"/>
        <item x="311"/>
        <item x="312"/>
        <item x="660"/>
        <item x="918"/>
        <item x="313"/>
        <item x="868"/>
        <item x="314"/>
        <item x="997"/>
        <item x="919"/>
        <item x="998"/>
        <item x="654"/>
        <item x="655"/>
        <item x="686"/>
        <item x="1138"/>
        <item x="687"/>
        <item x="315"/>
        <item x="316"/>
        <item x="317"/>
        <item x="318"/>
        <item x="920"/>
        <item x="999"/>
        <item x="86"/>
        <item x="87"/>
        <item x="1194"/>
        <item x="634"/>
        <item x="1008"/>
        <item x="881"/>
        <item x="319"/>
        <item x="320"/>
        <item x="496"/>
        <item x="548"/>
        <item x="587"/>
        <item x="869"/>
        <item x="497"/>
        <item x="688"/>
        <item x="703"/>
        <item x="792"/>
        <item x="321"/>
        <item x="322"/>
        <item x="323"/>
        <item x="941"/>
        <item x="793"/>
        <item x="836"/>
        <item x="324"/>
        <item x="498"/>
        <item x="1026"/>
        <item x="499"/>
        <item x="325"/>
        <item x="326"/>
        <item x="921"/>
        <item x="794"/>
        <item x="327"/>
        <item x="689"/>
        <item x="1013"/>
        <item x="882"/>
        <item x="1140"/>
        <item x="19"/>
        <item x="795"/>
        <item x="500"/>
        <item x="1000"/>
        <item x="328"/>
        <item x="329"/>
        <item x="330"/>
        <item x="331"/>
        <item x="332"/>
        <item x="725"/>
        <item x="726"/>
        <item x="1166"/>
        <item x="96"/>
        <item x="1189"/>
        <item x="796"/>
        <item x="333"/>
        <item x="1014"/>
        <item x="1116"/>
        <item x="334"/>
        <item x="966"/>
        <item x="661"/>
        <item x="1093"/>
        <item x="797"/>
        <item x="1117"/>
        <item x="1078"/>
        <item x="922"/>
        <item x="635"/>
        <item x="335"/>
        <item x="45"/>
        <item x="20"/>
        <item x="534"/>
        <item x="535"/>
        <item x="1094"/>
        <item x="336"/>
        <item x="337"/>
        <item x="1066"/>
        <item x="798"/>
        <item x="923"/>
        <item x="1001"/>
        <item x="1027"/>
        <item x="501"/>
        <item x="690"/>
        <item x="636"/>
        <item x="338"/>
        <item x="339"/>
        <item x="892"/>
        <item x="1095"/>
        <item x="967"/>
        <item x="502"/>
        <item x="925"/>
        <item x="340"/>
        <item x="799"/>
        <item x="341"/>
        <item x="870"/>
        <item x="342"/>
        <item x="343"/>
        <item x="1182"/>
        <item x="871"/>
        <item x="141"/>
        <item x="977"/>
        <item x="344"/>
        <item x="345"/>
        <item x="346"/>
        <item x="888"/>
        <item x="968"/>
        <item x="347"/>
        <item x="837"/>
        <item x="1154"/>
        <item x="503"/>
        <item x="838"/>
        <item x="88"/>
        <item x="691"/>
        <item x="692"/>
        <item x="348"/>
        <item x="900"/>
        <item x="885"/>
        <item x="504"/>
        <item x="349"/>
        <item x="536"/>
        <item x="537"/>
        <item x="693"/>
        <item x="350"/>
        <item x="351"/>
        <item x="872"/>
        <item x="943"/>
        <item x="505"/>
        <item x="506"/>
        <item x="507"/>
        <item x="508"/>
        <item x="637"/>
        <item x="638"/>
        <item x="639"/>
        <item x="640"/>
        <item x="641"/>
        <item x="642"/>
        <item x="643"/>
        <item x="644"/>
        <item x="1068"/>
        <item x="1069"/>
        <item x="1028"/>
        <item x="352"/>
        <item x="509"/>
        <item x="353"/>
        <item x="354"/>
        <item x="355"/>
        <item x="800"/>
        <item x="356"/>
        <item x="549"/>
        <item x="1118"/>
        <item x="883"/>
        <item x="801"/>
        <item x="739"/>
        <item x="357"/>
        <item x="358"/>
        <item x="704"/>
        <item x="802"/>
        <item x="803"/>
        <item x="804"/>
        <item x="359"/>
        <item x="1199"/>
        <item x="360"/>
        <item x="361"/>
        <item x="924"/>
        <item x="805"/>
        <item x="1029"/>
        <item x="362"/>
        <item x="363"/>
        <item x="806"/>
        <item x="364"/>
        <item x="944"/>
        <item x="365"/>
        <item x="366"/>
        <item x="619"/>
        <item x="588"/>
        <item x="904"/>
        <item x="1152"/>
        <item x="945"/>
        <item x="1030"/>
        <item x="1002"/>
        <item x="367"/>
        <item x="368"/>
        <item x="873"/>
        <item x="620"/>
        <item x="621"/>
        <item x="645"/>
        <item x="369"/>
        <item x="675"/>
        <item x="727"/>
        <item x="370"/>
        <item x="1062"/>
        <item x="371"/>
        <item x="21"/>
        <item x="372"/>
        <item x="1047"/>
        <item x="705"/>
        <item x="46"/>
        <item x="706"/>
        <item x="1186"/>
        <item x="656"/>
        <item x="373"/>
        <item x="707"/>
        <item x="1079"/>
        <item x="374"/>
        <item x="375"/>
        <item x="1048"/>
        <item x="874"/>
        <item x="510"/>
        <item x="376"/>
        <item x="1031"/>
        <item x="589"/>
        <item x="590"/>
        <item x="591"/>
        <item x="592"/>
        <item x="875"/>
        <item x="839"/>
        <item x="946"/>
        <item x="377"/>
        <item x="1043"/>
        <item x="593"/>
        <item x="594"/>
        <item x="378"/>
        <item x="905"/>
        <item x="379"/>
        <item x="1188"/>
        <item x="886"/>
        <item x="694"/>
        <item x="708"/>
        <item x="380"/>
        <item x="511"/>
        <item x="876"/>
        <item x="381"/>
        <item x="512"/>
        <item x="382"/>
        <item x="728"/>
        <item x="383"/>
        <item x="1163"/>
        <item x="595"/>
        <item x="384"/>
        <item x="807"/>
        <item x="385"/>
        <item x="840"/>
        <item x="906"/>
        <item x="740"/>
        <item x="808"/>
        <item x="34"/>
        <item x="1096"/>
        <item x="596"/>
        <item x="1032"/>
        <item x="809"/>
        <item x="810"/>
        <item x="926"/>
        <item x="741"/>
        <item x="811"/>
        <item x="812"/>
        <item x="1003"/>
        <item x="813"/>
        <item x="386"/>
        <item x="387"/>
        <item x="388"/>
        <item x="1097"/>
        <item x="97"/>
        <item x="513"/>
        <item x="1098"/>
        <item x="389"/>
        <item x="98"/>
        <item x="22"/>
        <item x="1187"/>
        <item x="390"/>
        <item x="597"/>
        <item x="598"/>
        <item x="599"/>
        <item x="600"/>
        <item x="601"/>
        <item x="814"/>
        <item x="1011"/>
        <item x="709"/>
        <item x="514"/>
        <item x="1119"/>
        <item x="391"/>
        <item x="392"/>
        <item x="538"/>
        <item x="35"/>
        <item x="393"/>
        <item x="815"/>
        <item x="515"/>
        <item x="516"/>
        <item x="99"/>
        <item x="517"/>
        <item x="1065"/>
        <item x="394"/>
        <item x="1004"/>
        <item x="1033"/>
        <item x="395"/>
        <item x="396"/>
        <item x="927"/>
        <item x="397"/>
        <item x="969"/>
        <item x="398"/>
        <item x="399"/>
        <item x="539"/>
        <item x="518"/>
        <item x="540"/>
        <item x="47"/>
        <item x="48"/>
        <item x="49"/>
        <item x="50"/>
        <item x="602"/>
        <item x="646"/>
        <item x="1170"/>
        <item x="1005"/>
        <item x="519"/>
        <item x="36"/>
        <item x="1080"/>
        <item x="520"/>
        <item x="37"/>
        <item x="970"/>
        <item x="877"/>
        <item x="676"/>
        <item x="1183"/>
        <item x="845"/>
        <item x="816"/>
        <item x="400"/>
        <item x="603"/>
        <item x="817"/>
        <item x="401"/>
        <item x="100"/>
        <item x="101"/>
        <item x="402"/>
        <item x="403"/>
        <item x="404"/>
        <item x="841"/>
        <item x="1099"/>
        <item x="1173"/>
        <item x="405"/>
        <item x="102"/>
        <item x="1049"/>
        <item x="1070"/>
        <item x="842"/>
        <item x="1081"/>
        <item x="406"/>
        <item x="407"/>
        <item x="878"/>
        <item x="550"/>
        <item x="622"/>
        <item x="604"/>
        <item x="1006"/>
        <item x="1034"/>
        <item x="947"/>
        <item x="1039"/>
        <item x="408"/>
        <item x="409"/>
        <item x="23"/>
        <item x="410"/>
        <item x="971"/>
        <item x="972"/>
        <item x="973"/>
        <item x="541"/>
        <item x="521"/>
        <item x="605"/>
        <item x="974"/>
        <item x="975"/>
        <item x="1035"/>
        <item x="818"/>
        <item x="412"/>
        <item x="411"/>
        <item x="819"/>
        <item x="51"/>
        <item x="522"/>
        <item x="820"/>
        <item x="821"/>
        <item x="38"/>
        <item x="413"/>
        <item x="414"/>
        <item x="415"/>
        <item x="1139"/>
        <item x="416"/>
        <item x="417"/>
        <item x="1040"/>
        <item x="884"/>
        <item x="606"/>
        <item x="607"/>
        <item x="418"/>
        <item x="879"/>
        <item x="419"/>
        <item x="523"/>
        <item x="608"/>
        <item x="1053"/>
        <item x="609"/>
        <item x="1041"/>
        <item x="695"/>
        <item x="420"/>
        <item x="897"/>
        <item x="822"/>
        <item x="421"/>
        <item x="948"/>
        <item x="422"/>
        <item x="423"/>
        <item x="901"/>
        <item x="424"/>
        <item x="647"/>
        <item x="648"/>
        <item x="425"/>
        <item x="426"/>
        <item x="427"/>
        <item x="823"/>
        <item x="428"/>
        <item x="1100"/>
        <item x="942"/>
        <item x="907"/>
        <item x="429"/>
        <item x="430"/>
        <item x="1082"/>
        <item x="710"/>
        <item x="1083"/>
        <item x="431"/>
        <item x="949"/>
        <item x="1084"/>
        <item x="1101"/>
        <item x="432"/>
        <item x="1120"/>
        <item x="843"/>
        <item x="711"/>
        <item x="433"/>
        <item x="103"/>
        <item x="649"/>
        <item x="434"/>
        <item x="976"/>
        <item x="443"/>
        <item x="435"/>
        <item x="825"/>
        <item x="1102"/>
        <item x="826"/>
        <item x="104"/>
        <item x="436"/>
        <item x="1121"/>
        <item x="524"/>
        <item x="1155"/>
        <item x="525"/>
        <item x="526"/>
        <item x="844"/>
        <item x="1201"/>
        <item x="437"/>
        <item x="438"/>
        <item x="439"/>
        <item x="52"/>
        <item x="440"/>
        <item x="441"/>
        <item x="39"/>
        <item x="8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residence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t="default"/>
      </items>
    </pivotField>
    <pivotField name="sex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itizen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ra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location" axis="axisCol" compact="0" outline="0" multipleItemSelectionAllowed="1" showAll="0" sortType="ascending">
      <items>
        <item x="169"/>
        <item x="158"/>
        <item x="98"/>
        <item x="2"/>
        <item x="3"/>
        <item x="100"/>
        <item x="166"/>
        <item x="56"/>
        <item x="157"/>
        <item x="35"/>
        <item x="167"/>
        <item x="143"/>
        <item x="55"/>
        <item x="87"/>
        <item x="128"/>
        <item x="44"/>
        <item x="53"/>
        <item x="152"/>
        <item x="150"/>
        <item x="18"/>
        <item x="96"/>
        <item x="72"/>
        <item x="164"/>
        <item x="155"/>
        <item x="21"/>
        <item x="6"/>
        <item x="5"/>
        <item x="7"/>
        <item x="93"/>
        <item x="26"/>
        <item x="135"/>
        <item x="47"/>
        <item x="162"/>
        <item x="151"/>
        <item x="160"/>
        <item x="9"/>
        <item x="25"/>
        <item x="81"/>
        <item x="149"/>
        <item x="134"/>
        <item x="82"/>
        <item x="61"/>
        <item x="140"/>
        <item x="68"/>
        <item x="48"/>
        <item x="97"/>
        <item x="23"/>
        <item x="99"/>
        <item x="24"/>
        <item x="119"/>
        <item x="121"/>
        <item x="146"/>
        <item x="32"/>
        <item x="126"/>
        <item x="103"/>
        <item x="125"/>
        <item x="129"/>
        <item x="105"/>
        <item x="120"/>
        <item x="113"/>
        <item x="107"/>
        <item x="136"/>
        <item x="138"/>
        <item x="132"/>
        <item x="104"/>
        <item x="131"/>
        <item x="133"/>
        <item x="111"/>
        <item x="123"/>
        <item x="108"/>
        <item x="109"/>
        <item x="110"/>
        <item x="117"/>
        <item x="64"/>
        <item x="67"/>
        <item x="114"/>
        <item x="27"/>
        <item x="34"/>
        <item x="77"/>
        <item x="118"/>
        <item x="137"/>
        <item x="127"/>
        <item x="159"/>
        <item x="165"/>
        <item x="45"/>
        <item x="38"/>
        <item x="36"/>
        <item x="29"/>
        <item x="63"/>
        <item x="51"/>
        <item x="50"/>
        <item x="60"/>
        <item x="106"/>
        <item x="112"/>
        <item x="88"/>
        <item x="147"/>
        <item x="76"/>
        <item x="80"/>
        <item x="124"/>
        <item x="163"/>
        <item x="85"/>
        <item x="86"/>
        <item x="11"/>
        <item x="20"/>
        <item x="89"/>
        <item x="28"/>
        <item x="10"/>
        <item x="101"/>
        <item x="90"/>
        <item x="141"/>
        <item x="130"/>
        <item x="71"/>
        <item x="122"/>
        <item x="161"/>
        <item x="139"/>
        <item x="39"/>
        <item x="79"/>
        <item x="14"/>
        <item x="16"/>
        <item x="43"/>
        <item x="30"/>
        <item x="74"/>
        <item x="49"/>
        <item x="46"/>
        <item x="156"/>
        <item x="154"/>
        <item x="83"/>
        <item x="91"/>
        <item x="58"/>
        <item x="59"/>
        <item x="148"/>
        <item x="22"/>
        <item x="142"/>
        <item x="8"/>
        <item x="95"/>
        <item x="41"/>
        <item x="65"/>
        <item x="40"/>
        <item x="52"/>
        <item x="42"/>
        <item x="66"/>
        <item x="62"/>
        <item x="69"/>
        <item x="33"/>
        <item x="57"/>
        <item x="37"/>
        <item x="70"/>
        <item x="54"/>
        <item x="73"/>
        <item x="102"/>
        <item x="12"/>
        <item x="17"/>
        <item x="0"/>
        <item x="145"/>
        <item x="1"/>
        <item x="78"/>
        <item x="4"/>
        <item x="115"/>
        <item x="15"/>
        <item x="144"/>
        <item x="75"/>
        <item x="92"/>
        <item x="84"/>
        <item x="168"/>
        <item x="153"/>
        <item x="13"/>
        <item x="19"/>
        <item x="94"/>
        <item x="116"/>
        <item x="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ent" compact="0" outline="0" multipleItemSelectionAllowed="1" showAll="0">
      <items>
        <item x="0"/>
        <item x="1"/>
        <item x="2"/>
        <item x="3"/>
        <item t="default"/>
      </items>
    </pivotField>
    <pivotField name="e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8"/>
  </colFields>
  <pageFields>
    <pageField fld="3"/>
  </pageFields>
  <dataFields>
    <dataField name="COUNTA of fullName" fld="1" subtotal="count" baseField="0"/>
  </dataFields>
</pivotTableDefinition>
</file>

<file path=xl/tables/table1.xml><?xml version="1.0" encoding="utf-8"?>
<table xmlns="http://schemas.openxmlformats.org/spreadsheetml/2006/main" ref="A1:L1204" displayName="Table1" name="Table1" id="1">
  <tableColumns count="12">
    <tableColumn name="pid" id="1"/>
    <tableColumn name="fullName" id="2"/>
    <tableColumn name="age" id="3"/>
    <tableColumn name="residence" id="4"/>
    <tableColumn name="sex" id="5"/>
    <tableColumn name="citizenGroup" id="6"/>
    <tableColumn name="rank" id="7"/>
    <tableColumn name="date" id="8"/>
    <tableColumn name="location" id="9"/>
    <tableColumn name="category" id="10"/>
    <tableColumn name="comment" id="11"/>
    <tableColumn name="eng" id="12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yuvharpaz" TargetMode="External"/><Relationship Id="rId2" Type="http://schemas.openxmlformats.org/officeDocument/2006/relationships/hyperlink" Target="https://yuval-harpaz.github.io/alarms/oct_7_9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pivotTable" Target="../pivotTables/pivotTable8.xm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pivotTable" Target="../pivotTables/pivotTable10.xm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21.0"/>
    <col customWidth="1" min="3" max="3" width="5.88"/>
    <col customWidth="1" min="4" max="4" width="10.5"/>
    <col customWidth="1" min="5" max="5" width="6.13"/>
    <col customWidth="1" min="6" max="6" width="11.5"/>
    <col customWidth="1" min="7" max="7" width="7.38"/>
    <col customWidth="1" min="8" max="8" width="10.25"/>
    <col customWidth="1" min="9" max="9" width="16.75"/>
    <col customWidth="1" min="10" max="10" width="22.5"/>
    <col customWidth="1" min="12" max="12" width="20.25"/>
  </cols>
  <sheetData>
    <row r="1">
      <c r="A1" s="1" t="str">
        <f>IFERROR(__xludf.DUMMYFUNCTION("IMPORTDATA(""https://raw.githubusercontent.com/yuval-harpaz/alarms/master/data/oct_7_9.csv"")"),"pid")</f>
        <v>pid</v>
      </c>
      <c r="B1" s="2" t="str">
        <f>IFERROR(__xludf.DUMMYFUNCTION("""COMPUTED_VALUE"""),"fullName")</f>
        <v>fullName</v>
      </c>
      <c r="C1" s="3" t="str">
        <f>IFERROR(__xludf.DUMMYFUNCTION("""COMPUTED_VALUE"""),"age")</f>
        <v>age</v>
      </c>
      <c r="D1" s="3" t="str">
        <f>IFERROR(__xludf.DUMMYFUNCTION("""COMPUTED_VALUE"""),"residence")</f>
        <v>residence</v>
      </c>
      <c r="E1" s="3" t="str">
        <f>IFERROR(__xludf.DUMMYFUNCTION("""COMPUTED_VALUE"""),"sex")</f>
        <v>sex</v>
      </c>
      <c r="F1" s="3" t="str">
        <f>IFERROR(__xludf.DUMMYFUNCTION("""COMPUTED_VALUE"""),"citizenGroup")</f>
        <v>citizenGroup</v>
      </c>
      <c r="G1" s="3" t="str">
        <f>IFERROR(__xludf.DUMMYFUNCTION("""COMPUTED_VALUE"""),"rank")</f>
        <v>rank</v>
      </c>
      <c r="H1" s="3" t="str">
        <f>IFERROR(__xludf.DUMMYFUNCTION("""COMPUTED_VALUE"""),"date")</f>
        <v>date</v>
      </c>
      <c r="I1" s="2" t="str">
        <f>IFERROR(__xludf.DUMMYFUNCTION("""COMPUTED_VALUE"""),"location")</f>
        <v>location</v>
      </c>
      <c r="J1" s="4" t="str">
        <f>IFERROR(__xludf.DUMMYFUNCTION("""COMPUTED_VALUE"""),"category")</f>
        <v>category</v>
      </c>
      <c r="K1" s="3" t="str">
        <f>IFERROR(__xludf.DUMMYFUNCTION("""COMPUTED_VALUE"""),"comment")</f>
        <v>comment</v>
      </c>
      <c r="L1" s="3" t="str">
        <f>IFERROR(__xludf.DUMMYFUNCTION("""COMPUTED_VALUE"""),"eng")</f>
        <v>eng</v>
      </c>
      <c r="M1" s="3" t="s">
        <v>0</v>
      </c>
      <c r="N1" s="5" t="s">
        <v>0</v>
      </c>
    </row>
    <row r="2">
      <c r="A2" s="3">
        <f>IFERROR(__xludf.DUMMYFUNCTION("""COMPUTED_VALUE"""),1719.0)</f>
        <v>1719</v>
      </c>
      <c r="B2" s="4" t="str">
        <f>IFERROR(__xludf.DUMMYFUNCTION("""COMPUTED_VALUE"""),"אוסטרובסקי מיכאל")</f>
        <v>אוסטרובסקי מיכאל</v>
      </c>
      <c r="C2" s="3">
        <f>IFERROR(__xludf.DUMMYFUNCTION("""COMPUTED_VALUE"""),77.0)</f>
        <v>77</v>
      </c>
      <c r="D2" s="5" t="str">
        <f>IFERROR(__xludf.DUMMYFUNCTION("""COMPUTED_VALUE"""),"אופקים")</f>
        <v>אופקים</v>
      </c>
      <c r="E2" s="5" t="str">
        <f>IFERROR(__xludf.DUMMYFUNCTION("""COMPUTED_VALUE"""),"גבר")</f>
        <v>גבר</v>
      </c>
      <c r="F2" s="5" t="str">
        <f>IFERROR(__xludf.DUMMYFUNCTION("""COMPUTED_VALUE"""),"אזרחים")</f>
        <v>אזרחים</v>
      </c>
      <c r="G2" s="3"/>
      <c r="H2" s="3" t="str">
        <f>IFERROR(__xludf.DUMMYFUNCTION("""COMPUTED_VALUE"""),"07.10.2023")</f>
        <v>07.10.2023</v>
      </c>
      <c r="I2" s="4" t="str">
        <f>IFERROR(__xludf.DUMMYFUNCTION("""COMPUTED_VALUE"""),"צומת מגן")</f>
        <v>צומת מגן</v>
      </c>
      <c r="J2" s="2" t="str">
        <f>IFERROR(__xludf.DUMMYFUNCTION("""COMPUTED_VALUE"""),"אזרחים וכיתות כוננות")</f>
        <v>אזרחים וכיתות כוננות</v>
      </c>
      <c r="K2" s="5"/>
      <c r="L2" s="3" t="str">
        <f>IFERROR(__xludf.DUMMYFUNCTION("""COMPUTED_VALUE"""),"Michael Ostrovsky")</f>
        <v>Michael Ostrovsky</v>
      </c>
      <c r="M2" s="5"/>
    </row>
    <row r="3">
      <c r="A3" s="3">
        <f>IFERROR(__xludf.DUMMYFUNCTION("""COMPUTED_VALUE"""),1363.0)</f>
        <v>1363</v>
      </c>
      <c r="B3" s="4" t="str">
        <f>IFERROR(__xludf.DUMMYFUNCTION("""COMPUTED_VALUE"""),"אלטלאקת פאטמה")</f>
        <v>אלטלאקת פאטמה</v>
      </c>
      <c r="C3" s="3">
        <f>IFERROR(__xludf.DUMMYFUNCTION("""COMPUTED_VALUE"""),35.0)</f>
        <v>35</v>
      </c>
      <c r="D3" s="5" t="str">
        <f>IFERROR(__xludf.DUMMYFUNCTION("""COMPUTED_VALUE"""),"ערערה בנגב")</f>
        <v>ערערה בנגב</v>
      </c>
      <c r="E3" s="5" t="str">
        <f>IFERROR(__xludf.DUMMYFUNCTION("""COMPUTED_VALUE"""),"אישה")</f>
        <v>אישה</v>
      </c>
      <c r="F3" s="5" t="str">
        <f>IFERROR(__xludf.DUMMYFUNCTION("""COMPUTED_VALUE"""),"אזרחים")</f>
        <v>אזרחים</v>
      </c>
      <c r="G3" s="3"/>
      <c r="H3" s="3" t="str">
        <f>IFERROR(__xludf.DUMMYFUNCTION("""COMPUTED_VALUE"""),"07.10.2023")</f>
        <v>07.10.2023</v>
      </c>
      <c r="I3" s="4" t="str">
        <f>IFERROR(__xludf.DUMMYFUNCTION("""COMPUTED_VALUE"""),"צומת מעון")</f>
        <v>צומת מעון</v>
      </c>
      <c r="J3" s="4" t="str">
        <f>IFERROR(__xludf.DUMMYFUNCTION("""COMPUTED_VALUE"""),"אזרחים וכיתות כוננות")</f>
        <v>אזרחים וכיתות כוננות</v>
      </c>
      <c r="K3" s="5"/>
      <c r="L3" s="3" t="str">
        <f>IFERROR(__xludf.DUMMYFUNCTION("""COMPUTED_VALUE"""),"Fatma Altlakat")</f>
        <v>Fatma Altlakat</v>
      </c>
      <c r="M3" s="5"/>
    </row>
    <row r="4">
      <c r="A4" s="3">
        <f>IFERROR(__xludf.DUMMYFUNCTION("""COMPUTED_VALUE"""),976.0)</f>
        <v>976</v>
      </c>
      <c r="B4" s="4" t="str">
        <f>IFERROR(__xludf.DUMMYFUNCTION("""COMPUTED_VALUE"""),"ביליה אריאל (אריק)")</f>
        <v>ביליה אריאל (אריק)</v>
      </c>
      <c r="C4" s="3">
        <f>IFERROR(__xludf.DUMMYFUNCTION("""COMPUTED_VALUE"""),28.0)</f>
        <v>28</v>
      </c>
      <c r="D4" s="5" t="str">
        <f>IFERROR(__xludf.DUMMYFUNCTION("""COMPUTED_VALUE"""),"אופקים")</f>
        <v>אופקים</v>
      </c>
      <c r="E4" s="5" t="str">
        <f>IFERROR(__xludf.DUMMYFUNCTION("""COMPUTED_VALUE"""),"גבר")</f>
        <v>גבר</v>
      </c>
      <c r="F4" s="5" t="str">
        <f>IFERROR(__xludf.DUMMYFUNCTION("""COMPUTED_VALUE"""),"אזרחים")</f>
        <v>אזרחים</v>
      </c>
      <c r="G4" s="3"/>
      <c r="H4" s="3" t="str">
        <f>IFERROR(__xludf.DUMMYFUNCTION("""COMPUTED_VALUE"""),"07.10.2023")</f>
        <v>07.10.2023</v>
      </c>
      <c r="I4" s="4" t="str">
        <f>IFERROR(__xludf.DUMMYFUNCTION("""COMPUTED_VALUE"""),"אופקים")</f>
        <v>אופקים</v>
      </c>
      <c r="J4" s="4" t="str">
        <f>IFERROR(__xludf.DUMMYFUNCTION("""COMPUTED_VALUE"""),"אזרחים וכיתות כוננות")</f>
        <v>אזרחים וכיתות כוננות</v>
      </c>
      <c r="K4" s="5"/>
      <c r="L4" s="3" t="str">
        <f>IFERROR(__xludf.DUMMYFUNCTION("""COMPUTED_VALUE"""),"Ariel Bilya")</f>
        <v>Ariel Bilya</v>
      </c>
      <c r="M4" s="5"/>
    </row>
    <row r="5">
      <c r="A5" s="3">
        <f>IFERROR(__xludf.DUMMYFUNCTION("""COMPUTED_VALUE"""),974.0)</f>
        <v>974</v>
      </c>
      <c r="B5" s="4" t="str">
        <f>IFERROR(__xludf.DUMMYFUNCTION("""COMPUTED_VALUE"""),"בלטי יצחק (איציק)")</f>
        <v>בלטי יצחק (איציק)</v>
      </c>
      <c r="C5" s="3">
        <f>IFERROR(__xludf.DUMMYFUNCTION("""COMPUTED_VALUE"""),53.0)</f>
        <v>53</v>
      </c>
      <c r="D5" s="5" t="str">
        <f>IFERROR(__xludf.DUMMYFUNCTION("""COMPUTED_VALUE"""),"אופקים")</f>
        <v>אופקים</v>
      </c>
      <c r="E5" s="5" t="str">
        <f>IFERROR(__xludf.DUMMYFUNCTION("""COMPUTED_VALUE"""),"גבר")</f>
        <v>גבר</v>
      </c>
      <c r="F5" s="5" t="str">
        <f>IFERROR(__xludf.DUMMYFUNCTION("""COMPUTED_VALUE"""),"אזרחים")</f>
        <v>אזרחים</v>
      </c>
      <c r="G5" s="3"/>
      <c r="H5" s="3" t="str">
        <f>IFERROR(__xludf.DUMMYFUNCTION("""COMPUTED_VALUE"""),"07.10.2023")</f>
        <v>07.10.2023</v>
      </c>
      <c r="I5" s="4" t="str">
        <f>IFERROR(__xludf.DUMMYFUNCTION("""COMPUTED_VALUE"""),"אופקים")</f>
        <v>אופקים</v>
      </c>
      <c r="J5" s="4" t="str">
        <f>IFERROR(__xludf.DUMMYFUNCTION("""COMPUTED_VALUE"""),"אזרחים וכיתות כוננות")</f>
        <v>אזרחים וכיתות כוננות</v>
      </c>
      <c r="K5" s="5"/>
      <c r="L5" s="3" t="str">
        <f>IFERROR(__xludf.DUMMYFUNCTION("""COMPUTED_VALUE"""),"Itzhak Balti")</f>
        <v>Itzhak Balti</v>
      </c>
      <c r="M5" s="5"/>
    </row>
    <row r="6">
      <c r="A6" s="3">
        <f>IFERROR(__xludf.DUMMYFUNCTION("""COMPUTED_VALUE"""),1005.0)</f>
        <v>1005</v>
      </c>
      <c r="B6" s="4" t="str">
        <f>IFERROR(__xludf.DUMMYFUNCTION("""COMPUTED_VALUE"""),"בן פורת משה")</f>
        <v>בן פורת משה</v>
      </c>
      <c r="C6" s="3">
        <f>IFERROR(__xludf.DUMMYFUNCTION("""COMPUTED_VALUE"""),58.0)</f>
        <v>58</v>
      </c>
      <c r="D6" s="5" t="str">
        <f>IFERROR(__xludf.DUMMYFUNCTION("""COMPUTED_VALUE"""),"טבריה")</f>
        <v>טבריה</v>
      </c>
      <c r="E6" s="5" t="str">
        <f>IFERROR(__xludf.DUMMYFUNCTION("""COMPUTED_VALUE"""),"גבר")</f>
        <v>גבר</v>
      </c>
      <c r="F6" s="5" t="str">
        <f>IFERROR(__xludf.DUMMYFUNCTION("""COMPUTED_VALUE"""),"אזרחים")</f>
        <v>אזרחים</v>
      </c>
      <c r="G6" s="3"/>
      <c r="H6" s="3" t="str">
        <f>IFERROR(__xludf.DUMMYFUNCTION("""COMPUTED_VALUE"""),"07.10.2023")</f>
        <v>07.10.2023</v>
      </c>
      <c r="I6" s="4" t="str">
        <f>IFERROR(__xludf.DUMMYFUNCTION("""COMPUTED_VALUE"""),"אופקים")</f>
        <v>אופקים</v>
      </c>
      <c r="J6" s="4" t="str">
        <f>IFERROR(__xludf.DUMMYFUNCTION("""COMPUTED_VALUE"""),"אזרחים וכיתות כוננות")</f>
        <v>אזרחים וכיתות כוננות</v>
      </c>
      <c r="K6" s="5"/>
      <c r="L6" s="3" t="str">
        <f>IFERROR(__xludf.DUMMYFUNCTION("""COMPUTED_VALUE"""),"Moshe Ben Porat")</f>
        <v>Moshe Ben Porat</v>
      </c>
      <c r="M6" s="5"/>
    </row>
    <row r="7">
      <c r="A7" s="3">
        <f>IFERROR(__xludf.DUMMYFUNCTION("""COMPUTED_VALUE"""),987.0)</f>
        <v>987</v>
      </c>
      <c r="B7" s="4" t="str">
        <f>IFERROR(__xludf.DUMMYFUNCTION("""COMPUTED_VALUE"""),"ג'מבקוב אנדריי")</f>
        <v>ג'מבקוב אנדריי</v>
      </c>
      <c r="C7" s="3">
        <f>IFERROR(__xludf.DUMMYFUNCTION("""COMPUTED_VALUE"""),39.0)</f>
        <v>39</v>
      </c>
      <c r="D7" s="5" t="str">
        <f>IFERROR(__xludf.DUMMYFUNCTION("""COMPUTED_VALUE"""),"אופקים")</f>
        <v>אופקים</v>
      </c>
      <c r="E7" s="5" t="str">
        <f>IFERROR(__xludf.DUMMYFUNCTION("""COMPUTED_VALUE"""),"גבר")</f>
        <v>גבר</v>
      </c>
      <c r="F7" s="5" t="str">
        <f>IFERROR(__xludf.DUMMYFUNCTION("""COMPUTED_VALUE"""),"אזרחים")</f>
        <v>אזרחים</v>
      </c>
      <c r="G7" s="3"/>
      <c r="H7" s="3" t="str">
        <f>IFERROR(__xludf.DUMMYFUNCTION("""COMPUTED_VALUE"""),"07.10.2023")</f>
        <v>07.10.2023</v>
      </c>
      <c r="I7" s="4" t="str">
        <f>IFERROR(__xludf.DUMMYFUNCTION("""COMPUTED_VALUE"""),"אופקים")</f>
        <v>אופקים</v>
      </c>
      <c r="J7" s="4" t="str">
        <f>IFERROR(__xludf.DUMMYFUNCTION("""COMPUTED_VALUE"""),"אזרחים וכיתות כוננות")</f>
        <v>אזרחים וכיתות כוננות</v>
      </c>
      <c r="K7" s="5"/>
      <c r="L7" s="3" t="str">
        <f>IFERROR(__xludf.DUMMYFUNCTION("""COMPUTED_VALUE"""),"Andrei Jambacov")</f>
        <v>Andrei Jambacov</v>
      </c>
      <c r="M7" s="5"/>
    </row>
    <row r="8">
      <c r="A8" s="3">
        <f>IFERROR(__xludf.DUMMYFUNCTION("""COMPUTED_VALUE"""),1720.0)</f>
        <v>1720</v>
      </c>
      <c r="B8" s="4" t="str">
        <f>IFERROR(__xludf.DUMMYFUNCTION("""COMPUTED_VALUE"""),"ג'מבקוב זויה")</f>
        <v>ג'מבקוב זויה</v>
      </c>
      <c r="C8" s="3">
        <f>IFERROR(__xludf.DUMMYFUNCTION("""COMPUTED_VALUE"""),45.0)</f>
        <v>45</v>
      </c>
      <c r="D8" s="5" t="str">
        <f>IFERROR(__xludf.DUMMYFUNCTION("""COMPUTED_VALUE"""),"אופקים")</f>
        <v>אופקים</v>
      </c>
      <c r="E8" s="5" t="str">
        <f>IFERROR(__xludf.DUMMYFUNCTION("""COMPUTED_VALUE"""),"אישה")</f>
        <v>אישה</v>
      </c>
      <c r="F8" s="5" t="str">
        <f>IFERROR(__xludf.DUMMYFUNCTION("""COMPUTED_VALUE"""),"אזרחים")</f>
        <v>אזרחים</v>
      </c>
      <c r="G8" s="3"/>
      <c r="H8" s="3" t="str">
        <f>IFERROR(__xludf.DUMMYFUNCTION("""COMPUTED_VALUE"""),"07.10.2023")</f>
        <v>07.10.2023</v>
      </c>
      <c r="I8" s="4" t="str">
        <f>IFERROR(__xludf.DUMMYFUNCTION("""COMPUTED_VALUE"""),"אופקים")</f>
        <v>אופקים</v>
      </c>
      <c r="J8" s="4" t="str">
        <f>IFERROR(__xludf.DUMMYFUNCTION("""COMPUTED_VALUE"""),"אזרחים וכיתות כוננות")</f>
        <v>אזרחים וכיתות כוננות</v>
      </c>
      <c r="K8" s="5"/>
      <c r="L8" s="3" t="str">
        <f>IFERROR(__xludf.DUMMYFUNCTION("""COMPUTED_VALUE"""),"Zoya Jambacov")</f>
        <v>Zoya Jambacov</v>
      </c>
      <c r="M8" s="5"/>
    </row>
    <row r="9">
      <c r="A9" s="3">
        <f>IFERROR(__xludf.DUMMYFUNCTION("""COMPUTED_VALUE"""),1500.0)</f>
        <v>1500</v>
      </c>
      <c r="B9" s="4" t="str">
        <f>IFERROR(__xludf.DUMMYFUNCTION("""COMPUTED_VALUE"""),"גרידסקול ויקטוריה")</f>
        <v>גרידסקול ויקטוריה</v>
      </c>
      <c r="C9" s="3">
        <f>IFERROR(__xludf.DUMMYFUNCTION("""COMPUTED_VALUE"""),81.0)</f>
        <v>81</v>
      </c>
      <c r="D9" s="5" t="str">
        <f>IFERROR(__xludf.DUMMYFUNCTION("""COMPUTED_VALUE"""),"אופקים")</f>
        <v>אופקים</v>
      </c>
      <c r="E9" s="5" t="str">
        <f>IFERROR(__xludf.DUMMYFUNCTION("""COMPUTED_VALUE"""),"אישה")</f>
        <v>אישה</v>
      </c>
      <c r="F9" s="5" t="str">
        <f>IFERROR(__xludf.DUMMYFUNCTION("""COMPUTED_VALUE"""),"אזרחים")</f>
        <v>אזרחים</v>
      </c>
      <c r="G9" s="3"/>
      <c r="H9" s="3" t="str">
        <f>IFERROR(__xludf.DUMMYFUNCTION("""COMPUTED_VALUE"""),"07.10.2023")</f>
        <v>07.10.2023</v>
      </c>
      <c r="I9" s="4" t="str">
        <f>IFERROR(__xludf.DUMMYFUNCTION("""COMPUTED_VALUE"""),"אופקים")</f>
        <v>אופקים</v>
      </c>
      <c r="J9" s="4" t="str">
        <f>IFERROR(__xludf.DUMMYFUNCTION("""COMPUTED_VALUE"""),"אזרחים וכיתות כוננות")</f>
        <v>אזרחים וכיתות כוננות</v>
      </c>
      <c r="K9" s="5"/>
      <c r="L9" s="3" t="str">
        <f>IFERROR(__xludf.DUMMYFUNCTION("""COMPUTED_VALUE"""),"Victoria Gredeskul")</f>
        <v>Victoria Gredeskul</v>
      </c>
      <c r="M9" s="5"/>
    </row>
    <row r="10">
      <c r="A10" s="3">
        <f>IFERROR(__xludf.DUMMYFUNCTION("""COMPUTED_VALUE"""),1501.0)</f>
        <v>1501</v>
      </c>
      <c r="B10" s="4" t="str">
        <f>IFERROR(__xludf.DUMMYFUNCTION("""COMPUTED_VALUE"""),"גרידסקול סרגיי")</f>
        <v>גרידסקול סרגיי</v>
      </c>
      <c r="C10" s="3">
        <f>IFERROR(__xludf.DUMMYFUNCTION("""COMPUTED_VALUE"""),81.0)</f>
        <v>81</v>
      </c>
      <c r="D10" s="5" t="str">
        <f>IFERROR(__xludf.DUMMYFUNCTION("""COMPUTED_VALUE"""),"אופקים")</f>
        <v>אופקים</v>
      </c>
      <c r="E10" s="5" t="str">
        <f>IFERROR(__xludf.DUMMYFUNCTION("""COMPUTED_VALUE"""),"גבר")</f>
        <v>גבר</v>
      </c>
      <c r="F10" s="5" t="str">
        <f>IFERROR(__xludf.DUMMYFUNCTION("""COMPUTED_VALUE"""),"אזרחים")</f>
        <v>אזרחים</v>
      </c>
      <c r="G10" s="3"/>
      <c r="H10" s="3" t="str">
        <f>IFERROR(__xludf.DUMMYFUNCTION("""COMPUTED_VALUE"""),"07.10.2023")</f>
        <v>07.10.2023</v>
      </c>
      <c r="I10" s="4" t="str">
        <f>IFERROR(__xludf.DUMMYFUNCTION("""COMPUTED_VALUE"""),"אופקים")</f>
        <v>אופקים</v>
      </c>
      <c r="J10" s="4" t="str">
        <f>IFERROR(__xludf.DUMMYFUNCTION("""COMPUTED_VALUE"""),"אזרחים וכיתות כוננות")</f>
        <v>אזרחים וכיתות כוננות</v>
      </c>
      <c r="K10" s="5"/>
      <c r="L10" s="3" t="str">
        <f>IFERROR(__xludf.DUMMYFUNCTION("""COMPUTED_VALUE"""),"Sergei Gredeskul")</f>
        <v>Sergei Gredeskul</v>
      </c>
      <c r="M10" s="5"/>
    </row>
    <row r="11">
      <c r="A11" s="3">
        <f>IFERROR(__xludf.DUMMYFUNCTION("""COMPUTED_VALUE"""),1717.0)</f>
        <v>1717</v>
      </c>
      <c r="B11" s="4" t="str">
        <f>IFERROR(__xludf.DUMMYFUNCTION("""COMPUTED_VALUE"""),"ויזמן ראובן")</f>
        <v>ויזמן ראובן</v>
      </c>
      <c r="C11" s="3">
        <f>IFERROR(__xludf.DUMMYFUNCTION("""COMPUTED_VALUE"""),56.0)</f>
        <v>56</v>
      </c>
      <c r="D11" s="5" t="str">
        <f>IFERROR(__xludf.DUMMYFUNCTION("""COMPUTED_VALUE"""),"אופקים")</f>
        <v>אופקים</v>
      </c>
      <c r="E11" s="5" t="str">
        <f>IFERROR(__xludf.DUMMYFUNCTION("""COMPUTED_VALUE"""),"גבר")</f>
        <v>גבר</v>
      </c>
      <c r="F11" s="5" t="str">
        <f>IFERROR(__xludf.DUMMYFUNCTION("""COMPUTED_VALUE"""),"אזרחים")</f>
        <v>אזרחים</v>
      </c>
      <c r="G11" s="3"/>
      <c r="H11" s="3" t="str">
        <f>IFERROR(__xludf.DUMMYFUNCTION("""COMPUTED_VALUE"""),"07.10.2023")</f>
        <v>07.10.2023</v>
      </c>
      <c r="I11" s="4" t="str">
        <f>IFERROR(__xludf.DUMMYFUNCTION("""COMPUTED_VALUE"""),"אופקים")</f>
        <v>אופקים</v>
      </c>
      <c r="J11" s="4" t="str">
        <f>IFERROR(__xludf.DUMMYFUNCTION("""COMPUTED_VALUE"""),"אזרחים וכיתות כוננות")</f>
        <v>אזרחים וכיתות כוננות</v>
      </c>
      <c r="K11" s="5"/>
      <c r="L11" s="3" t="str">
        <f>IFERROR(__xludf.DUMMYFUNCTION("""COMPUTED_VALUE"""),"Reuven Vizman")</f>
        <v>Reuven Vizman</v>
      </c>
      <c r="M11" s="5"/>
    </row>
    <row r="12">
      <c r="A12" s="3">
        <f>IFERROR(__xludf.DUMMYFUNCTION("""COMPUTED_VALUE"""),985.0)</f>
        <v>985</v>
      </c>
      <c r="B12" s="4" t="str">
        <f>IFERROR(__xludf.DUMMYFUNCTION("""COMPUTED_VALUE"""),"חטיב טארק")</f>
        <v>חטיב טארק</v>
      </c>
      <c r="C12" s="3">
        <f>IFERROR(__xludf.DUMMYFUNCTION("""COMPUTED_VALUE"""),43.0)</f>
        <v>43</v>
      </c>
      <c r="D12" s="5" t="str">
        <f>IFERROR(__xludf.DUMMYFUNCTION("""COMPUTED_VALUE"""),"אופקים")</f>
        <v>אופקים</v>
      </c>
      <c r="E12" s="5" t="str">
        <f>IFERROR(__xludf.DUMMYFUNCTION("""COMPUTED_VALUE"""),"גבר")</f>
        <v>גבר</v>
      </c>
      <c r="F12" s="5" t="str">
        <f>IFERROR(__xludf.DUMMYFUNCTION("""COMPUTED_VALUE"""),"אזרחים")</f>
        <v>אזרחים</v>
      </c>
      <c r="G12" s="3"/>
      <c r="H12" s="3" t="str">
        <f>IFERROR(__xludf.DUMMYFUNCTION("""COMPUTED_VALUE"""),"07.10.2023")</f>
        <v>07.10.2023</v>
      </c>
      <c r="I12" s="4" t="str">
        <f>IFERROR(__xludf.DUMMYFUNCTION("""COMPUTED_VALUE"""),"אופקים")</f>
        <v>אופקים</v>
      </c>
      <c r="J12" s="4" t="str">
        <f>IFERROR(__xludf.DUMMYFUNCTION("""COMPUTED_VALUE"""),"אזרחים וכיתות כוננות")</f>
        <v>אזרחים וכיתות כוננות</v>
      </c>
      <c r="K12" s="5"/>
      <c r="L12" s="3" t="str">
        <f>IFERROR(__xludf.DUMMYFUNCTION("""COMPUTED_VALUE"""),"Zarek Hativ")</f>
        <v>Zarek Hativ</v>
      </c>
      <c r="M12" s="5"/>
    </row>
    <row r="13">
      <c r="A13" s="3">
        <f>IFERROR(__xludf.DUMMYFUNCTION("""COMPUTED_VALUE"""),999.0)</f>
        <v>999</v>
      </c>
      <c r="B13" s="4" t="str">
        <f>IFERROR(__xludf.DUMMYFUNCTION("""COMPUTED_VALUE"""),"זקוטו אבי")</f>
        <v>זקוטו אבי</v>
      </c>
      <c r="C13" s="3">
        <f>IFERROR(__xludf.DUMMYFUNCTION("""COMPUTED_VALUE"""),53.0)</f>
        <v>53</v>
      </c>
      <c r="D13" s="5" t="str">
        <f>IFERROR(__xludf.DUMMYFUNCTION("""COMPUTED_VALUE"""),"אופקים")</f>
        <v>אופקים</v>
      </c>
      <c r="E13" s="5" t="str">
        <f>IFERROR(__xludf.DUMMYFUNCTION("""COMPUTED_VALUE"""),"גבר")</f>
        <v>גבר</v>
      </c>
      <c r="F13" s="5" t="str">
        <f>IFERROR(__xludf.DUMMYFUNCTION("""COMPUTED_VALUE"""),"אזרחים")</f>
        <v>אזרחים</v>
      </c>
      <c r="G13" s="3"/>
      <c r="H13" s="3" t="str">
        <f>IFERROR(__xludf.DUMMYFUNCTION("""COMPUTED_VALUE"""),"07.10.2023")</f>
        <v>07.10.2023</v>
      </c>
      <c r="I13" s="4" t="str">
        <f>IFERROR(__xludf.DUMMYFUNCTION("""COMPUTED_VALUE"""),"אופקים")</f>
        <v>אופקים</v>
      </c>
      <c r="J13" s="4" t="str">
        <f>IFERROR(__xludf.DUMMYFUNCTION("""COMPUTED_VALUE"""),"אזרחים וכיתות כוננות")</f>
        <v>אזרחים וכיתות כוננות</v>
      </c>
      <c r="K13" s="5"/>
      <c r="L13" s="3" t="str">
        <f>IFERROR(__xludf.DUMMYFUNCTION("""COMPUTED_VALUE"""),"Avi Zakuto")</f>
        <v>Avi Zakuto</v>
      </c>
      <c r="M13" s="5"/>
    </row>
    <row r="14">
      <c r="A14" s="3">
        <f>IFERROR(__xludf.DUMMYFUNCTION("""COMPUTED_VALUE"""),1718.0)</f>
        <v>1718</v>
      </c>
      <c r="B14" s="4" t="str">
        <f>IFERROR(__xludf.DUMMYFUNCTION("""COMPUTED_VALUE"""),"חטואל אברהם (אבי)")</f>
        <v>חטואל אברהם (אבי)</v>
      </c>
      <c r="C14" s="3">
        <f>IFERROR(__xludf.DUMMYFUNCTION("""COMPUTED_VALUE"""),52.0)</f>
        <v>52</v>
      </c>
      <c r="D14" s="5" t="str">
        <f>IFERROR(__xludf.DUMMYFUNCTION("""COMPUTED_VALUE"""),"אופקים")</f>
        <v>אופקים</v>
      </c>
      <c r="E14" s="5" t="str">
        <f>IFERROR(__xludf.DUMMYFUNCTION("""COMPUTED_VALUE"""),"גבר")</f>
        <v>גבר</v>
      </c>
      <c r="F14" s="5" t="str">
        <f>IFERROR(__xludf.DUMMYFUNCTION("""COMPUTED_VALUE"""),"אזרחים")</f>
        <v>אזרחים</v>
      </c>
      <c r="G14" s="3"/>
      <c r="H14" s="3" t="str">
        <f>IFERROR(__xludf.DUMMYFUNCTION("""COMPUTED_VALUE"""),"07.10.2023")</f>
        <v>07.10.2023</v>
      </c>
      <c r="I14" s="4" t="str">
        <f>IFERROR(__xludf.DUMMYFUNCTION("""COMPUTED_VALUE"""),"אופקים")</f>
        <v>אופקים</v>
      </c>
      <c r="J14" s="4" t="str">
        <f>IFERROR(__xludf.DUMMYFUNCTION("""COMPUTED_VALUE"""),"אזרחים וכיתות כוננות")</f>
        <v>אזרחים וכיתות כוננות</v>
      </c>
      <c r="K14" s="5"/>
      <c r="L14" s="3" t="str">
        <f>IFERROR(__xludf.DUMMYFUNCTION("""COMPUTED_VALUE"""),"Avi Hatuel")</f>
        <v>Avi Hatuel</v>
      </c>
      <c r="M14" s="5"/>
    </row>
    <row r="15">
      <c r="A15" s="3">
        <f>IFERROR(__xludf.DUMMYFUNCTION("""COMPUTED_VALUE"""),1608.0)</f>
        <v>1608</v>
      </c>
      <c r="B15" s="4" t="str">
        <f>IFERROR(__xludf.DUMMYFUNCTION("""COMPUTED_VALUE"""),"חייט שמעון")</f>
        <v>חייט שמעון</v>
      </c>
      <c r="C15" s="3">
        <f>IFERROR(__xludf.DUMMYFUNCTION("""COMPUTED_VALUE"""),29.0)</f>
        <v>29</v>
      </c>
      <c r="D15" s="5" t="str">
        <f>IFERROR(__xludf.DUMMYFUNCTION("""COMPUTED_VALUE"""),"אופקים")</f>
        <v>אופקים</v>
      </c>
      <c r="E15" s="5" t="str">
        <f>IFERROR(__xludf.DUMMYFUNCTION("""COMPUTED_VALUE"""),"גבר")</f>
        <v>גבר</v>
      </c>
      <c r="F15" s="5" t="str">
        <f>IFERROR(__xludf.DUMMYFUNCTION("""COMPUTED_VALUE"""),"אזרחים")</f>
        <v>אזרחים</v>
      </c>
      <c r="G15" s="3"/>
      <c r="H15" s="3" t="str">
        <f>IFERROR(__xludf.DUMMYFUNCTION("""COMPUTED_VALUE"""),"07.10.2023")</f>
        <v>07.10.2023</v>
      </c>
      <c r="I15" s="4" t="str">
        <f>IFERROR(__xludf.DUMMYFUNCTION("""COMPUTED_VALUE"""),"אנדרטת חץ שחור")</f>
        <v>אנדרטת חץ שחור</v>
      </c>
      <c r="J15" s="4" t="str">
        <f>IFERROR(__xludf.DUMMYFUNCTION("""COMPUTED_VALUE"""),"אזרחים וכיתות כוננות")</f>
        <v>אזרחים וכיתות כוננות</v>
      </c>
      <c r="K15" s="5" t="str">
        <f>IFERROR(__xludf.DUMMYFUNCTION("""COMPUTED_VALUE"""),"פסטיבל נובה")</f>
        <v>פסטיבל נובה</v>
      </c>
      <c r="L15" s="3" t="str">
        <f>IFERROR(__xludf.DUMMYFUNCTION("""COMPUTED_VALUE"""),"Shimi Hayat")</f>
        <v>Shimi Hayat</v>
      </c>
      <c r="M15" s="5"/>
    </row>
    <row r="16">
      <c r="A16" s="3">
        <f>IFERROR(__xludf.DUMMYFUNCTION("""COMPUTED_VALUE"""),984.0)</f>
        <v>984</v>
      </c>
      <c r="B16" s="4" t="str">
        <f>IFERROR(__xludf.DUMMYFUNCTION("""COMPUTED_VALUE"""),"חיימוב אהרון")</f>
        <v>חיימוב אהרון</v>
      </c>
      <c r="C16" s="3">
        <f>IFERROR(__xludf.DUMMYFUNCTION("""COMPUTED_VALUE"""),25.0)</f>
        <v>25</v>
      </c>
      <c r="D16" s="5" t="str">
        <f>IFERROR(__xludf.DUMMYFUNCTION("""COMPUTED_VALUE"""),"אופקים")</f>
        <v>אופקים</v>
      </c>
      <c r="E16" s="5" t="str">
        <f>IFERROR(__xludf.DUMMYFUNCTION("""COMPUTED_VALUE"""),"גבר")</f>
        <v>גבר</v>
      </c>
      <c r="F16" s="5" t="str">
        <f>IFERROR(__xludf.DUMMYFUNCTION("""COMPUTED_VALUE"""),"מגן דוד אדום")</f>
        <v>מגן דוד אדום</v>
      </c>
      <c r="G16" s="3"/>
      <c r="H16" s="3" t="str">
        <f>IFERROR(__xludf.DUMMYFUNCTION("""COMPUTED_VALUE"""),"07.10.2023")</f>
        <v>07.10.2023</v>
      </c>
      <c r="I16" s="4" t="str">
        <f>IFERROR(__xludf.DUMMYFUNCTION("""COMPUTED_VALUE"""),"אופקים")</f>
        <v>אופקים</v>
      </c>
      <c r="J16" s="4" t="str">
        <f>IFERROR(__xludf.DUMMYFUNCTION("""COMPUTED_VALUE"""),"שוטרים וכוחות הצלה")</f>
        <v>שוטרים וכוחות הצלה</v>
      </c>
      <c r="K16" s="5"/>
      <c r="L16" s="3" t="str">
        <f>IFERROR(__xludf.DUMMYFUNCTION("""COMPUTED_VALUE"""),"Aharon Haimov")</f>
        <v>Aharon Haimov</v>
      </c>
      <c r="M16" s="5"/>
    </row>
    <row r="17">
      <c r="A17" s="3">
        <f>IFERROR(__xludf.DUMMYFUNCTION("""COMPUTED_VALUE"""),1030.0)</f>
        <v>1030</v>
      </c>
      <c r="B17" s="4" t="str">
        <f>IFERROR(__xludf.DUMMYFUNCTION("""COMPUTED_VALUE"""),"יאחנגילוב יפתח")</f>
        <v>יאחנגילוב יפתח</v>
      </c>
      <c r="C17" s="3">
        <f>IFERROR(__xludf.DUMMYFUNCTION("""COMPUTED_VALUE"""),66.0)</f>
        <v>66</v>
      </c>
      <c r="D17" s="5" t="str">
        <f>IFERROR(__xludf.DUMMYFUNCTION("""COMPUTED_VALUE"""),"אופקים")</f>
        <v>אופקים</v>
      </c>
      <c r="E17" s="5" t="str">
        <f>IFERROR(__xludf.DUMMYFUNCTION("""COMPUTED_VALUE"""),"גבר")</f>
        <v>גבר</v>
      </c>
      <c r="F17" s="5" t="str">
        <f>IFERROR(__xludf.DUMMYFUNCTION("""COMPUTED_VALUE"""),"אזרחים")</f>
        <v>אזרחים</v>
      </c>
      <c r="G17" s="3"/>
      <c r="H17" s="3" t="str">
        <f>IFERROR(__xludf.DUMMYFUNCTION("""COMPUTED_VALUE"""),"07.10.2023")</f>
        <v>07.10.2023</v>
      </c>
      <c r="I17" s="4" t="str">
        <f>IFERROR(__xludf.DUMMYFUNCTION("""COMPUTED_VALUE"""),"אופקים")</f>
        <v>אופקים</v>
      </c>
      <c r="J17" s="4" t="str">
        <f>IFERROR(__xludf.DUMMYFUNCTION("""COMPUTED_VALUE"""),"אזרחים וכיתות כוננות")</f>
        <v>אזרחים וכיתות כוננות</v>
      </c>
      <c r="K17" s="5"/>
      <c r="L17" s="3" t="str">
        <f>IFERROR(__xludf.DUMMYFUNCTION("""COMPUTED_VALUE"""),"Yiftach Yahnagilov")</f>
        <v>Yiftach Yahnagilov</v>
      </c>
      <c r="M17" s="5"/>
    </row>
    <row r="18">
      <c r="A18" s="3">
        <f>IFERROR(__xludf.DUMMYFUNCTION("""COMPUTED_VALUE"""),1029.0)</f>
        <v>1029</v>
      </c>
      <c r="B18" s="4" t="str">
        <f>IFERROR(__xludf.DUMMYFUNCTION("""COMPUTED_VALUE"""),"יאחנגילוב מריה")</f>
        <v>יאחנגילוב מריה</v>
      </c>
      <c r="C18" s="3">
        <f>IFERROR(__xludf.DUMMYFUNCTION("""COMPUTED_VALUE"""),61.0)</f>
        <v>61</v>
      </c>
      <c r="D18" s="5" t="str">
        <f>IFERROR(__xludf.DUMMYFUNCTION("""COMPUTED_VALUE"""),"אופקים")</f>
        <v>אופקים</v>
      </c>
      <c r="E18" s="5" t="str">
        <f>IFERROR(__xludf.DUMMYFUNCTION("""COMPUTED_VALUE"""),"אישה")</f>
        <v>אישה</v>
      </c>
      <c r="F18" s="5" t="str">
        <f>IFERROR(__xludf.DUMMYFUNCTION("""COMPUTED_VALUE"""),"אזרחים")</f>
        <v>אזרחים</v>
      </c>
      <c r="G18" s="3"/>
      <c r="H18" s="3" t="str">
        <f>IFERROR(__xludf.DUMMYFUNCTION("""COMPUTED_VALUE"""),"07.10.2023")</f>
        <v>07.10.2023</v>
      </c>
      <c r="I18" s="4" t="str">
        <f>IFERROR(__xludf.DUMMYFUNCTION("""COMPUTED_VALUE"""),"אופקים")</f>
        <v>אופקים</v>
      </c>
      <c r="J18" s="4" t="str">
        <f>IFERROR(__xludf.DUMMYFUNCTION("""COMPUTED_VALUE"""),"אזרחים וכיתות כוננות")</f>
        <v>אזרחים וכיתות כוננות</v>
      </c>
      <c r="K18" s="5"/>
      <c r="L18" s="3" t="str">
        <f>IFERROR(__xludf.DUMMYFUNCTION("""COMPUTED_VALUE"""),"Maria Yahnagilov")</f>
        <v>Maria Yahnagilov</v>
      </c>
      <c r="M18" s="5"/>
    </row>
    <row r="19">
      <c r="A19" s="3">
        <f>IFERROR(__xludf.DUMMYFUNCTION("""COMPUTED_VALUE"""),1487.0)</f>
        <v>1487</v>
      </c>
      <c r="B19" s="4" t="str">
        <f>IFERROR(__xludf.DUMMYFUNCTION("""COMPUTED_VALUE"""),"ידגרוב יורי")</f>
        <v>ידגרוב יורי</v>
      </c>
      <c r="C19" s="3">
        <f>IFERROR(__xludf.DUMMYFUNCTION("""COMPUTED_VALUE"""),76.0)</f>
        <v>76</v>
      </c>
      <c r="D19" s="5" t="str">
        <f>IFERROR(__xludf.DUMMYFUNCTION("""COMPUTED_VALUE"""),"אופקים")</f>
        <v>אופקים</v>
      </c>
      <c r="E19" s="5" t="str">
        <f>IFERROR(__xludf.DUMMYFUNCTION("""COMPUTED_VALUE"""),"גבר")</f>
        <v>גבר</v>
      </c>
      <c r="F19" s="5" t="str">
        <f>IFERROR(__xludf.DUMMYFUNCTION("""COMPUTED_VALUE"""),"אזרחים")</f>
        <v>אזרחים</v>
      </c>
      <c r="G19" s="3"/>
      <c r="H19" s="3" t="str">
        <f>IFERROR(__xludf.DUMMYFUNCTION("""COMPUTED_VALUE"""),"07.10.2023")</f>
        <v>07.10.2023</v>
      </c>
      <c r="I19" s="4" t="str">
        <f>IFERROR(__xludf.DUMMYFUNCTION("""COMPUTED_VALUE"""),"אופקים")</f>
        <v>אופקים</v>
      </c>
      <c r="J19" s="4" t="str">
        <f>IFERROR(__xludf.DUMMYFUNCTION("""COMPUTED_VALUE"""),"אזרחים וכיתות כוננות")</f>
        <v>אזרחים וכיתות כוננות</v>
      </c>
      <c r="K19" s="5"/>
      <c r="L19" s="3" t="str">
        <f>IFERROR(__xludf.DUMMYFUNCTION("""COMPUTED_VALUE"""),"Yuri Yadgarov")</f>
        <v>Yuri Yadgarov</v>
      </c>
      <c r="M19" s="5"/>
    </row>
    <row r="20">
      <c r="A20" s="3">
        <f>IFERROR(__xludf.DUMMYFUNCTION("""COMPUTED_VALUE"""),1488.0)</f>
        <v>1488</v>
      </c>
      <c r="B20" s="4" t="str">
        <f>IFERROR(__xludf.DUMMYFUNCTION("""COMPUTED_VALUE"""),"ידגרוב רוזה")</f>
        <v>ידגרוב רוזה</v>
      </c>
      <c r="C20" s="3">
        <f>IFERROR(__xludf.DUMMYFUNCTION("""COMPUTED_VALUE"""),81.0)</f>
        <v>81</v>
      </c>
      <c r="D20" s="5" t="str">
        <f>IFERROR(__xludf.DUMMYFUNCTION("""COMPUTED_VALUE"""),"אופקים")</f>
        <v>אופקים</v>
      </c>
      <c r="E20" s="5" t="str">
        <f>IFERROR(__xludf.DUMMYFUNCTION("""COMPUTED_VALUE"""),"אישה")</f>
        <v>אישה</v>
      </c>
      <c r="F20" s="5" t="str">
        <f>IFERROR(__xludf.DUMMYFUNCTION("""COMPUTED_VALUE"""),"אזרחים")</f>
        <v>אזרחים</v>
      </c>
      <c r="G20" s="3"/>
      <c r="H20" s="3" t="str">
        <f>IFERROR(__xludf.DUMMYFUNCTION("""COMPUTED_VALUE"""),"07.10.2023")</f>
        <v>07.10.2023</v>
      </c>
      <c r="I20" s="4" t="str">
        <f>IFERROR(__xludf.DUMMYFUNCTION("""COMPUTED_VALUE"""),"אופקים")</f>
        <v>אופקים</v>
      </c>
      <c r="J20" s="4" t="str">
        <f>IFERROR(__xludf.DUMMYFUNCTION("""COMPUTED_VALUE"""),"אזרחים וכיתות כוננות")</f>
        <v>אזרחים וכיתות כוננות</v>
      </c>
      <c r="K20" s="5"/>
      <c r="L20" s="3" t="str">
        <f>IFERROR(__xludf.DUMMYFUNCTION("""COMPUTED_VALUE"""),"Rosa Yadgarov")</f>
        <v>Rosa Yadgarov</v>
      </c>
      <c r="M20" s="5"/>
    </row>
    <row r="21">
      <c r="A21" s="3">
        <f>IFERROR(__xludf.DUMMYFUNCTION("""COMPUTED_VALUE"""),1001.0)</f>
        <v>1001</v>
      </c>
      <c r="B21" s="4" t="str">
        <f>IFERROR(__xludf.DUMMYFUNCTION("""COMPUTED_VALUE"""),"מלקמו עדנה")</f>
        <v>מלקמו עדנה</v>
      </c>
      <c r="C21" s="3">
        <f>IFERROR(__xludf.DUMMYFUNCTION("""COMPUTED_VALUE"""),45.0)</f>
        <v>45</v>
      </c>
      <c r="D21" s="5" t="str">
        <f>IFERROR(__xludf.DUMMYFUNCTION("""COMPUTED_VALUE"""),"אופקים")</f>
        <v>אופקים</v>
      </c>
      <c r="E21" s="5" t="str">
        <f>IFERROR(__xludf.DUMMYFUNCTION("""COMPUTED_VALUE"""),"אישה")</f>
        <v>אישה</v>
      </c>
      <c r="F21" s="5" t="str">
        <f>IFERROR(__xludf.DUMMYFUNCTION("""COMPUTED_VALUE"""),"אזרחים")</f>
        <v>אזרחים</v>
      </c>
      <c r="G21" s="3"/>
      <c r="H21" s="3" t="str">
        <f>IFERROR(__xludf.DUMMYFUNCTION("""COMPUTED_VALUE"""),"07.10.2023")</f>
        <v>07.10.2023</v>
      </c>
      <c r="I21" s="4" t="str">
        <f>IFERROR(__xludf.DUMMYFUNCTION("""COMPUTED_VALUE"""),"אופקים")</f>
        <v>אופקים</v>
      </c>
      <c r="J21" s="4" t="str">
        <f>IFERROR(__xludf.DUMMYFUNCTION("""COMPUTED_VALUE"""),"אזרחים וכיתות כוננות")</f>
        <v>אזרחים וכיתות כוננות</v>
      </c>
      <c r="K21" s="5"/>
      <c r="L21" s="3" t="str">
        <f>IFERROR(__xludf.DUMMYFUNCTION("""COMPUTED_VALUE"""),"Edna Malkamo")</f>
        <v>Edna Malkamo</v>
      </c>
      <c r="M21" s="5"/>
    </row>
    <row r="22">
      <c r="A22" s="3">
        <f>IFERROR(__xludf.DUMMYFUNCTION("""COMPUTED_VALUE"""),1002.0)</f>
        <v>1002</v>
      </c>
      <c r="B22" s="4" t="str">
        <f>IFERROR(__xludf.DUMMYFUNCTION("""COMPUTED_VALUE"""),"משייב אנה")</f>
        <v>משייב אנה</v>
      </c>
      <c r="C22" s="3">
        <f>IFERROR(__xludf.DUMMYFUNCTION("""COMPUTED_VALUE"""),65.0)</f>
        <v>65</v>
      </c>
      <c r="D22" s="5" t="str">
        <f>IFERROR(__xludf.DUMMYFUNCTION("""COMPUTED_VALUE"""),"אופקים")</f>
        <v>אופקים</v>
      </c>
      <c r="E22" s="5" t="str">
        <f>IFERROR(__xludf.DUMMYFUNCTION("""COMPUTED_VALUE"""),"אישה")</f>
        <v>אישה</v>
      </c>
      <c r="F22" s="5" t="str">
        <f>IFERROR(__xludf.DUMMYFUNCTION("""COMPUTED_VALUE"""),"אזרחים")</f>
        <v>אזרחים</v>
      </c>
      <c r="G22" s="3"/>
      <c r="H22" s="3" t="str">
        <f>IFERROR(__xludf.DUMMYFUNCTION("""COMPUTED_VALUE"""),"07.10.2023")</f>
        <v>07.10.2023</v>
      </c>
      <c r="I22" s="4" t="str">
        <f>IFERROR(__xludf.DUMMYFUNCTION("""COMPUTED_VALUE"""),"אופקים")</f>
        <v>אופקים</v>
      </c>
      <c r="J22" s="4" t="str">
        <f>IFERROR(__xludf.DUMMYFUNCTION("""COMPUTED_VALUE"""),"אזרחים וכיתות כוננות")</f>
        <v>אזרחים וכיתות כוננות</v>
      </c>
      <c r="K22" s="5"/>
      <c r="L22" s="3" t="str">
        <f>IFERROR(__xludf.DUMMYFUNCTION("""COMPUTED_VALUE"""),"Anna Mishayev")</f>
        <v>Anna Mishayev</v>
      </c>
      <c r="M22" s="5"/>
    </row>
    <row r="23">
      <c r="A23" s="3">
        <f>IFERROR(__xludf.DUMMYFUNCTION("""COMPUTED_VALUE"""),1722.0)</f>
        <v>1722</v>
      </c>
      <c r="B23" s="4" t="str">
        <f>IFERROR(__xludf.DUMMYFUNCTION("""COMPUTED_VALUE"""),"פוליאקוב אמה")</f>
        <v>פוליאקוב אמה</v>
      </c>
      <c r="C23" s="3">
        <f>IFERROR(__xludf.DUMMYFUNCTION("""COMPUTED_VALUE"""),86.0)</f>
        <v>86</v>
      </c>
      <c r="D23" s="5" t="str">
        <f>IFERROR(__xludf.DUMMYFUNCTION("""COMPUTED_VALUE"""),"אופקים")</f>
        <v>אופקים</v>
      </c>
      <c r="E23" s="5" t="str">
        <f>IFERROR(__xludf.DUMMYFUNCTION("""COMPUTED_VALUE"""),"אישה")</f>
        <v>אישה</v>
      </c>
      <c r="F23" s="5" t="str">
        <f>IFERROR(__xludf.DUMMYFUNCTION("""COMPUTED_VALUE"""),"אזרחים")</f>
        <v>אזרחים</v>
      </c>
      <c r="G23" s="3"/>
      <c r="H23" s="3" t="str">
        <f>IFERROR(__xludf.DUMMYFUNCTION("""COMPUTED_VALUE"""),"07.10.2023")</f>
        <v>07.10.2023</v>
      </c>
      <c r="I23" s="4" t="str">
        <f>IFERROR(__xludf.DUMMYFUNCTION("""COMPUTED_VALUE"""),"אופקים")</f>
        <v>אופקים</v>
      </c>
      <c r="J23" s="2" t="str">
        <f>IFERROR(__xludf.DUMMYFUNCTION("""COMPUTED_VALUE"""),"אזרחים וכיתות כוננות")</f>
        <v>אזרחים וכיתות כוננות</v>
      </c>
      <c r="K23" s="5"/>
      <c r="L23" s="3" t="str">
        <f>IFERROR(__xludf.DUMMYFUNCTION("""COMPUTED_VALUE"""),"Emma Poliakov")</f>
        <v>Emma Poliakov</v>
      </c>
      <c r="M23" s="5"/>
    </row>
    <row r="24">
      <c r="A24" s="3">
        <f>IFERROR(__xludf.DUMMYFUNCTION("""COMPUTED_VALUE"""),1721.0)</f>
        <v>1721</v>
      </c>
      <c r="B24" s="4" t="str">
        <f>IFERROR(__xludf.DUMMYFUNCTION("""COMPUTED_VALUE"""),"קוסטיצין יליזבטה (ליליה)")</f>
        <v>קוסטיצין יליזבטה (ליליה)</v>
      </c>
      <c r="C24" s="3">
        <f>IFERROR(__xludf.DUMMYFUNCTION("""COMPUTED_VALUE"""),78.0)</f>
        <v>78</v>
      </c>
      <c r="D24" s="5" t="str">
        <f>IFERROR(__xludf.DUMMYFUNCTION("""COMPUTED_VALUE"""),"אופקים")</f>
        <v>אופקים</v>
      </c>
      <c r="E24" s="5" t="str">
        <f>IFERROR(__xludf.DUMMYFUNCTION("""COMPUTED_VALUE"""),"אישה")</f>
        <v>אישה</v>
      </c>
      <c r="F24" s="5" t="str">
        <f>IFERROR(__xludf.DUMMYFUNCTION("""COMPUTED_VALUE"""),"אזרחים")</f>
        <v>אזרחים</v>
      </c>
      <c r="G24" s="3"/>
      <c r="H24" s="3" t="str">
        <f>IFERROR(__xludf.DUMMYFUNCTION("""COMPUTED_VALUE"""),"07.10.2023")</f>
        <v>07.10.2023</v>
      </c>
      <c r="I24" s="4" t="str">
        <f>IFERROR(__xludf.DUMMYFUNCTION("""COMPUTED_VALUE"""),"אופקים")</f>
        <v>אופקים</v>
      </c>
      <c r="J24" s="2" t="str">
        <f>IFERROR(__xludf.DUMMYFUNCTION("""COMPUTED_VALUE"""),"אזרחים וכיתות כוננות")</f>
        <v>אזרחים וכיתות כוננות</v>
      </c>
      <c r="K24" s="5"/>
      <c r="L24" s="3" t="str">
        <f>IFERROR(__xludf.DUMMYFUNCTION("""COMPUTED_VALUE"""),"Yelizabeta Kostitzin")</f>
        <v>Yelizabeta Kostitzin</v>
      </c>
      <c r="M24" s="5"/>
    </row>
    <row r="25">
      <c r="A25" s="3">
        <f>IFERROR(__xludf.DUMMYFUNCTION("""COMPUTED_VALUE"""),992.0)</f>
        <v>992</v>
      </c>
      <c r="B25" s="4" t="str">
        <f>IFERROR(__xludf.DUMMYFUNCTION("""COMPUTED_VALUE"""),"רחמים בנימין")</f>
        <v>רחמים בנימין</v>
      </c>
      <c r="C25" s="3">
        <f>IFERROR(__xludf.DUMMYFUNCTION("""COMPUTED_VALUE"""),52.0)</f>
        <v>52</v>
      </c>
      <c r="D25" s="5" t="str">
        <f>IFERROR(__xludf.DUMMYFUNCTION("""COMPUTED_VALUE"""),"אופקים")</f>
        <v>אופקים</v>
      </c>
      <c r="E25" s="5" t="str">
        <f>IFERROR(__xludf.DUMMYFUNCTION("""COMPUTED_VALUE"""),"גבר")</f>
        <v>גבר</v>
      </c>
      <c r="F25" s="5" t="str">
        <f>IFERROR(__xludf.DUMMYFUNCTION("""COMPUTED_VALUE"""),"אזרחים")</f>
        <v>אזרחים</v>
      </c>
      <c r="G25" s="3"/>
      <c r="H25" s="3" t="str">
        <f>IFERROR(__xludf.DUMMYFUNCTION("""COMPUTED_VALUE"""),"07.10.2023")</f>
        <v>07.10.2023</v>
      </c>
      <c r="I25" s="4" t="str">
        <f>IFERROR(__xludf.DUMMYFUNCTION("""COMPUTED_VALUE"""),"צומת קרית חינוך מרחבים")</f>
        <v>צומת קרית חינוך מרחבים</v>
      </c>
      <c r="J25" s="4" t="str">
        <f>IFERROR(__xludf.DUMMYFUNCTION("""COMPUTED_VALUE"""),"אזרחים וכיתות כוננות")</f>
        <v>אזרחים וכיתות כוננות</v>
      </c>
      <c r="K25" s="5"/>
      <c r="L25" s="3" t="str">
        <f>IFERROR(__xludf.DUMMYFUNCTION("""COMPUTED_VALUE"""),"Binyamin Rahamim")</f>
        <v>Binyamin Rahamim</v>
      </c>
      <c r="M25" s="5"/>
    </row>
    <row r="26">
      <c r="A26" s="3">
        <f>IFERROR(__xludf.DUMMYFUNCTION("""COMPUTED_VALUE"""),1359.0)</f>
        <v>1359</v>
      </c>
      <c r="B26" s="4" t="str">
        <f>IFERROR(__xludf.DUMMYFUNCTION("""COMPUTED_VALUE"""),"אוזן אליהו (אליקו)")</f>
        <v>אוזן אליהו (אליקו)</v>
      </c>
      <c r="C26" s="3">
        <f>IFERROR(__xludf.DUMMYFUNCTION("""COMPUTED_VALUE"""),40.0)</f>
        <v>40</v>
      </c>
      <c r="D26" s="5" t="str">
        <f>IFERROR(__xludf.DUMMYFUNCTION("""COMPUTED_VALUE"""),"גילת")</f>
        <v>גילת</v>
      </c>
      <c r="E26" s="5" t="str">
        <f>IFERROR(__xludf.DUMMYFUNCTION("""COMPUTED_VALUE"""),"גבר")</f>
        <v>גבר</v>
      </c>
      <c r="F26" s="5" t="str">
        <f>IFERROR(__xludf.DUMMYFUNCTION("""COMPUTED_VALUE"""),"אזרחים")</f>
        <v>אזרחים</v>
      </c>
      <c r="G26" s="3"/>
      <c r="H26" s="3" t="str">
        <f>IFERROR(__xludf.DUMMYFUNCTION("""COMPUTED_VALUE"""),"07.10.2023")</f>
        <v>07.10.2023</v>
      </c>
      <c r="I26" s="4" t="str">
        <f>IFERROR(__xludf.DUMMYFUNCTION("""COMPUTED_VALUE"""),"חוף זיקים; מיגונית")</f>
        <v>חוף זיקים; מיגונית</v>
      </c>
      <c r="J26" s="4" t="str">
        <f>IFERROR(__xludf.DUMMYFUNCTION("""COMPUTED_VALUE"""),"אזרחים וכיתות כוננות")</f>
        <v>אזרחים וכיתות כוננות</v>
      </c>
      <c r="K26" s="5"/>
      <c r="L26" s="3" t="str">
        <f>IFERROR(__xludf.DUMMYFUNCTION("""COMPUTED_VALUE"""),"Eliyahu Ozen")</f>
        <v>Eliyahu Ozen</v>
      </c>
      <c r="M26" s="5"/>
    </row>
    <row r="27">
      <c r="A27" s="3">
        <f>IFERROR(__xludf.DUMMYFUNCTION("""COMPUTED_VALUE"""),1360.0)</f>
        <v>1360</v>
      </c>
      <c r="B27" s="4" t="str">
        <f>IFERROR(__xludf.DUMMYFUNCTION("""COMPUTED_VALUE"""),"אוזן אריה")</f>
        <v>אוזן אריה</v>
      </c>
      <c r="C27" s="3">
        <f>IFERROR(__xludf.DUMMYFUNCTION("""COMPUTED_VALUE"""),68.0)</f>
        <v>68</v>
      </c>
      <c r="D27" s="5" t="str">
        <f>IFERROR(__xludf.DUMMYFUNCTION("""COMPUTED_VALUE"""),"גילת")</f>
        <v>גילת</v>
      </c>
      <c r="E27" s="5" t="str">
        <f>IFERROR(__xludf.DUMMYFUNCTION("""COMPUTED_VALUE"""),"גבר")</f>
        <v>גבר</v>
      </c>
      <c r="F27" s="5" t="str">
        <f>IFERROR(__xludf.DUMMYFUNCTION("""COMPUTED_VALUE"""),"אזרחים")</f>
        <v>אזרחים</v>
      </c>
      <c r="G27" s="3"/>
      <c r="H27" s="3" t="str">
        <f>IFERROR(__xludf.DUMMYFUNCTION("""COMPUTED_VALUE"""),"07.10.2023")</f>
        <v>07.10.2023</v>
      </c>
      <c r="I27" s="4" t="str">
        <f>IFERROR(__xludf.DUMMYFUNCTION("""COMPUTED_VALUE"""),"חוף זיקים; מיגונית")</f>
        <v>חוף זיקים; מיגונית</v>
      </c>
      <c r="J27" s="4" t="str">
        <f>IFERROR(__xludf.DUMMYFUNCTION("""COMPUTED_VALUE"""),"אזרחים וכיתות כוננות")</f>
        <v>אזרחים וכיתות כוננות</v>
      </c>
      <c r="K27" s="5"/>
      <c r="L27" s="3" t="str">
        <f>IFERROR(__xludf.DUMMYFUNCTION("""COMPUTED_VALUE"""),"Aryeh Ozen")</f>
        <v>Aryeh Ozen</v>
      </c>
      <c r="M27" s="5"/>
    </row>
    <row r="28">
      <c r="A28" s="3">
        <f>IFERROR(__xludf.DUMMYFUNCTION("""COMPUTED_VALUE"""),1210.0)</f>
        <v>1210</v>
      </c>
      <c r="B28" s="4" t="str">
        <f>IFERROR(__xludf.DUMMYFUNCTION("""COMPUTED_VALUE"""),"אלזיאדנא עבד אלרחמן עאטף")</f>
        <v>אלזיאדנא עבד אלרחמן עאטף</v>
      </c>
      <c r="C28" s="3">
        <f>IFERROR(__xludf.DUMMYFUNCTION("""COMPUTED_VALUE"""),29.0)</f>
        <v>29</v>
      </c>
      <c r="D28" s="5" t="str">
        <f>IFERROR(__xludf.DUMMYFUNCTION("""COMPUTED_VALUE"""),"רהט")</f>
        <v>רהט</v>
      </c>
      <c r="E28" s="5" t="str">
        <f>IFERROR(__xludf.DUMMYFUNCTION("""COMPUTED_VALUE"""),"גבר")</f>
        <v>גבר</v>
      </c>
      <c r="F28" s="5" t="str">
        <f>IFERROR(__xludf.DUMMYFUNCTION("""COMPUTED_VALUE"""),"אזרחים")</f>
        <v>אזרחים</v>
      </c>
      <c r="G28" s="3"/>
      <c r="H28" s="3" t="str">
        <f>IFERROR(__xludf.DUMMYFUNCTION("""COMPUTED_VALUE"""),"07.10.2023")</f>
        <v>07.10.2023</v>
      </c>
      <c r="I28" s="4" t="str">
        <f>IFERROR(__xludf.DUMMYFUNCTION("""COMPUTED_VALUE"""),"חוף זיקים")</f>
        <v>חוף זיקים</v>
      </c>
      <c r="J28" s="4" t="str">
        <f>IFERROR(__xludf.DUMMYFUNCTION("""COMPUTED_VALUE"""),"אזרחים וכיתות כוננות")</f>
        <v>אזרחים וכיתות כוננות</v>
      </c>
      <c r="K28" s="5"/>
      <c r="L28" s="3" t="str">
        <f>IFERROR(__xludf.DUMMYFUNCTION("""COMPUTED_VALUE"""),"Alrahman Atef Alziadna Abed")</f>
        <v>Alrahman Atef Alziadna Abed</v>
      </c>
      <c r="M28" s="5"/>
    </row>
    <row r="29">
      <c r="A29" s="3">
        <f>IFERROR(__xludf.DUMMYFUNCTION("""COMPUTED_VALUE"""),1676.0)</f>
        <v>1676</v>
      </c>
      <c r="B29" s="4" t="str">
        <f>IFERROR(__xludf.DUMMYFUNCTION("""COMPUTED_VALUE"""),"אסלנוב ג'ון")</f>
        <v>אסלנוב ג'ון</v>
      </c>
      <c r="C29" s="3">
        <f>IFERROR(__xludf.DUMMYFUNCTION("""COMPUTED_VALUE"""),71.0)</f>
        <v>71</v>
      </c>
      <c r="D29" s="5" t="str">
        <f>IFERROR(__xludf.DUMMYFUNCTION("""COMPUTED_VALUE"""),"אשדוד")</f>
        <v>אשדוד</v>
      </c>
      <c r="E29" s="5" t="str">
        <f>IFERROR(__xludf.DUMMYFUNCTION("""COMPUTED_VALUE"""),"גבר")</f>
        <v>גבר</v>
      </c>
      <c r="F29" s="5" t="str">
        <f>IFERROR(__xludf.DUMMYFUNCTION("""COMPUTED_VALUE"""),"אזרחים")</f>
        <v>אזרחים</v>
      </c>
      <c r="G29" s="3"/>
      <c r="H29" s="3" t="str">
        <f>IFERROR(__xludf.DUMMYFUNCTION("""COMPUTED_VALUE"""),"07.10.2023")</f>
        <v>07.10.2023</v>
      </c>
      <c r="I29" s="4" t="str">
        <f>IFERROR(__xludf.DUMMYFUNCTION("""COMPUTED_VALUE"""),"חוף זיקים")</f>
        <v>חוף זיקים</v>
      </c>
      <c r="J29" s="2" t="str">
        <f>IFERROR(__xludf.DUMMYFUNCTION("""COMPUTED_VALUE"""),"אזרחים וכיתות כוננות")</f>
        <v>אזרחים וכיתות כוננות</v>
      </c>
      <c r="K29" s="5"/>
      <c r="L29" s="3" t="str">
        <f>IFERROR(__xludf.DUMMYFUNCTION("""COMPUTED_VALUE"""),"John Aslanov")</f>
        <v>John Aslanov</v>
      </c>
      <c r="M29" s="5"/>
    </row>
    <row r="30">
      <c r="A30" s="3">
        <f>IFERROR(__xludf.DUMMYFUNCTION("""COMPUTED_VALUE"""),1207.0)</f>
        <v>1207</v>
      </c>
      <c r="B30" s="4" t="str">
        <f>IFERROR(__xludf.DUMMYFUNCTION("""COMPUTED_VALUE"""),"גניש בנימין (בני)")</f>
        <v>גניש בנימין (בני)</v>
      </c>
      <c r="C30" s="3">
        <f>IFERROR(__xludf.DUMMYFUNCTION("""COMPUTED_VALUE"""),70.0)</f>
        <v>70</v>
      </c>
      <c r="D30" s="5" t="str">
        <f>IFERROR(__xludf.DUMMYFUNCTION("""COMPUTED_VALUE"""),"אשקלון")</f>
        <v>אשקלון</v>
      </c>
      <c r="E30" s="5" t="str">
        <f>IFERROR(__xludf.DUMMYFUNCTION("""COMPUTED_VALUE"""),"גבר")</f>
        <v>גבר</v>
      </c>
      <c r="F30" s="5" t="str">
        <f>IFERROR(__xludf.DUMMYFUNCTION("""COMPUTED_VALUE"""),"אזרחים")</f>
        <v>אזרחים</v>
      </c>
      <c r="G30" s="3"/>
      <c r="H30" s="3" t="str">
        <f>IFERROR(__xludf.DUMMYFUNCTION("""COMPUTED_VALUE"""),"07.10.2023")</f>
        <v>07.10.2023</v>
      </c>
      <c r="I30" s="4" t="str">
        <f>IFERROR(__xludf.DUMMYFUNCTION("""COMPUTED_VALUE"""),"חוף זיקים")</f>
        <v>חוף זיקים</v>
      </c>
      <c r="J30" s="4" t="str">
        <f>IFERROR(__xludf.DUMMYFUNCTION("""COMPUTED_VALUE"""),"אזרחים וכיתות כוננות")</f>
        <v>אזרחים וכיתות כוננות</v>
      </c>
      <c r="K30" s="5"/>
      <c r="L30" s="3" t="str">
        <f>IFERROR(__xludf.DUMMYFUNCTION("""COMPUTED_VALUE"""),"Benyamin Genish")</f>
        <v>Benyamin Genish</v>
      </c>
      <c r="M30" s="5"/>
    </row>
    <row r="31">
      <c r="A31" s="3">
        <f>IFERROR(__xludf.DUMMYFUNCTION("""COMPUTED_VALUE"""),883.0)</f>
        <v>883</v>
      </c>
      <c r="B31" s="4" t="str">
        <f>IFERROR(__xludf.DUMMYFUNCTION("""COMPUTED_VALUE"""),"וייסברג אלינה")</f>
        <v>וייסברג אלינה</v>
      </c>
      <c r="C31" s="3">
        <f>IFERROR(__xludf.DUMMYFUNCTION("""COMPUTED_VALUE"""),17.0)</f>
        <v>17</v>
      </c>
      <c r="D31" s="5" t="str">
        <f>IFERROR(__xludf.DUMMYFUNCTION("""COMPUTED_VALUE"""),"באר שבע")</f>
        <v>באר שבע</v>
      </c>
      <c r="E31" s="5" t="str">
        <f>IFERROR(__xludf.DUMMYFUNCTION("""COMPUTED_VALUE"""),"ילדה")</f>
        <v>ילדה</v>
      </c>
      <c r="F31" s="5" t="str">
        <f>IFERROR(__xludf.DUMMYFUNCTION("""COMPUTED_VALUE"""),"אזרחים")</f>
        <v>אזרחים</v>
      </c>
      <c r="G31" s="3"/>
      <c r="H31" s="3" t="str">
        <f>IFERROR(__xludf.DUMMYFUNCTION("""COMPUTED_VALUE"""),"07.10.2023")</f>
        <v>07.10.2023</v>
      </c>
      <c r="I31" s="4" t="str">
        <f>IFERROR(__xludf.DUMMYFUNCTION("""COMPUTED_VALUE"""),"חוף זיקים; שירותים")</f>
        <v>חוף זיקים; שירותים</v>
      </c>
      <c r="J31" s="4" t="str">
        <f>IFERROR(__xludf.DUMMYFUNCTION("""COMPUTED_VALUE"""),"אזרחים וכיתות כוננות")</f>
        <v>אזרחים וכיתות כוננות</v>
      </c>
      <c r="K31" s="5"/>
      <c r="L31" s="3" t="str">
        <f>IFERROR(__xludf.DUMMYFUNCTION("""COMPUTED_VALUE"""),"Alina Weissberg")</f>
        <v>Alina Weissberg</v>
      </c>
      <c r="M31" s="5"/>
    </row>
    <row r="32">
      <c r="A32" s="3">
        <f>IFERROR(__xludf.DUMMYFUNCTION("""COMPUTED_VALUE"""),1208.0)</f>
        <v>1208</v>
      </c>
      <c r="B32" s="4" t="str">
        <f>IFERROR(__xludf.DUMMYFUNCTION("""COMPUTED_VALUE"""),"חסדאי אבי")</f>
        <v>חסדאי אבי</v>
      </c>
      <c r="C32" s="3">
        <f>IFERROR(__xludf.DUMMYFUNCTION("""COMPUTED_VALUE"""),53.0)</f>
        <v>53</v>
      </c>
      <c r="D32" s="5" t="str">
        <f>IFERROR(__xludf.DUMMYFUNCTION("""COMPUTED_VALUE"""),"רמת גן")</f>
        <v>רמת גן</v>
      </c>
      <c r="E32" s="5" t="str">
        <f>IFERROR(__xludf.DUMMYFUNCTION("""COMPUTED_VALUE"""),"גבר")</f>
        <v>גבר</v>
      </c>
      <c r="F32" s="5" t="str">
        <f>IFERROR(__xludf.DUMMYFUNCTION("""COMPUTED_VALUE"""),"אזרחים")</f>
        <v>אזרחים</v>
      </c>
      <c r="G32" s="3"/>
      <c r="H32" s="3" t="str">
        <f>IFERROR(__xludf.DUMMYFUNCTION("""COMPUTED_VALUE"""),"07.10.2023")</f>
        <v>07.10.2023</v>
      </c>
      <c r="I32" s="4" t="str">
        <f>IFERROR(__xludf.DUMMYFUNCTION("""COMPUTED_VALUE"""),"חוף זיקים; מיגונית")</f>
        <v>חוף זיקים; מיגונית</v>
      </c>
      <c r="J32" s="4" t="str">
        <f>IFERROR(__xludf.DUMMYFUNCTION("""COMPUTED_VALUE"""),"אזרחים וכיתות כוננות")</f>
        <v>אזרחים וכיתות כוננות</v>
      </c>
      <c r="K32" s="5"/>
      <c r="L32" s="3" t="str">
        <f>IFERROR(__xludf.DUMMYFUNCTION("""COMPUTED_VALUE"""),"Avi Hasday")</f>
        <v>Avi Hasday</v>
      </c>
      <c r="M32" s="5"/>
    </row>
    <row r="33">
      <c r="A33" s="3">
        <f>IFERROR(__xludf.DUMMYFUNCTION("""COMPUTED_VALUE"""),1211.0)</f>
        <v>1211</v>
      </c>
      <c r="B33" s="4" t="str">
        <f>IFERROR(__xludf.DUMMYFUNCTION("""COMPUTED_VALUE"""),"טייב נדב יוסף חי")</f>
        <v>טייב נדב יוסף חי</v>
      </c>
      <c r="C33" s="3">
        <f>IFERROR(__xludf.DUMMYFUNCTION("""COMPUTED_VALUE"""),17.0)</f>
        <v>17</v>
      </c>
      <c r="D33" s="5" t="str">
        <f>IFERROR(__xludf.DUMMYFUNCTION("""COMPUTED_VALUE"""),"בית שקמה")</f>
        <v>בית שקמה</v>
      </c>
      <c r="E33" s="5" t="str">
        <f>IFERROR(__xludf.DUMMYFUNCTION("""COMPUTED_VALUE"""),"ילד")</f>
        <v>ילד</v>
      </c>
      <c r="F33" s="5" t="str">
        <f>IFERROR(__xludf.DUMMYFUNCTION("""COMPUTED_VALUE"""),"אזרחים")</f>
        <v>אזרחים</v>
      </c>
      <c r="G33" s="3"/>
      <c r="H33" s="3" t="str">
        <f>IFERROR(__xludf.DUMMYFUNCTION("""COMPUTED_VALUE"""),"07.10.2023")</f>
        <v>07.10.2023</v>
      </c>
      <c r="I33" s="4" t="str">
        <f>IFERROR(__xludf.DUMMYFUNCTION("""COMPUTED_VALUE"""),"חוף זיקים; שירותים")</f>
        <v>חוף זיקים; שירותים</v>
      </c>
      <c r="J33" s="4" t="str">
        <f>IFERROR(__xludf.DUMMYFUNCTION("""COMPUTED_VALUE"""),"אזרחים וכיתות כוננות")</f>
        <v>אזרחים וכיתות כוננות</v>
      </c>
      <c r="K33" s="5"/>
      <c r="L33" s="3" t="str">
        <f>IFERROR(__xludf.DUMMYFUNCTION("""COMPUTED_VALUE"""),"Nadav Yossef Hai Tayeb")</f>
        <v>Nadav Yossef Hai Tayeb</v>
      </c>
      <c r="M33" s="5"/>
    </row>
    <row r="34">
      <c r="A34" s="3">
        <f>IFERROR(__xludf.DUMMYFUNCTION("""COMPUTED_VALUE"""),1463.0)</f>
        <v>1463</v>
      </c>
      <c r="B34" s="4" t="str">
        <f>IFERROR(__xludf.DUMMYFUNCTION("""COMPUTED_VALUE"""),"ליסובוי יורי")</f>
        <v>ליסובוי יורי</v>
      </c>
      <c r="C34" s="3">
        <f>IFERROR(__xludf.DUMMYFUNCTION("""COMPUTED_VALUE"""),63.0)</f>
        <v>63</v>
      </c>
      <c r="D34" s="5" t="str">
        <f>IFERROR(__xludf.DUMMYFUNCTION("""COMPUTED_VALUE"""),"אשדוד")</f>
        <v>אשדוד</v>
      </c>
      <c r="E34" s="5" t="str">
        <f>IFERROR(__xludf.DUMMYFUNCTION("""COMPUTED_VALUE"""),"גבר")</f>
        <v>גבר</v>
      </c>
      <c r="F34" s="5" t="str">
        <f>IFERROR(__xludf.DUMMYFUNCTION("""COMPUTED_VALUE"""),"אזרחים")</f>
        <v>אזרחים</v>
      </c>
      <c r="G34" s="3"/>
      <c r="H34" s="3" t="str">
        <f>IFERROR(__xludf.DUMMYFUNCTION("""COMPUTED_VALUE"""),"07.10.2023")</f>
        <v>07.10.2023</v>
      </c>
      <c r="I34" s="4" t="str">
        <f>IFERROR(__xludf.DUMMYFUNCTION("""COMPUTED_VALUE"""),"חוף זיקים")</f>
        <v>חוף זיקים</v>
      </c>
      <c r="J34" s="4" t="str">
        <f>IFERROR(__xludf.DUMMYFUNCTION("""COMPUTED_VALUE"""),"אזרחים וכיתות כוננות")</f>
        <v>אזרחים וכיתות כוננות</v>
      </c>
      <c r="K34" s="5"/>
      <c r="L34" s="3" t="str">
        <f>IFERROR(__xludf.DUMMYFUNCTION("""COMPUTED_VALUE"""),"Yuri Lisovoy")</f>
        <v>Yuri Lisovoy</v>
      </c>
      <c r="M34" s="5"/>
    </row>
    <row r="35">
      <c r="A35" s="3">
        <f>IFERROR(__xludf.DUMMYFUNCTION("""COMPUTED_VALUE"""),1462.0)</f>
        <v>1462</v>
      </c>
      <c r="B35" s="4" t="str">
        <f>IFERROR(__xludf.DUMMYFUNCTION("""COMPUTED_VALUE"""),"ליסובוי סבטלנה")</f>
        <v>ליסובוי סבטלנה</v>
      </c>
      <c r="C35" s="3">
        <f>IFERROR(__xludf.DUMMYFUNCTION("""COMPUTED_VALUE"""),61.0)</f>
        <v>61</v>
      </c>
      <c r="D35" s="5" t="str">
        <f>IFERROR(__xludf.DUMMYFUNCTION("""COMPUTED_VALUE"""),"אשדוד")</f>
        <v>אשדוד</v>
      </c>
      <c r="E35" s="5" t="str">
        <f>IFERROR(__xludf.DUMMYFUNCTION("""COMPUTED_VALUE"""),"אישה")</f>
        <v>אישה</v>
      </c>
      <c r="F35" s="5" t="str">
        <f>IFERROR(__xludf.DUMMYFUNCTION("""COMPUTED_VALUE"""),"אזרחים")</f>
        <v>אזרחים</v>
      </c>
      <c r="G35" s="3"/>
      <c r="H35" s="3" t="str">
        <f>IFERROR(__xludf.DUMMYFUNCTION("""COMPUTED_VALUE"""),"07.10.2023")</f>
        <v>07.10.2023</v>
      </c>
      <c r="I35" s="4" t="str">
        <f>IFERROR(__xludf.DUMMYFUNCTION("""COMPUTED_VALUE"""),"חוף זיקים")</f>
        <v>חוף זיקים</v>
      </c>
      <c r="J35" s="4" t="str">
        <f>IFERROR(__xludf.DUMMYFUNCTION("""COMPUTED_VALUE"""),"אזרחים וכיתות כוננות")</f>
        <v>אזרחים וכיתות כוננות</v>
      </c>
      <c r="K35" s="5"/>
      <c r="L35" s="3" t="str">
        <f>IFERROR(__xludf.DUMMYFUNCTION("""COMPUTED_VALUE"""),"Svetlana Lisovoy")</f>
        <v>Svetlana Lisovoy</v>
      </c>
      <c r="M35" s="5"/>
    </row>
    <row r="36">
      <c r="A36" s="3">
        <f>IFERROR(__xludf.DUMMYFUNCTION("""COMPUTED_VALUE"""),1558.0)</f>
        <v>1558</v>
      </c>
      <c r="B36" s="4" t="str">
        <f>IFERROR(__xludf.DUMMYFUNCTION("""COMPUTED_VALUE"""),"צ'בן יוליה")</f>
        <v>צ'בן יוליה</v>
      </c>
      <c r="C36" s="3">
        <f>IFERROR(__xludf.DUMMYFUNCTION("""COMPUTED_VALUE"""),24.0)</f>
        <v>24</v>
      </c>
      <c r="D36" s="5" t="str">
        <f>IFERROR(__xludf.DUMMYFUNCTION("""COMPUTED_VALUE"""),"באר שבע")</f>
        <v>באר שבע</v>
      </c>
      <c r="E36" s="5" t="str">
        <f>IFERROR(__xludf.DUMMYFUNCTION("""COMPUTED_VALUE"""),"אישה")</f>
        <v>אישה</v>
      </c>
      <c r="F36" s="5" t="str">
        <f>IFERROR(__xludf.DUMMYFUNCTION("""COMPUTED_VALUE"""),"אזרחים")</f>
        <v>אזרחים</v>
      </c>
      <c r="G36" s="3"/>
      <c r="H36" s="3" t="str">
        <f>IFERROR(__xludf.DUMMYFUNCTION("""COMPUTED_VALUE"""),"07.10.2023")</f>
        <v>07.10.2023</v>
      </c>
      <c r="I36" s="4" t="str">
        <f>IFERROR(__xludf.DUMMYFUNCTION("""COMPUTED_VALUE"""),"חוף זיקים")</f>
        <v>חוף זיקים</v>
      </c>
      <c r="J36" s="4" t="str">
        <f>IFERROR(__xludf.DUMMYFUNCTION("""COMPUTED_VALUE"""),"אזרחים וכיתות כוננות")</f>
        <v>אזרחים וכיתות כוננות</v>
      </c>
      <c r="K36" s="5"/>
      <c r="L36" s="3" t="str">
        <f>IFERROR(__xludf.DUMMYFUNCTION("""COMPUTED_VALUE"""),"Yulia Chaben")</f>
        <v>Yulia Chaben</v>
      </c>
      <c r="M36" s="5"/>
    </row>
    <row r="37">
      <c r="A37" s="3">
        <f>IFERROR(__xludf.DUMMYFUNCTION("""COMPUTED_VALUE"""),1209.0)</f>
        <v>1209</v>
      </c>
      <c r="B37" s="4" t="str">
        <f>IFERROR(__xludf.DUMMYFUNCTION("""COMPUTED_VALUE"""),"קימנפלד דניל")</f>
        <v>קימנפלד דניל</v>
      </c>
      <c r="C37" s="3">
        <f>IFERROR(__xludf.DUMMYFUNCTION("""COMPUTED_VALUE"""),64.0)</f>
        <v>64</v>
      </c>
      <c r="D37" s="5" t="str">
        <f>IFERROR(__xludf.DUMMYFUNCTION("""COMPUTED_VALUE"""),"אשקלון")</f>
        <v>אשקלון</v>
      </c>
      <c r="E37" s="5" t="str">
        <f>IFERROR(__xludf.DUMMYFUNCTION("""COMPUTED_VALUE"""),"גבר")</f>
        <v>גבר</v>
      </c>
      <c r="F37" s="5" t="str">
        <f>IFERROR(__xludf.DUMMYFUNCTION("""COMPUTED_VALUE"""),"אזרחים")</f>
        <v>אזרחים</v>
      </c>
      <c r="G37" s="3"/>
      <c r="H37" s="3" t="str">
        <f>IFERROR(__xludf.DUMMYFUNCTION("""COMPUTED_VALUE"""),"07.10.2023")</f>
        <v>07.10.2023</v>
      </c>
      <c r="I37" s="4" t="str">
        <f>IFERROR(__xludf.DUMMYFUNCTION("""COMPUTED_VALUE"""),"חוף זיקים")</f>
        <v>חוף זיקים</v>
      </c>
      <c r="J37" s="4" t="str">
        <f>IFERROR(__xludf.DUMMYFUNCTION("""COMPUTED_VALUE"""),"אזרחים וכיתות כוננות")</f>
        <v>אזרחים וכיתות כוננות</v>
      </c>
      <c r="K37" s="5"/>
      <c r="L37" s="3" t="str">
        <f>IFERROR(__xludf.DUMMYFUNCTION("""COMPUTED_VALUE"""),"Denil Kimenfeld")</f>
        <v>Denil Kimenfeld</v>
      </c>
      <c r="M37" s="5"/>
    </row>
    <row r="38">
      <c r="A38" s="3">
        <f>IFERROR(__xludf.DUMMYFUNCTION("""COMPUTED_VALUE"""),1492.0)</f>
        <v>1492</v>
      </c>
      <c r="B38" s="4" t="str">
        <f>IFERROR(__xludf.DUMMYFUNCTION("""COMPUTED_VALUE"""),"קרייף שחף")</f>
        <v>קרייף שחף</v>
      </c>
      <c r="C38" s="3">
        <f>IFERROR(__xludf.DUMMYFUNCTION("""COMPUTED_VALUE"""),17.0)</f>
        <v>17</v>
      </c>
      <c r="D38" s="5" t="str">
        <f>IFERROR(__xludf.DUMMYFUNCTION("""COMPUTED_VALUE"""),"גילת")</f>
        <v>גילת</v>
      </c>
      <c r="E38" s="5" t="str">
        <f>IFERROR(__xludf.DUMMYFUNCTION("""COMPUTED_VALUE"""),"ילדה")</f>
        <v>ילדה</v>
      </c>
      <c r="F38" s="5" t="str">
        <f>IFERROR(__xludf.DUMMYFUNCTION("""COMPUTED_VALUE"""),"אזרחים")</f>
        <v>אזרחים</v>
      </c>
      <c r="G38" s="3"/>
      <c r="H38" s="3" t="str">
        <f>IFERROR(__xludf.DUMMYFUNCTION("""COMPUTED_VALUE"""),"07.10.2023")</f>
        <v>07.10.2023</v>
      </c>
      <c r="I38" s="4" t="str">
        <f>IFERROR(__xludf.DUMMYFUNCTION("""COMPUTED_VALUE"""),"חוף זיקים; שירותים")</f>
        <v>חוף זיקים; שירותים</v>
      </c>
      <c r="J38" s="4" t="str">
        <f>IFERROR(__xludf.DUMMYFUNCTION("""COMPUTED_VALUE"""),"אזרחים וכיתות כוננות")</f>
        <v>אזרחים וכיתות כוננות</v>
      </c>
      <c r="K38" s="5"/>
      <c r="L38" s="3" t="str">
        <f>IFERROR(__xludf.DUMMYFUNCTION("""COMPUTED_VALUE"""),"Shahaf Krief")</f>
        <v>Shahaf Krief</v>
      </c>
      <c r="M38" s="5"/>
    </row>
    <row r="39">
      <c r="A39" s="3">
        <f>IFERROR(__xludf.DUMMYFUNCTION("""COMPUTED_VALUE"""),507.0)</f>
        <v>507</v>
      </c>
      <c r="B39" s="4" t="str">
        <f>IFERROR(__xludf.DUMMYFUNCTION("""COMPUTED_VALUE"""),"קרן טל")</f>
        <v>קרן טל</v>
      </c>
      <c r="C39" s="3">
        <f>IFERROR(__xludf.DUMMYFUNCTION("""COMPUTED_VALUE"""),17.0)</f>
        <v>17</v>
      </c>
      <c r="D39" s="5" t="str">
        <f>IFERROR(__xludf.DUMMYFUNCTION("""COMPUTED_VALUE"""),"נתיב העשרה")</f>
        <v>נתיב העשרה</v>
      </c>
      <c r="E39" s="5" t="str">
        <f>IFERROR(__xludf.DUMMYFUNCTION("""COMPUTED_VALUE"""),"ילד")</f>
        <v>ילד</v>
      </c>
      <c r="F39" s="5" t="str">
        <f>IFERROR(__xludf.DUMMYFUNCTION("""COMPUTED_VALUE"""),"אזרחים")</f>
        <v>אזרחים</v>
      </c>
      <c r="G39" s="3"/>
      <c r="H39" s="3" t="str">
        <f>IFERROR(__xludf.DUMMYFUNCTION("""COMPUTED_VALUE"""),"07.10.2023")</f>
        <v>07.10.2023</v>
      </c>
      <c r="I39" s="4" t="str">
        <f>IFERROR(__xludf.DUMMYFUNCTION("""COMPUTED_VALUE"""),"חוף זיקים; שירותים")</f>
        <v>חוף זיקים; שירותים</v>
      </c>
      <c r="J39" s="4" t="str">
        <f>IFERROR(__xludf.DUMMYFUNCTION("""COMPUTED_VALUE"""),"אזרחים וכיתות כוננות")</f>
        <v>אזרחים וכיתות כוננות</v>
      </c>
      <c r="K39" s="5"/>
      <c r="L39" s="3" t="str">
        <f>IFERROR(__xludf.DUMMYFUNCTION("""COMPUTED_VALUE"""),"Tal Keren")</f>
        <v>Tal Keren</v>
      </c>
      <c r="M39" s="5"/>
    </row>
    <row r="40">
      <c r="A40" s="3">
        <f>IFERROR(__xludf.DUMMYFUNCTION("""COMPUTED_VALUE"""),1675.0)</f>
        <v>1675</v>
      </c>
      <c r="B40" s="4" t="str">
        <f>IFERROR(__xludf.DUMMYFUNCTION("""COMPUTED_VALUE"""),"שאולוב רוברט")</f>
        <v>שאולוב רוברט</v>
      </c>
      <c r="C40" s="3">
        <f>IFERROR(__xludf.DUMMYFUNCTION("""COMPUTED_VALUE"""),70.0)</f>
        <v>70</v>
      </c>
      <c r="D40" s="5" t="str">
        <f>IFERROR(__xludf.DUMMYFUNCTION("""COMPUTED_VALUE"""),"אשדוד")</f>
        <v>אשדוד</v>
      </c>
      <c r="E40" s="5" t="str">
        <f>IFERROR(__xludf.DUMMYFUNCTION("""COMPUTED_VALUE"""),"גבר")</f>
        <v>גבר</v>
      </c>
      <c r="F40" s="5" t="str">
        <f>IFERROR(__xludf.DUMMYFUNCTION("""COMPUTED_VALUE"""),"אזרחים")</f>
        <v>אזרחים</v>
      </c>
      <c r="G40" s="3"/>
      <c r="H40" s="3" t="str">
        <f>IFERROR(__xludf.DUMMYFUNCTION("""COMPUTED_VALUE"""),"07.10.2023")</f>
        <v>07.10.2023</v>
      </c>
      <c r="I40" s="4" t="str">
        <f>IFERROR(__xludf.DUMMYFUNCTION("""COMPUTED_VALUE"""),"חוף זיקים")</f>
        <v>חוף זיקים</v>
      </c>
      <c r="J40" s="2" t="str">
        <f>IFERROR(__xludf.DUMMYFUNCTION("""COMPUTED_VALUE"""),"אזרחים וכיתות כוננות")</f>
        <v>אזרחים וכיתות כוננות</v>
      </c>
      <c r="K40" s="5"/>
      <c r="L40" s="3" t="str">
        <f>IFERROR(__xludf.DUMMYFUNCTION("""COMPUTED_VALUE"""),"Robert Shaulov")</f>
        <v>Robert Shaulov</v>
      </c>
      <c r="M40" s="5"/>
    </row>
    <row r="41">
      <c r="A41" s="3">
        <f>IFERROR(__xludf.DUMMYFUNCTION("""COMPUTED_VALUE"""),515.0)</f>
        <v>515</v>
      </c>
      <c r="B41" s="4" t="str">
        <f>IFERROR(__xludf.DUMMYFUNCTION("""COMPUTED_VALUE"""),"תעסה אור")</f>
        <v>תעסה אור</v>
      </c>
      <c r="C41" s="3">
        <f>IFERROR(__xludf.DUMMYFUNCTION("""COMPUTED_VALUE"""),17.0)</f>
        <v>17</v>
      </c>
      <c r="D41" s="5" t="str">
        <f>IFERROR(__xludf.DUMMYFUNCTION("""COMPUTED_VALUE"""),"נתיב העשרה")</f>
        <v>נתיב העשרה</v>
      </c>
      <c r="E41" s="5" t="str">
        <f>IFERROR(__xludf.DUMMYFUNCTION("""COMPUTED_VALUE"""),"ילד")</f>
        <v>ילד</v>
      </c>
      <c r="F41" s="5" t="str">
        <f>IFERROR(__xludf.DUMMYFUNCTION("""COMPUTED_VALUE"""),"אזרחים")</f>
        <v>אזרחים</v>
      </c>
      <c r="G41" s="3"/>
      <c r="H41" s="3" t="str">
        <f>IFERROR(__xludf.DUMMYFUNCTION("""COMPUTED_VALUE"""),"07.10.2023")</f>
        <v>07.10.2023</v>
      </c>
      <c r="I41" s="4" t="str">
        <f>IFERROR(__xludf.DUMMYFUNCTION("""COMPUTED_VALUE"""),"חוף זיקים; שירותים")</f>
        <v>חוף זיקים; שירותים</v>
      </c>
      <c r="J41" s="4" t="str">
        <f>IFERROR(__xludf.DUMMYFUNCTION("""COMPUTED_VALUE"""),"אזרחים וכיתות כוננות")</f>
        <v>אזרחים וכיתות כוננות</v>
      </c>
      <c r="K41" s="5"/>
      <c r="L41" s="3" t="str">
        <f>IFERROR(__xludf.DUMMYFUNCTION("""COMPUTED_VALUE"""),"Or Tasa")</f>
        <v>Or Tasa</v>
      </c>
      <c r="M41" s="5"/>
    </row>
    <row r="42">
      <c r="A42" s="3">
        <f>IFERROR(__xludf.DUMMYFUNCTION("""COMPUTED_VALUE"""),1420.0)</f>
        <v>1420</v>
      </c>
      <c r="B42" s="4" t="str">
        <f>IFERROR(__xludf.DUMMYFUNCTION("""COMPUTED_VALUE"""),"אוביץ זיוה")</f>
        <v>אוביץ זיוה</v>
      </c>
      <c r="C42" s="3">
        <f>IFERROR(__xludf.DUMMYFUNCTION("""COMPUTED_VALUE"""),77.0)</f>
        <v>77</v>
      </c>
      <c r="D42" s="5" t="str">
        <f>IFERROR(__xludf.DUMMYFUNCTION("""COMPUTED_VALUE"""),"עמיעוז")</f>
        <v>עמיעוז</v>
      </c>
      <c r="E42" s="5" t="str">
        <f>IFERROR(__xludf.DUMMYFUNCTION("""COMPUTED_VALUE"""),"אישה")</f>
        <v>אישה</v>
      </c>
      <c r="F42" s="5" t="str">
        <f>IFERROR(__xludf.DUMMYFUNCTION("""COMPUTED_VALUE"""),"אזרחים")</f>
        <v>אזרחים</v>
      </c>
      <c r="G42" s="3"/>
      <c r="H42" s="3" t="str">
        <f>IFERROR(__xludf.DUMMYFUNCTION("""COMPUTED_VALUE"""),"07.10.2023")</f>
        <v>07.10.2023</v>
      </c>
      <c r="I42" s="4" t="str">
        <f>IFERROR(__xludf.DUMMYFUNCTION("""COMPUTED_VALUE"""),"עמיעוז")</f>
        <v>עמיעוז</v>
      </c>
      <c r="J42" s="4" t="str">
        <f>IFERROR(__xludf.DUMMYFUNCTION("""COMPUTED_VALUE"""),"ירי רקטי")</f>
        <v>ירי רקטי</v>
      </c>
      <c r="K42" s="5"/>
      <c r="L42" s="3" t="str">
        <f>IFERROR(__xludf.DUMMYFUNCTION("""COMPUTED_VALUE"""),"Ziva Ovitz")</f>
        <v>Ziva Ovitz</v>
      </c>
      <c r="M42" s="5"/>
    </row>
    <row r="43">
      <c r="A43" s="3">
        <f>IFERROR(__xludf.DUMMYFUNCTION("""COMPUTED_VALUE"""),2001.0)</f>
        <v>2001</v>
      </c>
      <c r="B43" s="4" t="str">
        <f>IFERROR(__xludf.DUMMYFUNCTION("""COMPUTED_VALUE"""),"אוחנה עדי")</f>
        <v>אוחנה עדי</v>
      </c>
      <c r="C43" s="3">
        <f>IFERROR(__xludf.DUMMYFUNCTION("""COMPUTED_VALUE"""),43.0)</f>
        <v>43</v>
      </c>
      <c r="D43" s="5" t="str">
        <f>IFERROR(__xludf.DUMMYFUNCTION("""COMPUTED_VALUE"""),"מבקיעים")</f>
        <v>מבקיעים</v>
      </c>
      <c r="E43" s="5" t="str">
        <f>IFERROR(__xludf.DUMMYFUNCTION("""COMPUTED_VALUE"""),"גבר")</f>
        <v>גבר</v>
      </c>
      <c r="F43" s="5" t="str">
        <f>IFERROR(__xludf.DUMMYFUNCTION("""COMPUTED_VALUE"""),"אזרחים")</f>
        <v>אזרחים</v>
      </c>
      <c r="G43" s="3"/>
      <c r="H43" s="3" t="str">
        <f>IFERROR(__xludf.DUMMYFUNCTION("""COMPUTED_VALUE"""),"07.10.2023")</f>
        <v>07.10.2023</v>
      </c>
      <c r="I43" s="4" t="str">
        <f>IFERROR(__xludf.DUMMYFUNCTION("""COMPUTED_VALUE"""),"ירי בשוגג ליד תחנת כח רוטנברג")</f>
        <v>ירי בשוגג ליד תחנת כח רוטנברג</v>
      </c>
      <c r="J43" s="4" t="str">
        <f>IFERROR(__xludf.DUMMYFUNCTION("""COMPUTED_VALUE"""),"אזרחים וכיתות כוננות")</f>
        <v>אזרחים וכיתות כוננות</v>
      </c>
      <c r="K43" s="5"/>
      <c r="L43" s="3" t="str">
        <f>IFERROR(__xludf.DUMMYFUNCTION("""COMPUTED_VALUE"""),"Adi Ohana")</f>
        <v>Adi Ohana</v>
      </c>
      <c r="M43" s="5"/>
    </row>
    <row r="44">
      <c r="A44" s="3">
        <f>IFERROR(__xludf.DUMMYFUNCTION("""COMPUTED_VALUE"""),517.0)</f>
        <v>517</v>
      </c>
      <c r="B44" s="4" t="str">
        <f>IFERROR(__xludf.DUMMYFUNCTION("""COMPUTED_VALUE"""),"בנעים חיימי (חיים)")</f>
        <v>בנעים חיימי (חיים)</v>
      </c>
      <c r="C44" s="3">
        <f>IFERROR(__xludf.DUMMYFUNCTION("""COMPUTED_VALUE"""),56.0)</f>
        <v>56</v>
      </c>
      <c r="D44" s="5" t="str">
        <f>IFERROR(__xludf.DUMMYFUNCTION("""COMPUTED_VALUE"""),"נתיב העשרה")</f>
        <v>נתיב העשרה</v>
      </c>
      <c r="E44" s="5" t="str">
        <f>IFERROR(__xludf.DUMMYFUNCTION("""COMPUTED_VALUE"""),"גבר")</f>
        <v>גבר</v>
      </c>
      <c r="F44" s="5" t="str">
        <f>IFERROR(__xludf.DUMMYFUNCTION("""COMPUTED_VALUE"""),"אזרחים")</f>
        <v>אזרחים</v>
      </c>
      <c r="G44" s="3"/>
      <c r="H44" s="3" t="str">
        <f>IFERROR(__xludf.DUMMYFUNCTION("""COMPUTED_VALUE"""),"07.10.2023")</f>
        <v>07.10.2023</v>
      </c>
      <c r="I44" s="4" t="str">
        <f>IFERROR(__xludf.DUMMYFUNCTION("""COMPUTED_VALUE"""),"נתיב העשרה - ארז")</f>
        <v>נתיב העשרה - ארז</v>
      </c>
      <c r="J44" s="4" t="str">
        <f>IFERROR(__xludf.DUMMYFUNCTION("""COMPUTED_VALUE"""),"אזרחים וכיתות כוננות")</f>
        <v>אזרחים וכיתות כוננות</v>
      </c>
      <c r="K44" s="5"/>
      <c r="L44" s="3" t="str">
        <f>IFERROR(__xludf.DUMMYFUNCTION("""COMPUTED_VALUE"""),"Chaimi Ben Naim")</f>
        <v>Chaimi Ben Naim</v>
      </c>
      <c r="M44" s="5"/>
    </row>
    <row r="45">
      <c r="A45" s="3">
        <f>IFERROR(__xludf.DUMMYFUNCTION("""COMPUTED_VALUE"""),652.0)</f>
        <v>652</v>
      </c>
      <c r="B45" s="4" t="str">
        <f>IFERROR(__xludf.DUMMYFUNCTION("""COMPUTED_VALUE"""),"גולדין אורן")</f>
        <v>גולדין אורן</v>
      </c>
      <c r="C45" s="3">
        <f>IFERROR(__xludf.DUMMYFUNCTION("""COMPUTED_VALUE"""),33.0)</f>
        <v>33</v>
      </c>
      <c r="D45" s="5" t="str">
        <f>IFERROR(__xludf.DUMMYFUNCTION("""COMPUTED_VALUE"""),"ניר יצחק")</f>
        <v>ניר יצחק</v>
      </c>
      <c r="E45" s="5" t="str">
        <f>IFERROR(__xludf.DUMMYFUNCTION("""COMPUTED_VALUE"""),"גבר")</f>
        <v>גבר</v>
      </c>
      <c r="F45" s="5" t="str">
        <f>IFERROR(__xludf.DUMMYFUNCTION("""COMPUTED_VALUE"""),"כיתות כוננות")</f>
        <v>כיתות כוננות</v>
      </c>
      <c r="G45" s="3"/>
      <c r="H45" s="3" t="str">
        <f>IFERROR(__xludf.DUMMYFUNCTION("""COMPUTED_VALUE"""),"07.10.2023")</f>
        <v>07.10.2023</v>
      </c>
      <c r="I45" s="4" t="str">
        <f>IFERROR(__xludf.DUMMYFUNCTION("""COMPUTED_VALUE"""),"ניר יצחק")</f>
        <v>ניר יצחק</v>
      </c>
      <c r="J45" s="4" t="str">
        <f>IFERROR(__xludf.DUMMYFUNCTION("""COMPUTED_VALUE"""),"אזרחים וכיתות כוננות")</f>
        <v>אזרחים וכיתות כוננות</v>
      </c>
      <c r="K45" s="5"/>
      <c r="L45" s="3" t="str">
        <f>IFERROR(__xludf.DUMMYFUNCTION("""COMPUTED_VALUE"""),"Oren Goldin")</f>
        <v>Oren Goldin</v>
      </c>
      <c r="M45" s="5"/>
    </row>
    <row r="46">
      <c r="A46" s="3">
        <f>IFERROR(__xludf.DUMMYFUNCTION("""COMPUTED_VALUE"""),1596.0)</f>
        <v>1596</v>
      </c>
      <c r="B46" s="4" t="str">
        <f>IFERROR(__xludf.DUMMYFUNCTION("""COMPUTED_VALUE"""),"לוגבינצ'נקו ויטלי")</f>
        <v>לוגבינצ'נקו ויטלי</v>
      </c>
      <c r="C46" s="3">
        <f>IFERROR(__xludf.DUMMYFUNCTION("""COMPUTED_VALUE"""),34.0)</f>
        <v>34</v>
      </c>
      <c r="D46" s="5" t="str">
        <f>IFERROR(__xludf.DUMMYFUNCTION("""COMPUTED_VALUE"""),"אשקלון")</f>
        <v>אשקלון</v>
      </c>
      <c r="E46" s="5" t="str">
        <f>IFERROR(__xludf.DUMMYFUNCTION("""COMPUTED_VALUE"""),"גבר")</f>
        <v>גבר</v>
      </c>
      <c r="F46" s="5" t="str">
        <f>IFERROR(__xludf.DUMMYFUNCTION("""COMPUTED_VALUE"""),"אזרחים")</f>
        <v>אזרחים</v>
      </c>
      <c r="G46" s="3"/>
      <c r="H46" s="3" t="str">
        <f>IFERROR(__xludf.DUMMYFUNCTION("""COMPUTED_VALUE"""),"07.10.2023")</f>
        <v>07.10.2023</v>
      </c>
      <c r="I46" s="2" t="str">
        <f>IFERROR(__xludf.DUMMYFUNCTION("""COMPUTED_VALUE"""),"צומת גמה")</f>
        <v>צומת גמה</v>
      </c>
      <c r="J46" s="4" t="str">
        <f>IFERROR(__xludf.DUMMYFUNCTION("""COMPUTED_VALUE"""),"אזרחים וכיתות כוננות")</f>
        <v>אזרחים וכיתות כוננות</v>
      </c>
      <c r="K46" s="5"/>
      <c r="L46" s="3" t="str">
        <f>IFERROR(__xludf.DUMMYFUNCTION("""COMPUTED_VALUE"""),"Vitaly Lugvinechenko")</f>
        <v>Vitaly Lugvinechenko</v>
      </c>
    </row>
    <row r="47">
      <c r="A47" s="3">
        <f>IFERROR(__xludf.DUMMYFUNCTION("""COMPUTED_VALUE"""),1591.0)</f>
        <v>1591</v>
      </c>
      <c r="B47" s="4" t="str">
        <f>IFERROR(__xludf.DUMMYFUNCTION("""COMPUTED_VALUE"""),"משה רועי")</f>
        <v>משה רועי</v>
      </c>
      <c r="C47" s="3">
        <f>IFERROR(__xludf.DUMMYFUNCTION("""COMPUTED_VALUE"""),36.0)</f>
        <v>36</v>
      </c>
      <c r="D47" s="5" t="str">
        <f>IFERROR(__xludf.DUMMYFUNCTION("""COMPUTED_VALUE"""),"אשקלון")</f>
        <v>אשקלון</v>
      </c>
      <c r="E47" s="5" t="str">
        <f>IFERROR(__xludf.DUMMYFUNCTION("""COMPUTED_VALUE"""),"גבר")</f>
        <v>גבר</v>
      </c>
      <c r="F47" s="5" t="str">
        <f>IFERROR(__xludf.DUMMYFUNCTION("""COMPUTED_VALUE"""),"כבאות והצלה")</f>
        <v>כבאות והצלה</v>
      </c>
      <c r="G47" s="5" t="str">
        <f>IFERROR(__xludf.DUMMYFUNCTION("""COMPUTED_VALUE"""),"רס״ל")</f>
        <v>רס״ל</v>
      </c>
      <c r="H47" s="3" t="str">
        <f>IFERROR(__xludf.DUMMYFUNCTION("""COMPUTED_VALUE"""),"07.10.2023")</f>
        <v>07.10.2023</v>
      </c>
      <c r="I47" s="4" t="str">
        <f>IFERROR(__xludf.DUMMYFUNCTION("""COMPUTED_VALUE"""),"שדות יכיני")</f>
        <v>שדות יכיני</v>
      </c>
      <c r="J47" s="4" t="str">
        <f>IFERROR(__xludf.DUMMYFUNCTION("""COMPUTED_VALUE"""),"שוטרים וכוחות הצלה")</f>
        <v>שוטרים וכוחות הצלה</v>
      </c>
      <c r="K47" s="5"/>
      <c r="L47" s="3" t="str">
        <f>IFERROR(__xludf.DUMMYFUNCTION("""COMPUTED_VALUE"""),"Roei moshe")</f>
        <v>Roei moshe</v>
      </c>
      <c r="M47" s="5"/>
    </row>
    <row r="48">
      <c r="A48" s="3">
        <f>IFERROR(__xludf.DUMMYFUNCTION("""COMPUTED_VALUE"""),1629.0)</f>
        <v>1629</v>
      </c>
      <c r="B48" s="4" t="str">
        <f>IFERROR(__xludf.DUMMYFUNCTION("""COMPUTED_VALUE"""),"פופוב ניר (ניקיטה)")</f>
        <v>פופוב ניר (ניקיטה)</v>
      </c>
      <c r="C48" s="3">
        <f>IFERROR(__xludf.DUMMYFUNCTION("""COMPUTED_VALUE"""),25.0)</f>
        <v>25</v>
      </c>
      <c r="D48" s="5" t="str">
        <f>IFERROR(__xludf.DUMMYFUNCTION("""COMPUTED_VALUE"""),"אשדוד")</f>
        <v>אשדוד</v>
      </c>
      <c r="E48" s="5" t="str">
        <f>IFERROR(__xludf.DUMMYFUNCTION("""COMPUTED_VALUE"""),"גבר")</f>
        <v>גבר</v>
      </c>
      <c r="F48" s="5" t="str">
        <f>IFERROR(__xludf.DUMMYFUNCTION("""COMPUTED_VALUE"""),"אזרחים")</f>
        <v>אזרחים</v>
      </c>
      <c r="G48" s="3"/>
      <c r="H48" s="3" t="str">
        <f>IFERROR(__xludf.DUMMYFUNCTION("""COMPUTED_VALUE"""),"07.10.2023")</f>
        <v>07.10.2023</v>
      </c>
      <c r="I48" s="4" t="str">
        <f>IFERROR(__xludf.DUMMYFUNCTION("""COMPUTED_VALUE"""),"סמוך למפלסים")</f>
        <v>סמוך למפלסים</v>
      </c>
      <c r="J48" s="4" t="str">
        <f>IFERROR(__xludf.DUMMYFUNCTION("""COMPUTED_VALUE"""),"אזרחים וכיתות כוננות")</f>
        <v>אזרחים וכיתות כוננות</v>
      </c>
      <c r="K48" s="5"/>
      <c r="L48" s="3" t="str">
        <f>IFERROR(__xludf.DUMMYFUNCTION("""COMPUTED_VALUE"""),"Nir Popov")</f>
        <v>Nir Popov</v>
      </c>
      <c r="M48" s="5"/>
    </row>
    <row r="49">
      <c r="A49" s="3">
        <f>IFERROR(__xludf.DUMMYFUNCTION("""COMPUTED_VALUE"""),498.0)</f>
        <v>498</v>
      </c>
      <c r="B49" s="4" t="str">
        <f>IFERROR(__xludf.DUMMYFUNCTION("""COMPUTED_VALUE"""),"קפשיטר איתן")</f>
        <v>קפשיטר איתן</v>
      </c>
      <c r="C49" s="3">
        <f>IFERROR(__xludf.DUMMYFUNCTION("""COMPUTED_VALUE"""),4.0)</f>
        <v>4</v>
      </c>
      <c r="D49" s="5" t="str">
        <f>IFERROR(__xludf.DUMMYFUNCTION("""COMPUTED_VALUE"""),"באר שבע")</f>
        <v>באר שבע</v>
      </c>
      <c r="E49" s="5" t="str">
        <f>IFERROR(__xludf.DUMMYFUNCTION("""COMPUTED_VALUE"""),"ילד")</f>
        <v>ילד</v>
      </c>
      <c r="F49" s="5" t="str">
        <f>IFERROR(__xludf.DUMMYFUNCTION("""COMPUTED_VALUE"""),"אזרחים")</f>
        <v>אזרחים</v>
      </c>
      <c r="G49" s="3"/>
      <c r="H49" s="3" t="str">
        <f>IFERROR(__xludf.DUMMYFUNCTION("""COMPUTED_VALUE"""),"07.10.2023")</f>
        <v>07.10.2023</v>
      </c>
      <c r="I49" s="4" t="str">
        <f>IFERROR(__xludf.DUMMYFUNCTION("""COMPUTED_VALUE"""),"צומת שער הנגב")</f>
        <v>צומת שער הנגב</v>
      </c>
      <c r="J49" s="4" t="str">
        <f>IFERROR(__xludf.DUMMYFUNCTION("""COMPUTED_VALUE"""),"אזרחים וכיתות כוננות")</f>
        <v>אזרחים וכיתות כוננות</v>
      </c>
      <c r="K49" s="5"/>
      <c r="L49" s="3" t="str">
        <f>IFERROR(__xludf.DUMMYFUNCTION("""COMPUTED_VALUE"""),"Ethan Kapshetar")</f>
        <v>Ethan Kapshetar</v>
      </c>
      <c r="M49" s="5"/>
    </row>
    <row r="50">
      <c r="A50" s="3">
        <f>IFERROR(__xludf.DUMMYFUNCTION("""COMPUTED_VALUE"""),500.0)</f>
        <v>500</v>
      </c>
      <c r="B50" s="4" t="str">
        <f>IFERROR(__xludf.DUMMYFUNCTION("""COMPUTED_VALUE"""),"קפשיטר אלין")</f>
        <v>קפשיטר אלין</v>
      </c>
      <c r="C50" s="3">
        <f>IFERROR(__xludf.DUMMYFUNCTION("""COMPUTED_VALUE"""),7.0)</f>
        <v>7</v>
      </c>
      <c r="D50" s="5" t="str">
        <f>IFERROR(__xludf.DUMMYFUNCTION("""COMPUTED_VALUE"""),"באר שבע")</f>
        <v>באר שבע</v>
      </c>
      <c r="E50" s="5" t="str">
        <f>IFERROR(__xludf.DUMMYFUNCTION("""COMPUTED_VALUE"""),"ילדה")</f>
        <v>ילדה</v>
      </c>
      <c r="F50" s="5" t="str">
        <f>IFERROR(__xludf.DUMMYFUNCTION("""COMPUTED_VALUE"""),"אזרחים")</f>
        <v>אזרחים</v>
      </c>
      <c r="G50" s="3"/>
      <c r="H50" s="3" t="str">
        <f>IFERROR(__xludf.DUMMYFUNCTION("""COMPUTED_VALUE"""),"07.10.2023")</f>
        <v>07.10.2023</v>
      </c>
      <c r="I50" s="4" t="str">
        <f>IFERROR(__xludf.DUMMYFUNCTION("""COMPUTED_VALUE"""),"צומת שער הנגב")</f>
        <v>צומת שער הנגב</v>
      </c>
      <c r="J50" s="4" t="str">
        <f>IFERROR(__xludf.DUMMYFUNCTION("""COMPUTED_VALUE"""),"אזרחים וכיתות כוננות")</f>
        <v>אזרחים וכיתות כוננות</v>
      </c>
      <c r="K50" s="5"/>
      <c r="L50" s="3" t="str">
        <f>IFERROR(__xludf.DUMMYFUNCTION("""COMPUTED_VALUE"""),"Aline Kapshetar")</f>
        <v>Aline Kapshetar</v>
      </c>
      <c r="M50" s="5"/>
    </row>
    <row r="51">
      <c r="A51" s="3">
        <f>IFERROR(__xludf.DUMMYFUNCTION("""COMPUTED_VALUE"""),497.0)</f>
        <v>497</v>
      </c>
      <c r="B51" s="4" t="str">
        <f>IFERROR(__xludf.DUMMYFUNCTION("""COMPUTED_VALUE"""),"קפשיטר דינה")</f>
        <v>קפשיטר דינה</v>
      </c>
      <c r="C51" s="3">
        <f>IFERROR(__xludf.DUMMYFUNCTION("""COMPUTED_VALUE"""),35.0)</f>
        <v>35</v>
      </c>
      <c r="D51" s="5" t="str">
        <f>IFERROR(__xludf.DUMMYFUNCTION("""COMPUTED_VALUE"""),"באר שבע")</f>
        <v>באר שבע</v>
      </c>
      <c r="E51" s="5" t="str">
        <f>IFERROR(__xludf.DUMMYFUNCTION("""COMPUTED_VALUE"""),"אישה")</f>
        <v>אישה</v>
      </c>
      <c r="F51" s="5" t="str">
        <f>IFERROR(__xludf.DUMMYFUNCTION("""COMPUTED_VALUE"""),"אזרחים")</f>
        <v>אזרחים</v>
      </c>
      <c r="G51" s="3"/>
      <c r="H51" s="3" t="str">
        <f>IFERROR(__xludf.DUMMYFUNCTION("""COMPUTED_VALUE"""),"07.10.2023")</f>
        <v>07.10.2023</v>
      </c>
      <c r="I51" s="4" t="str">
        <f>IFERROR(__xludf.DUMMYFUNCTION("""COMPUTED_VALUE"""),"צומת שער הנגב")</f>
        <v>צומת שער הנגב</v>
      </c>
      <c r="J51" s="4" t="str">
        <f>IFERROR(__xludf.DUMMYFUNCTION("""COMPUTED_VALUE"""),"אזרחים וכיתות כוננות")</f>
        <v>אזרחים וכיתות כוננות</v>
      </c>
      <c r="K51" s="5"/>
      <c r="L51" s="3" t="str">
        <f>IFERROR(__xludf.DUMMYFUNCTION("""COMPUTED_VALUE"""),"Dina Kapshetar")</f>
        <v>Dina Kapshetar</v>
      </c>
      <c r="M51" s="5"/>
    </row>
    <row r="52">
      <c r="A52" s="3">
        <f>IFERROR(__xludf.DUMMYFUNCTION("""COMPUTED_VALUE"""),499.0)</f>
        <v>499</v>
      </c>
      <c r="B52" s="4" t="str">
        <f>IFERROR(__xludf.DUMMYFUNCTION("""COMPUTED_VALUE"""),"קפשיטר יבגני (ג'ניה)")</f>
        <v>קפשיטר יבגני (ג'ניה)</v>
      </c>
      <c r="C52" s="3">
        <f>IFERROR(__xludf.DUMMYFUNCTION("""COMPUTED_VALUE"""),36.0)</f>
        <v>36</v>
      </c>
      <c r="D52" s="5" t="str">
        <f>IFERROR(__xludf.DUMMYFUNCTION("""COMPUTED_VALUE"""),"באר שבע")</f>
        <v>באר שבע</v>
      </c>
      <c r="E52" s="5" t="str">
        <f>IFERROR(__xludf.DUMMYFUNCTION("""COMPUTED_VALUE"""),"גבר")</f>
        <v>גבר</v>
      </c>
      <c r="F52" s="5" t="str">
        <f>IFERROR(__xludf.DUMMYFUNCTION("""COMPUTED_VALUE"""),"אזרחים")</f>
        <v>אזרחים</v>
      </c>
      <c r="G52" s="3"/>
      <c r="H52" s="3" t="str">
        <f>IFERROR(__xludf.DUMMYFUNCTION("""COMPUTED_VALUE"""),"07.10.2023")</f>
        <v>07.10.2023</v>
      </c>
      <c r="I52" s="4" t="str">
        <f>IFERROR(__xludf.DUMMYFUNCTION("""COMPUTED_VALUE"""),"צומת שער הנגב")</f>
        <v>צומת שער הנגב</v>
      </c>
      <c r="J52" s="4" t="str">
        <f>IFERROR(__xludf.DUMMYFUNCTION("""COMPUTED_VALUE"""),"אזרחים וכיתות כוננות")</f>
        <v>אזרחים וכיתות כוננות</v>
      </c>
      <c r="K52" s="5"/>
      <c r="L52" s="3" t="str">
        <f>IFERROR(__xludf.DUMMYFUNCTION("""COMPUTED_VALUE"""),"Evgeni Kapshetar")</f>
        <v>Evgeni Kapshetar</v>
      </c>
      <c r="M52" s="5"/>
    </row>
    <row r="53">
      <c r="A53" s="3">
        <f>IFERROR(__xludf.DUMMYFUNCTION("""COMPUTED_VALUE"""),143.0)</f>
        <v>143</v>
      </c>
      <c r="B53" s="4" t="str">
        <f>IFERROR(__xludf.DUMMYFUNCTION("""COMPUTED_VALUE"""),"רפאלי מישקין חגית")</f>
        <v>רפאלי מישקין חגית</v>
      </c>
      <c r="C53" s="3">
        <f>IFERROR(__xludf.DUMMYFUNCTION("""COMPUTED_VALUE"""),48.0)</f>
        <v>48</v>
      </c>
      <c r="D53" s="5" t="str">
        <f>IFERROR(__xludf.DUMMYFUNCTION("""COMPUTED_VALUE"""),"הוד השרון")</f>
        <v>הוד השרון</v>
      </c>
      <c r="E53" s="5" t="str">
        <f>IFERROR(__xludf.DUMMYFUNCTION("""COMPUTED_VALUE"""),"אישה")</f>
        <v>אישה</v>
      </c>
      <c r="F53" s="5" t="str">
        <f>IFERROR(__xludf.DUMMYFUNCTION("""COMPUTED_VALUE"""),"אזרחים")</f>
        <v>אזרחים</v>
      </c>
      <c r="G53" s="3"/>
      <c r="H53" s="3" t="str">
        <f>IFERROR(__xludf.DUMMYFUNCTION("""COMPUTED_VALUE"""),"07.10.2023")</f>
        <v>07.10.2023</v>
      </c>
      <c r="I53" s="4" t="str">
        <f>IFERROR(__xludf.DUMMYFUNCTION("""COMPUTED_VALUE"""),"סמוך לנובה")</f>
        <v>סמוך לנובה</v>
      </c>
      <c r="J53" s="4" t="str">
        <f>IFERROR(__xludf.DUMMYFUNCTION("""COMPUTED_VALUE"""),"אזרחים וכיתות כוננות")</f>
        <v>אזרחים וכיתות כוננות</v>
      </c>
      <c r="K53" s="5" t="str">
        <f>IFERROR(__xludf.DUMMYFUNCTION("""COMPUTED_VALUE"""),"מידברן")</f>
        <v>מידברן</v>
      </c>
      <c r="L53" s="3" t="str">
        <f>IFERROR(__xludf.DUMMYFUNCTION("""COMPUTED_VALUE"""),"Hagit Refaeli Mishkin")</f>
        <v>Hagit Refaeli Mishkin</v>
      </c>
      <c r="M53" s="5"/>
    </row>
    <row r="54">
      <c r="A54" s="3">
        <f>IFERROR(__xludf.DUMMYFUNCTION("""COMPUTED_VALUE"""),1370.0)</f>
        <v>1370</v>
      </c>
      <c r="B54" s="4" t="str">
        <f>IFERROR(__xludf.DUMMYFUNCTION("""COMPUTED_VALUE"""),"תורג'מן דוד (דודי)")</f>
        <v>תורג'מן דוד (דודי)</v>
      </c>
      <c r="C54" s="3">
        <f>IFERROR(__xludf.DUMMYFUNCTION("""COMPUTED_VALUE"""),26.0)</f>
        <v>26</v>
      </c>
      <c r="D54" s="5" t="str">
        <f>IFERROR(__xludf.DUMMYFUNCTION("""COMPUTED_VALUE"""),"שדה ניצן")</f>
        <v>שדה ניצן</v>
      </c>
      <c r="E54" s="5" t="str">
        <f>IFERROR(__xludf.DUMMYFUNCTION("""COMPUTED_VALUE"""),"גבר")</f>
        <v>גבר</v>
      </c>
      <c r="F54" s="5" t="str">
        <f>IFERROR(__xludf.DUMMYFUNCTION("""COMPUTED_VALUE"""),"אזרחים")</f>
        <v>אזרחים</v>
      </c>
      <c r="G54" s="3"/>
      <c r="H54" s="3" t="str">
        <f>IFERROR(__xludf.DUMMYFUNCTION("""COMPUTED_VALUE"""),"07.10.2023")</f>
        <v>07.10.2023</v>
      </c>
      <c r="I54" s="4" t="str">
        <f>IFERROR(__xludf.DUMMYFUNCTION("""COMPUTED_VALUE"""),"צומת מבטחים")</f>
        <v>צומת מבטחים</v>
      </c>
      <c r="J54" s="4" t="str">
        <f>IFERROR(__xludf.DUMMYFUNCTION("""COMPUTED_VALUE"""),"אזרחים וכיתות כוננות")</f>
        <v>אזרחים וכיתות כוננות</v>
      </c>
      <c r="K54" s="5" t="str">
        <f>IFERROR(__xludf.DUMMYFUNCTION("""COMPUTED_VALUE"""),"פסטיבל נובה")</f>
        <v>פסטיבל נובה</v>
      </c>
      <c r="L54" s="3" t="str">
        <f>IFERROR(__xludf.DUMMYFUNCTION("""COMPUTED_VALUE"""),"David (Dudi) Turgeman")</f>
        <v>David (Dudi) Turgeman</v>
      </c>
      <c r="M54" s="5"/>
    </row>
    <row r="55">
      <c r="A55" s="3">
        <f>IFERROR(__xludf.DUMMYFUNCTION("""COMPUTED_VALUE"""),146.0)</f>
        <v>146</v>
      </c>
      <c r="B55" s="2" t="str">
        <f>IFERROR(__xludf.DUMMYFUNCTION("""COMPUTED_VALUE"""),"Alacre Loreta Lori Villarin")</f>
        <v>Alacre Loreta Lori Villarin</v>
      </c>
      <c r="C55" s="3">
        <f>IFERROR(__xludf.DUMMYFUNCTION("""COMPUTED_VALUE"""),49.0)</f>
        <v>49</v>
      </c>
      <c r="D55" s="5" t="str">
        <f>IFERROR(__xludf.DUMMYFUNCTION("""COMPUTED_VALUE"""),"פיליפינים")</f>
        <v>פיליפינים</v>
      </c>
      <c r="E55" s="5" t="str">
        <f>IFERROR(__xludf.DUMMYFUNCTION("""COMPUTED_VALUE"""),"אישה")</f>
        <v>אישה</v>
      </c>
      <c r="F55" s="5" t="str">
        <f>IFERROR(__xludf.DUMMYFUNCTION("""COMPUTED_VALUE"""),"אזרחים זרים")</f>
        <v>אזרחים זרים</v>
      </c>
      <c r="G55" s="3"/>
      <c r="H55" s="3" t="str">
        <f>IFERROR(__xludf.DUMMYFUNCTION("""COMPUTED_VALUE"""),"07.10.2023")</f>
        <v>07.10.2023</v>
      </c>
      <c r="I55" s="4" t="str">
        <f>IFERROR(__xludf.DUMMYFUNCTION("""COMPUTED_VALUE"""),"דרומית לגבים")</f>
        <v>דרומית לגבים</v>
      </c>
      <c r="J55" s="4" t="str">
        <f>IFERROR(__xludf.DUMMYFUNCTION("""COMPUTED_VALUE"""),"אזרחים וכיתות כוננות")</f>
        <v>אזרחים וכיתות כוננות</v>
      </c>
      <c r="K55" s="5"/>
      <c r="L55" s="3" t="str">
        <f>IFERROR(__xludf.DUMMYFUNCTION("""COMPUTED_VALUE"""),"Alacre Loreta Lori Villarin")</f>
        <v>Alacre Loreta Lori Villarin</v>
      </c>
      <c r="M55" s="5"/>
    </row>
    <row r="56">
      <c r="A56" s="3">
        <f>IFERROR(__xludf.DUMMYFUNCTION("""COMPUTED_VALUE"""),1698.0)</f>
        <v>1698</v>
      </c>
      <c r="B56" s="2" t="str">
        <f>IFERROR(__xludf.DUMMYFUNCTION("""COMPUTED_VALUE"""),"Brema (Boma) Adam Mohammad")</f>
        <v>Brema (Boma) Adam Mohammad</v>
      </c>
      <c r="C56" s="3">
        <f>IFERROR(__xludf.DUMMYFUNCTION("""COMPUTED_VALUE"""),47.0)</f>
        <v>47</v>
      </c>
      <c r="D56" s="5" t="str">
        <f>IFERROR(__xludf.DUMMYFUNCTION("""COMPUTED_VALUE"""),"סודן")</f>
        <v>סודן</v>
      </c>
      <c r="E56" s="5" t="str">
        <f>IFERROR(__xludf.DUMMYFUNCTION("""COMPUTED_VALUE"""),"גבר")</f>
        <v>גבר</v>
      </c>
      <c r="F56" s="5" t="str">
        <f>IFERROR(__xludf.DUMMYFUNCTION("""COMPUTED_VALUE"""),"אזרחים זרים")</f>
        <v>אזרחים זרים</v>
      </c>
      <c r="G56" s="3"/>
      <c r="H56" s="3" t="str">
        <f>IFERROR(__xludf.DUMMYFUNCTION("""COMPUTED_VALUE"""),"07.10.2023")</f>
        <v>07.10.2023</v>
      </c>
      <c r="I56" s="4" t="str">
        <f>IFERROR(__xludf.DUMMYFUNCTION("""COMPUTED_VALUE"""),"שדרות")</f>
        <v>שדרות</v>
      </c>
      <c r="J56" s="4" t="str">
        <f>IFERROR(__xludf.DUMMYFUNCTION("""COMPUTED_VALUE"""),"אזרחים וכיתות כוננות")</f>
        <v>אזרחים וכיתות כוננות</v>
      </c>
      <c r="K56" s="5"/>
      <c r="L56" s="3" t="str">
        <f>IFERROR(__xludf.DUMMYFUNCTION("""COMPUTED_VALUE"""),"Brema (Boma) Adam Mohammad")</f>
        <v>Brema (Boma) Adam Mohammad</v>
      </c>
      <c r="M56" s="5"/>
    </row>
    <row r="57">
      <c r="A57" s="3">
        <f>IFERROR(__xludf.DUMMYFUNCTION("""COMPUTED_VALUE"""),1396.0)</f>
        <v>1396</v>
      </c>
      <c r="B57" s="2" t="str">
        <f>IFERROR(__xludf.DUMMYFUNCTION("""COMPUTED_VALUE"""),"Cae Lee Tou")</f>
        <v>Cae Lee Tou</v>
      </c>
      <c r="C57" s="3">
        <f>IFERROR(__xludf.DUMMYFUNCTION("""COMPUTED_VALUE"""),38.0)</f>
        <v>38</v>
      </c>
      <c r="D57" s="5" t="str">
        <f>IFERROR(__xludf.DUMMYFUNCTION("""COMPUTED_VALUE"""),"תאילנד")</f>
        <v>תאילנד</v>
      </c>
      <c r="E57" s="5" t="str">
        <f>IFERROR(__xludf.DUMMYFUNCTION("""COMPUTED_VALUE"""),"גבר")</f>
        <v>גבר</v>
      </c>
      <c r="F57" s="5" t="str">
        <f>IFERROR(__xludf.DUMMYFUNCTION("""COMPUTED_VALUE"""),"אזרחים זרים")</f>
        <v>אזרחים זרים</v>
      </c>
      <c r="G57" s="3"/>
      <c r="H57" s="3" t="str">
        <f>IFERROR(__xludf.DUMMYFUNCTION("""COMPUTED_VALUE"""),"07.10.2023")</f>
        <v>07.10.2023</v>
      </c>
      <c r="I57" s="4" t="str">
        <f>IFERROR(__xludf.DUMMYFUNCTION("""COMPUTED_VALUE"""),"ניר עוז")</f>
        <v>ניר עוז</v>
      </c>
      <c r="J57" s="4" t="str">
        <f>IFERROR(__xludf.DUMMYFUNCTION("""COMPUTED_VALUE"""),"אזרחים וכיתות כוננות")</f>
        <v>אזרחים וכיתות כוננות</v>
      </c>
      <c r="K57" s="5"/>
      <c r="L57" s="3" t="str">
        <f>IFERROR(__xludf.DUMMYFUNCTION("""COMPUTED_VALUE"""),"Cae Lee Tou")</f>
        <v>Cae Lee Tou</v>
      </c>
      <c r="M57" s="5"/>
    </row>
    <row r="58">
      <c r="A58" s="3">
        <f>IFERROR(__xludf.DUMMYFUNCTION("""COMPUTED_VALUE"""),1696.0)</f>
        <v>1696</v>
      </c>
      <c r="B58" s="2" t="str">
        <f>IFERROR(__xludf.DUMMYFUNCTION("""COMPUTED_VALUE"""),"Chan Udom")</f>
        <v>Chan Udom</v>
      </c>
      <c r="C58" s="3">
        <f>IFERROR(__xludf.DUMMYFUNCTION("""COMPUTED_VALUE"""),24.0)</f>
        <v>24</v>
      </c>
      <c r="D58" s="5" t="str">
        <f>IFERROR(__xludf.DUMMYFUNCTION("""COMPUTED_VALUE"""),"קמבודיה")</f>
        <v>קמבודיה</v>
      </c>
      <c r="E58" s="5" t="str">
        <f>IFERROR(__xludf.DUMMYFUNCTION("""COMPUTED_VALUE"""),"גבר")</f>
        <v>גבר</v>
      </c>
      <c r="F58" s="5" t="str">
        <f>IFERROR(__xludf.DUMMYFUNCTION("""COMPUTED_VALUE"""),"אזרחים זרים")</f>
        <v>אזרחים זרים</v>
      </c>
      <c r="G58" s="3"/>
      <c r="H58" s="3" t="str">
        <f>IFERROR(__xludf.DUMMYFUNCTION("""COMPUTED_VALUE"""),"07.10.2023")</f>
        <v>07.10.2023</v>
      </c>
      <c r="I58" s="4" t="str">
        <f>IFERROR(__xludf.DUMMYFUNCTION("""COMPUTED_VALUE"""),"חולית")</f>
        <v>חולית</v>
      </c>
      <c r="J58" s="4" t="str">
        <f>IFERROR(__xludf.DUMMYFUNCTION("""COMPUTED_VALUE"""),"אזרחים וכיתות כוננות")</f>
        <v>אזרחים וכיתות כוננות</v>
      </c>
      <c r="K58" s="5"/>
      <c r="L58" s="3" t="str">
        <f>IFERROR(__xludf.DUMMYFUNCTION("""COMPUTED_VALUE"""),"Chan Udom")</f>
        <v>Chan Udom</v>
      </c>
      <c r="M58" s="5"/>
    </row>
    <row r="59">
      <c r="A59" s="3">
        <f>IFERROR(__xludf.DUMMYFUNCTION("""COMPUTED_VALUE"""),1401.0)</f>
        <v>1401</v>
      </c>
      <c r="B59" s="2" t="str">
        <f>IFERROR(__xludf.DUMMYFUNCTION("""COMPUTED_VALUE"""),"Chatdamdee Charoon")</f>
        <v>Chatdamdee Charoon</v>
      </c>
      <c r="C59" s="3">
        <f>IFERROR(__xludf.DUMMYFUNCTION("""COMPUTED_VALUE"""),40.0)</f>
        <v>40</v>
      </c>
      <c r="D59" s="5" t="str">
        <f>IFERROR(__xludf.DUMMYFUNCTION("""COMPUTED_VALUE"""),"תאילנד")</f>
        <v>תאילנד</v>
      </c>
      <c r="E59" s="5" t="str">
        <f>IFERROR(__xludf.DUMMYFUNCTION("""COMPUTED_VALUE"""),"גבר")</f>
        <v>גבר</v>
      </c>
      <c r="F59" s="5" t="str">
        <f>IFERROR(__xludf.DUMMYFUNCTION("""COMPUTED_VALUE"""),"אזרחים זרים")</f>
        <v>אזרחים זרים</v>
      </c>
      <c r="G59" s="3"/>
      <c r="H59" s="3" t="str">
        <f>IFERROR(__xludf.DUMMYFUNCTION("""COMPUTED_VALUE"""),"07.10.2023")</f>
        <v>07.10.2023</v>
      </c>
      <c r="I59" s="4" t="str">
        <f>IFERROR(__xludf.DUMMYFUNCTION("""COMPUTED_VALUE"""),"עלומים; מגורי עובדים")</f>
        <v>עלומים; מגורי עובדים</v>
      </c>
      <c r="J59" s="4" t="str">
        <f>IFERROR(__xludf.DUMMYFUNCTION("""COMPUTED_VALUE"""),"אזרחים וכיתות כוננות")</f>
        <v>אזרחים וכיתות כוננות</v>
      </c>
      <c r="K59" s="5"/>
      <c r="L59" s="3" t="str">
        <f>IFERROR(__xludf.DUMMYFUNCTION("""COMPUTED_VALUE"""),"Chatdamdee Charoon")</f>
        <v>Chatdamdee Charoon</v>
      </c>
      <c r="M59" s="5"/>
    </row>
    <row r="60">
      <c r="A60" s="3">
        <f>IFERROR(__xludf.DUMMYFUNCTION("""COMPUTED_VALUE"""),1682.0)</f>
        <v>1682</v>
      </c>
      <c r="B60" s="2" t="str">
        <f>IFERROR(__xludf.DUMMYFUNCTION("""COMPUTED_VALUE"""),"Clemence Felix Mtenga")</f>
        <v>Clemence Felix Mtenga</v>
      </c>
      <c r="C60" s="3">
        <f>IFERROR(__xludf.DUMMYFUNCTION("""COMPUTED_VALUE"""),22.0)</f>
        <v>22</v>
      </c>
      <c r="D60" s="5" t="str">
        <f>IFERROR(__xludf.DUMMYFUNCTION("""COMPUTED_VALUE"""),"טנזניה")</f>
        <v>טנזניה</v>
      </c>
      <c r="E60" s="5" t="str">
        <f>IFERROR(__xludf.DUMMYFUNCTION("""COMPUTED_VALUE"""),"גבר")</f>
        <v>גבר</v>
      </c>
      <c r="F60" s="5" t="str">
        <f>IFERROR(__xludf.DUMMYFUNCTION("""COMPUTED_VALUE"""),"אזרחים זרים")</f>
        <v>אזרחים זרים</v>
      </c>
      <c r="G60" s="3"/>
      <c r="H60" s="3" t="str">
        <f>IFERROR(__xludf.DUMMYFUNCTION("""COMPUTED_VALUE"""),"07.10.2023")</f>
        <v>07.10.2023</v>
      </c>
      <c r="I60" s="4" t="str">
        <f>IFERROR(__xludf.DUMMYFUNCTION("""COMPUTED_VALUE"""),"ניר עוז")</f>
        <v>ניר עוז</v>
      </c>
      <c r="J60" s="4" t="str">
        <f>IFERROR(__xludf.DUMMYFUNCTION("""COMPUTED_VALUE"""),"אזרחים וכיתות כוננות")</f>
        <v>אזרחים וכיתות כוננות</v>
      </c>
      <c r="K60" s="5"/>
      <c r="L60" s="3" t="str">
        <f>IFERROR(__xludf.DUMMYFUNCTION("""COMPUTED_VALUE"""),"Clemence Felix Mtenga")</f>
        <v>Clemence Felix Mtenga</v>
      </c>
      <c r="M60" s="5"/>
    </row>
    <row r="61">
      <c r="A61" s="3">
        <f>IFERROR(__xludf.DUMMYFUNCTION("""COMPUTED_VALUE"""),1413.0)</f>
        <v>1413</v>
      </c>
      <c r="B61" s="2" t="str">
        <f>IFERROR(__xludf.DUMMYFUNCTION("""COMPUTED_VALUE"""),"Kusaram Apichart")</f>
        <v>Kusaram Apichart</v>
      </c>
      <c r="C61" s="3">
        <f>IFERROR(__xludf.DUMMYFUNCTION("""COMPUTED_VALUE"""),29.0)</f>
        <v>29</v>
      </c>
      <c r="D61" s="5" t="str">
        <f>IFERROR(__xludf.DUMMYFUNCTION("""COMPUTED_VALUE"""),"תאילנד")</f>
        <v>תאילנד</v>
      </c>
      <c r="E61" s="5" t="str">
        <f>IFERROR(__xludf.DUMMYFUNCTION("""COMPUTED_VALUE"""),"גבר")</f>
        <v>גבר</v>
      </c>
      <c r="F61" s="5" t="str">
        <f>IFERROR(__xludf.DUMMYFUNCTION("""COMPUTED_VALUE"""),"אזרחים זרים")</f>
        <v>אזרחים זרים</v>
      </c>
      <c r="G61" s="3"/>
      <c r="H61" s="3" t="str">
        <f>IFERROR(__xludf.DUMMYFUNCTION("""COMPUTED_VALUE"""),"07.10.2023")</f>
        <v>07.10.2023</v>
      </c>
      <c r="I61" s="4" t="str">
        <f>IFERROR(__xludf.DUMMYFUNCTION("""COMPUTED_VALUE"""),"ניר עוז")</f>
        <v>ניר עוז</v>
      </c>
      <c r="J61" s="4" t="str">
        <f>IFERROR(__xludf.DUMMYFUNCTION("""COMPUTED_VALUE"""),"אזרחים וכיתות כוננות")</f>
        <v>אזרחים וכיתות כוננות</v>
      </c>
      <c r="K61" s="5"/>
      <c r="L61" s="3" t="str">
        <f>IFERROR(__xludf.DUMMYFUNCTION("""COMPUTED_VALUE"""),"Kusaram Apichart")</f>
        <v>Kusaram Apichart</v>
      </c>
      <c r="M61" s="5"/>
    </row>
    <row r="62">
      <c r="A62" s="3">
        <f>IFERROR(__xludf.DUMMYFUNCTION("""COMPUTED_VALUE"""),1409.0)</f>
        <v>1409</v>
      </c>
      <c r="B62" s="2" t="str">
        <f>IFERROR(__xludf.DUMMYFUNCTION("""COMPUTED_VALUE"""),"Kusaram Pongthep")</f>
        <v>Kusaram Pongthep</v>
      </c>
      <c r="C62" s="3">
        <f>IFERROR(__xludf.DUMMYFUNCTION("""COMPUTED_VALUE"""),26.0)</f>
        <v>26</v>
      </c>
      <c r="D62" s="5" t="str">
        <f>IFERROR(__xludf.DUMMYFUNCTION("""COMPUTED_VALUE"""),"תאילנד")</f>
        <v>תאילנד</v>
      </c>
      <c r="E62" s="5" t="str">
        <f>IFERROR(__xludf.DUMMYFUNCTION("""COMPUTED_VALUE"""),"גבר")</f>
        <v>גבר</v>
      </c>
      <c r="F62" s="5" t="str">
        <f>IFERROR(__xludf.DUMMYFUNCTION("""COMPUTED_VALUE"""),"אזרחים זרים")</f>
        <v>אזרחים זרים</v>
      </c>
      <c r="G62" s="3"/>
      <c r="H62" s="3" t="str">
        <f>IFERROR(__xludf.DUMMYFUNCTION("""COMPUTED_VALUE"""),"07.10.2023")</f>
        <v>07.10.2023</v>
      </c>
      <c r="I62" s="4" t="str">
        <f>IFERROR(__xludf.DUMMYFUNCTION("""COMPUTED_VALUE"""),"ניר עוז")</f>
        <v>ניר עוז</v>
      </c>
      <c r="J62" s="4" t="str">
        <f>IFERROR(__xludf.DUMMYFUNCTION("""COMPUTED_VALUE"""),"אזרחים וכיתות כוננות")</f>
        <v>אזרחים וכיתות כוננות</v>
      </c>
      <c r="K62" s="5"/>
      <c r="L62" s="3" t="str">
        <f>IFERROR(__xludf.DUMMYFUNCTION("""COMPUTED_VALUE"""),"Kusaram Phongthep")</f>
        <v>Kusaram Phongthep</v>
      </c>
      <c r="M62" s="5"/>
    </row>
    <row r="63">
      <c r="A63" s="3">
        <f>IFERROR(__xludf.DUMMYFUNCTION("""COMPUTED_VALUE"""),1412.0)</f>
        <v>1412</v>
      </c>
      <c r="B63" s="2" t="str">
        <f>IFERROR(__xludf.DUMMYFUNCTION("""COMPUTED_VALUE"""),"Nachanׂ Pichit")</f>
        <v>Nachanׂ Pichit</v>
      </c>
      <c r="C63" s="3">
        <f>IFERROR(__xludf.DUMMYFUNCTION("""COMPUTED_VALUE"""),27.0)</f>
        <v>27</v>
      </c>
      <c r="D63" s="5" t="str">
        <f>IFERROR(__xludf.DUMMYFUNCTION("""COMPUTED_VALUE"""),"תאילנד")</f>
        <v>תאילנד</v>
      </c>
      <c r="E63" s="5" t="str">
        <f>IFERROR(__xludf.DUMMYFUNCTION("""COMPUTED_VALUE"""),"גבר")</f>
        <v>גבר</v>
      </c>
      <c r="F63" s="5" t="str">
        <f>IFERROR(__xludf.DUMMYFUNCTION("""COMPUTED_VALUE"""),"אזרחים זרים")</f>
        <v>אזרחים זרים</v>
      </c>
      <c r="G63" s="3"/>
      <c r="H63" s="3" t="str">
        <f>IFERROR(__xludf.DUMMYFUNCTION("""COMPUTED_VALUE"""),"07.10.2023")</f>
        <v>07.10.2023</v>
      </c>
      <c r="I63" s="4" t="str">
        <f>IFERROR(__xludf.DUMMYFUNCTION("""COMPUTED_VALUE"""),"ניר עוז")</f>
        <v>ניר עוז</v>
      </c>
      <c r="J63" s="4" t="str">
        <f>IFERROR(__xludf.DUMMYFUNCTION("""COMPUTED_VALUE"""),"אזרחים וכיתות כוננות")</f>
        <v>אזרחים וכיתות כוננות</v>
      </c>
      <c r="K63" s="5"/>
      <c r="L63" s="3" t="str">
        <f>IFERROR(__xludf.DUMMYFUNCTION("""COMPUTED_VALUE"""),"Nachanׂ pichit")</f>
        <v>Nachanׂ pichit</v>
      </c>
      <c r="M63" s="5"/>
    </row>
    <row r="64">
      <c r="A64" s="3">
        <f>IFERROR(__xludf.DUMMYFUNCTION("""COMPUTED_VALUE"""),1419.0)</f>
        <v>1419</v>
      </c>
      <c r="B64" s="2" t="str">
        <f>IFERROR(__xludf.DUMMYFUNCTION("""COMPUTED_VALUE"""),"Phetkaew Anan")</f>
        <v>Phetkaew Anan</v>
      </c>
      <c r="C64" s="3">
        <f>IFERROR(__xludf.DUMMYFUNCTION("""COMPUTED_VALUE"""),39.0)</f>
        <v>39</v>
      </c>
      <c r="D64" s="5" t="str">
        <f>IFERROR(__xludf.DUMMYFUNCTION("""COMPUTED_VALUE"""),"תאילנד")</f>
        <v>תאילנד</v>
      </c>
      <c r="E64" s="5" t="str">
        <f>IFERROR(__xludf.DUMMYFUNCTION("""COMPUTED_VALUE"""),"גבר")</f>
        <v>גבר</v>
      </c>
      <c r="F64" s="5" t="str">
        <f>IFERROR(__xludf.DUMMYFUNCTION("""COMPUTED_VALUE"""),"אזרחים זרים")</f>
        <v>אזרחים זרים</v>
      </c>
      <c r="G64" s="3"/>
      <c r="H64" s="3" t="str">
        <f>IFERROR(__xludf.DUMMYFUNCTION("""COMPUTED_VALUE"""),"07.10.2023")</f>
        <v>07.10.2023</v>
      </c>
      <c r="I64" s="4" t="str">
        <f>IFERROR(__xludf.DUMMYFUNCTION("""COMPUTED_VALUE"""),"עלומים; מגורי עובדים")</f>
        <v>עלומים; מגורי עובדים</v>
      </c>
      <c r="J64" s="4" t="str">
        <f>IFERROR(__xludf.DUMMYFUNCTION("""COMPUTED_VALUE"""),"אזרחים וכיתות כוננות")</f>
        <v>אזרחים וכיתות כוננות</v>
      </c>
      <c r="K64" s="5"/>
      <c r="L64" s="3" t="str">
        <f>IFERROR(__xludf.DUMMYFUNCTION("""COMPUTED_VALUE"""),"Phetkaew Anan")</f>
        <v>Phetkaew Anan</v>
      </c>
      <c r="M64" s="5"/>
    </row>
    <row r="65">
      <c r="A65" s="3">
        <f>IFERROR(__xludf.DUMMYFUNCTION("""COMPUTED_VALUE"""),1404.0)</f>
        <v>1404</v>
      </c>
      <c r="B65" s="2" t="str">
        <f>IFERROR(__xludf.DUMMYFUNCTION("""COMPUTED_VALUE"""),"Phiia-ia Satawat")</f>
        <v>Phiia-ia Satawat</v>
      </c>
      <c r="C65" s="3">
        <f>IFERROR(__xludf.DUMMYFUNCTION("""COMPUTED_VALUE"""),27.0)</f>
        <v>27</v>
      </c>
      <c r="D65" s="5" t="str">
        <f>IFERROR(__xludf.DUMMYFUNCTION("""COMPUTED_VALUE"""),"תאילנד")</f>
        <v>תאילנד</v>
      </c>
      <c r="E65" s="5" t="str">
        <f>IFERROR(__xludf.DUMMYFUNCTION("""COMPUTED_VALUE"""),"גבר")</f>
        <v>גבר</v>
      </c>
      <c r="F65" s="5" t="str">
        <f>IFERROR(__xludf.DUMMYFUNCTION("""COMPUTED_VALUE"""),"אזרחים זרים")</f>
        <v>אזרחים זרים</v>
      </c>
      <c r="G65" s="3"/>
      <c r="H65" s="3" t="str">
        <f>IFERROR(__xludf.DUMMYFUNCTION("""COMPUTED_VALUE"""),"07.10.2023")</f>
        <v>07.10.2023</v>
      </c>
      <c r="I65" s="4" t="str">
        <f>IFERROR(__xludf.DUMMYFUNCTION("""COMPUTED_VALUE"""),"כיסופים")</f>
        <v>כיסופים</v>
      </c>
      <c r="J65" s="4" t="str">
        <f>IFERROR(__xludf.DUMMYFUNCTION("""COMPUTED_VALUE"""),"אזרחים וכיתות כוננות")</f>
        <v>אזרחים וכיתות כוננות</v>
      </c>
      <c r="K65" s="5"/>
      <c r="L65" s="3" t="str">
        <f>IFERROR(__xludf.DUMMYFUNCTION("""COMPUTED_VALUE"""),"Phiia-ia Satawat")</f>
        <v>Phiia-ia Satawat</v>
      </c>
      <c r="M65" s="5"/>
    </row>
    <row r="66">
      <c r="A66" s="3">
        <f>IFERROR(__xludf.DUMMYFUNCTION("""COMPUTED_VALUE"""),1397.0)</f>
        <v>1397</v>
      </c>
      <c r="B66" s="2" t="str">
        <f>IFERROR(__xludf.DUMMYFUNCTION("""COMPUTED_VALUE"""),"Pinjai Nanthawat")</f>
        <v>Pinjai Nanthawat</v>
      </c>
      <c r="C66" s="3">
        <f>IFERROR(__xludf.DUMMYFUNCTION("""COMPUTED_VALUE"""),26.0)</f>
        <v>26</v>
      </c>
      <c r="D66" s="5" t="str">
        <f>IFERROR(__xludf.DUMMYFUNCTION("""COMPUTED_VALUE"""),"תאילנד")</f>
        <v>תאילנד</v>
      </c>
      <c r="E66" s="5" t="str">
        <f>IFERROR(__xludf.DUMMYFUNCTION("""COMPUTED_VALUE"""),"גבר")</f>
        <v>גבר</v>
      </c>
      <c r="F66" s="5" t="str">
        <f>IFERROR(__xludf.DUMMYFUNCTION("""COMPUTED_VALUE"""),"אזרחים זרים")</f>
        <v>אזרחים זרים</v>
      </c>
      <c r="G66" s="3"/>
      <c r="H66" s="3" t="str">
        <f>IFERROR(__xludf.DUMMYFUNCTION("""COMPUTED_VALUE"""),"07.10.2023")</f>
        <v>07.10.2023</v>
      </c>
      <c r="I66" s="4" t="str">
        <f>IFERROR(__xludf.DUMMYFUNCTION("""COMPUTED_VALUE"""),"עלומים; מגורי עובדים")</f>
        <v>עלומים; מגורי עובדים</v>
      </c>
      <c r="J66" s="4" t="str">
        <f>IFERROR(__xludf.DUMMYFUNCTION("""COMPUTED_VALUE"""),"אזרחים וכיתות כוננות")</f>
        <v>אזרחים וכיתות כוננות</v>
      </c>
      <c r="K66" s="5"/>
      <c r="L66" s="3" t="str">
        <f>IFERROR(__xludf.DUMMYFUNCTION("""COMPUTED_VALUE"""),"Pinjai Nanthawat")</f>
        <v>Pinjai Nanthawat</v>
      </c>
      <c r="M66" s="5"/>
    </row>
    <row r="67">
      <c r="A67" s="3">
        <f>IFERROR(__xludf.DUMMYFUNCTION("""COMPUTED_VALUE"""),1398.0)</f>
        <v>1398</v>
      </c>
      <c r="B67" s="2" t="str">
        <f>IFERROR(__xludf.DUMMYFUNCTION("""COMPUTED_VALUE"""),"Ritthiphon Meechai")</f>
        <v>Ritthiphon Meechai</v>
      </c>
      <c r="C67" s="3">
        <f>IFERROR(__xludf.DUMMYFUNCTION("""COMPUTED_VALUE"""),42.0)</f>
        <v>42</v>
      </c>
      <c r="D67" s="5" t="str">
        <f>IFERROR(__xludf.DUMMYFUNCTION("""COMPUTED_VALUE"""),"תאילנד")</f>
        <v>תאילנד</v>
      </c>
      <c r="E67" s="5" t="str">
        <f>IFERROR(__xludf.DUMMYFUNCTION("""COMPUTED_VALUE"""),"גבר")</f>
        <v>גבר</v>
      </c>
      <c r="F67" s="5" t="str">
        <f>IFERROR(__xludf.DUMMYFUNCTION("""COMPUTED_VALUE"""),"אזרחים זרים")</f>
        <v>אזרחים זרים</v>
      </c>
      <c r="G67" s="3"/>
      <c r="H67" s="3" t="str">
        <f>IFERROR(__xludf.DUMMYFUNCTION("""COMPUTED_VALUE"""),"07.10.2023")</f>
        <v>07.10.2023</v>
      </c>
      <c r="I67" s="4" t="str">
        <f>IFERROR(__xludf.DUMMYFUNCTION("""COMPUTED_VALUE"""),"עלומים; מגורי עובדים")</f>
        <v>עלומים; מגורי עובדים</v>
      </c>
      <c r="J67" s="4" t="str">
        <f>IFERROR(__xludf.DUMMYFUNCTION("""COMPUTED_VALUE"""),"אזרחים וכיתות כוננות")</f>
        <v>אזרחים וכיתות כוננות</v>
      </c>
      <c r="K67" s="5"/>
      <c r="L67" s="3" t="str">
        <f>IFERROR(__xludf.DUMMYFUNCTION("""COMPUTED_VALUE"""),"Ritthiphon Meechai")</f>
        <v>Ritthiphon Meechai</v>
      </c>
      <c r="M67" s="5"/>
    </row>
    <row r="68">
      <c r="A68" s="3">
        <f>IFERROR(__xludf.DUMMYFUNCTION("""COMPUTED_VALUE"""),1411.0)</f>
        <v>1411</v>
      </c>
      <c r="B68" s="2" t="str">
        <f>IFERROR(__xludf.DUMMYFUNCTION("""COMPUTED_VALUE"""),"Sae Wang Nitikorn")</f>
        <v>Sae Wang Nitikorn</v>
      </c>
      <c r="C68" s="3">
        <f>IFERROR(__xludf.DUMMYFUNCTION("""COMPUTED_VALUE"""),26.0)</f>
        <v>26</v>
      </c>
      <c r="D68" s="5" t="str">
        <f>IFERROR(__xludf.DUMMYFUNCTION("""COMPUTED_VALUE"""),"תאילנד")</f>
        <v>תאילנד</v>
      </c>
      <c r="E68" s="5" t="str">
        <f>IFERROR(__xludf.DUMMYFUNCTION("""COMPUTED_VALUE"""),"גבר")</f>
        <v>גבר</v>
      </c>
      <c r="F68" s="5" t="str">
        <f>IFERROR(__xludf.DUMMYFUNCTION("""COMPUTED_VALUE"""),"אזרחים זרים")</f>
        <v>אזרחים זרים</v>
      </c>
      <c r="G68" s="3"/>
      <c r="H68" s="3" t="str">
        <f>IFERROR(__xludf.DUMMYFUNCTION("""COMPUTED_VALUE"""),"07.10.2023")</f>
        <v>07.10.2023</v>
      </c>
      <c r="I68" s="4" t="str">
        <f>IFERROR(__xludf.DUMMYFUNCTION("""COMPUTED_VALUE"""),"כפר עזה")</f>
        <v>כפר עזה</v>
      </c>
      <c r="J68" s="4" t="str">
        <f>IFERROR(__xludf.DUMMYFUNCTION("""COMPUTED_VALUE"""),"אזרחים וכיתות כוננות")</f>
        <v>אזרחים וכיתות כוננות</v>
      </c>
      <c r="K68" s="5"/>
      <c r="L68" s="3" t="str">
        <f>IFERROR(__xludf.DUMMYFUNCTION("""COMPUTED_VALUE"""),"Sae Wang Nitikorn")</f>
        <v>Sae Wang Nitikorn</v>
      </c>
      <c r="M68" s="5"/>
    </row>
    <row r="69">
      <c r="A69" s="3">
        <f>IFERROR(__xludf.DUMMYFUNCTION("""COMPUTED_VALUE"""),1415.0)</f>
        <v>1415</v>
      </c>
      <c r="B69" s="2" t="str">
        <f>IFERROR(__xludf.DUMMYFUNCTION("""COMPUTED_VALUE"""),"Surakhai Sakda")</f>
        <v>Surakhai Sakda</v>
      </c>
      <c r="C69" s="3">
        <f>IFERROR(__xludf.DUMMYFUNCTION("""COMPUTED_VALUE"""),31.0)</f>
        <v>31</v>
      </c>
      <c r="D69" s="5" t="str">
        <f>IFERROR(__xludf.DUMMYFUNCTION("""COMPUTED_VALUE"""),"תאילנד")</f>
        <v>תאילנד</v>
      </c>
      <c r="E69" s="5" t="str">
        <f>IFERROR(__xludf.DUMMYFUNCTION("""COMPUTED_VALUE"""),"גבר")</f>
        <v>גבר</v>
      </c>
      <c r="F69" s="5" t="str">
        <f>IFERROR(__xludf.DUMMYFUNCTION("""COMPUTED_VALUE"""),"אזרחים זרים")</f>
        <v>אזרחים זרים</v>
      </c>
      <c r="G69" s="3"/>
      <c r="H69" s="3" t="str">
        <f>IFERROR(__xludf.DUMMYFUNCTION("""COMPUTED_VALUE"""),"07.10.2023")</f>
        <v>07.10.2023</v>
      </c>
      <c r="I69" s="4" t="str">
        <f>IFERROR(__xludf.DUMMYFUNCTION("""COMPUTED_VALUE"""),"ניר עוז")</f>
        <v>ניר עוז</v>
      </c>
      <c r="J69" s="4" t="str">
        <f>IFERROR(__xludf.DUMMYFUNCTION("""COMPUTED_VALUE"""),"אזרחים וכיתות כוננות")</f>
        <v>אזרחים וכיתות כוננות</v>
      </c>
      <c r="K69" s="5"/>
      <c r="L69" s="3" t="str">
        <f>IFERROR(__xludf.DUMMYFUNCTION("""COMPUTED_VALUE"""),"Surakhai Sakda")</f>
        <v>Surakhai Sakda</v>
      </c>
      <c r="M69" s="5"/>
    </row>
    <row r="70">
      <c r="A70" s="3">
        <f>IFERROR(__xludf.DUMMYFUNCTION("""COMPUTED_VALUE"""),1399.0)</f>
        <v>1399</v>
      </c>
      <c r="B70" s="2" t="str">
        <f>IFERROR(__xludf.DUMMYFUNCTION("""COMPUTED_VALUE"""),"Tamklang Parinya")</f>
        <v>Tamklang Parinya</v>
      </c>
      <c r="C70" s="3">
        <f>IFERROR(__xludf.DUMMYFUNCTION("""COMPUTED_VALUE"""),37.0)</f>
        <v>37</v>
      </c>
      <c r="D70" s="5" t="str">
        <f>IFERROR(__xludf.DUMMYFUNCTION("""COMPUTED_VALUE"""),"תאילנד")</f>
        <v>תאילנד</v>
      </c>
      <c r="E70" s="5" t="str">
        <f>IFERROR(__xludf.DUMMYFUNCTION("""COMPUTED_VALUE"""),"גבר")</f>
        <v>גבר</v>
      </c>
      <c r="F70" s="5" t="str">
        <f>IFERROR(__xludf.DUMMYFUNCTION("""COMPUTED_VALUE"""),"אזרחים זרים")</f>
        <v>אזרחים זרים</v>
      </c>
      <c r="G70" s="3"/>
      <c r="H70" s="3" t="str">
        <f>IFERROR(__xludf.DUMMYFUNCTION("""COMPUTED_VALUE"""),"07.10.2023")</f>
        <v>07.10.2023</v>
      </c>
      <c r="I70" s="4" t="str">
        <f>IFERROR(__xludf.DUMMYFUNCTION("""COMPUTED_VALUE"""),"חולית")</f>
        <v>חולית</v>
      </c>
      <c r="J70" s="4" t="str">
        <f>IFERROR(__xludf.DUMMYFUNCTION("""COMPUTED_VALUE"""),"אזרחים וכיתות כוננות")</f>
        <v>אזרחים וכיתות כוננות</v>
      </c>
      <c r="K70" s="5"/>
      <c r="L70" s="3" t="str">
        <f>IFERROR(__xludf.DUMMYFUNCTION("""COMPUTED_VALUE"""),"Tamklang Parinya")</f>
        <v>Tamklang Parinya</v>
      </c>
      <c r="M70" s="5"/>
    </row>
    <row r="71">
      <c r="A71" s="3">
        <f>IFERROR(__xludf.DUMMYFUNCTION("""COMPUTED_VALUE"""),1414.0)</f>
        <v>1414</v>
      </c>
      <c r="B71" s="2" t="str">
        <f>IFERROR(__xludf.DUMMYFUNCTION("""COMPUTED_VALUE"""),"Thanonphim Phirun")</f>
        <v>Thanonphim Phirun</v>
      </c>
      <c r="C71" s="3">
        <f>IFERROR(__xludf.DUMMYFUNCTION("""COMPUTED_VALUE"""),34.0)</f>
        <v>34</v>
      </c>
      <c r="D71" s="5" t="str">
        <f>IFERROR(__xludf.DUMMYFUNCTION("""COMPUTED_VALUE"""),"תאילנד")</f>
        <v>תאילנד</v>
      </c>
      <c r="E71" s="5" t="str">
        <f>IFERROR(__xludf.DUMMYFUNCTION("""COMPUTED_VALUE"""),"גבר")</f>
        <v>גבר</v>
      </c>
      <c r="F71" s="5" t="str">
        <f>IFERROR(__xludf.DUMMYFUNCTION("""COMPUTED_VALUE"""),"אזרחים זרים")</f>
        <v>אזרחים זרים</v>
      </c>
      <c r="G71" s="3"/>
      <c r="H71" s="3" t="str">
        <f>IFERROR(__xludf.DUMMYFUNCTION("""COMPUTED_VALUE"""),"07.10.2023")</f>
        <v>07.10.2023</v>
      </c>
      <c r="I71" s="4" t="str">
        <f>IFERROR(__xludf.DUMMYFUNCTION("""COMPUTED_VALUE"""),"ניר עוז")</f>
        <v>ניר עוז</v>
      </c>
      <c r="J71" s="4" t="str">
        <f>IFERROR(__xludf.DUMMYFUNCTION("""COMPUTED_VALUE"""),"אזרחים וכיתות כוננות")</f>
        <v>אזרחים וכיתות כוננות</v>
      </c>
      <c r="K71" s="5"/>
      <c r="L71" s="3" t="str">
        <f>IFERROR(__xludf.DUMMYFUNCTION("""COMPUTED_VALUE"""),"Thanonphim Phirun")</f>
        <v>Thanonphim Phirun</v>
      </c>
      <c r="M71" s="5"/>
    </row>
    <row r="72">
      <c r="A72" s="3">
        <f>IFERROR(__xludf.DUMMYFUNCTION("""COMPUTED_VALUE"""),1403.0)</f>
        <v>1403</v>
      </c>
      <c r="B72" s="2" t="str">
        <f>IFERROR(__xludf.DUMMYFUNCTION("""COMPUTED_VALUE"""),"Tholaeng Phithak")</f>
        <v>Tholaeng Phithak</v>
      </c>
      <c r="C72" s="3">
        <f>IFERROR(__xludf.DUMMYFUNCTION("""COMPUTED_VALUE"""),54.0)</f>
        <v>54</v>
      </c>
      <c r="D72" s="5" t="str">
        <f>IFERROR(__xludf.DUMMYFUNCTION("""COMPUTED_VALUE"""),"תאילנד")</f>
        <v>תאילנד</v>
      </c>
      <c r="E72" s="5" t="str">
        <f>IFERROR(__xludf.DUMMYFUNCTION("""COMPUTED_VALUE"""),"גבר")</f>
        <v>גבר</v>
      </c>
      <c r="F72" s="5" t="str">
        <f>IFERROR(__xludf.DUMMYFUNCTION("""COMPUTED_VALUE"""),"אזרחים זרים")</f>
        <v>אזרחים זרים</v>
      </c>
      <c r="G72" s="3"/>
      <c r="H72" s="3" t="str">
        <f>IFERROR(__xludf.DUMMYFUNCTION("""COMPUTED_VALUE"""),"07.10.2023")</f>
        <v>07.10.2023</v>
      </c>
      <c r="I72" s="2" t="str">
        <f>IFERROR(__xludf.DUMMYFUNCTION("""COMPUTED_VALUE"""),"ישע")</f>
        <v>ישע</v>
      </c>
      <c r="J72" s="4" t="str">
        <f>IFERROR(__xludf.DUMMYFUNCTION("""COMPUTED_VALUE"""),"אזרחים וכיתות כוננות")</f>
        <v>אזרחים וכיתות כוננות</v>
      </c>
      <c r="K72" s="5"/>
      <c r="L72" s="3" t="str">
        <f>IFERROR(__xludf.DUMMYFUNCTION("""COMPUTED_VALUE"""),"Tholaeng Phithak")</f>
        <v>Tholaeng Phithak</v>
      </c>
    </row>
    <row r="73">
      <c r="A73" s="3">
        <f>IFERROR(__xludf.DUMMYFUNCTION("""COMPUTED_VALUE"""),1402.0)</f>
        <v>1402</v>
      </c>
      <c r="B73" s="2" t="str">
        <f>IFERROR(__xludf.DUMMYFUNCTION("""COMPUTED_VALUE"""),"Wisetdonwai Wutthipat")</f>
        <v>Wisetdonwai Wutthipat</v>
      </c>
      <c r="C73" s="3">
        <f>IFERROR(__xludf.DUMMYFUNCTION("""COMPUTED_VALUE"""),25.0)</f>
        <v>25</v>
      </c>
      <c r="D73" s="5" t="str">
        <f>IFERROR(__xludf.DUMMYFUNCTION("""COMPUTED_VALUE"""),"תאילנד")</f>
        <v>תאילנד</v>
      </c>
      <c r="E73" s="5" t="str">
        <f>IFERROR(__xludf.DUMMYFUNCTION("""COMPUTED_VALUE"""),"גבר")</f>
        <v>גבר</v>
      </c>
      <c r="F73" s="5" t="str">
        <f>IFERROR(__xludf.DUMMYFUNCTION("""COMPUTED_VALUE"""),"אזרחים זרים")</f>
        <v>אזרחים זרים</v>
      </c>
      <c r="G73" s="3"/>
      <c r="H73" s="3" t="str">
        <f>IFERROR(__xludf.DUMMYFUNCTION("""COMPUTED_VALUE"""),"07.10.2023")</f>
        <v>07.10.2023</v>
      </c>
      <c r="I73" s="4" t="str">
        <f>IFERROR(__xludf.DUMMYFUNCTION("""COMPUTED_VALUE"""),"ניר עוז")</f>
        <v>ניר עוז</v>
      </c>
      <c r="J73" s="4" t="str">
        <f>IFERROR(__xludf.DUMMYFUNCTION("""COMPUTED_VALUE"""),"אזרחים וכיתות כוננות")</f>
        <v>אזרחים וכיתות כוננות</v>
      </c>
      <c r="K73" s="5"/>
      <c r="L73" s="3" t="str">
        <f>IFERROR(__xludf.DUMMYFUNCTION("""COMPUTED_VALUE"""),"Wisetdonwai Wutthipat")</f>
        <v>Wisetdonwai Wutthipat</v>
      </c>
      <c r="M73" s="5"/>
    </row>
    <row r="74">
      <c r="A74" s="3">
        <f>IFERROR(__xludf.DUMMYFUNCTION("""COMPUTED_VALUE"""),1564.0)</f>
        <v>1564</v>
      </c>
      <c r="B74" s="4" t="str">
        <f>IFERROR(__xludf.DUMMYFUNCTION("""COMPUTED_VALUE"""),"חג'בי אליצור צוריאל")</f>
        <v>חג'בי אליצור צוריאל</v>
      </c>
      <c r="C74" s="3">
        <f>IFERROR(__xludf.DUMMYFUNCTION("""COMPUTED_VALUE"""),60.0)</f>
        <v>60</v>
      </c>
      <c r="D74" s="5" t="str">
        <f>IFERROR(__xludf.DUMMYFUNCTION("""COMPUTED_VALUE"""),"יכיני")</f>
        <v>יכיני</v>
      </c>
      <c r="E74" s="5" t="str">
        <f>IFERROR(__xludf.DUMMYFUNCTION("""COMPUTED_VALUE"""),"גבר")</f>
        <v>גבר</v>
      </c>
      <c r="F74" s="5" t="str">
        <f>IFERROR(__xludf.DUMMYFUNCTION("""COMPUTED_VALUE"""),"אזרחים")</f>
        <v>אזרחים</v>
      </c>
      <c r="G74" s="3"/>
      <c r="H74" s="3" t="str">
        <f>IFERROR(__xludf.DUMMYFUNCTION("""COMPUTED_VALUE"""),"07.10.2023")</f>
        <v>07.10.2023</v>
      </c>
      <c r="I74" s="4" t="str">
        <f>IFERROR(__xludf.DUMMYFUNCTION("""COMPUTED_VALUE"""),"יכיני")</f>
        <v>יכיני</v>
      </c>
      <c r="J74" s="2" t="str">
        <f>IFERROR(__xludf.DUMMYFUNCTION("""COMPUTED_VALUE"""),"אזרחים וכיתות כוננות")</f>
        <v>אזרחים וכיתות כוננות</v>
      </c>
      <c r="K74" s="5"/>
      <c r="L74" s="3" t="str">
        <f>IFERROR(__xludf.DUMMYFUNCTION("""COMPUTED_VALUE"""),"Elitzur Tzuriel Hajbi")</f>
        <v>Elitzur Tzuriel Hajbi</v>
      </c>
      <c r="M74" s="5"/>
    </row>
    <row r="75">
      <c r="A75" s="3">
        <f>IFERROR(__xludf.DUMMYFUNCTION("""COMPUTED_VALUE"""),1451.0)</f>
        <v>1451</v>
      </c>
      <c r="B75" s="4" t="str">
        <f>IFERROR(__xludf.DUMMYFUNCTION("""COMPUTED_VALUE"""),"חג'בי יהונתן")</f>
        <v>חג'בי יהונתן</v>
      </c>
      <c r="C75" s="3">
        <f>IFERROR(__xludf.DUMMYFUNCTION("""COMPUTED_VALUE"""),18.0)</f>
        <v>18</v>
      </c>
      <c r="D75" s="5" t="str">
        <f>IFERROR(__xludf.DUMMYFUNCTION("""COMPUTED_VALUE"""),"יכיני")</f>
        <v>יכיני</v>
      </c>
      <c r="E75" s="5" t="str">
        <f>IFERROR(__xludf.DUMMYFUNCTION("""COMPUTED_VALUE"""),"גבר")</f>
        <v>גבר</v>
      </c>
      <c r="F75" s="5" t="str">
        <f>IFERROR(__xludf.DUMMYFUNCTION("""COMPUTED_VALUE"""),"אזרחים")</f>
        <v>אזרחים</v>
      </c>
      <c r="G75" s="3"/>
      <c r="H75" s="3" t="str">
        <f>IFERROR(__xludf.DUMMYFUNCTION("""COMPUTED_VALUE"""),"07.10.2023")</f>
        <v>07.10.2023</v>
      </c>
      <c r="I75" s="4" t="str">
        <f>IFERROR(__xludf.DUMMYFUNCTION("""COMPUTED_VALUE"""),"יכיני")</f>
        <v>יכיני</v>
      </c>
      <c r="J75" s="4" t="str">
        <f>IFERROR(__xludf.DUMMYFUNCTION("""COMPUTED_VALUE"""),"אזרחים וכיתות כוננות")</f>
        <v>אזרחים וכיתות כוננות</v>
      </c>
      <c r="K75" s="5"/>
      <c r="L75" s="3" t="str">
        <f>IFERROR(__xludf.DUMMYFUNCTION("""COMPUTED_VALUE"""),"Yehonathan Hajbi")</f>
        <v>Yehonathan Hajbi</v>
      </c>
      <c r="M75" s="5"/>
    </row>
    <row r="76">
      <c r="A76" s="3">
        <f>IFERROR(__xludf.DUMMYFUNCTION("""COMPUTED_VALUE"""),1563.0)</f>
        <v>1563</v>
      </c>
      <c r="B76" s="4" t="str">
        <f>IFERROR(__xludf.DUMMYFUNCTION("""COMPUTED_VALUE"""),"חג'בי יזהר")</f>
        <v>חג'בי יזהר</v>
      </c>
      <c r="C76" s="3">
        <f>IFERROR(__xludf.DUMMYFUNCTION("""COMPUTED_VALUE"""),66.0)</f>
        <v>66</v>
      </c>
      <c r="D76" s="5" t="str">
        <f>IFERROR(__xludf.DUMMYFUNCTION("""COMPUTED_VALUE"""),"יכיני")</f>
        <v>יכיני</v>
      </c>
      <c r="E76" s="5" t="str">
        <f>IFERROR(__xludf.DUMMYFUNCTION("""COMPUTED_VALUE"""),"גבר")</f>
        <v>גבר</v>
      </c>
      <c r="F76" s="5" t="str">
        <f>IFERROR(__xludf.DUMMYFUNCTION("""COMPUTED_VALUE"""),"אזרחים")</f>
        <v>אזרחים</v>
      </c>
      <c r="G76" s="3"/>
      <c r="H76" s="3" t="str">
        <f>IFERROR(__xludf.DUMMYFUNCTION("""COMPUTED_VALUE"""),"07.10.2023")</f>
        <v>07.10.2023</v>
      </c>
      <c r="I76" s="4" t="str">
        <f>IFERROR(__xludf.DUMMYFUNCTION("""COMPUTED_VALUE"""),"יכיני")</f>
        <v>יכיני</v>
      </c>
      <c r="J76" s="4" t="str">
        <f>IFERROR(__xludf.DUMMYFUNCTION("""COMPUTED_VALUE"""),"אזרחים וכיתות כוננות")</f>
        <v>אזרחים וכיתות כוננות</v>
      </c>
      <c r="K76" s="5"/>
      <c r="L76" s="3" t="str">
        <f>IFERROR(__xludf.DUMMYFUNCTION("""COMPUTED_VALUE"""),"Izhar Hajbi")</f>
        <v>Izhar Hajbi</v>
      </c>
      <c r="M76" s="5"/>
    </row>
    <row r="77">
      <c r="A77" s="3">
        <f>IFERROR(__xludf.DUMMYFUNCTION("""COMPUTED_VALUE"""),1362.0)</f>
        <v>1362</v>
      </c>
      <c r="B77" s="4" t="str">
        <f>IFERROR(__xludf.DUMMYFUNCTION("""COMPUTED_VALUE"""),"אבו מדיע'ם אוסאמה עלי")</f>
        <v>אבו מדיע'ם אוסאמה עלי</v>
      </c>
      <c r="C77" s="3">
        <f>IFERROR(__xludf.DUMMYFUNCTION("""COMPUTED_VALUE"""),28.0)</f>
        <v>28</v>
      </c>
      <c r="D77" s="5" t="str">
        <f>IFERROR(__xludf.DUMMYFUNCTION("""COMPUTED_VALUE"""),"רהט")</f>
        <v>רהט</v>
      </c>
      <c r="E77" s="5" t="str">
        <f>IFERROR(__xludf.DUMMYFUNCTION("""COMPUTED_VALUE"""),"גבר")</f>
        <v>גבר</v>
      </c>
      <c r="F77" s="5" t="str">
        <f>IFERROR(__xludf.DUMMYFUNCTION("""COMPUTED_VALUE"""),"אזרחים")</f>
        <v>אזרחים</v>
      </c>
      <c r="G77" s="3"/>
      <c r="H77" s="3" t="str">
        <f>IFERROR(__xludf.DUMMYFUNCTION("""COMPUTED_VALUE"""),"07.10.2023")</f>
        <v>07.10.2023</v>
      </c>
      <c r="I77" s="4" t="str">
        <f>IFERROR(__xludf.DUMMYFUNCTION("""COMPUTED_VALUE"""),"מזרחית לניר יצחק")</f>
        <v>מזרחית לניר יצחק</v>
      </c>
      <c r="J77" s="4" t="str">
        <f>IFERROR(__xludf.DUMMYFUNCTION("""COMPUTED_VALUE"""),"אזרחים וכיתות כוננות")</f>
        <v>אזרחים וכיתות כוננות</v>
      </c>
      <c r="K77" s="5"/>
      <c r="L77" s="3" t="str">
        <f>IFERROR(__xludf.DUMMYFUNCTION("""COMPUTED_VALUE"""),"Osamah Abu Madi'am")</f>
        <v>Osamah Abu Madi'am</v>
      </c>
      <c r="M77" s="5"/>
    </row>
    <row r="78">
      <c r="A78" s="3">
        <f>IFERROR(__xludf.DUMMYFUNCTION("""COMPUTED_VALUE"""),1524.0)</f>
        <v>1524</v>
      </c>
      <c r="B78" s="4" t="str">
        <f>IFERROR(__xludf.DUMMYFUNCTION("""COMPUTED_VALUE"""),"ירון שיר")</f>
        <v>ירון שיר</v>
      </c>
      <c r="C78" s="3">
        <f>IFERROR(__xludf.DUMMYFUNCTION("""COMPUTED_VALUE"""),21.0)</f>
        <v>21</v>
      </c>
      <c r="D78" s="5" t="str">
        <f>IFERROR(__xludf.DUMMYFUNCTION("""COMPUTED_VALUE"""),"צוהר")</f>
        <v>צוהר</v>
      </c>
      <c r="E78" s="5" t="str">
        <f>IFERROR(__xludf.DUMMYFUNCTION("""COMPUTED_VALUE"""),"אישה")</f>
        <v>אישה</v>
      </c>
      <c r="F78" s="5" t="str">
        <f>IFERROR(__xludf.DUMMYFUNCTION("""COMPUTED_VALUE"""),"אזרחים")</f>
        <v>אזרחים</v>
      </c>
      <c r="G78" s="3"/>
      <c r="H78" s="3" t="str">
        <f>IFERROR(__xludf.DUMMYFUNCTION("""COMPUTED_VALUE"""),"07.10.2023")</f>
        <v>07.10.2023</v>
      </c>
      <c r="I78" s="4" t="str">
        <f>IFERROR(__xludf.DUMMYFUNCTION("""COMPUTED_VALUE"""),"צומת מבטחים")</f>
        <v>צומת מבטחים</v>
      </c>
      <c r="J78" s="4" t="str">
        <f>IFERROR(__xludf.DUMMYFUNCTION("""COMPUTED_VALUE"""),"אזרחים וכיתות כוננות")</f>
        <v>אזרחים וכיתות כוננות</v>
      </c>
      <c r="K78" s="5" t="str">
        <f>IFERROR(__xludf.DUMMYFUNCTION("""COMPUTED_VALUE"""),"פסטיבל נובה")</f>
        <v>פסטיבל נובה</v>
      </c>
      <c r="L78" s="3" t="str">
        <f>IFERROR(__xludf.DUMMYFUNCTION("""COMPUTED_VALUE"""),"Shir Yaron")</f>
        <v>Shir Yaron</v>
      </c>
      <c r="M78" s="5"/>
    </row>
    <row r="79">
      <c r="A79" s="3">
        <f>IFERROR(__xludf.DUMMYFUNCTION("""COMPUTED_VALUE"""),1625.0)</f>
        <v>1625</v>
      </c>
      <c r="B79" s="4" t="str">
        <f>IFERROR(__xludf.DUMMYFUNCTION("""COMPUTED_VALUE"""),"לוי ציון")</f>
        <v>לוי ציון</v>
      </c>
      <c r="C79" s="3">
        <f>IFERROR(__xludf.DUMMYFUNCTION("""COMPUTED_VALUE"""),72.0)</f>
        <v>72</v>
      </c>
      <c r="D79" s="5" t="str">
        <f>IFERROR(__xludf.DUMMYFUNCTION("""COMPUTED_VALUE"""),"דקל")</f>
        <v>דקל</v>
      </c>
      <c r="E79" s="5" t="str">
        <f>IFERROR(__xludf.DUMMYFUNCTION("""COMPUTED_VALUE"""),"גבר")</f>
        <v>גבר</v>
      </c>
      <c r="F79" s="5" t="str">
        <f>IFERROR(__xludf.DUMMYFUNCTION("""COMPUTED_VALUE"""),"אזרחים")</f>
        <v>אזרחים</v>
      </c>
      <c r="G79" s="3"/>
      <c r="H79" s="3" t="str">
        <f>IFERROR(__xludf.DUMMYFUNCTION("""COMPUTED_VALUE"""),"07.10.2023")</f>
        <v>07.10.2023</v>
      </c>
      <c r="I79" s="4" t="str">
        <f>IFERROR(__xludf.DUMMYFUNCTION("""COMPUTED_VALUE"""),"צומת מבטחים")</f>
        <v>צומת מבטחים</v>
      </c>
      <c r="J79" s="2" t="str">
        <f>IFERROR(__xludf.DUMMYFUNCTION("""COMPUTED_VALUE"""),"אזרחים וכיתות כוננות")</f>
        <v>אזרחים וכיתות כוננות</v>
      </c>
      <c r="K79" s="5"/>
      <c r="L79" s="3" t="str">
        <f>IFERROR(__xludf.DUMMYFUNCTION("""COMPUTED_VALUE"""),"Zion Levy")</f>
        <v>Zion Levy</v>
      </c>
      <c r="M79" s="5"/>
    </row>
    <row r="80">
      <c r="A80" s="3">
        <f>IFERROR(__xludf.DUMMYFUNCTION("""COMPUTED_VALUE"""),504.0)</f>
        <v>504</v>
      </c>
      <c r="B80" s="4" t="str">
        <f>IFERROR(__xludf.DUMMYFUNCTION("""COMPUTED_VALUE"""),"אלמגור מרינה")</f>
        <v>אלמגור מרינה</v>
      </c>
      <c r="C80" s="3">
        <f>IFERROR(__xludf.DUMMYFUNCTION("""COMPUTED_VALUE"""),76.0)</f>
        <v>76</v>
      </c>
      <c r="D80" s="5" t="str">
        <f>IFERROR(__xludf.DUMMYFUNCTION("""COMPUTED_VALUE"""),"כפר סבא")</f>
        <v>כפר סבא</v>
      </c>
      <c r="E80" s="5" t="str">
        <f>IFERROR(__xludf.DUMMYFUNCTION("""COMPUTED_VALUE"""),"אישה")</f>
        <v>אישה</v>
      </c>
      <c r="F80" s="5" t="str">
        <f>IFERROR(__xludf.DUMMYFUNCTION("""COMPUTED_VALUE"""),"אזרחים")</f>
        <v>אזרחים</v>
      </c>
      <c r="G80" s="3"/>
      <c r="H80" s="3" t="str">
        <f>IFERROR(__xludf.DUMMYFUNCTION("""COMPUTED_VALUE"""),"07.10.2023")</f>
        <v>07.10.2023</v>
      </c>
      <c r="I80" s="4" t="str">
        <f>IFERROR(__xludf.DUMMYFUNCTION("""COMPUTED_VALUE"""),"נתיב העשרה")</f>
        <v>נתיב העשרה</v>
      </c>
      <c r="J80" s="4" t="str">
        <f>IFERROR(__xludf.DUMMYFUNCTION("""COMPUTED_VALUE"""),"אזרחים וכיתות כוננות")</f>
        <v>אזרחים וכיתות כוננות</v>
      </c>
      <c r="K80" s="5"/>
      <c r="L80" s="3" t="str">
        <f>IFERROR(__xludf.DUMMYFUNCTION("""COMPUTED_VALUE"""),"Marina Almagor")</f>
        <v>Marina Almagor</v>
      </c>
      <c r="M80" s="5"/>
    </row>
    <row r="81">
      <c r="A81" s="3">
        <f>IFERROR(__xludf.DUMMYFUNCTION("""COMPUTED_VALUE"""),502.0)</f>
        <v>502</v>
      </c>
      <c r="B81" s="4" t="str">
        <f>IFERROR(__xludf.DUMMYFUNCTION("""COMPUTED_VALUE"""),"אקוני אור")</f>
        <v>אקוני אור</v>
      </c>
      <c r="C81" s="3">
        <f>IFERROR(__xludf.DUMMYFUNCTION("""COMPUTED_VALUE"""),32.0)</f>
        <v>32</v>
      </c>
      <c r="D81" s="5" t="str">
        <f>IFERROR(__xludf.DUMMYFUNCTION("""COMPUTED_VALUE"""),"נתיב העשרה")</f>
        <v>נתיב העשרה</v>
      </c>
      <c r="E81" s="5" t="str">
        <f>IFERROR(__xludf.DUMMYFUNCTION("""COMPUTED_VALUE"""),"אישה")</f>
        <v>אישה</v>
      </c>
      <c r="F81" s="5" t="str">
        <f>IFERROR(__xludf.DUMMYFUNCTION("""COMPUTED_VALUE"""),"אזרחים")</f>
        <v>אזרחים</v>
      </c>
      <c r="G81" s="3"/>
      <c r="H81" s="3" t="str">
        <f>IFERROR(__xludf.DUMMYFUNCTION("""COMPUTED_VALUE"""),"07.10.2023")</f>
        <v>07.10.2023</v>
      </c>
      <c r="I81" s="4" t="str">
        <f>IFERROR(__xludf.DUMMYFUNCTION("""COMPUTED_VALUE"""),"נתיב העשרה")</f>
        <v>נתיב העשרה</v>
      </c>
      <c r="J81" s="4" t="str">
        <f>IFERROR(__xludf.DUMMYFUNCTION("""COMPUTED_VALUE"""),"אזרחים וכיתות כוננות")</f>
        <v>אזרחים וכיתות כוננות</v>
      </c>
      <c r="K81" s="5"/>
      <c r="L81" s="3" t="str">
        <f>IFERROR(__xludf.DUMMYFUNCTION("""COMPUTED_VALUE"""),"Or Akuni")</f>
        <v>Or Akuni</v>
      </c>
      <c r="M81" s="5"/>
    </row>
    <row r="82">
      <c r="A82" s="3">
        <f>IFERROR(__xludf.DUMMYFUNCTION("""COMPUTED_VALUE"""),501.0)</f>
        <v>501</v>
      </c>
      <c r="B82" s="4" t="str">
        <f>IFERROR(__xludf.DUMMYFUNCTION("""COMPUTED_VALUE"""),"אקוני אריה")</f>
        <v>אקוני אריה</v>
      </c>
      <c r="C82" s="3">
        <f>IFERROR(__xludf.DUMMYFUNCTION("""COMPUTED_VALUE"""),68.0)</f>
        <v>68</v>
      </c>
      <c r="D82" s="5" t="str">
        <f>IFERROR(__xludf.DUMMYFUNCTION("""COMPUTED_VALUE"""),"נתיב העשרה")</f>
        <v>נתיב העשרה</v>
      </c>
      <c r="E82" s="5" t="str">
        <f>IFERROR(__xludf.DUMMYFUNCTION("""COMPUTED_VALUE"""),"גבר")</f>
        <v>גבר</v>
      </c>
      <c r="F82" s="5" t="str">
        <f>IFERROR(__xludf.DUMMYFUNCTION("""COMPUTED_VALUE"""),"אזרחים")</f>
        <v>אזרחים</v>
      </c>
      <c r="G82" s="3"/>
      <c r="H82" s="3" t="str">
        <f>IFERROR(__xludf.DUMMYFUNCTION("""COMPUTED_VALUE"""),"07.10.2023")</f>
        <v>07.10.2023</v>
      </c>
      <c r="I82" s="4" t="str">
        <f>IFERROR(__xludf.DUMMYFUNCTION("""COMPUTED_VALUE"""),"נתיב העשרה")</f>
        <v>נתיב העשרה</v>
      </c>
      <c r="J82" s="4" t="str">
        <f>IFERROR(__xludf.DUMMYFUNCTION("""COMPUTED_VALUE"""),"אזרחים וכיתות כוננות")</f>
        <v>אזרחים וכיתות כוננות</v>
      </c>
      <c r="K82" s="5"/>
      <c r="L82" s="3" t="str">
        <f>IFERROR(__xludf.DUMMYFUNCTION("""COMPUTED_VALUE"""),"Aryeh Akuni")</f>
        <v>Aryeh Akuni</v>
      </c>
      <c r="M82" s="5"/>
    </row>
    <row r="83">
      <c r="A83" s="3">
        <f>IFERROR(__xludf.DUMMYFUNCTION("""COMPUTED_VALUE"""),503.0)</f>
        <v>503</v>
      </c>
      <c r="B83" s="4" t="str">
        <f>IFERROR(__xludf.DUMMYFUNCTION("""COMPUTED_VALUE"""),"אקוני ארלט (רותי)")</f>
        <v>אקוני ארלט (רותי)</v>
      </c>
      <c r="C83" s="3">
        <f>IFERROR(__xludf.DUMMYFUNCTION("""COMPUTED_VALUE"""),67.0)</f>
        <v>67</v>
      </c>
      <c r="D83" s="5" t="str">
        <f>IFERROR(__xludf.DUMMYFUNCTION("""COMPUTED_VALUE"""),"נתיב העשרה")</f>
        <v>נתיב העשרה</v>
      </c>
      <c r="E83" s="5" t="str">
        <f>IFERROR(__xludf.DUMMYFUNCTION("""COMPUTED_VALUE"""),"אישה")</f>
        <v>אישה</v>
      </c>
      <c r="F83" s="5" t="str">
        <f>IFERROR(__xludf.DUMMYFUNCTION("""COMPUTED_VALUE"""),"אזרחים")</f>
        <v>אזרחים</v>
      </c>
      <c r="G83" s="3"/>
      <c r="H83" s="3" t="str">
        <f>IFERROR(__xludf.DUMMYFUNCTION("""COMPUTED_VALUE"""),"07.10.2023")</f>
        <v>07.10.2023</v>
      </c>
      <c r="I83" s="4" t="str">
        <f>IFERROR(__xludf.DUMMYFUNCTION("""COMPUTED_VALUE"""),"נתיב העשרה")</f>
        <v>נתיב העשרה</v>
      </c>
      <c r="J83" s="4" t="str">
        <f>IFERROR(__xludf.DUMMYFUNCTION("""COMPUTED_VALUE"""),"אזרחים וכיתות כוננות")</f>
        <v>אזרחים וכיתות כוננות</v>
      </c>
      <c r="K83" s="5"/>
      <c r="L83" s="3" t="str">
        <f>IFERROR(__xludf.DUMMYFUNCTION("""COMPUTED_VALUE"""),"Ruti Akuni")</f>
        <v>Ruti Akuni</v>
      </c>
      <c r="M83" s="5"/>
    </row>
    <row r="84">
      <c r="A84" s="3">
        <f>IFERROR(__xludf.DUMMYFUNCTION("""COMPUTED_VALUE"""),506.0)</f>
        <v>506</v>
      </c>
      <c r="B84" s="4" t="str">
        <f>IFERROR(__xludf.DUMMYFUNCTION("""COMPUTED_VALUE"""),"ברגר נורית")</f>
        <v>ברגר נורית</v>
      </c>
      <c r="C84" s="3">
        <f>IFERROR(__xludf.DUMMYFUNCTION("""COMPUTED_VALUE"""),59.0)</f>
        <v>59</v>
      </c>
      <c r="D84" s="5" t="str">
        <f>IFERROR(__xludf.DUMMYFUNCTION("""COMPUTED_VALUE"""),"נתיב העשרה")</f>
        <v>נתיב העשרה</v>
      </c>
      <c r="E84" s="5" t="str">
        <f>IFERROR(__xludf.DUMMYFUNCTION("""COMPUTED_VALUE"""),"אישה")</f>
        <v>אישה</v>
      </c>
      <c r="F84" s="5" t="str">
        <f>IFERROR(__xludf.DUMMYFUNCTION("""COMPUTED_VALUE"""),"אזרחים")</f>
        <v>אזרחים</v>
      </c>
      <c r="G84" s="3"/>
      <c r="H84" s="3" t="str">
        <f>IFERROR(__xludf.DUMMYFUNCTION("""COMPUTED_VALUE"""),"07.10.2023")</f>
        <v>07.10.2023</v>
      </c>
      <c r="I84" s="4" t="str">
        <f>IFERROR(__xludf.DUMMYFUNCTION("""COMPUTED_VALUE"""),"נתיב העשרה")</f>
        <v>נתיב העשרה</v>
      </c>
      <c r="J84" s="4" t="str">
        <f>IFERROR(__xludf.DUMMYFUNCTION("""COMPUTED_VALUE"""),"אזרחים וכיתות כוננות")</f>
        <v>אזרחים וכיתות כוננות</v>
      </c>
      <c r="K84" s="5"/>
      <c r="L84" s="3" t="str">
        <f>IFERROR(__xludf.DUMMYFUNCTION("""COMPUTED_VALUE"""),"Nurit Berger")</f>
        <v>Nurit Berger</v>
      </c>
      <c r="M84" s="5"/>
    </row>
    <row r="85">
      <c r="A85" s="3">
        <f>IFERROR(__xludf.DUMMYFUNCTION("""COMPUTED_VALUE"""),531.0)</f>
        <v>531</v>
      </c>
      <c r="B85" s="4" t="str">
        <f>IFERROR(__xludf.DUMMYFUNCTION("""COMPUTED_VALUE"""),"וובק דני")</f>
        <v>וובק דני</v>
      </c>
      <c r="C85" s="3">
        <f>IFERROR(__xludf.DUMMYFUNCTION("""COMPUTED_VALUE"""),45.0)</f>
        <v>45</v>
      </c>
      <c r="D85" s="5" t="str">
        <f>IFERROR(__xludf.DUMMYFUNCTION("""COMPUTED_VALUE"""),"נתיב העשרה")</f>
        <v>נתיב העשרה</v>
      </c>
      <c r="E85" s="5" t="str">
        <f>IFERROR(__xludf.DUMMYFUNCTION("""COMPUTED_VALUE"""),"גבר")</f>
        <v>גבר</v>
      </c>
      <c r="F85" s="5" t="str">
        <f>IFERROR(__xludf.DUMMYFUNCTION("""COMPUTED_VALUE"""),"אזרחים")</f>
        <v>אזרחים</v>
      </c>
      <c r="G85" s="3"/>
      <c r="H85" s="3" t="str">
        <f>IFERROR(__xludf.DUMMYFUNCTION("""COMPUTED_VALUE"""),"07.10.2023")</f>
        <v>07.10.2023</v>
      </c>
      <c r="I85" s="4" t="str">
        <f>IFERROR(__xludf.DUMMYFUNCTION("""COMPUTED_VALUE"""),"נתיב העשרה")</f>
        <v>נתיב העשרה</v>
      </c>
      <c r="J85" s="4" t="str">
        <f>IFERROR(__xludf.DUMMYFUNCTION("""COMPUTED_VALUE"""),"אזרחים וכיתות כוננות")</f>
        <v>אזרחים וכיתות כוננות</v>
      </c>
      <c r="K85" s="5"/>
      <c r="L85" s="3" t="str">
        <f>IFERROR(__xludf.DUMMYFUNCTION("""COMPUTED_VALUE"""),"Dani Woveck")</f>
        <v>Dani Woveck</v>
      </c>
      <c r="M85" s="5"/>
    </row>
    <row r="86">
      <c r="A86" s="3">
        <f>IFERROR(__xludf.DUMMYFUNCTION("""COMPUTED_VALUE"""),532.0)</f>
        <v>532</v>
      </c>
      <c r="B86" s="4" t="str">
        <f>IFERROR(__xludf.DUMMYFUNCTION("""COMPUTED_VALUE"""),"ינון בלהה")</f>
        <v>ינון בלהה</v>
      </c>
      <c r="C86" s="3">
        <f>IFERROR(__xludf.DUMMYFUNCTION("""COMPUTED_VALUE"""),76.0)</f>
        <v>76</v>
      </c>
      <c r="D86" s="5" t="str">
        <f>IFERROR(__xludf.DUMMYFUNCTION("""COMPUTED_VALUE"""),"נתיב העשרה")</f>
        <v>נתיב העשרה</v>
      </c>
      <c r="E86" s="5" t="str">
        <f>IFERROR(__xludf.DUMMYFUNCTION("""COMPUTED_VALUE"""),"אישה")</f>
        <v>אישה</v>
      </c>
      <c r="F86" s="5" t="str">
        <f>IFERROR(__xludf.DUMMYFUNCTION("""COMPUTED_VALUE"""),"אזרחים")</f>
        <v>אזרחים</v>
      </c>
      <c r="G86" s="3"/>
      <c r="H86" s="3" t="str">
        <f>IFERROR(__xludf.DUMMYFUNCTION("""COMPUTED_VALUE"""),"07.10.2023")</f>
        <v>07.10.2023</v>
      </c>
      <c r="I86" s="4" t="str">
        <f>IFERROR(__xludf.DUMMYFUNCTION("""COMPUTED_VALUE"""),"נתיב העשרה")</f>
        <v>נתיב העשרה</v>
      </c>
      <c r="J86" s="4" t="str">
        <f>IFERROR(__xludf.DUMMYFUNCTION("""COMPUTED_VALUE"""),"אזרחים וכיתות כוננות")</f>
        <v>אזרחים וכיתות כוננות</v>
      </c>
      <c r="K86" s="5"/>
      <c r="L86" s="3" t="str">
        <f>IFERROR(__xludf.DUMMYFUNCTION("""COMPUTED_VALUE"""),"Bilha Yinon")</f>
        <v>Bilha Yinon</v>
      </c>
      <c r="M86" s="5"/>
    </row>
    <row r="87">
      <c r="A87" s="3">
        <f>IFERROR(__xludf.DUMMYFUNCTION("""COMPUTED_VALUE"""),533.0)</f>
        <v>533</v>
      </c>
      <c r="B87" s="4" t="str">
        <f>IFERROR(__xludf.DUMMYFUNCTION("""COMPUTED_VALUE"""),"ינון יעקובי")</f>
        <v>ינון יעקובי</v>
      </c>
      <c r="C87" s="3">
        <f>IFERROR(__xludf.DUMMYFUNCTION("""COMPUTED_VALUE"""),78.0)</f>
        <v>78</v>
      </c>
      <c r="D87" s="5" t="str">
        <f>IFERROR(__xludf.DUMMYFUNCTION("""COMPUTED_VALUE"""),"נתיב העשרה")</f>
        <v>נתיב העשרה</v>
      </c>
      <c r="E87" s="5" t="str">
        <f>IFERROR(__xludf.DUMMYFUNCTION("""COMPUTED_VALUE"""),"גבר")</f>
        <v>גבר</v>
      </c>
      <c r="F87" s="5" t="str">
        <f>IFERROR(__xludf.DUMMYFUNCTION("""COMPUTED_VALUE"""),"אזרחים")</f>
        <v>אזרחים</v>
      </c>
      <c r="G87" s="3"/>
      <c r="H87" s="3" t="str">
        <f>IFERROR(__xludf.DUMMYFUNCTION("""COMPUTED_VALUE"""),"07.10.2023")</f>
        <v>07.10.2023</v>
      </c>
      <c r="I87" s="4" t="str">
        <f>IFERROR(__xludf.DUMMYFUNCTION("""COMPUTED_VALUE"""),"נתיב העשרה")</f>
        <v>נתיב העשרה</v>
      </c>
      <c r="J87" s="4" t="str">
        <f>IFERROR(__xludf.DUMMYFUNCTION("""COMPUTED_VALUE"""),"אזרחים וכיתות כוננות")</f>
        <v>אזרחים וכיתות כוננות</v>
      </c>
      <c r="K87" s="5"/>
      <c r="L87" s="3" t="str">
        <f>IFERROR(__xludf.DUMMYFUNCTION("""COMPUTED_VALUE"""),"Yaacobi Yinon")</f>
        <v>Yaacobi Yinon</v>
      </c>
      <c r="M87" s="5"/>
    </row>
    <row r="88">
      <c r="A88" s="3">
        <f>IFERROR(__xludf.DUMMYFUNCTION("""COMPUTED_VALUE"""),510.0)</f>
        <v>510</v>
      </c>
      <c r="B88" s="4" t="str">
        <f>IFERROR(__xludf.DUMMYFUNCTION("""COMPUTED_VALUE"""),"מולכו איילת")</f>
        <v>מולכו איילת</v>
      </c>
      <c r="C88" s="3">
        <f>IFERROR(__xludf.DUMMYFUNCTION("""COMPUTED_VALUE"""),54.0)</f>
        <v>54</v>
      </c>
      <c r="D88" s="5" t="str">
        <f>IFERROR(__xludf.DUMMYFUNCTION("""COMPUTED_VALUE"""),"נתיב העשרה")</f>
        <v>נתיב העשרה</v>
      </c>
      <c r="E88" s="5" t="str">
        <f>IFERROR(__xludf.DUMMYFUNCTION("""COMPUTED_VALUE"""),"אישה")</f>
        <v>אישה</v>
      </c>
      <c r="F88" s="5" t="str">
        <f>IFERROR(__xludf.DUMMYFUNCTION("""COMPUTED_VALUE"""),"אזרחים")</f>
        <v>אזרחים</v>
      </c>
      <c r="G88" s="3"/>
      <c r="H88" s="3" t="str">
        <f>IFERROR(__xludf.DUMMYFUNCTION("""COMPUTED_VALUE"""),"07.10.2023")</f>
        <v>07.10.2023</v>
      </c>
      <c r="I88" s="4" t="str">
        <f>IFERROR(__xludf.DUMMYFUNCTION("""COMPUTED_VALUE"""),"נתיב העשרה")</f>
        <v>נתיב העשרה</v>
      </c>
      <c r="J88" s="4" t="str">
        <f>IFERROR(__xludf.DUMMYFUNCTION("""COMPUTED_VALUE"""),"אזרחים וכיתות כוננות")</f>
        <v>אזרחים וכיתות כוננות</v>
      </c>
      <c r="K88" s="5"/>
      <c r="L88" s="3" t="str">
        <f>IFERROR(__xludf.DUMMYFUNCTION("""COMPUTED_VALUE"""),"Ayelet Nir Molcho")</f>
        <v>Ayelet Nir Molcho</v>
      </c>
      <c r="M88" s="5"/>
    </row>
    <row r="89">
      <c r="A89" s="3">
        <f>IFERROR(__xludf.DUMMYFUNCTION("""COMPUTED_VALUE"""),511.0)</f>
        <v>511</v>
      </c>
      <c r="B89" s="4" t="str">
        <f>IFERROR(__xludf.DUMMYFUNCTION("""COMPUTED_VALUE"""),"מולכו שלמה (שלומי)")</f>
        <v>מולכו שלמה (שלומי)</v>
      </c>
      <c r="C89" s="3">
        <f>IFERROR(__xludf.DUMMYFUNCTION("""COMPUTED_VALUE"""),62.0)</f>
        <v>62</v>
      </c>
      <c r="D89" s="5" t="str">
        <f>IFERROR(__xludf.DUMMYFUNCTION("""COMPUTED_VALUE"""),"נתיב העשרה")</f>
        <v>נתיב העשרה</v>
      </c>
      <c r="E89" s="5" t="str">
        <f>IFERROR(__xludf.DUMMYFUNCTION("""COMPUTED_VALUE"""),"גבר")</f>
        <v>גבר</v>
      </c>
      <c r="F89" s="5" t="str">
        <f>IFERROR(__xludf.DUMMYFUNCTION("""COMPUTED_VALUE"""),"אזרחים")</f>
        <v>אזרחים</v>
      </c>
      <c r="G89" s="3"/>
      <c r="H89" s="3" t="str">
        <f>IFERROR(__xludf.DUMMYFUNCTION("""COMPUTED_VALUE"""),"07.10.2023")</f>
        <v>07.10.2023</v>
      </c>
      <c r="I89" s="4" t="str">
        <f>IFERROR(__xludf.DUMMYFUNCTION("""COMPUTED_VALUE"""),"נתיב העשרה")</f>
        <v>נתיב העשרה</v>
      </c>
      <c r="J89" s="4" t="str">
        <f>IFERROR(__xludf.DUMMYFUNCTION("""COMPUTED_VALUE"""),"אזרחים וכיתות כוננות")</f>
        <v>אזרחים וכיתות כוננות</v>
      </c>
      <c r="K89" s="5"/>
      <c r="L89" s="3" t="str">
        <f>IFERROR(__xludf.DUMMYFUNCTION("""COMPUTED_VALUE"""),"Shlomi Molcho")</f>
        <v>Shlomi Molcho</v>
      </c>
      <c r="M89" s="5"/>
    </row>
    <row r="90">
      <c r="A90" s="3">
        <f>IFERROR(__xludf.DUMMYFUNCTION("""COMPUTED_VALUE"""),512.0)</f>
        <v>512</v>
      </c>
      <c r="B90" s="4" t="str">
        <f>IFERROR(__xludf.DUMMYFUNCTION("""COMPUTED_VALUE"""),"סגל חויק")</f>
        <v>סגל חויק</v>
      </c>
      <c r="C90" s="3">
        <f>IFERROR(__xludf.DUMMYFUNCTION("""COMPUTED_VALUE"""),78.0)</f>
        <v>78</v>
      </c>
      <c r="D90" s="5" t="str">
        <f>IFERROR(__xludf.DUMMYFUNCTION("""COMPUTED_VALUE"""),"נתיב העשרה")</f>
        <v>נתיב העשרה</v>
      </c>
      <c r="E90" s="5" t="str">
        <f>IFERROR(__xludf.DUMMYFUNCTION("""COMPUTED_VALUE"""),"אישה")</f>
        <v>אישה</v>
      </c>
      <c r="F90" s="5" t="str">
        <f>IFERROR(__xludf.DUMMYFUNCTION("""COMPUTED_VALUE"""),"אזרחים")</f>
        <v>אזרחים</v>
      </c>
      <c r="G90" s="3"/>
      <c r="H90" s="3" t="str">
        <f>IFERROR(__xludf.DUMMYFUNCTION("""COMPUTED_VALUE"""),"07.10.2023")</f>
        <v>07.10.2023</v>
      </c>
      <c r="I90" s="4" t="str">
        <f>IFERROR(__xludf.DUMMYFUNCTION("""COMPUTED_VALUE"""),"נתיב העשרה")</f>
        <v>נתיב העשרה</v>
      </c>
      <c r="J90" s="4" t="str">
        <f>IFERROR(__xludf.DUMMYFUNCTION("""COMPUTED_VALUE"""),"אזרחים וכיתות כוננות")</f>
        <v>אזרחים וכיתות כוננות</v>
      </c>
      <c r="K90" s="5"/>
      <c r="L90" s="3" t="str">
        <f>IFERROR(__xludf.DUMMYFUNCTION("""COMPUTED_VALUE"""),"Havik Segal")</f>
        <v>Havik Segal</v>
      </c>
      <c r="M90" s="5"/>
    </row>
    <row r="91">
      <c r="A91" s="3">
        <f>IFERROR(__xludf.DUMMYFUNCTION("""COMPUTED_VALUE"""),1039.0)</f>
        <v>1039</v>
      </c>
      <c r="B91" s="4" t="str">
        <f>IFERROR(__xludf.DUMMYFUNCTION("""COMPUTED_VALUE"""),"אלקבץ מוטי")</f>
        <v>אלקבץ מוטי</v>
      </c>
      <c r="C91" s="3">
        <f>IFERROR(__xludf.DUMMYFUNCTION("""COMPUTED_VALUE"""),40.0)</f>
        <v>40</v>
      </c>
      <c r="D91" s="5" t="str">
        <f>IFERROR(__xludf.DUMMYFUNCTION("""COMPUTED_VALUE"""),"יתד")</f>
        <v>יתד</v>
      </c>
      <c r="E91" s="5" t="str">
        <f>IFERROR(__xludf.DUMMYFUNCTION("""COMPUTED_VALUE"""),"גבר")</f>
        <v>גבר</v>
      </c>
      <c r="F91" s="5" t="str">
        <f>IFERROR(__xludf.DUMMYFUNCTION("""COMPUTED_VALUE"""),"אזרחים")</f>
        <v>אזרחים</v>
      </c>
      <c r="G91" s="3"/>
      <c r="H91" s="3" t="str">
        <f>IFERROR(__xludf.DUMMYFUNCTION("""COMPUTED_VALUE"""),"07.10.2023")</f>
        <v>07.10.2023</v>
      </c>
      <c r="I91" s="4" t="str">
        <f>IFERROR(__xludf.DUMMYFUNCTION("""COMPUTED_VALUE"""),"צומת מבטחים")</f>
        <v>צומת מבטחים</v>
      </c>
      <c r="J91" s="4" t="str">
        <f>IFERROR(__xludf.DUMMYFUNCTION("""COMPUTED_VALUE"""),"אזרחים וכיתות כוננות")</f>
        <v>אזרחים וכיתות כוננות</v>
      </c>
      <c r="K91" s="5" t="str">
        <f>IFERROR(__xludf.DUMMYFUNCTION("""COMPUTED_VALUE"""),"מסיבת פסיידאק")</f>
        <v>מסיבת פסיידאק</v>
      </c>
      <c r="L91" s="3" t="str">
        <f>IFERROR(__xludf.DUMMYFUNCTION("""COMPUTED_VALUE"""),"Moti Elkabatz")</f>
        <v>Moti Elkabatz</v>
      </c>
      <c r="M91" s="5"/>
    </row>
    <row r="92">
      <c r="A92" s="3">
        <f>IFERROR(__xludf.DUMMYFUNCTION("""COMPUTED_VALUE"""),1036.0)</f>
        <v>1036</v>
      </c>
      <c r="B92" s="4" t="str">
        <f>IFERROR(__xludf.DUMMYFUNCTION("""COMPUTED_VALUE"""),"בן יהודה גלעד")</f>
        <v>בן יהודה גלעד</v>
      </c>
      <c r="C92" s="3">
        <f>IFERROR(__xludf.DUMMYFUNCTION("""COMPUTED_VALUE"""),28.0)</f>
        <v>28</v>
      </c>
      <c r="D92" s="5" t="str">
        <f>IFERROR(__xludf.DUMMYFUNCTION("""COMPUTED_VALUE"""),"נען")</f>
        <v>נען</v>
      </c>
      <c r="E92" s="5" t="str">
        <f>IFERROR(__xludf.DUMMYFUNCTION("""COMPUTED_VALUE"""),"גבר")</f>
        <v>גבר</v>
      </c>
      <c r="F92" s="5" t="str">
        <f>IFERROR(__xludf.DUMMYFUNCTION("""COMPUTED_VALUE"""),"אזרחים")</f>
        <v>אזרחים</v>
      </c>
      <c r="G92" s="3"/>
      <c r="H92" s="3" t="str">
        <f>IFERROR(__xludf.DUMMYFUNCTION("""COMPUTED_VALUE"""),"07.10.2023")</f>
        <v>07.10.2023</v>
      </c>
      <c r="I92" s="4" t="str">
        <f>IFERROR(__xludf.DUMMYFUNCTION("""COMPUTED_VALUE"""),"מיגונית בצומת בארי")</f>
        <v>מיגונית בצומת בארי</v>
      </c>
      <c r="J92" s="4" t="str">
        <f>IFERROR(__xludf.DUMMYFUNCTION("""COMPUTED_VALUE"""),"אזרחים וכיתות כוננות")</f>
        <v>אזרחים וכיתות כוננות</v>
      </c>
      <c r="K92" s="5" t="str">
        <f>IFERROR(__xludf.DUMMYFUNCTION("""COMPUTED_VALUE"""),"מסיבת פסיידאק")</f>
        <v>מסיבת פסיידאק</v>
      </c>
      <c r="L92" s="3" t="str">
        <f>IFERROR(__xludf.DUMMYFUNCTION("""COMPUTED_VALUE"""),"Gilad Ben-Yehuda")</f>
        <v>Gilad Ben-Yehuda</v>
      </c>
      <c r="M92" s="5"/>
    </row>
    <row r="93">
      <c r="A93" s="3">
        <f>IFERROR(__xludf.DUMMYFUNCTION("""COMPUTED_VALUE"""),707.0)</f>
        <v>707</v>
      </c>
      <c r="B93" s="4" t="str">
        <f>IFERROR(__xludf.DUMMYFUNCTION("""COMPUTED_VALUE"""),"בן יהודה יובל")</f>
        <v>בן יהודה יובל</v>
      </c>
      <c r="C93" s="3">
        <f>IFERROR(__xludf.DUMMYFUNCTION("""COMPUTED_VALUE"""),26.0)</f>
        <v>26</v>
      </c>
      <c r="D93" s="5" t="str">
        <f>IFERROR(__xludf.DUMMYFUNCTION("""COMPUTED_VALUE"""),"רמת גן")</f>
        <v>רמת גן</v>
      </c>
      <c r="E93" s="5" t="str">
        <f>IFERROR(__xludf.DUMMYFUNCTION("""COMPUTED_VALUE"""),"אישה")</f>
        <v>אישה</v>
      </c>
      <c r="F93" s="5" t="str">
        <f>IFERROR(__xludf.DUMMYFUNCTION("""COMPUTED_VALUE"""),"אזרחים")</f>
        <v>אזרחים</v>
      </c>
      <c r="G93" s="3"/>
      <c r="H93" s="3" t="str">
        <f>IFERROR(__xludf.DUMMYFUNCTION("""COMPUTED_VALUE"""),"07.10.2023")</f>
        <v>07.10.2023</v>
      </c>
      <c r="I93" s="4" t="str">
        <f>IFERROR(__xludf.DUMMYFUNCTION("""COMPUTED_VALUE"""),"סמוך לצומת גמה")</f>
        <v>סמוך לצומת גמה</v>
      </c>
      <c r="J93" s="4" t="str">
        <f>IFERROR(__xludf.DUMMYFUNCTION("""COMPUTED_VALUE"""),"אזרחים וכיתות כוננות")</f>
        <v>אזרחים וכיתות כוננות</v>
      </c>
      <c r="K93" s="5" t="str">
        <f>IFERROR(__xludf.DUMMYFUNCTION("""COMPUTED_VALUE"""),"מסיבת פסיידאק")</f>
        <v>מסיבת פסיידאק</v>
      </c>
      <c r="L93" s="3" t="str">
        <f>IFERROR(__xludf.DUMMYFUNCTION("""COMPUTED_VALUE"""),"Yuval Ben Yehuda")</f>
        <v>Yuval Ben Yehuda</v>
      </c>
      <c r="M93" s="5"/>
    </row>
    <row r="94">
      <c r="A94" s="3">
        <f>IFERROR(__xludf.DUMMYFUNCTION("""COMPUTED_VALUE"""),1040.0)</f>
        <v>1040</v>
      </c>
      <c r="B94" s="4" t="str">
        <f>IFERROR(__xludf.DUMMYFUNCTION("""COMPUTED_VALUE"""),"הדר איתי (יוסטון)")</f>
        <v>הדר איתי (יוסטון)</v>
      </c>
      <c r="C94" s="3">
        <f>IFERROR(__xludf.DUMMYFUNCTION("""COMPUTED_VALUE"""),27.0)</f>
        <v>27</v>
      </c>
      <c r="D94" s="5" t="str">
        <f>IFERROR(__xludf.DUMMYFUNCTION("""COMPUTED_VALUE"""),"חולון")</f>
        <v>חולון</v>
      </c>
      <c r="E94" s="5" t="str">
        <f>IFERROR(__xludf.DUMMYFUNCTION("""COMPUTED_VALUE"""),"גבר")</f>
        <v>גבר</v>
      </c>
      <c r="F94" s="5" t="str">
        <f>IFERROR(__xludf.DUMMYFUNCTION("""COMPUTED_VALUE"""),"אזרחים")</f>
        <v>אזרחים</v>
      </c>
      <c r="G94" s="3"/>
      <c r="H94" s="3" t="str">
        <f>IFERROR(__xludf.DUMMYFUNCTION("""COMPUTED_VALUE"""),"07.10.2023")</f>
        <v>07.10.2023</v>
      </c>
      <c r="I94" s="4" t="str">
        <f>IFERROR(__xludf.DUMMYFUNCTION("""COMPUTED_VALUE"""),"שער ניר עוז")</f>
        <v>שער ניר עוז</v>
      </c>
      <c r="J94" s="4" t="str">
        <f>IFERROR(__xludf.DUMMYFUNCTION("""COMPUTED_VALUE"""),"אזרחים וכיתות כוננות")</f>
        <v>אזרחים וכיתות כוננות</v>
      </c>
      <c r="K94" s="5" t="str">
        <f>IFERROR(__xludf.DUMMYFUNCTION("""COMPUTED_VALUE"""),"מסיבת פסיידאק")</f>
        <v>מסיבת פסיידאק</v>
      </c>
      <c r="L94" s="3" t="str">
        <f>IFERROR(__xludf.DUMMYFUNCTION("""COMPUTED_VALUE"""),"Itay Hadar Houston")</f>
        <v>Itay Hadar Houston</v>
      </c>
      <c r="M94" s="5"/>
    </row>
    <row r="95">
      <c r="A95" s="3">
        <f>IFERROR(__xludf.DUMMYFUNCTION("""COMPUTED_VALUE"""),1051.0)</f>
        <v>1051</v>
      </c>
      <c r="B95" s="4" t="str">
        <f>IFERROR(__xludf.DUMMYFUNCTION("""COMPUTED_VALUE"""),"זומר דן")</f>
        <v>זומר דן</v>
      </c>
      <c r="C95" s="3">
        <f>IFERROR(__xludf.DUMMYFUNCTION("""COMPUTED_VALUE"""),27.0)</f>
        <v>27</v>
      </c>
      <c r="D95" s="5" t="str">
        <f>IFERROR(__xludf.DUMMYFUNCTION("""COMPUTED_VALUE"""),"נס ציונה")</f>
        <v>נס ציונה</v>
      </c>
      <c r="E95" s="5" t="str">
        <f>IFERROR(__xludf.DUMMYFUNCTION("""COMPUTED_VALUE"""),"גבר")</f>
        <v>גבר</v>
      </c>
      <c r="F95" s="5" t="str">
        <f>IFERROR(__xludf.DUMMYFUNCTION("""COMPUTED_VALUE"""),"אזרחים")</f>
        <v>אזרחים</v>
      </c>
      <c r="G95" s="3"/>
      <c r="H95" s="3" t="str">
        <f>IFERROR(__xludf.DUMMYFUNCTION("""COMPUTED_VALUE"""),"07.10.2023")</f>
        <v>07.10.2023</v>
      </c>
      <c r="I95" s="4" t="str">
        <f>IFERROR(__xludf.DUMMYFUNCTION("""COMPUTED_VALUE"""),"מיגונית בצומת בארי")</f>
        <v>מיגונית בצומת בארי</v>
      </c>
      <c r="J95" s="4" t="str">
        <f>IFERROR(__xludf.DUMMYFUNCTION("""COMPUTED_VALUE"""),"אזרחים וכיתות כוננות")</f>
        <v>אזרחים וכיתות כוננות</v>
      </c>
      <c r="K95" s="5" t="str">
        <f>IFERROR(__xludf.DUMMYFUNCTION("""COMPUTED_VALUE"""),"פסטיבל נובה")</f>
        <v>פסטיבל נובה</v>
      </c>
      <c r="L95" s="3" t="str">
        <f>IFERROR(__xludf.DUMMYFUNCTION("""COMPUTED_VALUE"""),"Dan Zomer")</f>
        <v>Dan Zomer</v>
      </c>
      <c r="M95" s="5"/>
    </row>
    <row r="96">
      <c r="A96" s="3">
        <f>IFERROR(__xludf.DUMMYFUNCTION("""COMPUTED_VALUE"""),1044.0)</f>
        <v>1044</v>
      </c>
      <c r="B96" s="4" t="str">
        <f>IFERROR(__xludf.DUMMYFUNCTION("""COMPUTED_VALUE"""),"זעפרני נוי תפארת")</f>
        <v>זעפרני נוי תפארת</v>
      </c>
      <c r="C96" s="3">
        <f>IFERROR(__xludf.DUMMYFUNCTION("""COMPUTED_VALUE"""),27.0)</f>
        <v>27</v>
      </c>
      <c r="D96" s="5" t="str">
        <f>IFERROR(__xludf.DUMMYFUNCTION("""COMPUTED_VALUE"""),"נוקדים")</f>
        <v>נוקדים</v>
      </c>
      <c r="E96" s="5" t="str">
        <f>IFERROR(__xludf.DUMMYFUNCTION("""COMPUTED_VALUE"""),"אישה")</f>
        <v>אישה</v>
      </c>
      <c r="F96" s="5" t="str">
        <f>IFERROR(__xludf.DUMMYFUNCTION("""COMPUTED_VALUE"""),"אזרחים")</f>
        <v>אזרחים</v>
      </c>
      <c r="G96" s="3"/>
      <c r="H96" s="3" t="str">
        <f>IFERROR(__xludf.DUMMYFUNCTION("""COMPUTED_VALUE"""),"07.10.2023")</f>
        <v>07.10.2023</v>
      </c>
      <c r="I96" s="4" t="str">
        <f>IFERROR(__xludf.DUMMYFUNCTION("""COMPUTED_VALUE"""),"שער ניר עוז")</f>
        <v>שער ניר עוז</v>
      </c>
      <c r="J96" s="4" t="str">
        <f>IFERROR(__xludf.DUMMYFUNCTION("""COMPUTED_VALUE"""),"אזרחים וכיתות כוננות")</f>
        <v>אזרחים וכיתות כוננות</v>
      </c>
      <c r="K96" s="5" t="str">
        <f>IFERROR(__xludf.DUMMYFUNCTION("""COMPUTED_VALUE"""),"מסיבת פסיידאק")</f>
        <v>מסיבת פסיידאק</v>
      </c>
      <c r="L96" s="3" t="str">
        <f>IFERROR(__xludf.DUMMYFUNCTION("""COMPUTED_VALUE"""),"Noy Zafraani")</f>
        <v>Noy Zafraani</v>
      </c>
      <c r="M96" s="5"/>
    </row>
    <row r="97">
      <c r="A97" s="3">
        <f>IFERROR(__xludf.DUMMYFUNCTION("""COMPUTED_VALUE"""),1037.0)</f>
        <v>1037</v>
      </c>
      <c r="B97" s="4" t="str">
        <f>IFERROR(__xludf.DUMMYFUNCTION("""COMPUTED_VALUE"""),"כהן דניאל אשר")</f>
        <v>כהן דניאל אשר</v>
      </c>
      <c r="C97" s="3">
        <f>IFERROR(__xludf.DUMMYFUNCTION("""COMPUTED_VALUE"""),32.0)</f>
        <v>32</v>
      </c>
      <c r="D97" s="5" t="str">
        <f>IFERROR(__xludf.DUMMYFUNCTION("""COMPUTED_VALUE"""),"רמת גן")</f>
        <v>רמת גן</v>
      </c>
      <c r="E97" s="5" t="str">
        <f>IFERROR(__xludf.DUMMYFUNCTION("""COMPUTED_VALUE"""),"גבר")</f>
        <v>גבר</v>
      </c>
      <c r="F97" s="5" t="str">
        <f>IFERROR(__xludf.DUMMYFUNCTION("""COMPUTED_VALUE"""),"אזרחים")</f>
        <v>אזרחים</v>
      </c>
      <c r="G97" s="3"/>
      <c r="H97" s="3" t="str">
        <f>IFERROR(__xludf.DUMMYFUNCTION("""COMPUTED_VALUE"""),"07.10.2023")</f>
        <v>07.10.2023</v>
      </c>
      <c r="I97" s="4" t="str">
        <f>IFERROR(__xludf.DUMMYFUNCTION("""COMPUTED_VALUE"""),"מדרום לצומת גמה")</f>
        <v>מדרום לצומת גמה</v>
      </c>
      <c r="J97" s="4" t="str">
        <f>IFERROR(__xludf.DUMMYFUNCTION("""COMPUTED_VALUE"""),"אזרחים וכיתות כוננות")</f>
        <v>אזרחים וכיתות כוננות</v>
      </c>
      <c r="K97" s="5" t="str">
        <f>IFERROR(__xludf.DUMMYFUNCTION("""COMPUTED_VALUE"""),"מסיבת פסיידאק")</f>
        <v>מסיבת פסיידאק</v>
      </c>
      <c r="L97" s="3" t="str">
        <f>IFERROR(__xludf.DUMMYFUNCTION("""COMPUTED_VALUE"""),"Daniel Asher Cohen")</f>
        <v>Daniel Asher Cohen</v>
      </c>
      <c r="M97" s="5"/>
    </row>
    <row r="98">
      <c r="A98" s="3">
        <f>IFERROR(__xludf.DUMMYFUNCTION("""COMPUTED_VALUE"""),1043.0)</f>
        <v>1043</v>
      </c>
      <c r="B98" s="4" t="str">
        <f>IFERROR(__xludf.DUMMYFUNCTION("""COMPUTED_VALUE"""),"מעודי נוי")</f>
        <v>מעודי נוי</v>
      </c>
      <c r="C98" s="3">
        <f>IFERROR(__xludf.DUMMYFUNCTION("""COMPUTED_VALUE"""),29.0)</f>
        <v>29</v>
      </c>
      <c r="D98" s="5" t="str">
        <f>IFERROR(__xludf.DUMMYFUNCTION("""COMPUTED_VALUE"""),"יתד")</f>
        <v>יתד</v>
      </c>
      <c r="E98" s="5" t="str">
        <f>IFERROR(__xludf.DUMMYFUNCTION("""COMPUTED_VALUE"""),"גבר")</f>
        <v>גבר</v>
      </c>
      <c r="F98" s="5" t="str">
        <f>IFERROR(__xludf.DUMMYFUNCTION("""COMPUTED_VALUE"""),"אזרחים")</f>
        <v>אזרחים</v>
      </c>
      <c r="G98" s="3"/>
      <c r="H98" s="3" t="str">
        <f>IFERROR(__xludf.DUMMYFUNCTION("""COMPUTED_VALUE"""),"07.10.2023")</f>
        <v>07.10.2023</v>
      </c>
      <c r="I98" s="4" t="str">
        <f>IFERROR(__xludf.DUMMYFUNCTION("""COMPUTED_VALUE"""),"צומת מבטחים")</f>
        <v>צומת מבטחים</v>
      </c>
      <c r="J98" s="4" t="str">
        <f>IFERROR(__xludf.DUMMYFUNCTION("""COMPUTED_VALUE"""),"אזרחים וכיתות כוננות")</f>
        <v>אזרחים וכיתות כוננות</v>
      </c>
      <c r="K98" s="5" t="str">
        <f>IFERROR(__xludf.DUMMYFUNCTION("""COMPUTED_VALUE"""),"מסיבת פסיידאק")</f>
        <v>מסיבת פסיידאק</v>
      </c>
      <c r="L98" s="3" t="str">
        <f>IFERROR(__xludf.DUMMYFUNCTION("""COMPUTED_VALUE"""),"Noy Maodi")</f>
        <v>Noy Maodi</v>
      </c>
      <c r="M98" s="5"/>
    </row>
    <row r="99">
      <c r="A99" s="3">
        <f>IFERROR(__xludf.DUMMYFUNCTION("""COMPUTED_VALUE"""),1041.0)</f>
        <v>1041</v>
      </c>
      <c r="B99" s="4" t="str">
        <f>IFERROR(__xludf.DUMMYFUNCTION("""COMPUTED_VALUE"""),"קדמן שחר גל")</f>
        <v>קדמן שחר גל</v>
      </c>
      <c r="C99" s="3">
        <f>IFERROR(__xludf.DUMMYFUNCTION("""COMPUTED_VALUE"""),34.0)</f>
        <v>34</v>
      </c>
      <c r="D99" s="5" t="str">
        <f>IFERROR(__xludf.DUMMYFUNCTION("""COMPUTED_VALUE"""),"רנן")</f>
        <v>רנן</v>
      </c>
      <c r="E99" s="5" t="str">
        <f>IFERROR(__xludf.DUMMYFUNCTION("""COMPUTED_VALUE"""),"גבר")</f>
        <v>גבר</v>
      </c>
      <c r="F99" s="5" t="str">
        <f>IFERROR(__xludf.DUMMYFUNCTION("""COMPUTED_VALUE"""),"אזרחים")</f>
        <v>אזרחים</v>
      </c>
      <c r="G99" s="3"/>
      <c r="H99" s="3" t="str">
        <f>IFERROR(__xludf.DUMMYFUNCTION("""COMPUTED_VALUE"""),"07.10.2023")</f>
        <v>07.10.2023</v>
      </c>
      <c r="I99" s="4" t="str">
        <f>IFERROR(__xludf.DUMMYFUNCTION("""COMPUTED_VALUE"""),"שער ניר עוז")</f>
        <v>שער ניר עוז</v>
      </c>
      <c r="J99" s="4" t="str">
        <f>IFERROR(__xludf.DUMMYFUNCTION("""COMPUTED_VALUE"""),"אזרחים וכיתות כוננות")</f>
        <v>אזרחים וכיתות כוננות</v>
      </c>
      <c r="K99" s="5" t="str">
        <f>IFERROR(__xludf.DUMMYFUNCTION("""COMPUTED_VALUE"""),"מסיבת פסיידאק")</f>
        <v>מסיבת פסיידאק</v>
      </c>
      <c r="L99" s="3" t="str">
        <f>IFERROR(__xludf.DUMMYFUNCTION("""COMPUTED_VALUE"""),"Shahar Gal Kadman")</f>
        <v>Shahar Gal Kadman</v>
      </c>
      <c r="M99" s="5"/>
    </row>
    <row r="100">
      <c r="A100" s="3">
        <f>IFERROR(__xludf.DUMMYFUNCTION("""COMPUTED_VALUE"""),1042.0)</f>
        <v>1042</v>
      </c>
      <c r="B100" s="4" t="str">
        <f>IFERROR(__xludf.DUMMYFUNCTION("""COMPUTED_VALUE"""),"קוסובסקי זלטה")</f>
        <v>קוסובסקי זלטה</v>
      </c>
      <c r="C100" s="3">
        <f>IFERROR(__xludf.DUMMYFUNCTION("""COMPUTED_VALUE"""),28.0)</f>
        <v>28</v>
      </c>
      <c r="D100" s="5" t="str">
        <f>IFERROR(__xludf.DUMMYFUNCTION("""COMPUTED_VALUE"""),"קריית גת")</f>
        <v>קריית גת</v>
      </c>
      <c r="E100" s="5" t="str">
        <f>IFERROR(__xludf.DUMMYFUNCTION("""COMPUTED_VALUE"""),"אישה")</f>
        <v>אישה</v>
      </c>
      <c r="F100" s="5" t="str">
        <f>IFERROR(__xludf.DUMMYFUNCTION("""COMPUTED_VALUE"""),"אזרחים")</f>
        <v>אזרחים</v>
      </c>
      <c r="G100" s="3"/>
      <c r="H100" s="3" t="str">
        <f>IFERROR(__xludf.DUMMYFUNCTION("""COMPUTED_VALUE"""),"07.10.2023")</f>
        <v>07.10.2023</v>
      </c>
      <c r="I100" s="4" t="str">
        <f>IFERROR(__xludf.DUMMYFUNCTION("""COMPUTED_VALUE"""),"שער ניר עוז")</f>
        <v>שער ניר עוז</v>
      </c>
      <c r="J100" s="4" t="str">
        <f>IFERROR(__xludf.DUMMYFUNCTION("""COMPUTED_VALUE"""),"אזרחים וכיתות כוננות")</f>
        <v>אזרחים וכיתות כוננות</v>
      </c>
      <c r="K100" s="5" t="str">
        <f>IFERROR(__xludf.DUMMYFUNCTION("""COMPUTED_VALUE"""),"מסיבת פסיידאק")</f>
        <v>מסיבת פסיידאק</v>
      </c>
      <c r="L100" s="3" t="str">
        <f>IFERROR(__xludf.DUMMYFUNCTION("""COMPUTED_VALUE"""),"Zlata Kosovsky")</f>
        <v>Zlata Kosovsky</v>
      </c>
      <c r="M100" s="5"/>
    </row>
    <row r="101">
      <c r="A101" s="3">
        <f>IFERROR(__xludf.DUMMYFUNCTION("""COMPUTED_VALUE"""),1048.0)</f>
        <v>1048</v>
      </c>
      <c r="B101" s="4" t="str">
        <f>IFERROR(__xludf.DUMMYFUNCTION("""COMPUTED_VALUE"""),"קיפר סביון חן")</f>
        <v>קיפר סביון חן</v>
      </c>
      <c r="C101" s="3">
        <f>IFERROR(__xludf.DUMMYFUNCTION("""COMPUTED_VALUE"""),31.0)</f>
        <v>31</v>
      </c>
      <c r="D101" s="5" t="str">
        <f>IFERROR(__xludf.DUMMYFUNCTION("""COMPUTED_VALUE"""),"קריית אונו")</f>
        <v>קריית אונו</v>
      </c>
      <c r="E101" s="5" t="str">
        <f>IFERROR(__xludf.DUMMYFUNCTION("""COMPUTED_VALUE"""),"אישה")</f>
        <v>אישה</v>
      </c>
      <c r="F101" s="5" t="str">
        <f>IFERROR(__xludf.DUMMYFUNCTION("""COMPUTED_VALUE"""),"אזרחים")</f>
        <v>אזרחים</v>
      </c>
      <c r="G101" s="3"/>
      <c r="H101" s="3" t="str">
        <f>IFERROR(__xludf.DUMMYFUNCTION("""COMPUTED_VALUE"""),"07.10.2023")</f>
        <v>07.10.2023</v>
      </c>
      <c r="I101" s="4" t="str">
        <f>IFERROR(__xludf.DUMMYFUNCTION("""COMPUTED_VALUE"""),"סמוך לצומת גמה")</f>
        <v>סמוך לצומת גמה</v>
      </c>
      <c r="J101" s="4" t="str">
        <f>IFERROR(__xludf.DUMMYFUNCTION("""COMPUTED_VALUE"""),"אזרחים וכיתות כוננות")</f>
        <v>אזרחים וכיתות כוננות</v>
      </c>
      <c r="K101" s="5" t="str">
        <f>IFERROR(__xludf.DUMMYFUNCTION("""COMPUTED_VALUE"""),"מסיבת פסיידאק")</f>
        <v>מסיבת פסיידאק</v>
      </c>
      <c r="L101" s="3" t="str">
        <f>IFERROR(__xludf.DUMMYFUNCTION("""COMPUTED_VALUE"""),"Savyon Chen Kipper")</f>
        <v>Savyon Chen Kipper</v>
      </c>
      <c r="M101" s="5"/>
    </row>
    <row r="102">
      <c r="A102" s="3">
        <f>IFERROR(__xludf.DUMMYFUNCTION("""COMPUTED_VALUE"""),1046.0)</f>
        <v>1046</v>
      </c>
      <c r="B102" s="4" t="str">
        <f>IFERROR(__xludf.DUMMYFUNCTION("""COMPUTED_VALUE"""),"רביע יובל")</f>
        <v>רביע יובל</v>
      </c>
      <c r="C102" s="3">
        <f>IFERROR(__xludf.DUMMYFUNCTION("""COMPUTED_VALUE"""),33.0)</f>
        <v>33</v>
      </c>
      <c r="D102" s="5" t="str">
        <f>IFERROR(__xludf.DUMMYFUNCTION("""COMPUTED_VALUE"""),"ישע")</f>
        <v>ישע</v>
      </c>
      <c r="E102" s="5" t="str">
        <f>IFERROR(__xludf.DUMMYFUNCTION("""COMPUTED_VALUE"""),"גבר")</f>
        <v>גבר</v>
      </c>
      <c r="F102" s="5" t="str">
        <f>IFERROR(__xludf.DUMMYFUNCTION("""COMPUTED_VALUE"""),"אזרחים")</f>
        <v>אזרחים</v>
      </c>
      <c r="G102" s="3"/>
      <c r="H102" s="3" t="str">
        <f>IFERROR(__xludf.DUMMYFUNCTION("""COMPUTED_VALUE"""),"07.10.2023")</f>
        <v>07.10.2023</v>
      </c>
      <c r="I102" s="4" t="str">
        <f>IFERROR(__xludf.DUMMYFUNCTION("""COMPUTED_VALUE"""),"שער ניר עוז")</f>
        <v>שער ניר עוז</v>
      </c>
      <c r="J102" s="4" t="str">
        <f>IFERROR(__xludf.DUMMYFUNCTION("""COMPUTED_VALUE"""),"אזרחים וכיתות כוננות")</f>
        <v>אזרחים וכיתות כוננות</v>
      </c>
      <c r="K102" s="5" t="str">
        <f>IFERROR(__xludf.DUMMYFUNCTION("""COMPUTED_VALUE"""),"מסיבת פסיידאק")</f>
        <v>מסיבת פסיידאק</v>
      </c>
      <c r="L102" s="3" t="str">
        <f>IFERROR(__xludf.DUMMYFUNCTION("""COMPUTED_VALUE"""),"Yuval Rabia")</f>
        <v>Yuval Rabia</v>
      </c>
      <c r="M102" s="5"/>
    </row>
    <row r="103">
      <c r="A103" s="3">
        <f>IFERROR(__xludf.DUMMYFUNCTION("""COMPUTED_VALUE"""),1045.0)</f>
        <v>1045</v>
      </c>
      <c r="B103" s="4" t="str">
        <f>IFERROR(__xludf.DUMMYFUNCTION("""COMPUTED_VALUE"""),"רביע נועם")</f>
        <v>רביע נועם</v>
      </c>
      <c r="C103" s="3">
        <f>IFERROR(__xludf.DUMMYFUNCTION("""COMPUTED_VALUE"""),30.0)</f>
        <v>30</v>
      </c>
      <c r="D103" s="5" t="str">
        <f>IFERROR(__xludf.DUMMYFUNCTION("""COMPUTED_VALUE"""),"ישע")</f>
        <v>ישע</v>
      </c>
      <c r="E103" s="5" t="str">
        <f>IFERROR(__xludf.DUMMYFUNCTION("""COMPUTED_VALUE"""),"גבר")</f>
        <v>גבר</v>
      </c>
      <c r="F103" s="5" t="str">
        <f>IFERROR(__xludf.DUMMYFUNCTION("""COMPUTED_VALUE"""),"אזרחים")</f>
        <v>אזרחים</v>
      </c>
      <c r="G103" s="3"/>
      <c r="H103" s="3" t="str">
        <f>IFERROR(__xludf.DUMMYFUNCTION("""COMPUTED_VALUE"""),"07.10.2023")</f>
        <v>07.10.2023</v>
      </c>
      <c r="I103" s="4" t="str">
        <f>IFERROR(__xludf.DUMMYFUNCTION("""COMPUTED_VALUE"""),"שער ניר עוז")</f>
        <v>שער ניר עוז</v>
      </c>
      <c r="J103" s="4" t="str">
        <f>IFERROR(__xludf.DUMMYFUNCTION("""COMPUTED_VALUE"""),"אזרחים וכיתות כוננות")</f>
        <v>אזרחים וכיתות כוננות</v>
      </c>
      <c r="K103" s="5" t="str">
        <f>IFERROR(__xludf.DUMMYFUNCTION("""COMPUTED_VALUE"""),"מסיבת פסיידאק")</f>
        <v>מסיבת פסיידאק</v>
      </c>
      <c r="L103" s="3" t="str">
        <f>IFERROR(__xludf.DUMMYFUNCTION("""COMPUTED_VALUE"""),"Noam Rabia")</f>
        <v>Noam Rabia</v>
      </c>
      <c r="M103" s="5"/>
    </row>
    <row r="104">
      <c r="A104" s="3">
        <f>IFERROR(__xludf.DUMMYFUNCTION("""COMPUTED_VALUE"""),1047.0)</f>
        <v>1047</v>
      </c>
      <c r="B104" s="4" t="str">
        <f>IFERROR(__xludf.DUMMYFUNCTION("""COMPUTED_VALUE"""),"רוזנברג מתן")</f>
        <v>רוזנברג מתן</v>
      </c>
      <c r="C104" s="3">
        <f>IFERROR(__xludf.DUMMYFUNCTION("""COMPUTED_VALUE"""),17.0)</f>
        <v>17</v>
      </c>
      <c r="D104" s="5" t="str">
        <f>IFERROR(__xludf.DUMMYFUNCTION("""COMPUTED_VALUE"""),"דימונה")</f>
        <v>דימונה</v>
      </c>
      <c r="E104" s="5" t="str">
        <f>IFERROR(__xludf.DUMMYFUNCTION("""COMPUTED_VALUE"""),"ילד")</f>
        <v>ילד</v>
      </c>
      <c r="F104" s="5" t="str">
        <f>IFERROR(__xludf.DUMMYFUNCTION("""COMPUTED_VALUE"""),"אזרחים")</f>
        <v>אזרחים</v>
      </c>
      <c r="G104" s="3"/>
      <c r="H104" s="3" t="str">
        <f>IFERROR(__xludf.DUMMYFUNCTION("""COMPUTED_VALUE"""),"07.10.2023")</f>
        <v>07.10.2023</v>
      </c>
      <c r="I104" s="4" t="str">
        <f>IFERROR(__xludf.DUMMYFUNCTION("""COMPUTED_VALUE"""),"צומת מבטחים")</f>
        <v>צומת מבטחים</v>
      </c>
      <c r="J104" s="4" t="str">
        <f>IFERROR(__xludf.DUMMYFUNCTION("""COMPUTED_VALUE"""),"אזרחים וכיתות כוננות")</f>
        <v>אזרחים וכיתות כוננות</v>
      </c>
      <c r="K104" s="5" t="str">
        <f>IFERROR(__xludf.DUMMYFUNCTION("""COMPUTED_VALUE"""),"מסיבת פסיידאק")</f>
        <v>מסיבת פסיידאק</v>
      </c>
      <c r="L104" s="3" t="str">
        <f>IFERROR(__xludf.DUMMYFUNCTION("""COMPUTED_VALUE"""),"Matan Rozeberg")</f>
        <v>Matan Rozeberg</v>
      </c>
      <c r="M104" s="5"/>
    </row>
    <row r="105">
      <c r="A105" s="3">
        <f>IFERROR(__xludf.DUMMYFUNCTION("""COMPUTED_VALUE"""),1049.0)</f>
        <v>1049</v>
      </c>
      <c r="B105" s="4" t="str">
        <f>IFERROR(__xludf.DUMMYFUNCTION("""COMPUTED_VALUE"""),"שפיר דור חנן")</f>
        <v>שפיר דור חנן</v>
      </c>
      <c r="C105" s="3">
        <f>IFERROR(__xludf.DUMMYFUNCTION("""COMPUTED_VALUE"""),30.0)</f>
        <v>30</v>
      </c>
      <c r="D105" s="5" t="str">
        <f>IFERROR(__xludf.DUMMYFUNCTION("""COMPUTED_VALUE"""),"מודיעין מכבים רעות")</f>
        <v>מודיעין מכבים רעות</v>
      </c>
      <c r="E105" s="5" t="str">
        <f>IFERROR(__xludf.DUMMYFUNCTION("""COMPUTED_VALUE"""),"גבר")</f>
        <v>גבר</v>
      </c>
      <c r="F105" s="5" t="str">
        <f>IFERROR(__xludf.DUMMYFUNCTION("""COMPUTED_VALUE"""),"אזרחים")</f>
        <v>אזרחים</v>
      </c>
      <c r="G105" s="3"/>
      <c r="H105" s="3" t="str">
        <f>IFERROR(__xludf.DUMMYFUNCTION("""COMPUTED_VALUE"""),"07.10.2023")</f>
        <v>07.10.2023</v>
      </c>
      <c r="I105" s="4" t="str">
        <f>IFERROR(__xludf.DUMMYFUNCTION("""COMPUTED_VALUE"""),"סמוך לצומת גמה")</f>
        <v>סמוך לצומת גמה</v>
      </c>
      <c r="J105" s="4" t="str">
        <f>IFERROR(__xludf.DUMMYFUNCTION("""COMPUTED_VALUE"""),"אזרחים וכיתות כוננות")</f>
        <v>אזרחים וכיתות כוננות</v>
      </c>
      <c r="K105" s="5" t="str">
        <f>IFERROR(__xludf.DUMMYFUNCTION("""COMPUTED_VALUE"""),"מסיבת פסיידאק")</f>
        <v>מסיבת פסיידאק</v>
      </c>
      <c r="L105" s="3" t="str">
        <f>IFERROR(__xludf.DUMMYFUNCTION("""COMPUTED_VALUE"""),"Dor Hanan Shafir")</f>
        <v>Dor Hanan Shafir</v>
      </c>
      <c r="M105" s="5"/>
    </row>
    <row r="106">
      <c r="A106" s="3">
        <f>IFERROR(__xludf.DUMMYFUNCTION("""COMPUTED_VALUE"""),1050.0)</f>
        <v>1050</v>
      </c>
      <c r="B106" s="4" t="str">
        <f>IFERROR(__xludf.DUMMYFUNCTION("""COMPUTED_VALUE"""),"שרון (שוקרון) דודי")</f>
        <v>שרון (שוקרון) דודי</v>
      </c>
      <c r="C106" s="3">
        <f>IFERROR(__xludf.DUMMYFUNCTION("""COMPUTED_VALUE"""),47.0)</f>
        <v>47</v>
      </c>
      <c r="D106" s="5" t="str">
        <f>IFERROR(__xludf.DUMMYFUNCTION("""COMPUTED_VALUE"""),"נהריה")</f>
        <v>נהריה</v>
      </c>
      <c r="E106" s="5" t="str">
        <f>IFERROR(__xludf.DUMMYFUNCTION("""COMPUTED_VALUE"""),"גבר")</f>
        <v>גבר</v>
      </c>
      <c r="F106" s="5" t="str">
        <f>IFERROR(__xludf.DUMMYFUNCTION("""COMPUTED_VALUE"""),"אזרחים")</f>
        <v>אזרחים</v>
      </c>
      <c r="G106" s="3"/>
      <c r="H106" s="3" t="str">
        <f>IFERROR(__xludf.DUMMYFUNCTION("""COMPUTED_VALUE"""),"07.10.2023")</f>
        <v>07.10.2023</v>
      </c>
      <c r="I106" s="4" t="str">
        <f>IFERROR(__xludf.DUMMYFUNCTION("""COMPUTED_VALUE"""),"סמוך לצומת גמה")</f>
        <v>סמוך לצומת גמה</v>
      </c>
      <c r="J106" s="4" t="str">
        <f>IFERROR(__xludf.DUMMYFUNCTION("""COMPUTED_VALUE"""),"אזרחים וכיתות כוננות")</f>
        <v>אזרחים וכיתות כוננות</v>
      </c>
      <c r="K106" s="5" t="str">
        <f>IFERROR(__xludf.DUMMYFUNCTION("""COMPUTED_VALUE"""),"מסיבת פסיידאק")</f>
        <v>מסיבת פסיידאק</v>
      </c>
      <c r="L106" s="3" t="str">
        <f>IFERROR(__xludf.DUMMYFUNCTION("""COMPUTED_VALUE"""),"Dudi Sharon")</f>
        <v>Dudi Sharon</v>
      </c>
      <c r="M106" s="5"/>
    </row>
    <row r="107">
      <c r="A107" s="3">
        <f>IFERROR(__xludf.DUMMYFUNCTION("""COMPUTED_VALUE"""),912.0)</f>
        <v>912</v>
      </c>
      <c r="B107" s="4" t="str">
        <f>IFERROR(__xludf.DUMMYFUNCTION("""COMPUTED_VALUE"""),"אבאסוב שמיל")</f>
        <v>אבאסוב שמיל</v>
      </c>
      <c r="C107" s="3">
        <f>IFERROR(__xludf.DUMMYFUNCTION("""COMPUTED_VALUE"""),33.0)</f>
        <v>33</v>
      </c>
      <c r="D107" s="5" t="str">
        <f>IFERROR(__xludf.DUMMYFUNCTION("""COMPUTED_VALUE"""),"באר שבע")</f>
        <v>באר שבע</v>
      </c>
      <c r="E107" s="5" t="str">
        <f>IFERROR(__xludf.DUMMYFUNCTION("""COMPUTED_VALUE"""),"גבר")</f>
        <v>גבר</v>
      </c>
      <c r="F107" s="5" t="str">
        <f>IFERROR(__xludf.DUMMYFUNCTION("""COMPUTED_VALUE"""),"אזרחים")</f>
        <v>אזרחים</v>
      </c>
      <c r="G107" s="3"/>
      <c r="H107" s="3" t="str">
        <f>IFERROR(__xludf.DUMMYFUNCTION("""COMPUTED_VALUE"""),"07.10.2023")</f>
        <v>07.10.2023</v>
      </c>
      <c r="I107" s="4" t="str">
        <f>IFERROR(__xludf.DUMMYFUNCTION("""COMPUTED_VALUE"""),"צומת שער הנגב")</f>
        <v>צומת שער הנגב</v>
      </c>
      <c r="J107" s="4" t="str">
        <f>IFERROR(__xludf.DUMMYFUNCTION("""COMPUTED_VALUE"""),"אזרחים וכיתות כוננות")</f>
        <v>אזרחים וכיתות כוננות</v>
      </c>
      <c r="K107" s="5"/>
      <c r="L107" s="3" t="str">
        <f>IFERROR(__xludf.DUMMYFUNCTION("""COMPUTED_VALUE"""),"Shamil Abbasov")</f>
        <v>Shamil Abbasov</v>
      </c>
      <c r="M107" s="5"/>
    </row>
    <row r="108">
      <c r="A108" s="3">
        <f>IFERROR(__xludf.DUMMYFUNCTION("""COMPUTED_VALUE"""),735.0)</f>
        <v>735</v>
      </c>
      <c r="B108" s="4" t="str">
        <f>IFERROR(__xludf.DUMMYFUNCTION("""COMPUTED_VALUE"""),"אבדולאייב עדן")</f>
        <v>אבדולאייב עדן</v>
      </c>
      <c r="C108" s="3">
        <f>IFERROR(__xludf.DUMMYFUNCTION("""COMPUTED_VALUE"""),23.0)</f>
        <v>23</v>
      </c>
      <c r="D108" s="5" t="str">
        <f>IFERROR(__xludf.DUMMYFUNCTION("""COMPUTED_VALUE"""),"רמת גן")</f>
        <v>רמת גן</v>
      </c>
      <c r="E108" s="5" t="str">
        <f>IFERROR(__xludf.DUMMYFUNCTION("""COMPUTED_VALUE"""),"אישה")</f>
        <v>אישה</v>
      </c>
      <c r="F108" s="5" t="str">
        <f>IFERROR(__xludf.DUMMYFUNCTION("""COMPUTED_VALUE"""),"אזרחים")</f>
        <v>אזרחים</v>
      </c>
      <c r="G108" s="3"/>
      <c r="H108" s="3" t="str">
        <f>IFERROR(__xludf.DUMMYFUNCTION("""COMPUTED_VALUE"""),"07.10.2023")</f>
        <v>07.10.2023</v>
      </c>
      <c r="I108" s="4" t="str">
        <f>IFERROR(__xludf.DUMMYFUNCTION("""COMPUTED_VALUE"""),"פסטיבל נובה; מיגונית חניון רעים")</f>
        <v>פסטיבל נובה; מיגונית חניון רעים</v>
      </c>
      <c r="J108" s="4" t="str">
        <f>IFERROR(__xludf.DUMMYFUNCTION("""COMPUTED_VALUE"""),"אזרחים וכיתות כוננות")</f>
        <v>אזרחים וכיתות כוננות</v>
      </c>
      <c r="K108" s="4" t="str">
        <f>IFERROR(__xludf.DUMMYFUNCTION("""COMPUTED_VALUE"""),"פסטיבל נובה")</f>
        <v>פסטיבל נובה</v>
      </c>
      <c r="L108" s="3" t="str">
        <f>IFERROR(__xludf.DUMMYFUNCTION("""COMPUTED_VALUE"""),"Eden Abdulayev")</f>
        <v>Eden Abdulayev</v>
      </c>
      <c r="M108" s="5"/>
    </row>
    <row r="109">
      <c r="A109" s="3">
        <f>IFERROR(__xludf.DUMMYFUNCTION("""COMPUTED_VALUE"""),1384.0)</f>
        <v>1384</v>
      </c>
      <c r="B109" s="4" t="str">
        <f>IFERROR(__xludf.DUMMYFUNCTION("""COMPUTED_VALUE"""),"אבו סבילה מוסא")</f>
        <v>אבו סבילה מוסא</v>
      </c>
      <c r="C109" s="3">
        <f>IFERROR(__xludf.DUMMYFUNCTION("""COMPUTED_VALUE"""),41.0)</f>
        <v>41</v>
      </c>
      <c r="D109" s="5" t="str">
        <f>IFERROR(__xludf.DUMMYFUNCTION("""COMPUTED_VALUE"""),"אבו תלול")</f>
        <v>אבו תלול</v>
      </c>
      <c r="E109" s="5" t="str">
        <f>IFERROR(__xludf.DUMMYFUNCTION("""COMPUTED_VALUE"""),"גבר")</f>
        <v>גבר</v>
      </c>
      <c r="F109" s="5" t="str">
        <f>IFERROR(__xludf.DUMMYFUNCTION("""COMPUTED_VALUE"""),"אזרחים")</f>
        <v>אזרחים</v>
      </c>
      <c r="G109" s="3"/>
      <c r="H109" s="3" t="str">
        <f>IFERROR(__xludf.DUMMYFUNCTION("""COMPUTED_VALUE"""),"07.10.2023")</f>
        <v>07.10.2023</v>
      </c>
      <c r="I109" s="4" t="str">
        <f>IFERROR(__xludf.DUMMYFUNCTION("""COMPUTED_VALUE"""),"מזרחית לצומת מעון")</f>
        <v>מזרחית לצומת מעון</v>
      </c>
      <c r="J109" s="2" t="str">
        <f>IFERROR(__xludf.DUMMYFUNCTION("""COMPUTED_VALUE"""),"אזרחים וכיתות כוננות")</f>
        <v>אזרחים וכיתות כוננות</v>
      </c>
      <c r="K109" s="5"/>
      <c r="L109" s="3" t="str">
        <f>IFERROR(__xludf.DUMMYFUNCTION("""COMPUTED_VALUE"""),"Musa Abu Sabila")</f>
        <v>Musa Abu Sabila</v>
      </c>
      <c r="M109" s="5"/>
    </row>
    <row r="110">
      <c r="A110" s="3">
        <f>IFERROR(__xludf.DUMMYFUNCTION("""COMPUTED_VALUE"""),1432.0)</f>
        <v>1432</v>
      </c>
      <c r="B110" s="4" t="str">
        <f>IFERROR(__xludf.DUMMYFUNCTION("""COMPUTED_VALUE"""),"אבו עאמר אלרזאם סוהייב")</f>
        <v>אבו עאמר אלרזאם סוהייב</v>
      </c>
      <c r="C110" s="3">
        <f>IFERROR(__xludf.DUMMYFUNCTION("""COMPUTED_VALUE"""),22.0)</f>
        <v>22</v>
      </c>
      <c r="D110" s="5" t="str">
        <f>IFERROR(__xludf.DUMMYFUNCTION("""COMPUTED_VALUE"""),"ירושלים")</f>
        <v>ירושלים</v>
      </c>
      <c r="E110" s="5" t="str">
        <f>IFERROR(__xludf.DUMMYFUNCTION("""COMPUTED_VALUE"""),"גבר")</f>
        <v>גבר</v>
      </c>
      <c r="F110" s="5" t="str">
        <f>IFERROR(__xludf.DUMMYFUNCTION("""COMPUTED_VALUE"""),"אזרחים")</f>
        <v>אזרחים</v>
      </c>
      <c r="G110" s="3"/>
      <c r="H110" s="3" t="str">
        <f>IFERROR(__xludf.DUMMYFUNCTION("""COMPUTED_VALUE"""),"07.10.2023")</f>
        <v>07.10.2023</v>
      </c>
      <c r="I110" s="4" t="str">
        <f>IFERROR(__xludf.DUMMYFUNCTION("""COMPUTED_VALUE"""),"בארי; ארוע בני ערובה")</f>
        <v>בארי; ארוע בני ערובה</v>
      </c>
      <c r="J110" s="4" t="str">
        <f>IFERROR(__xludf.DUMMYFUNCTION("""COMPUTED_VALUE"""),"אזרחים וכיתות כוננות")</f>
        <v>אזרחים וכיתות כוננות</v>
      </c>
      <c r="K110" s="5" t="str">
        <f>IFERROR(__xludf.DUMMYFUNCTION("""COMPUTED_VALUE"""),"פסטיבל נובה")</f>
        <v>פסטיבל נובה</v>
      </c>
      <c r="L110" s="3" t="str">
        <f>IFERROR(__xludf.DUMMYFUNCTION("""COMPUTED_VALUE"""),"Suhaib Abu Ame")</f>
        <v>Suhaib Abu Ame</v>
      </c>
      <c r="M110" s="5"/>
    </row>
    <row r="111">
      <c r="A111" s="3">
        <f>IFERROR(__xludf.DUMMYFUNCTION("""COMPUTED_VALUE"""),1383.0)</f>
        <v>1383</v>
      </c>
      <c r="B111" s="4" t="str">
        <f>IFERROR(__xludf.DUMMYFUNCTION("""COMPUTED_VALUE"""),"אבו עסא אוסאמה")</f>
        <v>אבו עסא אוסאמה</v>
      </c>
      <c r="C111" s="3">
        <f>IFERROR(__xludf.DUMMYFUNCTION("""COMPUTED_VALUE"""),36.0)</f>
        <v>36</v>
      </c>
      <c r="D111" s="5" t="str">
        <f>IFERROR(__xludf.DUMMYFUNCTION("""COMPUTED_VALUE"""),"תל שבע")</f>
        <v>תל שבע</v>
      </c>
      <c r="E111" s="5" t="str">
        <f>IFERROR(__xludf.DUMMYFUNCTION("""COMPUTED_VALUE"""),"גבר")</f>
        <v>גבר</v>
      </c>
      <c r="F111" s="5" t="str">
        <f>IFERROR(__xludf.DUMMYFUNCTION("""COMPUTED_VALUE"""),"אזרחים")</f>
        <v>אזרחים</v>
      </c>
      <c r="G111" s="3"/>
      <c r="H111" s="3" t="str">
        <f>IFERROR(__xludf.DUMMYFUNCTION("""COMPUTED_VALUE"""),"07.10.2023")</f>
        <v>07.10.2023</v>
      </c>
      <c r="I111" s="4" t="str">
        <f>IFERROR(__xludf.DUMMYFUNCTION("""COMPUTED_VALUE"""),"מיגונית בכניסה לרעים (מערב)")</f>
        <v>מיגונית בכניסה לרעים (מערב)</v>
      </c>
      <c r="J111" s="4" t="str">
        <f>IFERROR(__xludf.DUMMYFUNCTION("""COMPUTED_VALUE"""),"אזרחים וכיתות כוננות")</f>
        <v>אזרחים וכיתות כוננות</v>
      </c>
      <c r="K111" s="5"/>
      <c r="L111" s="3" t="str">
        <f>IFERROR(__xludf.DUMMYFUNCTION("""COMPUTED_VALUE"""),"Osama Ibrahim Abu Asa")</f>
        <v>Osama Ibrahim Abu Asa</v>
      </c>
      <c r="M111" s="5"/>
    </row>
    <row r="112">
      <c r="A112" s="3">
        <f>IFERROR(__xludf.DUMMYFUNCTION("""COMPUTED_VALUE"""),672.0)</f>
        <v>672</v>
      </c>
      <c r="B112" s="4" t="str">
        <f>IFERROR(__xludf.DUMMYFUNCTION("""COMPUTED_VALUE"""),"אבוחצירה אוראל")</f>
        <v>אבוחצירה אוראל</v>
      </c>
      <c r="C112" s="3">
        <f>IFERROR(__xludf.DUMMYFUNCTION("""COMPUTED_VALUE"""),25.0)</f>
        <v>25</v>
      </c>
      <c r="D112" s="5" t="str">
        <f>IFERROR(__xludf.DUMMYFUNCTION("""COMPUTED_VALUE"""),"ראש העין")</f>
        <v>ראש העין</v>
      </c>
      <c r="E112" s="5" t="str">
        <f>IFERROR(__xludf.DUMMYFUNCTION("""COMPUTED_VALUE"""),"גבר")</f>
        <v>גבר</v>
      </c>
      <c r="F112" s="5" t="str">
        <f>IFERROR(__xludf.DUMMYFUNCTION("""COMPUTED_VALUE"""),"אזרחים")</f>
        <v>אזרחים</v>
      </c>
      <c r="G112" s="3"/>
      <c r="H112" s="3" t="str">
        <f>IFERROR(__xludf.DUMMYFUNCTION("""COMPUTED_VALUE"""),"07.10.2023")</f>
        <v>07.10.2023</v>
      </c>
      <c r="I112" s="4" t="str">
        <f>IFERROR(__xludf.DUMMYFUNCTION("""COMPUTED_VALUE"""),"פסטיבל נובה; סמוך למכולות הצהובות")</f>
        <v>פסטיבל נובה; סמוך למכולות הצהובות</v>
      </c>
      <c r="J112" s="4" t="str">
        <f>IFERROR(__xludf.DUMMYFUNCTION("""COMPUTED_VALUE"""),"אזרחים וכיתות כוננות")</f>
        <v>אזרחים וכיתות כוננות</v>
      </c>
      <c r="K112" s="5" t="str">
        <f>IFERROR(__xludf.DUMMYFUNCTION("""COMPUTED_VALUE"""),"פסטיבל נובה")</f>
        <v>פסטיבל נובה</v>
      </c>
      <c r="L112" s="3" t="str">
        <f>IFERROR(__xludf.DUMMYFUNCTION("""COMPUTED_VALUE"""),"Orel Abuhatzira")</f>
        <v>Orel Abuhatzira</v>
      </c>
      <c r="M112" s="5"/>
    </row>
    <row r="113">
      <c r="A113" s="3">
        <f>IFERROR(__xludf.DUMMYFUNCTION("""COMPUTED_VALUE"""),890.0)</f>
        <v>890</v>
      </c>
      <c r="B113" s="4" t="str">
        <f>IFERROR(__xludf.DUMMYFUNCTION("""COMPUTED_VALUE"""),"אביב נוי")</f>
        <v>אביב נוי</v>
      </c>
      <c r="C113" s="3">
        <f>IFERROR(__xludf.DUMMYFUNCTION("""COMPUTED_VALUE"""),29.0)</f>
        <v>29</v>
      </c>
      <c r="D113" s="5" t="str">
        <f>IFERROR(__xludf.DUMMYFUNCTION("""COMPUTED_VALUE"""),"אילת")</f>
        <v>אילת</v>
      </c>
      <c r="E113" s="5" t="str">
        <f>IFERROR(__xludf.DUMMYFUNCTION("""COMPUTED_VALUE"""),"אישה")</f>
        <v>אישה</v>
      </c>
      <c r="F113" s="5" t="str">
        <f>IFERROR(__xludf.DUMMYFUNCTION("""COMPUTED_VALUE"""),"אזרחים")</f>
        <v>אזרחים</v>
      </c>
      <c r="G113" s="3"/>
      <c r="H113" s="3" t="str">
        <f>IFERROR(__xludf.DUMMYFUNCTION("""COMPUTED_VALUE"""),"07.10.2023")</f>
        <v>07.10.2023</v>
      </c>
      <c r="I113" s="4" t="str">
        <f>IFERROR(__xludf.DUMMYFUNCTION("""COMPUTED_VALUE"""),"מיגונית בכניסה לרעים (מזרח)")</f>
        <v>מיגונית בכניסה לרעים (מזרח)</v>
      </c>
      <c r="J113" s="4" t="str">
        <f>IFERROR(__xludf.DUMMYFUNCTION("""COMPUTED_VALUE"""),"אזרחים וכיתות כוננות")</f>
        <v>אזרחים וכיתות כוננות</v>
      </c>
      <c r="K113" s="5" t="str">
        <f>IFERROR(__xludf.DUMMYFUNCTION("""COMPUTED_VALUE"""),"פסטיבל נובה")</f>
        <v>פסטיבל נובה</v>
      </c>
      <c r="L113" s="3" t="str">
        <f>IFERROR(__xludf.DUMMYFUNCTION("""COMPUTED_VALUE"""),"Aviv Noy")</f>
        <v>Aviv Noy</v>
      </c>
      <c r="M113" s="5"/>
    </row>
    <row r="114">
      <c r="A114" s="3">
        <f>IFERROR(__xludf.DUMMYFUNCTION("""COMPUTED_VALUE"""),1438.0)</f>
        <v>1438</v>
      </c>
      <c r="B114" s="4" t="str">
        <f>IFERROR(__xludf.DUMMYFUNCTION("""COMPUTED_VALUE"""),"אביטן דור")</f>
        <v>אביטן דור</v>
      </c>
      <c r="C114" s="3">
        <f>IFERROR(__xludf.DUMMYFUNCTION("""COMPUTED_VALUE"""),26.0)</f>
        <v>26</v>
      </c>
      <c r="D114" s="5" t="str">
        <f>IFERROR(__xludf.DUMMYFUNCTION("""COMPUTED_VALUE"""),"אילת")</f>
        <v>אילת</v>
      </c>
      <c r="E114" s="5" t="str">
        <f>IFERROR(__xludf.DUMMYFUNCTION("""COMPUTED_VALUE"""),"גבר")</f>
        <v>גבר</v>
      </c>
      <c r="F114" s="5" t="str">
        <f>IFERROR(__xludf.DUMMYFUNCTION("""COMPUTED_VALUE"""),"אזרחים")</f>
        <v>אזרחים</v>
      </c>
      <c r="G114" s="3"/>
      <c r="H114" s="3" t="str">
        <f>IFERROR(__xludf.DUMMYFUNCTION("""COMPUTED_VALUE"""),"07.10.2023")</f>
        <v>07.10.2023</v>
      </c>
      <c r="I114" s="4" t="str">
        <f>IFERROR(__xludf.DUMMYFUNCTION("""COMPUTED_VALUE"""),"פסטיבל נובה; סמוך למכולות הצהובות")</f>
        <v>פסטיבל נובה; סמוך למכולות הצהובות</v>
      </c>
      <c r="J114" s="4" t="str">
        <f>IFERROR(__xludf.DUMMYFUNCTION("""COMPUTED_VALUE"""),"אזרחים וכיתות כוננות")</f>
        <v>אזרחים וכיתות כוננות</v>
      </c>
      <c r="K114" s="5" t="str">
        <f>IFERROR(__xludf.DUMMYFUNCTION("""COMPUTED_VALUE"""),"פסטיבל נובה")</f>
        <v>פסטיבל נובה</v>
      </c>
      <c r="L114" s="3" t="str">
        <f>IFERROR(__xludf.DUMMYFUNCTION("""COMPUTED_VALUE"""),"Dor Avitan")</f>
        <v>Dor Avitan</v>
      </c>
      <c r="M114" s="5"/>
    </row>
    <row r="115">
      <c r="A115" s="3">
        <f>IFERROR(__xludf.DUMMYFUNCTION("""COMPUTED_VALUE"""),1421.0)</f>
        <v>1421</v>
      </c>
      <c r="B115" s="4" t="str">
        <f>IFERROR(__xludf.DUMMYFUNCTION("""COMPUTED_VALUE"""),"אביר לוטן")</f>
        <v>אביר לוטן</v>
      </c>
      <c r="C115" s="3">
        <f>IFERROR(__xludf.DUMMYFUNCTION("""COMPUTED_VALUE"""),24.0)</f>
        <v>24</v>
      </c>
      <c r="D115" s="5" t="str">
        <f>IFERROR(__xludf.DUMMYFUNCTION("""COMPUTED_VALUE"""),"גן חיים")</f>
        <v>גן חיים</v>
      </c>
      <c r="E115" s="5" t="str">
        <f>IFERROR(__xludf.DUMMYFUNCTION("""COMPUTED_VALUE"""),"גבר")</f>
        <v>גבר</v>
      </c>
      <c r="F115" s="5" t="str">
        <f>IFERROR(__xludf.DUMMYFUNCTION("""COMPUTED_VALUE"""),"אזרחים")</f>
        <v>אזרחים</v>
      </c>
      <c r="G115" s="3"/>
      <c r="H115" s="3" t="str">
        <f>IFERROR(__xludf.DUMMYFUNCTION("""COMPUTED_VALUE"""),"07.10.2023")</f>
        <v>07.10.2023</v>
      </c>
      <c r="I115" s="4" t="str">
        <f>IFERROR(__xludf.DUMMYFUNCTION("""COMPUTED_VALUE"""),"מיגונית בצומת בארי")</f>
        <v>מיגונית בצומת בארי</v>
      </c>
      <c r="J115" s="4" t="str">
        <f>IFERROR(__xludf.DUMMYFUNCTION("""COMPUTED_VALUE"""),"אזרחים וכיתות כוננות")</f>
        <v>אזרחים וכיתות כוננות</v>
      </c>
      <c r="K115" s="5" t="str">
        <f>IFERROR(__xludf.DUMMYFUNCTION("""COMPUTED_VALUE"""),"פסטיבל נובה")</f>
        <v>פסטיבל נובה</v>
      </c>
      <c r="L115" s="3" t="str">
        <f>IFERROR(__xludf.DUMMYFUNCTION("""COMPUTED_VALUE"""),"Lotan Abir")</f>
        <v>Lotan Abir</v>
      </c>
      <c r="M115" s="5"/>
    </row>
    <row r="116">
      <c r="A116" s="3">
        <f>IFERROR(__xludf.DUMMYFUNCTION("""COMPUTED_VALUE"""),1521.0)</f>
        <v>1521</v>
      </c>
      <c r="B116" s="4" t="str">
        <f>IFERROR(__xludf.DUMMYFUNCTION("""COMPUTED_VALUE"""),"אבני גיל יוסף")</f>
        <v>אבני גיל יוסף</v>
      </c>
      <c r="C116" s="3">
        <f>IFERROR(__xludf.DUMMYFUNCTION("""COMPUTED_VALUE"""),26.0)</f>
        <v>26</v>
      </c>
      <c r="D116" s="5" t="str">
        <f>IFERROR(__xludf.DUMMYFUNCTION("""COMPUTED_VALUE"""),"קיסריה")</f>
        <v>קיסריה</v>
      </c>
      <c r="E116" s="5" t="str">
        <f>IFERROR(__xludf.DUMMYFUNCTION("""COMPUTED_VALUE"""),"גבר")</f>
        <v>גבר</v>
      </c>
      <c r="F116" s="5" t="str">
        <f>IFERROR(__xludf.DUMMYFUNCTION("""COMPUTED_VALUE"""),"אזרחים")</f>
        <v>אזרחים</v>
      </c>
      <c r="G116" s="3"/>
      <c r="H116" s="3" t="str">
        <f>IFERROR(__xludf.DUMMYFUNCTION("""COMPUTED_VALUE"""),"07.10.2023")</f>
        <v>07.10.2023</v>
      </c>
      <c r="I116" s="4" t="str">
        <f>IFERROR(__xludf.DUMMYFUNCTION("""COMPUTED_VALUE"""),"סמוך למיגונית בצומת גמה (דרום)")</f>
        <v>סמוך למיגונית בצומת גמה (דרום)</v>
      </c>
      <c r="J116" s="4" t="str">
        <f>IFERROR(__xludf.DUMMYFUNCTION("""COMPUTED_VALUE"""),"אזרחים וכיתות כוננות")</f>
        <v>אזרחים וכיתות כוננות</v>
      </c>
      <c r="K116" s="5" t="str">
        <f>IFERROR(__xludf.DUMMYFUNCTION("""COMPUTED_VALUE"""),"פסטיבל נובה")</f>
        <v>פסטיבל נובה</v>
      </c>
      <c r="L116" s="3" t="str">
        <f>IFERROR(__xludf.DUMMYFUNCTION("""COMPUTED_VALUE"""),"Gil Avni")</f>
        <v>Gil Avni</v>
      </c>
      <c r="M116" s="5"/>
    </row>
    <row r="117">
      <c r="A117" s="3">
        <f>IFERROR(__xludf.DUMMYFUNCTION("""COMPUTED_VALUE"""),1304.0)</f>
        <v>1304</v>
      </c>
      <c r="B117" s="4" t="str">
        <f>IFERROR(__xludf.DUMMYFUNCTION("""COMPUTED_VALUE"""),"אברג'יל עודד")</f>
        <v>אברג'יל עודד</v>
      </c>
      <c r="C117" s="3">
        <f>IFERROR(__xludf.DUMMYFUNCTION("""COMPUTED_VALUE"""),27.0)</f>
        <v>27</v>
      </c>
      <c r="D117" s="5" t="str">
        <f>IFERROR(__xludf.DUMMYFUNCTION("""COMPUTED_VALUE"""),"מרכז שפירא")</f>
        <v>מרכז שפירא</v>
      </c>
      <c r="E117" s="5" t="str">
        <f>IFERROR(__xludf.DUMMYFUNCTION("""COMPUTED_VALUE"""),"גבר")</f>
        <v>גבר</v>
      </c>
      <c r="F117" s="5" t="str">
        <f>IFERROR(__xludf.DUMMYFUNCTION("""COMPUTED_VALUE"""),"אזרחים")</f>
        <v>אזרחים</v>
      </c>
      <c r="G117" s="3"/>
      <c r="H117" s="3" t="str">
        <f>IFERROR(__xludf.DUMMYFUNCTION("""COMPUTED_VALUE"""),"07.10.2023")</f>
        <v>07.10.2023</v>
      </c>
      <c r="I117" s="4" t="str">
        <f>IFERROR(__xludf.DUMMYFUNCTION("""COMPUTED_VALUE"""),"פסטיבל נובה; במה מרכזית")</f>
        <v>פסטיבל נובה; במה מרכזית</v>
      </c>
      <c r="J117" s="4" t="str">
        <f>IFERROR(__xludf.DUMMYFUNCTION("""COMPUTED_VALUE"""),"אזרחים וכיתות כוננות")</f>
        <v>אזרחים וכיתות כוננות</v>
      </c>
      <c r="K117" s="5" t="str">
        <f>IFERROR(__xludf.DUMMYFUNCTION("""COMPUTED_VALUE"""),"פסטיבל נובה")</f>
        <v>פסטיבל נובה</v>
      </c>
      <c r="L117" s="3" t="str">
        <f>IFERROR(__xludf.DUMMYFUNCTION("""COMPUTED_VALUE"""),"Oded Abargel")</f>
        <v>Oded Abargel</v>
      </c>
      <c r="M117" s="5"/>
    </row>
    <row r="118">
      <c r="A118" s="3">
        <f>IFERROR(__xludf.DUMMYFUNCTION("""COMPUTED_VALUE"""),1490.0)</f>
        <v>1490</v>
      </c>
      <c r="B118" s="4" t="str">
        <f>IFERROR(__xludf.DUMMYFUNCTION("""COMPUTED_VALUE"""),"אברהם אילן")</f>
        <v>אברהם אילן</v>
      </c>
      <c r="C118" s="3">
        <f>IFERROR(__xludf.DUMMYFUNCTION("""COMPUTED_VALUE"""),57.0)</f>
        <v>57</v>
      </c>
      <c r="D118" s="5" t="str">
        <f>IFERROR(__xludf.DUMMYFUNCTION("""COMPUTED_VALUE"""),"בית אריה")</f>
        <v>בית אריה</v>
      </c>
      <c r="E118" s="5" t="str">
        <f>IFERROR(__xludf.DUMMYFUNCTION("""COMPUTED_VALUE"""),"גבר")</f>
        <v>גבר</v>
      </c>
      <c r="F118" s="5" t="str">
        <f>IFERROR(__xludf.DUMMYFUNCTION("""COMPUTED_VALUE"""),"אזרחים")</f>
        <v>אזרחים</v>
      </c>
      <c r="G118" s="3"/>
      <c r="H118" s="3" t="str">
        <f>IFERROR(__xludf.DUMMYFUNCTION("""COMPUTED_VALUE"""),"07.10.2023")</f>
        <v>07.10.2023</v>
      </c>
      <c r="I118" s="4" t="str">
        <f>IFERROR(__xludf.DUMMYFUNCTION("""COMPUTED_VALUE"""),"יכיני")</f>
        <v>יכיני</v>
      </c>
      <c r="J118" s="4" t="str">
        <f>IFERROR(__xludf.DUMMYFUNCTION("""COMPUTED_VALUE"""),"אזרחים וכיתות כוננות")</f>
        <v>אזרחים וכיתות כוננות</v>
      </c>
      <c r="K118" s="5" t="str">
        <f>IFERROR(__xludf.DUMMYFUNCTION("""COMPUTED_VALUE"""),"פסטיבל נובה")</f>
        <v>פסטיבל נובה</v>
      </c>
      <c r="L118" s="3" t="str">
        <f>IFERROR(__xludf.DUMMYFUNCTION("""COMPUTED_VALUE"""),"Ilan Avraham")</f>
        <v>Ilan Avraham</v>
      </c>
      <c r="M118" s="5"/>
    </row>
    <row r="119">
      <c r="A119" s="3">
        <f>IFERROR(__xludf.DUMMYFUNCTION("""COMPUTED_VALUE"""),1470.0)</f>
        <v>1470</v>
      </c>
      <c r="B119" s="4" t="str">
        <f>IFERROR(__xludf.DUMMYFUNCTION("""COMPUTED_VALUE"""),"אברמוב לאור")</f>
        <v>אברמוב לאור</v>
      </c>
      <c r="C119" s="3">
        <f>IFERROR(__xludf.DUMMYFUNCTION("""COMPUTED_VALUE"""),20.0)</f>
        <v>20</v>
      </c>
      <c r="D119" s="5" t="str">
        <f>IFERROR(__xludf.DUMMYFUNCTION("""COMPUTED_VALUE"""),"פרדס חנה-כרכור")</f>
        <v>פרדס חנה-כרכור</v>
      </c>
      <c r="E119" s="5" t="str">
        <f>IFERROR(__xludf.DUMMYFUNCTION("""COMPUTED_VALUE"""),"גבר")</f>
        <v>גבר</v>
      </c>
      <c r="F119" s="5" t="str">
        <f>IFERROR(__xludf.DUMMYFUNCTION("""COMPUTED_VALUE"""),"אזרחים")</f>
        <v>אזרחים</v>
      </c>
      <c r="G119" s="3"/>
      <c r="H119" s="3" t="str">
        <f>IFERROR(__xludf.DUMMYFUNCTION("""COMPUTED_VALUE"""),"07.10.2023")</f>
        <v>07.10.2023</v>
      </c>
      <c r="I119" s="4" t="str">
        <f>IFERROR(__xludf.DUMMYFUNCTION("""COMPUTED_VALUE"""),"מיגונית בכניסה לרעים (מערב)")</f>
        <v>מיגונית בכניסה לרעים (מערב)</v>
      </c>
      <c r="J119" s="4" t="str">
        <f>IFERROR(__xludf.DUMMYFUNCTION("""COMPUTED_VALUE"""),"אזרחים וכיתות כוננות")</f>
        <v>אזרחים וכיתות כוננות</v>
      </c>
      <c r="K119" s="5" t="str">
        <f>IFERROR(__xludf.DUMMYFUNCTION("""COMPUTED_VALUE"""),"פסטיבל נובה")</f>
        <v>פסטיבל נובה</v>
      </c>
      <c r="L119" s="3" t="str">
        <f>IFERROR(__xludf.DUMMYFUNCTION("""COMPUTED_VALUE"""),"Laor Abramov")</f>
        <v>Laor Abramov</v>
      </c>
      <c r="M119" s="5"/>
    </row>
    <row r="120">
      <c r="A120" s="3">
        <f>IFERROR(__xludf.DUMMYFUNCTION("""COMPUTED_VALUE"""),1393.0)</f>
        <v>1393</v>
      </c>
      <c r="B120" s="4" t="str">
        <f>IFERROR(__xludf.DUMMYFUNCTION("""COMPUTED_VALUE"""),"אדברג אסף מרדכי")</f>
        <v>אדברג אסף מרדכי</v>
      </c>
      <c r="C120" s="3">
        <f>IFERROR(__xludf.DUMMYFUNCTION("""COMPUTED_VALUE"""),23.0)</f>
        <v>23</v>
      </c>
      <c r="D120" s="5" t="str">
        <f>IFERROR(__xludf.DUMMYFUNCTION("""COMPUTED_VALUE"""),"חדרה")</f>
        <v>חדרה</v>
      </c>
      <c r="E120" s="5" t="str">
        <f>IFERROR(__xludf.DUMMYFUNCTION("""COMPUTED_VALUE"""),"גבר")</f>
        <v>גבר</v>
      </c>
      <c r="F120" s="5" t="str">
        <f>IFERROR(__xludf.DUMMYFUNCTION("""COMPUTED_VALUE"""),"אזרחים")</f>
        <v>אזרחים</v>
      </c>
      <c r="G120" s="3"/>
      <c r="H120" s="3" t="str">
        <f>IFERROR(__xludf.DUMMYFUNCTION("""COMPUTED_VALUE"""),"07.10.2023")</f>
        <v>07.10.2023</v>
      </c>
      <c r="I120" s="4" t="str">
        <f>IFERROR(__xludf.DUMMYFUNCTION("""COMPUTED_VALUE"""),"פסטיבל נובה")</f>
        <v>פסטיבל נובה</v>
      </c>
      <c r="J120" s="4" t="str">
        <f>IFERROR(__xludf.DUMMYFUNCTION("""COMPUTED_VALUE"""),"אזרחים וכיתות כוננות")</f>
        <v>אזרחים וכיתות כוננות</v>
      </c>
      <c r="K120" s="5" t="str">
        <f>IFERROR(__xludf.DUMMYFUNCTION("""COMPUTED_VALUE"""),"פסטיבל נובה")</f>
        <v>פסטיבל נובה</v>
      </c>
      <c r="L120" s="3" t="str">
        <f>IFERROR(__xludf.DUMMYFUNCTION("""COMPUTED_VALUE"""),"Asaf Edberg")</f>
        <v>Asaf Edberg</v>
      </c>
      <c r="M120" s="5"/>
    </row>
    <row r="121">
      <c r="A121" s="3">
        <f>IFERROR(__xludf.DUMMYFUNCTION("""COMPUTED_VALUE"""),673.0)</f>
        <v>673</v>
      </c>
      <c r="B121" s="4" t="str">
        <f>IFERROR(__xludf.DUMMYFUNCTION("""COMPUTED_VALUE"""),"אדם מפל")</f>
        <v>אדם מפל</v>
      </c>
      <c r="C121" s="3">
        <f>IFERROR(__xludf.DUMMYFUNCTION("""COMPUTED_VALUE"""),27.0)</f>
        <v>27</v>
      </c>
      <c r="D121" s="5" t="str">
        <f>IFERROR(__xludf.DUMMYFUNCTION("""COMPUTED_VALUE"""),"תל אביב")</f>
        <v>תל אביב</v>
      </c>
      <c r="E121" s="5" t="str">
        <f>IFERROR(__xludf.DUMMYFUNCTION("""COMPUTED_VALUE"""),"אישה")</f>
        <v>אישה</v>
      </c>
      <c r="F121" s="5" t="str">
        <f>IFERROR(__xludf.DUMMYFUNCTION("""COMPUTED_VALUE"""),"אזרחים")</f>
        <v>אזרחים</v>
      </c>
      <c r="G121" s="3"/>
      <c r="H121" s="3" t="str">
        <f>IFERROR(__xludf.DUMMYFUNCTION("""COMPUTED_VALUE"""),"07.10.2023")</f>
        <v>07.10.2023</v>
      </c>
      <c r="I121" s="4" t="str">
        <f>IFERROR(__xludf.DUMMYFUNCTION("""COMPUTED_VALUE"""),"פסטיבל נובה")</f>
        <v>פסטיבל נובה</v>
      </c>
      <c r="J121" s="4" t="str">
        <f>IFERROR(__xludf.DUMMYFUNCTION("""COMPUTED_VALUE"""),"אזרחים וכיתות כוננות")</f>
        <v>אזרחים וכיתות כוננות</v>
      </c>
      <c r="K121" s="5" t="str">
        <f>IFERROR(__xludf.DUMMYFUNCTION("""COMPUTED_VALUE"""),"פסטיבל נובה")</f>
        <v>פסטיבל נובה</v>
      </c>
      <c r="L121" s="3" t="str">
        <f>IFERROR(__xludf.DUMMYFUNCTION("""COMPUTED_VALUE"""),"Mapal Adam")</f>
        <v>Mapal Adam</v>
      </c>
      <c r="M121" s="5"/>
    </row>
    <row r="122">
      <c r="A122" s="3">
        <f>IFERROR(__xludf.DUMMYFUNCTION("""COMPUTED_VALUE"""),674.0)</f>
        <v>674</v>
      </c>
      <c r="B122" s="4" t="str">
        <f>IFERROR(__xludf.DUMMYFUNCTION("""COMPUTED_VALUE"""),"אדר גילי")</f>
        <v>אדר גילי</v>
      </c>
      <c r="C122" s="3">
        <f>IFERROR(__xludf.DUMMYFUNCTION("""COMPUTED_VALUE"""),24.0)</f>
        <v>24</v>
      </c>
      <c r="D122" s="5" t="str">
        <f>IFERROR(__xludf.DUMMYFUNCTION("""COMPUTED_VALUE"""),"לפיד")</f>
        <v>לפיד</v>
      </c>
      <c r="E122" s="5" t="str">
        <f>IFERROR(__xludf.DUMMYFUNCTION("""COMPUTED_VALUE"""),"אישה")</f>
        <v>אישה</v>
      </c>
      <c r="F122" s="5" t="str">
        <f>IFERROR(__xludf.DUMMYFUNCTION("""COMPUTED_VALUE"""),"אזרחים")</f>
        <v>אזרחים</v>
      </c>
      <c r="G122" s="3"/>
      <c r="H122" s="3" t="str">
        <f>IFERROR(__xludf.DUMMYFUNCTION("""COMPUTED_VALUE"""),"07.10.2023")</f>
        <v>07.10.2023</v>
      </c>
      <c r="I122" s="4" t="str">
        <f>IFERROR(__xludf.DUMMYFUNCTION("""COMPUTED_VALUE"""),"פסטיבל נובה; בר צפוני")</f>
        <v>פסטיבל נובה; בר צפוני</v>
      </c>
      <c r="J122" s="4" t="str">
        <f>IFERROR(__xludf.DUMMYFUNCTION("""COMPUTED_VALUE"""),"אזרחים וכיתות כוננות")</f>
        <v>אזרחים וכיתות כוננות</v>
      </c>
      <c r="K122" s="5" t="str">
        <f>IFERROR(__xludf.DUMMYFUNCTION("""COMPUTED_VALUE"""),"פסטיבל נובה")</f>
        <v>פסטיבל נובה</v>
      </c>
      <c r="L122" s="3" t="str">
        <f>IFERROR(__xludf.DUMMYFUNCTION("""COMPUTED_VALUE"""),"Gili Adar")</f>
        <v>Gili Adar</v>
      </c>
      <c r="M122" s="5"/>
    </row>
    <row r="123">
      <c r="A123" s="3">
        <f>IFERROR(__xludf.DUMMYFUNCTION("""COMPUTED_VALUE"""),817.0)</f>
        <v>817</v>
      </c>
      <c r="B123" s="4" t="str">
        <f>IFERROR(__xludf.DUMMYFUNCTION("""COMPUTED_VALUE"""),"אוחיון עדן ליז")</f>
        <v>אוחיון עדן ליז</v>
      </c>
      <c r="C123" s="3">
        <f>IFERROR(__xludf.DUMMYFUNCTION("""COMPUTED_VALUE"""),24.0)</f>
        <v>24</v>
      </c>
      <c r="D123" s="5" t="str">
        <f>IFERROR(__xludf.DUMMYFUNCTION("""COMPUTED_VALUE"""),"טירת הכרמל")</f>
        <v>טירת הכרמל</v>
      </c>
      <c r="E123" s="5" t="str">
        <f>IFERROR(__xludf.DUMMYFUNCTION("""COMPUTED_VALUE"""),"אישה")</f>
        <v>אישה</v>
      </c>
      <c r="F123" s="5" t="str">
        <f>IFERROR(__xludf.DUMMYFUNCTION("""COMPUTED_VALUE"""),"אזרחים")</f>
        <v>אזרחים</v>
      </c>
      <c r="G123" s="3"/>
      <c r="H123" s="3" t="str">
        <f>IFERROR(__xludf.DUMMYFUNCTION("""COMPUTED_VALUE"""),"07.10.2023")</f>
        <v>07.10.2023</v>
      </c>
      <c r="I123" s="4" t="str">
        <f>IFERROR(__xludf.DUMMYFUNCTION("""COMPUTED_VALUE"""),"פסטיבל נובה; סמוך למכולות הצהובות")</f>
        <v>פסטיבל נובה; סמוך למכולות הצהובות</v>
      </c>
      <c r="J123" s="4" t="str">
        <f>IFERROR(__xludf.DUMMYFUNCTION("""COMPUTED_VALUE"""),"אזרחים וכיתות כוננות")</f>
        <v>אזרחים וכיתות כוננות</v>
      </c>
      <c r="K123" s="5" t="str">
        <f>IFERROR(__xludf.DUMMYFUNCTION("""COMPUTED_VALUE"""),"פסטיבל נובה")</f>
        <v>פסטיבל נובה</v>
      </c>
      <c r="L123" s="3" t="str">
        <f>IFERROR(__xludf.DUMMYFUNCTION("""COMPUTED_VALUE"""),"Eden Liz Ohayon")</f>
        <v>Eden Liz Ohayon</v>
      </c>
      <c r="M123" s="5"/>
    </row>
    <row r="124">
      <c r="A124" s="3">
        <f>IFERROR(__xludf.DUMMYFUNCTION("""COMPUTED_VALUE"""),816.0)</f>
        <v>816</v>
      </c>
      <c r="B124" s="4" t="str">
        <f>IFERROR(__xludf.DUMMYFUNCTION("""COMPUTED_VALUE"""),"אוחנה דניאל")</f>
        <v>אוחנה דניאל</v>
      </c>
      <c r="C124" s="3">
        <f>IFERROR(__xludf.DUMMYFUNCTION("""COMPUTED_VALUE"""),24.0)</f>
        <v>24</v>
      </c>
      <c r="D124" s="5" t="str">
        <f>IFERROR(__xludf.DUMMYFUNCTION("""COMPUTED_VALUE"""),"ירושלים")</f>
        <v>ירושלים</v>
      </c>
      <c r="E124" s="5" t="str">
        <f>IFERROR(__xludf.DUMMYFUNCTION("""COMPUTED_VALUE"""),"גבר")</f>
        <v>גבר</v>
      </c>
      <c r="F124" s="5" t="str">
        <f>IFERROR(__xludf.DUMMYFUNCTION("""COMPUTED_VALUE"""),"אזרחים")</f>
        <v>אזרחים</v>
      </c>
      <c r="G124" s="3"/>
      <c r="H124" s="3" t="str">
        <f>IFERROR(__xludf.DUMMYFUNCTION("""COMPUTED_VALUE"""),"07.10.2023")</f>
        <v>07.10.2023</v>
      </c>
      <c r="I124" s="4" t="str">
        <f>IFERROR(__xludf.DUMMYFUNCTION("""COMPUTED_VALUE"""),"סמוך לצומת בארי")</f>
        <v>סמוך לצומת בארי</v>
      </c>
      <c r="J124" s="4" t="str">
        <f>IFERROR(__xludf.DUMMYFUNCTION("""COMPUTED_VALUE"""),"אזרחים וכיתות כוננות")</f>
        <v>אזרחים וכיתות כוננות</v>
      </c>
      <c r="K124" s="5" t="str">
        <f>IFERROR(__xludf.DUMMYFUNCTION("""COMPUTED_VALUE"""),"פסטיבל נובה")</f>
        <v>פסטיבל נובה</v>
      </c>
      <c r="L124" s="3" t="str">
        <f>IFERROR(__xludf.DUMMYFUNCTION("""COMPUTED_VALUE"""),"Daniel Ohana")</f>
        <v>Daniel Ohana</v>
      </c>
      <c r="M124" s="5"/>
    </row>
    <row r="125">
      <c r="A125" s="3">
        <f>IFERROR(__xludf.DUMMYFUNCTION("""COMPUTED_VALUE"""),820.0)</f>
        <v>820</v>
      </c>
      <c r="B125" s="4" t="str">
        <f>IFERROR(__xludf.DUMMYFUNCTION("""COMPUTED_VALUE"""),"אורי בן")</f>
        <v>אורי בן</v>
      </c>
      <c r="C125" s="3">
        <f>IFERROR(__xludf.DUMMYFUNCTION("""COMPUTED_VALUE"""),31.0)</f>
        <v>31</v>
      </c>
      <c r="D125" s="5" t="str">
        <f>IFERROR(__xludf.DUMMYFUNCTION("""COMPUTED_VALUE"""),"ראשון לציון")</f>
        <v>ראשון לציון</v>
      </c>
      <c r="E125" s="5" t="str">
        <f>IFERROR(__xludf.DUMMYFUNCTION("""COMPUTED_VALUE"""),"גבר")</f>
        <v>גבר</v>
      </c>
      <c r="F125" s="5" t="str">
        <f>IFERROR(__xludf.DUMMYFUNCTION("""COMPUTED_VALUE"""),"אזרחים")</f>
        <v>אזרחים</v>
      </c>
      <c r="G125" s="3"/>
      <c r="H125" s="3" t="str">
        <f>IFERROR(__xludf.DUMMYFUNCTION("""COMPUTED_VALUE"""),"07.10.2023")</f>
        <v>07.10.2023</v>
      </c>
      <c r="I125" s="4" t="str">
        <f>IFERROR(__xludf.DUMMYFUNCTION("""COMPUTED_VALUE"""),"פסטיבל נובה")</f>
        <v>פסטיבל נובה</v>
      </c>
      <c r="J125" s="4" t="str">
        <f>IFERROR(__xludf.DUMMYFUNCTION("""COMPUTED_VALUE"""),"אזרחים וכיתות כוננות")</f>
        <v>אזרחים וכיתות כוננות</v>
      </c>
      <c r="K125" s="5" t="str">
        <f>IFERROR(__xludf.DUMMYFUNCTION("""COMPUTED_VALUE"""),"פסטיבל נובה")</f>
        <v>פסטיבל נובה</v>
      </c>
      <c r="L125" s="3" t="str">
        <f>IFERROR(__xludf.DUMMYFUNCTION("""COMPUTED_VALUE"""),"Ben Uri")</f>
        <v>Ben Uri</v>
      </c>
      <c r="M125" s="5"/>
    </row>
    <row r="126">
      <c r="A126" s="3">
        <f>IFERROR(__xludf.DUMMYFUNCTION("""COMPUTED_VALUE"""),819.0)</f>
        <v>819</v>
      </c>
      <c r="B126" s="4" t="str">
        <f>IFERROR(__xludf.DUMMYFUNCTION("""COMPUTED_VALUE"""),"אורן אביאל")</f>
        <v>אורן אביאל</v>
      </c>
      <c r="C126" s="3">
        <f>IFERROR(__xludf.DUMMYFUNCTION("""COMPUTED_VALUE"""),28.0)</f>
        <v>28</v>
      </c>
      <c r="D126" s="5" t="str">
        <f>IFERROR(__xludf.DUMMYFUNCTION("""COMPUTED_VALUE"""),"ירושלים")</f>
        <v>ירושלים</v>
      </c>
      <c r="E126" s="5" t="str">
        <f>IFERROR(__xludf.DUMMYFUNCTION("""COMPUTED_VALUE"""),"גבר")</f>
        <v>גבר</v>
      </c>
      <c r="F126" s="5" t="str">
        <f>IFERROR(__xludf.DUMMYFUNCTION("""COMPUTED_VALUE"""),"אזרחים")</f>
        <v>אזרחים</v>
      </c>
      <c r="G126" s="3"/>
      <c r="H126" s="3" t="str">
        <f>IFERROR(__xludf.DUMMYFUNCTION("""COMPUTED_VALUE"""),"07.10.2023")</f>
        <v>07.10.2023</v>
      </c>
      <c r="I126" s="4" t="str">
        <f>IFERROR(__xludf.DUMMYFUNCTION("""COMPUTED_VALUE"""),"סמוך לצומת בארי")</f>
        <v>סמוך לצומת בארי</v>
      </c>
      <c r="J126" s="4" t="str">
        <f>IFERROR(__xludf.DUMMYFUNCTION("""COMPUTED_VALUE"""),"אזרחים וכיתות כוננות")</f>
        <v>אזרחים וכיתות כוננות</v>
      </c>
      <c r="K126" s="5" t="str">
        <f>IFERROR(__xludf.DUMMYFUNCTION("""COMPUTED_VALUE"""),"פסטיבל נובה")</f>
        <v>פסטיבל נובה</v>
      </c>
      <c r="L126" s="3" t="str">
        <f>IFERROR(__xludf.DUMMYFUNCTION("""COMPUTED_VALUE"""),"Aviel Oren")</f>
        <v>Aviel Oren</v>
      </c>
      <c r="M126" s="5"/>
    </row>
    <row r="127">
      <c r="A127" s="3">
        <f>IFERROR(__xludf.DUMMYFUNCTION("""COMPUTED_VALUE"""),891.0)</f>
        <v>891</v>
      </c>
      <c r="B127" s="4" t="str">
        <f>IFERROR(__xludf.DUMMYFUNCTION("""COMPUTED_VALUE"""),"אזולאי גמליאל גבי גבריאל")</f>
        <v>אזולאי גמליאל גבי גבריאל</v>
      </c>
      <c r="C127" s="3">
        <f>IFERROR(__xludf.DUMMYFUNCTION("""COMPUTED_VALUE"""),44.0)</f>
        <v>44</v>
      </c>
      <c r="D127" s="5" t="str">
        <f>IFERROR(__xludf.DUMMYFUNCTION("""COMPUTED_VALUE"""),"קריית מלאכי")</f>
        <v>קריית מלאכי</v>
      </c>
      <c r="E127" s="5" t="str">
        <f>IFERROR(__xludf.DUMMYFUNCTION("""COMPUTED_VALUE"""),"גבר")</f>
        <v>גבר</v>
      </c>
      <c r="F127" s="5" t="str">
        <f>IFERROR(__xludf.DUMMYFUNCTION("""COMPUTED_VALUE"""),"אזרחים")</f>
        <v>אזרחים</v>
      </c>
      <c r="G127" s="3"/>
      <c r="H127" s="3" t="str">
        <f>IFERROR(__xludf.DUMMYFUNCTION("""COMPUTED_VALUE"""),"07.10.2023")</f>
        <v>07.10.2023</v>
      </c>
      <c r="I127" s="4" t="str">
        <f>IFERROR(__xludf.DUMMYFUNCTION("""COMPUTED_VALUE"""),"בכניסה לעלומים")</f>
        <v>בכניסה לעלומים</v>
      </c>
      <c r="J127" s="4" t="str">
        <f>IFERROR(__xludf.DUMMYFUNCTION("""COMPUTED_VALUE"""),"אזרחים וכיתות כוננות")</f>
        <v>אזרחים וכיתות כוננות</v>
      </c>
      <c r="K127" s="5" t="str">
        <f>IFERROR(__xludf.DUMMYFUNCTION("""COMPUTED_VALUE"""),"פסטיבל נובה")</f>
        <v>פסטיבל נובה</v>
      </c>
      <c r="L127" s="3" t="str">
        <f>IFERROR(__xludf.DUMMYFUNCTION("""COMPUTED_VALUE"""),"Gabi Azulay")</f>
        <v>Gabi Azulay</v>
      </c>
      <c r="M127" s="5"/>
    </row>
    <row r="128">
      <c r="A128" s="3">
        <f>IFERROR(__xludf.DUMMYFUNCTION("""COMPUTED_VALUE"""),690.0)</f>
        <v>690</v>
      </c>
      <c r="B128" s="4" t="str">
        <f>IFERROR(__xludf.DUMMYFUNCTION("""COMPUTED_VALUE"""),"אזולאי יוחאי")</f>
        <v>אזולאי יוחאי</v>
      </c>
      <c r="C128" s="3">
        <f>IFERROR(__xludf.DUMMYFUNCTION("""COMPUTED_VALUE"""),28.0)</f>
        <v>28</v>
      </c>
      <c r="D128" s="5" t="str">
        <f>IFERROR(__xludf.DUMMYFUNCTION("""COMPUTED_VALUE"""),"חולון")</f>
        <v>חולון</v>
      </c>
      <c r="E128" s="5" t="str">
        <f>IFERROR(__xludf.DUMMYFUNCTION("""COMPUTED_VALUE"""),"גבר")</f>
        <v>גבר</v>
      </c>
      <c r="F128" s="5" t="str">
        <f>IFERROR(__xludf.DUMMYFUNCTION("""COMPUTED_VALUE"""),"אזרחים")</f>
        <v>אזרחים</v>
      </c>
      <c r="G128" s="3"/>
      <c r="H128" s="3" t="str">
        <f>IFERROR(__xludf.DUMMYFUNCTION("""COMPUTED_VALUE"""),"07.10.2023")</f>
        <v>07.10.2023</v>
      </c>
      <c r="I128" s="4" t="str">
        <f>IFERROR(__xludf.DUMMYFUNCTION("""COMPUTED_VALUE"""),"פסטיבל נובה")</f>
        <v>פסטיבל נובה</v>
      </c>
      <c r="J128" s="4" t="str">
        <f>IFERROR(__xludf.DUMMYFUNCTION("""COMPUTED_VALUE"""),"אזרחים וכיתות כוננות")</f>
        <v>אזרחים וכיתות כוננות</v>
      </c>
      <c r="K128" s="5" t="str">
        <f>IFERROR(__xludf.DUMMYFUNCTION("""COMPUTED_VALUE"""),"פסטיבל נובה")</f>
        <v>פסטיבל נובה</v>
      </c>
      <c r="L128" s="3" t="str">
        <f>IFERROR(__xludf.DUMMYFUNCTION("""COMPUTED_VALUE"""),"Yohai Azulay")</f>
        <v>Yohai Azulay</v>
      </c>
      <c r="M128" s="5"/>
    </row>
    <row r="129">
      <c r="A129" s="3">
        <f>IFERROR(__xludf.DUMMYFUNCTION("""COMPUTED_VALUE"""),689.0)</f>
        <v>689</v>
      </c>
      <c r="B129" s="4" t="str">
        <f>IFERROR(__xludf.DUMMYFUNCTION("""COMPUTED_VALUE"""),"אזולאי יונתן חי")</f>
        <v>אזולאי יונתן חי</v>
      </c>
      <c r="C129" s="3">
        <f>IFERROR(__xludf.DUMMYFUNCTION("""COMPUTED_VALUE"""),25.0)</f>
        <v>25</v>
      </c>
      <c r="D129" s="5" t="str">
        <f>IFERROR(__xludf.DUMMYFUNCTION("""COMPUTED_VALUE"""),"ירושלים")</f>
        <v>ירושלים</v>
      </c>
      <c r="E129" s="5" t="str">
        <f>IFERROR(__xludf.DUMMYFUNCTION("""COMPUTED_VALUE"""),"גבר")</f>
        <v>גבר</v>
      </c>
      <c r="F129" s="5" t="str">
        <f>IFERROR(__xludf.DUMMYFUNCTION("""COMPUTED_VALUE"""),"אזרחים")</f>
        <v>אזרחים</v>
      </c>
      <c r="G129" s="3"/>
      <c r="H129" s="3" t="str">
        <f>IFERROR(__xludf.DUMMYFUNCTION("""COMPUTED_VALUE"""),"07.10.2023")</f>
        <v>07.10.2023</v>
      </c>
      <c r="I129" s="4" t="str">
        <f>IFERROR(__xludf.DUMMYFUNCTION("""COMPUTED_VALUE"""),"מיגונית בכניסה לעלומים")</f>
        <v>מיגונית בכניסה לעלומים</v>
      </c>
      <c r="J129" s="4" t="str">
        <f>IFERROR(__xludf.DUMMYFUNCTION("""COMPUTED_VALUE"""),"אזרחים וכיתות כוננות")</f>
        <v>אזרחים וכיתות כוננות</v>
      </c>
      <c r="K129" s="5" t="str">
        <f>IFERROR(__xludf.DUMMYFUNCTION("""COMPUTED_VALUE"""),"פסטיבל נובה")</f>
        <v>פסטיבל נובה</v>
      </c>
      <c r="L129" s="3" t="str">
        <f>IFERROR(__xludf.DUMMYFUNCTION("""COMPUTED_VALUE"""),"Yonatan Chai Azulay")</f>
        <v>Yonatan Chai Azulay</v>
      </c>
      <c r="M129" s="5"/>
    </row>
    <row r="130">
      <c r="A130" s="3">
        <f>IFERROR(__xludf.DUMMYFUNCTION("""COMPUTED_VALUE"""),1519.0)</f>
        <v>1519</v>
      </c>
      <c r="B130" s="4" t="str">
        <f>IFERROR(__xludf.DUMMYFUNCTION("""COMPUTED_VALUE"""),"אחרק עמרי")</f>
        <v>אחרק עמרי</v>
      </c>
      <c r="C130" s="3">
        <f>IFERROR(__xludf.DUMMYFUNCTION("""COMPUTED_VALUE"""),26.0)</f>
        <v>26</v>
      </c>
      <c r="D130" s="5" t="str">
        <f>IFERROR(__xludf.DUMMYFUNCTION("""COMPUTED_VALUE"""),"אליכין")</f>
        <v>אליכין</v>
      </c>
      <c r="E130" s="5" t="str">
        <f>IFERROR(__xludf.DUMMYFUNCTION("""COMPUTED_VALUE"""),"גבר")</f>
        <v>גבר</v>
      </c>
      <c r="F130" s="5" t="str">
        <f>IFERROR(__xludf.DUMMYFUNCTION("""COMPUTED_VALUE"""),"אזרחים")</f>
        <v>אזרחים</v>
      </c>
      <c r="G130" s="3"/>
      <c r="H130" s="3" t="str">
        <f>IFERROR(__xludf.DUMMYFUNCTION("""COMPUTED_VALUE"""),"07.10.2023")</f>
        <v>07.10.2023</v>
      </c>
      <c r="I130" s="4" t="str">
        <f>IFERROR(__xludf.DUMMYFUNCTION("""COMPUTED_VALUE"""),"סמוך לתל גמה")</f>
        <v>סמוך לתל גמה</v>
      </c>
      <c r="J130" s="4" t="str">
        <f>IFERROR(__xludf.DUMMYFUNCTION("""COMPUTED_VALUE"""),"אזרחים וכיתות כוננות")</f>
        <v>אזרחים וכיתות כוננות</v>
      </c>
      <c r="K130" s="5" t="str">
        <f>IFERROR(__xludf.DUMMYFUNCTION("""COMPUTED_VALUE"""),"פסטיבל נובה")</f>
        <v>פסטיבל נובה</v>
      </c>
      <c r="L130" s="3" t="str">
        <f>IFERROR(__xludf.DUMMYFUNCTION("""COMPUTED_VALUE"""),"Omri Ahrak")</f>
        <v>Omri Ahrak</v>
      </c>
      <c r="M130" s="5"/>
    </row>
    <row r="131">
      <c r="A131" s="3">
        <f>IFERROR(__xludf.DUMMYFUNCTION("""COMPUTED_VALUE"""),686.0)</f>
        <v>686</v>
      </c>
      <c r="B131" s="4" t="str">
        <f>IFERROR(__xludf.DUMMYFUNCTION("""COMPUTED_VALUE"""),"אטון אופק")</f>
        <v>אטון אופק</v>
      </c>
      <c r="C131" s="3">
        <f>IFERROR(__xludf.DUMMYFUNCTION("""COMPUTED_VALUE"""),24.0)</f>
        <v>24</v>
      </c>
      <c r="D131" s="5" t="str">
        <f>IFERROR(__xludf.DUMMYFUNCTION("""COMPUTED_VALUE"""),"חולון")</f>
        <v>חולון</v>
      </c>
      <c r="E131" s="5" t="str">
        <f>IFERROR(__xludf.DUMMYFUNCTION("""COMPUTED_VALUE"""),"גבר")</f>
        <v>גבר</v>
      </c>
      <c r="F131" s="5" t="str">
        <f>IFERROR(__xludf.DUMMYFUNCTION("""COMPUTED_VALUE"""),"אזרחים")</f>
        <v>אזרחים</v>
      </c>
      <c r="G131" s="3"/>
      <c r="H131" s="3" t="str">
        <f>IFERROR(__xludf.DUMMYFUNCTION("""COMPUTED_VALUE"""),"07.10.2023")</f>
        <v>07.10.2023</v>
      </c>
      <c r="I131" s="4" t="str">
        <f>IFERROR(__xludf.DUMMYFUNCTION("""COMPUTED_VALUE"""),"ירי בשוגג בעלומים")</f>
        <v>ירי בשוגג בעלומים</v>
      </c>
      <c r="J131" s="4" t="str">
        <f>IFERROR(__xludf.DUMMYFUNCTION("""COMPUTED_VALUE"""),"אזרחים וכיתות כוננות")</f>
        <v>אזרחים וכיתות כוננות</v>
      </c>
      <c r="K131" s="5" t="str">
        <f>IFERROR(__xludf.DUMMYFUNCTION("""COMPUTED_VALUE"""),"פסטיבל נובה")</f>
        <v>פסטיבל נובה</v>
      </c>
      <c r="L131" s="3" t="str">
        <f>IFERROR(__xludf.DUMMYFUNCTION("""COMPUTED_VALUE"""),"Ofek Aton")</f>
        <v>Ofek Aton</v>
      </c>
      <c r="M131" s="5"/>
    </row>
    <row r="132">
      <c r="A132" s="3">
        <f>IFERROR(__xludf.DUMMYFUNCTION("""COMPUTED_VALUE"""),733.0)</f>
        <v>733</v>
      </c>
      <c r="B132" s="4" t="str">
        <f>IFERROR(__xludf.DUMMYFUNCTION("""COMPUTED_VALUE"""),"אטיאס דורין")</f>
        <v>אטיאס דורין</v>
      </c>
      <c r="C132" s="3">
        <f>IFERROR(__xludf.DUMMYFUNCTION("""COMPUTED_VALUE"""),23.0)</f>
        <v>23</v>
      </c>
      <c r="D132" s="5" t="str">
        <f>IFERROR(__xludf.DUMMYFUNCTION("""COMPUTED_VALUE"""),"גני תקווה")</f>
        <v>גני תקווה</v>
      </c>
      <c r="E132" s="5" t="str">
        <f>IFERROR(__xludf.DUMMYFUNCTION("""COMPUTED_VALUE"""),"אישה")</f>
        <v>אישה</v>
      </c>
      <c r="F132" s="5" t="str">
        <f>IFERROR(__xludf.DUMMYFUNCTION("""COMPUTED_VALUE"""),"אזרחים")</f>
        <v>אזרחים</v>
      </c>
      <c r="G132" s="3"/>
      <c r="H132" s="3" t="str">
        <f>IFERROR(__xludf.DUMMYFUNCTION("""COMPUTED_VALUE"""),"07.10.2023")</f>
        <v>07.10.2023</v>
      </c>
      <c r="I132" s="4" t="str">
        <f>IFERROR(__xludf.DUMMYFUNCTION("""COMPUTED_VALUE"""),"סמוך לתל גמה")</f>
        <v>סמוך לתל גמה</v>
      </c>
      <c r="J132" s="4" t="str">
        <f>IFERROR(__xludf.DUMMYFUNCTION("""COMPUTED_VALUE"""),"אזרחים וכיתות כוננות")</f>
        <v>אזרחים וכיתות כוננות</v>
      </c>
      <c r="K132" s="5" t="str">
        <f>IFERROR(__xludf.DUMMYFUNCTION("""COMPUTED_VALUE"""),"פסטיבל נובה")</f>
        <v>פסטיבל נובה</v>
      </c>
      <c r="L132" s="3" t="str">
        <f>IFERROR(__xludf.DUMMYFUNCTION("""COMPUTED_VALUE"""),"Dorin Atias")</f>
        <v>Dorin Atias</v>
      </c>
      <c r="M132" s="5"/>
    </row>
    <row r="133">
      <c r="A133" s="3">
        <f>IFERROR(__xludf.DUMMYFUNCTION("""COMPUTED_VALUE"""),738.0)</f>
        <v>738</v>
      </c>
      <c r="B133" s="4" t="str">
        <f>IFERROR(__xludf.DUMMYFUNCTION("""COMPUTED_VALUE"""),"איטח ליאל")</f>
        <v>איטח ליאל</v>
      </c>
      <c r="C133" s="3">
        <f>IFERROR(__xludf.DUMMYFUNCTION("""COMPUTED_VALUE"""),22.0)</f>
        <v>22</v>
      </c>
      <c r="D133" s="5" t="str">
        <f>IFERROR(__xludf.DUMMYFUNCTION("""COMPUTED_VALUE"""),"ענתות")</f>
        <v>ענתות</v>
      </c>
      <c r="E133" s="5" t="str">
        <f>IFERROR(__xludf.DUMMYFUNCTION("""COMPUTED_VALUE"""),"גבר")</f>
        <v>גבר</v>
      </c>
      <c r="F133" s="5" t="str">
        <f>IFERROR(__xludf.DUMMYFUNCTION("""COMPUTED_VALUE"""),"אזרחים")</f>
        <v>אזרחים</v>
      </c>
      <c r="G133" s="3"/>
      <c r="H133" s="3" t="str">
        <f>IFERROR(__xludf.DUMMYFUNCTION("""COMPUTED_VALUE"""),"07.10.2023")</f>
        <v>07.10.2023</v>
      </c>
      <c r="I133" s="4" t="str">
        <f>IFERROR(__xludf.DUMMYFUNCTION("""COMPUTED_VALUE"""),"פסטיבל נובה")</f>
        <v>פסטיבל נובה</v>
      </c>
      <c r="J133" s="4" t="str">
        <f>IFERROR(__xludf.DUMMYFUNCTION("""COMPUTED_VALUE"""),"אזרחים וכיתות כוננות")</f>
        <v>אזרחים וכיתות כוננות</v>
      </c>
      <c r="K133" s="5" t="str">
        <f>IFERROR(__xludf.DUMMYFUNCTION("""COMPUTED_VALUE"""),"פסטיבל נובה")</f>
        <v>פסטיבל נובה</v>
      </c>
      <c r="L133" s="3" t="str">
        <f>IFERROR(__xludf.DUMMYFUNCTION("""COMPUTED_VALUE"""),"Liel Eitah")</f>
        <v>Liel Eitah</v>
      </c>
      <c r="M133" s="5"/>
    </row>
    <row r="134">
      <c r="A134" s="3">
        <f>IFERROR(__xludf.DUMMYFUNCTION("""COMPUTED_VALUE"""),739.0)</f>
        <v>739</v>
      </c>
      <c r="B134" s="4" t="str">
        <f>IFERROR(__xludf.DUMMYFUNCTION("""COMPUTED_VALUE"""),"איטח סיגל")</f>
        <v>איטח סיגל</v>
      </c>
      <c r="C134" s="3">
        <f>IFERROR(__xludf.DUMMYFUNCTION("""COMPUTED_VALUE"""),27.0)</f>
        <v>27</v>
      </c>
      <c r="D134" s="5" t="str">
        <f>IFERROR(__xludf.DUMMYFUNCTION("""COMPUTED_VALUE"""),"באר שבע")</f>
        <v>באר שבע</v>
      </c>
      <c r="E134" s="5" t="str">
        <f>IFERROR(__xludf.DUMMYFUNCTION("""COMPUTED_VALUE"""),"אישה")</f>
        <v>אישה</v>
      </c>
      <c r="F134" s="5" t="str">
        <f>IFERROR(__xludf.DUMMYFUNCTION("""COMPUTED_VALUE"""),"אזרחים")</f>
        <v>אזרחים</v>
      </c>
      <c r="G134" s="3"/>
      <c r="H134" s="3" t="str">
        <f>IFERROR(__xludf.DUMMYFUNCTION("""COMPUTED_VALUE"""),"07.10.2023")</f>
        <v>07.10.2023</v>
      </c>
      <c r="I134" s="4" t="str">
        <f>IFERROR(__xludf.DUMMYFUNCTION("""COMPUTED_VALUE"""),"מיגונית בכניסה לרעים (מזרח)")</f>
        <v>מיגונית בכניסה לרעים (מזרח)</v>
      </c>
      <c r="J134" s="4" t="str">
        <f>IFERROR(__xludf.DUMMYFUNCTION("""COMPUTED_VALUE"""),"אזרחים וכיתות כוננות")</f>
        <v>אזרחים וכיתות כוננות</v>
      </c>
      <c r="K134" s="5" t="str">
        <f>IFERROR(__xludf.DUMMYFUNCTION("""COMPUTED_VALUE"""),"פסטיבל נובה")</f>
        <v>פסטיבל נובה</v>
      </c>
      <c r="L134" s="3" t="str">
        <f>IFERROR(__xludf.DUMMYFUNCTION("""COMPUTED_VALUE"""),"Sigal Itah")</f>
        <v>Sigal Itah</v>
      </c>
      <c r="M134" s="5"/>
    </row>
    <row r="135">
      <c r="A135" s="3">
        <f>IFERROR(__xludf.DUMMYFUNCTION("""COMPUTED_VALUE"""),687.0)</f>
        <v>687</v>
      </c>
      <c r="B135" s="4" t="str">
        <f>IFERROR(__xludf.DUMMYFUNCTION("""COMPUTED_VALUE"""),"איילון שירה")</f>
        <v>איילון שירה</v>
      </c>
      <c r="C135" s="3">
        <f>IFERROR(__xludf.DUMMYFUNCTION("""COMPUTED_VALUE"""),23.0)</f>
        <v>23</v>
      </c>
      <c r="D135" s="5" t="str">
        <f>IFERROR(__xludf.DUMMYFUNCTION("""COMPUTED_VALUE"""),"ראשון לציון")</f>
        <v>ראשון לציון</v>
      </c>
      <c r="E135" s="5" t="str">
        <f>IFERROR(__xludf.DUMMYFUNCTION("""COMPUTED_VALUE"""),"אישה")</f>
        <v>אישה</v>
      </c>
      <c r="F135" s="5" t="str">
        <f>IFERROR(__xludf.DUMMYFUNCTION("""COMPUTED_VALUE"""),"אזרחים")</f>
        <v>אזרחים</v>
      </c>
      <c r="G135" s="3"/>
      <c r="H135" s="3" t="str">
        <f>IFERROR(__xludf.DUMMYFUNCTION("""COMPUTED_VALUE"""),"07.10.2023")</f>
        <v>07.10.2023</v>
      </c>
      <c r="I135" s="4" t="str">
        <f>IFERROR(__xludf.DUMMYFUNCTION("""COMPUTED_VALUE"""),"פסטיבל נובה")</f>
        <v>פסטיבל נובה</v>
      </c>
      <c r="J135" s="4" t="str">
        <f>IFERROR(__xludf.DUMMYFUNCTION("""COMPUTED_VALUE"""),"אזרחים וכיתות כוננות")</f>
        <v>אזרחים וכיתות כוננות</v>
      </c>
      <c r="K135" s="5" t="str">
        <f>IFERROR(__xludf.DUMMYFUNCTION("""COMPUTED_VALUE"""),"פסטיבל נובה")</f>
        <v>פסטיבל נובה</v>
      </c>
      <c r="L135" s="3" t="str">
        <f>IFERROR(__xludf.DUMMYFUNCTION("""COMPUTED_VALUE"""),"Shira Eylon")</f>
        <v>Shira Eylon</v>
      </c>
      <c r="M135" s="5"/>
    </row>
    <row r="136">
      <c r="A136" s="3">
        <f>IFERROR(__xludf.DUMMYFUNCTION("""COMPUTED_VALUE"""),776.0)</f>
        <v>776</v>
      </c>
      <c r="B136" s="4" t="str">
        <f>IFERROR(__xludf.DUMMYFUNCTION("""COMPUTED_VALUE"""),"אילוז אליה אליהו")</f>
        <v>אילוז אליה אליהו</v>
      </c>
      <c r="C136" s="3">
        <f>IFERROR(__xludf.DUMMYFUNCTION("""COMPUTED_VALUE"""),27.0)</f>
        <v>27</v>
      </c>
      <c r="D136" s="5" t="str">
        <f>IFERROR(__xludf.DUMMYFUNCTION("""COMPUTED_VALUE"""),"אשקלון")</f>
        <v>אשקלון</v>
      </c>
      <c r="E136" s="5" t="str">
        <f>IFERROR(__xludf.DUMMYFUNCTION("""COMPUTED_VALUE"""),"גבר")</f>
        <v>גבר</v>
      </c>
      <c r="F136" s="5" t="str">
        <f>IFERROR(__xludf.DUMMYFUNCTION("""COMPUTED_VALUE"""),"אזרחים")</f>
        <v>אזרחים</v>
      </c>
      <c r="G136" s="3"/>
      <c r="H136" s="3" t="str">
        <f>IFERROR(__xludf.DUMMYFUNCTION("""COMPUTED_VALUE"""),"07.10.2023")</f>
        <v>07.10.2023</v>
      </c>
      <c r="I136" s="4" t="str">
        <f>IFERROR(__xludf.DUMMYFUNCTION("""COMPUTED_VALUE"""),"פסטיבל נובה")</f>
        <v>פסטיבל נובה</v>
      </c>
      <c r="J136" s="4" t="str">
        <f>IFERROR(__xludf.DUMMYFUNCTION("""COMPUTED_VALUE"""),"אזרחים וכיתות כוננות")</f>
        <v>אזרחים וכיתות כוננות</v>
      </c>
      <c r="K136" s="5" t="str">
        <f>IFERROR(__xludf.DUMMYFUNCTION("""COMPUTED_VALUE"""),"פסטיבל נובה")</f>
        <v>פסטיבל נובה</v>
      </c>
      <c r="L136" s="3" t="str">
        <f>IFERROR(__xludf.DUMMYFUNCTION("""COMPUTED_VALUE"""),"Eliya Iluz")</f>
        <v>Eliya Iluz</v>
      </c>
      <c r="M136" s="5"/>
    </row>
    <row r="137">
      <c r="A137" s="3">
        <f>IFERROR(__xludf.DUMMYFUNCTION("""COMPUTED_VALUE"""),1575.0)</f>
        <v>1575</v>
      </c>
      <c r="B137" s="4" t="str">
        <f>IFERROR(__xludf.DUMMYFUNCTION("""COMPUTED_VALUE"""),"אילייב אדם")</f>
        <v>אילייב אדם</v>
      </c>
      <c r="C137" s="3">
        <f>IFERROR(__xludf.DUMMYFUNCTION("""COMPUTED_VALUE"""),22.0)</f>
        <v>22</v>
      </c>
      <c r="D137" s="5" t="str">
        <f>IFERROR(__xludf.DUMMYFUNCTION("""COMPUTED_VALUE"""),"אשדוד")</f>
        <v>אשדוד</v>
      </c>
      <c r="E137" s="5" t="str">
        <f>IFERROR(__xludf.DUMMYFUNCTION("""COMPUTED_VALUE"""),"גבר")</f>
        <v>גבר</v>
      </c>
      <c r="F137" s="5" t="str">
        <f>IFERROR(__xludf.DUMMYFUNCTION("""COMPUTED_VALUE"""),"אזרחים")</f>
        <v>אזרחים</v>
      </c>
      <c r="G137" s="3"/>
      <c r="H137" s="3" t="str">
        <f>IFERROR(__xludf.DUMMYFUNCTION("""COMPUTED_VALUE"""),"07.10.2023")</f>
        <v>07.10.2023</v>
      </c>
      <c r="I137" s="4" t="str">
        <f>IFERROR(__xludf.DUMMYFUNCTION("""COMPUTED_VALUE"""),"דרומית לגבים")</f>
        <v>דרומית לגבים</v>
      </c>
      <c r="J137" s="4" t="str">
        <f>IFERROR(__xludf.DUMMYFUNCTION("""COMPUTED_VALUE"""),"אזרחים וכיתות כוננות")</f>
        <v>אזרחים וכיתות כוננות</v>
      </c>
      <c r="K137" s="5" t="str">
        <f>IFERROR(__xludf.DUMMYFUNCTION("""COMPUTED_VALUE"""),"פסטיבל נובה")</f>
        <v>פסטיבל נובה</v>
      </c>
      <c r="L137" s="3" t="str">
        <f>IFERROR(__xludf.DUMMYFUNCTION("""COMPUTED_VALUE"""),"Adam Ilaev")</f>
        <v>Adam Ilaev</v>
      </c>
      <c r="M137" s="5"/>
    </row>
    <row r="138">
      <c r="A138" s="3">
        <f>IFERROR(__xludf.DUMMYFUNCTION("""COMPUTED_VALUE"""),383.0)</f>
        <v>383</v>
      </c>
      <c r="B138" s="4" t="str">
        <f>IFERROR(__xludf.DUMMYFUNCTION("""COMPUTED_VALUE"""),"איירמנדי סיזר איוון")</f>
        <v>איירמנדי סיזר איוון</v>
      </c>
      <c r="C138" s="3">
        <f>IFERROR(__xludf.DUMMYFUNCTION("""COMPUTED_VALUE"""),46.0)</f>
        <v>46</v>
      </c>
      <c r="D138" s="5" t="str">
        <f>IFERROR(__xludf.DUMMYFUNCTION("""COMPUTED_VALUE"""),"כיסופים")</f>
        <v>כיסופים</v>
      </c>
      <c r="E138" s="5" t="str">
        <f>IFERROR(__xludf.DUMMYFUNCTION("""COMPUTED_VALUE"""),"גבר")</f>
        <v>גבר</v>
      </c>
      <c r="F138" s="5" t="str">
        <f>IFERROR(__xludf.DUMMYFUNCTION("""COMPUTED_VALUE"""),"אזרחים")</f>
        <v>אזרחים</v>
      </c>
      <c r="G138" s="3"/>
      <c r="H138" s="3" t="str">
        <f>IFERROR(__xludf.DUMMYFUNCTION("""COMPUTED_VALUE"""),"07.10.2023")</f>
        <v>07.10.2023</v>
      </c>
      <c r="I138" s="4" t="str">
        <f>IFERROR(__xludf.DUMMYFUNCTION("""COMPUTED_VALUE"""),"כיסופים")</f>
        <v>כיסופים</v>
      </c>
      <c r="J138" s="4" t="str">
        <f>IFERROR(__xludf.DUMMYFUNCTION("""COMPUTED_VALUE"""),"אזרחים וכיתות כוננות")</f>
        <v>אזרחים וכיתות כוננות</v>
      </c>
      <c r="K138" s="5"/>
      <c r="L138" s="3" t="str">
        <f>IFERROR(__xludf.DUMMYFUNCTION("""COMPUTED_VALUE"""),"Iván Illarramendi Saizar")</f>
        <v>Iván Illarramendi Saizar</v>
      </c>
      <c r="M138" s="5"/>
    </row>
    <row r="139">
      <c r="A139" s="3">
        <f>IFERROR(__xludf.DUMMYFUNCTION("""COMPUTED_VALUE"""),743.0)</f>
        <v>743</v>
      </c>
      <c r="B139" s="4" t="str">
        <f>IFERROR(__xludf.DUMMYFUNCTION("""COMPUTED_VALUE"""),"אליהו יהונתן")</f>
        <v>אליהו יהונתן</v>
      </c>
      <c r="C139" s="3">
        <f>IFERROR(__xludf.DUMMYFUNCTION("""COMPUTED_VALUE"""),21.0)</f>
        <v>21</v>
      </c>
      <c r="D139" s="5" t="str">
        <f>IFERROR(__xludf.DUMMYFUNCTION("""COMPUTED_VALUE"""),"ראשון לציון")</f>
        <v>ראשון לציון</v>
      </c>
      <c r="E139" s="5" t="str">
        <f>IFERROR(__xludf.DUMMYFUNCTION("""COMPUTED_VALUE"""),"גבר")</f>
        <v>גבר</v>
      </c>
      <c r="F139" s="5" t="str">
        <f>IFERROR(__xludf.DUMMYFUNCTION("""COMPUTED_VALUE"""),"אזרחים")</f>
        <v>אזרחים</v>
      </c>
      <c r="G139" s="3"/>
      <c r="H139" s="3" t="str">
        <f>IFERROR(__xludf.DUMMYFUNCTION("""COMPUTED_VALUE"""),"07.10.2023")</f>
        <v>07.10.2023</v>
      </c>
      <c r="I139" s="4" t="str">
        <f>IFERROR(__xludf.DUMMYFUNCTION("""COMPUTED_VALUE"""),"פסטיבל נובה")</f>
        <v>פסטיבל נובה</v>
      </c>
      <c r="J139" s="4" t="str">
        <f>IFERROR(__xludf.DUMMYFUNCTION("""COMPUTED_VALUE"""),"אזרחים וכיתות כוננות")</f>
        <v>אזרחים וכיתות כוננות</v>
      </c>
      <c r="K139" s="5" t="str">
        <f>IFERROR(__xludf.DUMMYFUNCTION("""COMPUTED_VALUE"""),"פסטיבל נובה")</f>
        <v>פסטיבל נובה</v>
      </c>
      <c r="L139" s="3" t="str">
        <f>IFERROR(__xludf.DUMMYFUNCTION("""COMPUTED_VALUE"""),"Yonatan Eliyahu")</f>
        <v>Yonatan Eliyahu</v>
      </c>
      <c r="M139" s="5"/>
    </row>
    <row r="140">
      <c r="A140" s="3">
        <f>IFERROR(__xludf.DUMMYFUNCTION("""COMPUTED_VALUE"""),1595.0)</f>
        <v>1595</v>
      </c>
      <c r="B140" s="4" t="str">
        <f>IFERROR(__xludf.DUMMYFUNCTION("""COMPUTED_VALUE"""),"אלפסי שלמה אליהו")</f>
        <v>אלפסי שלמה אליהו</v>
      </c>
      <c r="C140" s="3">
        <f>IFERROR(__xludf.DUMMYFUNCTION("""COMPUTED_VALUE"""),52.0)</f>
        <v>52</v>
      </c>
      <c r="D140" s="5" t="str">
        <f>IFERROR(__xludf.DUMMYFUNCTION("""COMPUTED_VALUE"""),"אשקלון")</f>
        <v>אשקלון</v>
      </c>
      <c r="E140" s="5" t="str">
        <f>IFERROR(__xludf.DUMMYFUNCTION("""COMPUTED_VALUE"""),"גבר")</f>
        <v>גבר</v>
      </c>
      <c r="F140" s="5" t="str">
        <f>IFERROR(__xludf.DUMMYFUNCTION("""COMPUTED_VALUE"""),"אזרחים")</f>
        <v>אזרחים</v>
      </c>
      <c r="G140" s="3"/>
      <c r="H140" s="3" t="str">
        <f>IFERROR(__xludf.DUMMYFUNCTION("""COMPUTED_VALUE"""),"07.10.2023")</f>
        <v>07.10.2023</v>
      </c>
      <c r="I140" s="4" t="str">
        <f>IFERROR(__xludf.DUMMYFUNCTION("""COMPUTED_VALUE"""),"כביש שער הנגב מפלסים")</f>
        <v>כביש שער הנגב מפלסים</v>
      </c>
      <c r="J140" s="2" t="str">
        <f>IFERROR(__xludf.DUMMYFUNCTION("""COMPUTED_VALUE"""),"אזרחים וכיתות כוננות")</f>
        <v>אזרחים וכיתות כוננות</v>
      </c>
      <c r="K140" s="5" t="str">
        <f>IFERROR(__xludf.DUMMYFUNCTION("""COMPUTED_VALUE"""),"פסטיבל נובה")</f>
        <v>פסטיבל נובה</v>
      </c>
      <c r="L140" s="3" t="str">
        <f>IFERROR(__xludf.DUMMYFUNCTION("""COMPUTED_VALUE"""),"Shlomo Alfasi")</f>
        <v>Shlomo Alfasi</v>
      </c>
      <c r="M140" s="5"/>
    </row>
    <row r="141">
      <c r="A141" s="3">
        <f>IFERROR(__xludf.DUMMYFUNCTION("""COMPUTED_VALUE"""),1381.0)</f>
        <v>1381</v>
      </c>
      <c r="B141" s="4" t="str">
        <f>IFERROR(__xludf.DUMMYFUNCTION("""COMPUTED_VALUE"""),"אלפראחין ח'אלד")</f>
        <v>אלפראחין ח'אלד</v>
      </c>
      <c r="C141" s="3">
        <f>IFERROR(__xludf.DUMMYFUNCTION("""COMPUTED_VALUE"""),50.0)</f>
        <v>50</v>
      </c>
      <c r="D141" s="5" t="str">
        <f>IFERROR(__xludf.DUMMYFUNCTION("""COMPUTED_VALUE"""),"ערערה בנגב")</f>
        <v>ערערה בנגב</v>
      </c>
      <c r="E141" s="5" t="str">
        <f>IFERROR(__xludf.DUMMYFUNCTION("""COMPUTED_VALUE"""),"גבר")</f>
        <v>גבר</v>
      </c>
      <c r="F141" s="5" t="str">
        <f>IFERROR(__xludf.DUMMYFUNCTION("""COMPUTED_VALUE"""),"אזרחים")</f>
        <v>אזרחים</v>
      </c>
      <c r="G141" s="3"/>
      <c r="H141" s="3" t="str">
        <f>IFERROR(__xludf.DUMMYFUNCTION("""COMPUTED_VALUE"""),"07.10.2023")</f>
        <v>07.10.2023</v>
      </c>
      <c r="I141" s="4" t="str">
        <f>IFERROR(__xludf.DUMMYFUNCTION("""COMPUTED_VALUE"""),"שדרות")</f>
        <v>שדרות</v>
      </c>
      <c r="J141" s="2" t="str">
        <f>IFERROR(__xludf.DUMMYFUNCTION("""COMPUTED_VALUE"""),"אזרחים וכיתות כוננות")</f>
        <v>אזרחים וכיתות כוננות</v>
      </c>
      <c r="K141" s="5" t="str">
        <f>IFERROR(__xludf.DUMMYFUNCTION("""COMPUTED_VALUE"""),"פסטיבל נובה")</f>
        <v>פסטיבל נובה</v>
      </c>
      <c r="L141" s="3" t="str">
        <f>IFERROR(__xludf.DUMMYFUNCTION("""COMPUTED_VALUE"""),"Khaled al-Farajin")</f>
        <v>Khaled al-Farajin</v>
      </c>
      <c r="M141" s="5"/>
    </row>
    <row r="142">
      <c r="A142" s="3">
        <f>IFERROR(__xludf.DUMMYFUNCTION("""COMPUTED_VALUE"""),745.0)</f>
        <v>745</v>
      </c>
      <c r="B142" s="4" t="str">
        <f>IFERROR(__xludf.DUMMYFUNCTION("""COMPUTED_VALUE"""),"אלקיים לוי עינב")</f>
        <v>אלקיים לוי עינב</v>
      </c>
      <c r="C142" s="3">
        <f>IFERROR(__xludf.DUMMYFUNCTION("""COMPUTED_VALUE"""),32.0)</f>
        <v>32</v>
      </c>
      <c r="D142" s="5" t="str">
        <f>IFERROR(__xludf.DUMMYFUNCTION("""COMPUTED_VALUE"""),"ראשון לציון")</f>
        <v>ראשון לציון</v>
      </c>
      <c r="E142" s="5" t="str">
        <f>IFERROR(__xludf.DUMMYFUNCTION("""COMPUTED_VALUE"""),"אישה")</f>
        <v>אישה</v>
      </c>
      <c r="F142" s="5" t="str">
        <f>IFERROR(__xludf.DUMMYFUNCTION("""COMPUTED_VALUE"""),"אזרחים")</f>
        <v>אזרחים</v>
      </c>
      <c r="G142" s="3"/>
      <c r="H142" s="3" t="str">
        <f>IFERROR(__xludf.DUMMYFUNCTION("""COMPUTED_VALUE"""),"07.10.2023")</f>
        <v>07.10.2023</v>
      </c>
      <c r="I142" s="4" t="str">
        <f>IFERROR(__xludf.DUMMYFUNCTION("""COMPUTED_VALUE"""),"מיגונית בכניסה לרעים (מערב)")</f>
        <v>מיגונית בכניסה לרעים (מערב)</v>
      </c>
      <c r="J142" s="4" t="str">
        <f>IFERROR(__xludf.DUMMYFUNCTION("""COMPUTED_VALUE"""),"אזרחים וכיתות כוננות")</f>
        <v>אזרחים וכיתות כוננות</v>
      </c>
      <c r="K142" s="5" t="str">
        <f>IFERROR(__xludf.DUMMYFUNCTION("""COMPUTED_VALUE"""),"פסטיבל נובה")</f>
        <v>פסטיבל נובה</v>
      </c>
      <c r="L142" s="3" t="str">
        <f>IFERROR(__xludf.DUMMYFUNCTION("""COMPUTED_VALUE"""),"Einav Elkayam-Levy")</f>
        <v>Einav Elkayam-Levy</v>
      </c>
      <c r="M142" s="5"/>
    </row>
    <row r="143">
      <c r="A143" s="3">
        <f>IFERROR(__xludf.DUMMYFUNCTION("""COMPUTED_VALUE"""),1380.0)</f>
        <v>1380</v>
      </c>
      <c r="B143" s="4" t="str">
        <f>IFERROR(__xludf.DUMMYFUNCTION("""COMPUTED_VALUE"""),"נסאסרה עבד אלכרים")</f>
        <v>נסאסרה עבד אלכרים</v>
      </c>
      <c r="C143" s="3">
        <f>IFERROR(__xludf.DUMMYFUNCTION("""COMPUTED_VALUE"""),50.0)</f>
        <v>50</v>
      </c>
      <c r="D143" s="5" t="str">
        <f>IFERROR(__xludf.DUMMYFUNCTION("""COMPUTED_VALUE"""),"כסייפה")</f>
        <v>כסייפה</v>
      </c>
      <c r="E143" s="5" t="str">
        <f>IFERROR(__xludf.DUMMYFUNCTION("""COMPUTED_VALUE"""),"גבר")</f>
        <v>גבר</v>
      </c>
      <c r="F143" s="5" t="str">
        <f>IFERROR(__xludf.DUMMYFUNCTION("""COMPUTED_VALUE"""),"אזרחים")</f>
        <v>אזרחים</v>
      </c>
      <c r="G143" s="3"/>
      <c r="H143" s="3" t="str">
        <f>IFERROR(__xludf.DUMMYFUNCTION("""COMPUTED_VALUE"""),"07.10.2023")</f>
        <v>07.10.2023</v>
      </c>
      <c r="I143" s="4" t="str">
        <f>IFERROR(__xludf.DUMMYFUNCTION("""COMPUTED_VALUE"""),"סמוך לצומת רעים")</f>
        <v>סמוך לצומת רעים</v>
      </c>
      <c r="J143" s="4" t="str">
        <f>IFERROR(__xludf.DUMMYFUNCTION("""COMPUTED_VALUE"""),"אזרחים וכיתות כוננות")</f>
        <v>אזרחים וכיתות כוננות</v>
      </c>
      <c r="K143" s="5" t="str">
        <f>IFERROR(__xludf.DUMMYFUNCTION("""COMPUTED_VALUE"""),"פסטיבל נובה")</f>
        <v>פסטיבל נובה</v>
      </c>
      <c r="L143" s="3" t="str">
        <f>IFERROR(__xludf.DUMMYFUNCTION("""COMPUTED_VALUE"""),"Abd Al-Karim Nasasra")</f>
        <v>Abd Al-Karim Nasasra</v>
      </c>
      <c r="M143" s="5"/>
    </row>
    <row r="144">
      <c r="A144" s="3">
        <f>IFERROR(__xludf.DUMMYFUNCTION("""COMPUTED_VALUE"""),1616.0)</f>
        <v>1616</v>
      </c>
      <c r="B144" s="4" t="str">
        <f>IFERROR(__xludf.DUMMYFUNCTION("""COMPUTED_VALUE"""),"אלשיך שלמה (שלומי) אליהו")</f>
        <v>אלשיך שלמה (שלומי) אליהו</v>
      </c>
      <c r="C144" s="3">
        <f>IFERROR(__xludf.DUMMYFUNCTION("""COMPUTED_VALUE"""),28.0)</f>
        <v>28</v>
      </c>
      <c r="D144" s="5" t="str">
        <f>IFERROR(__xludf.DUMMYFUNCTION("""COMPUTED_VALUE"""),"בני ברק")</f>
        <v>בני ברק</v>
      </c>
      <c r="E144" s="5" t="str">
        <f>IFERROR(__xludf.DUMMYFUNCTION("""COMPUTED_VALUE"""),"גבר")</f>
        <v>גבר</v>
      </c>
      <c r="F144" s="5" t="str">
        <f>IFERROR(__xludf.DUMMYFUNCTION("""COMPUTED_VALUE"""),"אזרחים")</f>
        <v>אזרחים</v>
      </c>
      <c r="G144" s="3"/>
      <c r="H144" s="3" t="str">
        <f>IFERROR(__xludf.DUMMYFUNCTION("""COMPUTED_VALUE"""),"07.10.2023")</f>
        <v>07.10.2023</v>
      </c>
      <c r="I144" s="4" t="str">
        <f>IFERROR(__xludf.DUMMYFUNCTION("""COMPUTED_VALUE"""),"פסטיבל נובה")</f>
        <v>פסטיבל נובה</v>
      </c>
      <c r="J144" s="4" t="str">
        <f>IFERROR(__xludf.DUMMYFUNCTION("""COMPUTED_VALUE"""),"אזרחים וכיתות כוננות")</f>
        <v>אזרחים וכיתות כוננות</v>
      </c>
      <c r="K144" s="5" t="str">
        <f>IFERROR(__xludf.DUMMYFUNCTION("""COMPUTED_VALUE"""),"פסטיבל נובה")</f>
        <v>פסטיבל נובה</v>
      </c>
      <c r="L144" s="3" t="str">
        <f>IFERROR(__xludf.DUMMYFUNCTION("""COMPUTED_VALUE"""),"Shlomo Eliyahu Alshich")</f>
        <v>Shlomo Eliyahu Alshich</v>
      </c>
      <c r="M144" s="5"/>
    </row>
    <row r="145">
      <c r="A145" s="3">
        <f>IFERROR(__xludf.DUMMYFUNCTION("""COMPUTED_VALUE"""),676.0)</f>
        <v>676</v>
      </c>
      <c r="B145" s="4" t="str">
        <f>IFERROR(__xludf.DUMMYFUNCTION("""COMPUTED_VALUE"""),"אמין שני")</f>
        <v>אמין שני</v>
      </c>
      <c r="C145" s="3">
        <f>IFERROR(__xludf.DUMMYFUNCTION("""COMPUTED_VALUE"""),18.0)</f>
        <v>18</v>
      </c>
      <c r="D145" s="5" t="str">
        <f>IFERROR(__xludf.DUMMYFUNCTION("""COMPUTED_VALUE"""),"אשדוד")</f>
        <v>אשדוד</v>
      </c>
      <c r="E145" s="5" t="str">
        <f>IFERROR(__xludf.DUMMYFUNCTION("""COMPUTED_VALUE"""),"אישה")</f>
        <v>אישה</v>
      </c>
      <c r="F145" s="5" t="str">
        <f>IFERROR(__xludf.DUMMYFUNCTION("""COMPUTED_VALUE"""),"אזרחים")</f>
        <v>אזרחים</v>
      </c>
      <c r="G145" s="3"/>
      <c r="H145" s="3" t="str">
        <f>IFERROR(__xludf.DUMMYFUNCTION("""COMPUTED_VALUE"""),"07.10.2023")</f>
        <v>07.10.2023</v>
      </c>
      <c r="I145" s="4" t="str">
        <f>IFERROR(__xludf.DUMMYFUNCTION("""COMPUTED_VALUE"""),"דרומית לגבים")</f>
        <v>דרומית לגבים</v>
      </c>
      <c r="J145" s="4" t="str">
        <f>IFERROR(__xludf.DUMMYFUNCTION("""COMPUTED_VALUE"""),"אזרחים וכיתות כוננות")</f>
        <v>אזרחים וכיתות כוננות</v>
      </c>
      <c r="K145" s="5" t="str">
        <f>IFERROR(__xludf.DUMMYFUNCTION("""COMPUTED_VALUE"""),"פסטיבל נובה")</f>
        <v>פסטיבל נובה</v>
      </c>
      <c r="L145" s="3" t="str">
        <f>IFERROR(__xludf.DUMMYFUNCTION("""COMPUTED_VALUE"""),"Shani Amin")</f>
        <v>Shani Amin</v>
      </c>
      <c r="M145" s="5"/>
    </row>
    <row r="146">
      <c r="A146" s="3">
        <f>IFERROR(__xludf.DUMMYFUNCTION("""COMPUTED_VALUE"""),747.0)</f>
        <v>747</v>
      </c>
      <c r="B146" s="4" t="str">
        <f>IFERROR(__xludf.DUMMYFUNCTION("""COMPUTED_VALUE"""),"אנגלנדר נועה")</f>
        <v>אנגלנדר נועה</v>
      </c>
      <c r="C146" s="3">
        <f>IFERROR(__xludf.DUMMYFUNCTION("""COMPUTED_VALUE"""),23.0)</f>
        <v>23</v>
      </c>
      <c r="D146" s="5" t="str">
        <f>IFERROR(__xludf.DUMMYFUNCTION("""COMPUTED_VALUE"""),"קריית ביאליק")</f>
        <v>קריית ביאליק</v>
      </c>
      <c r="E146" s="5" t="str">
        <f>IFERROR(__xludf.DUMMYFUNCTION("""COMPUTED_VALUE"""),"אישה")</f>
        <v>אישה</v>
      </c>
      <c r="F146" s="5" t="str">
        <f>IFERROR(__xludf.DUMMYFUNCTION("""COMPUTED_VALUE"""),"אזרחים")</f>
        <v>אזרחים</v>
      </c>
      <c r="G146" s="3"/>
      <c r="H146" s="3" t="str">
        <f>IFERROR(__xludf.DUMMYFUNCTION("""COMPUTED_VALUE"""),"07.10.2023")</f>
        <v>07.10.2023</v>
      </c>
      <c r="I146" s="4" t="str">
        <f>IFERROR(__xludf.DUMMYFUNCTION("""COMPUTED_VALUE"""),"פסטיבל נובה; בר צפוני")</f>
        <v>פסטיבל נובה; בר צפוני</v>
      </c>
      <c r="J146" s="4" t="str">
        <f>IFERROR(__xludf.DUMMYFUNCTION("""COMPUTED_VALUE"""),"אזרחים וכיתות כוננות")</f>
        <v>אזרחים וכיתות כוננות</v>
      </c>
      <c r="K146" s="5" t="str">
        <f>IFERROR(__xludf.DUMMYFUNCTION("""COMPUTED_VALUE"""),"פסטיבל נובה")</f>
        <v>פסטיבל נובה</v>
      </c>
      <c r="L146" s="3" t="str">
        <f>IFERROR(__xludf.DUMMYFUNCTION("""COMPUTED_VALUE"""),"Noa Englander")</f>
        <v>Noa Englander</v>
      </c>
      <c r="M146" s="5"/>
    </row>
    <row r="147">
      <c r="A147" s="3">
        <f>IFERROR(__xludf.DUMMYFUNCTION("""COMPUTED_VALUE"""),684.0)</f>
        <v>684</v>
      </c>
      <c r="B147" s="4" t="str">
        <f>IFERROR(__xludf.DUMMYFUNCTION("""COMPUTED_VALUE"""),"אסולין ליאור")</f>
        <v>אסולין ליאור</v>
      </c>
      <c r="C147" s="3">
        <f>IFERROR(__xludf.DUMMYFUNCTION("""COMPUTED_VALUE"""),44.0)</f>
        <v>44</v>
      </c>
      <c r="D147" s="5" t="str">
        <f>IFERROR(__xludf.DUMMYFUNCTION("""COMPUTED_VALUE"""),"רעננה")</f>
        <v>רעננה</v>
      </c>
      <c r="E147" s="5" t="str">
        <f>IFERROR(__xludf.DUMMYFUNCTION("""COMPUTED_VALUE"""),"גבר")</f>
        <v>גבר</v>
      </c>
      <c r="F147" s="5" t="str">
        <f>IFERROR(__xludf.DUMMYFUNCTION("""COMPUTED_VALUE"""),"אזרחים")</f>
        <v>אזרחים</v>
      </c>
      <c r="G147" s="3"/>
      <c r="H147" s="3" t="str">
        <f>IFERROR(__xludf.DUMMYFUNCTION("""COMPUTED_VALUE"""),"07.10.2023")</f>
        <v>07.10.2023</v>
      </c>
      <c r="I147" s="4" t="str">
        <f>IFERROR(__xludf.DUMMYFUNCTION("""COMPUTED_VALUE"""),"כביש שער הנגב מפלסים")</f>
        <v>כביש שער הנגב מפלסים</v>
      </c>
      <c r="J147" s="4" t="str">
        <f>IFERROR(__xludf.DUMMYFUNCTION("""COMPUTED_VALUE"""),"אזרחים וכיתות כוננות")</f>
        <v>אזרחים וכיתות כוננות</v>
      </c>
      <c r="K147" s="5" t="str">
        <f>IFERROR(__xludf.DUMMYFUNCTION("""COMPUTED_VALUE"""),"פסטיבל נובה")</f>
        <v>פסטיבל נובה</v>
      </c>
      <c r="L147" s="3" t="str">
        <f>IFERROR(__xludf.DUMMYFUNCTION("""COMPUTED_VALUE"""),"Lior Asulin")</f>
        <v>Lior Asulin</v>
      </c>
      <c r="M147" s="5"/>
    </row>
    <row r="148">
      <c r="A148" s="3">
        <f>IFERROR(__xludf.DUMMYFUNCTION("""COMPUTED_VALUE"""),685.0)</f>
        <v>685</v>
      </c>
      <c r="B148" s="4" t="str">
        <f>IFERROR(__xludf.DUMMYFUNCTION("""COMPUTED_VALUE"""),"אסולין לירז")</f>
        <v>אסולין לירז</v>
      </c>
      <c r="C148" s="3">
        <f>IFERROR(__xludf.DUMMYFUNCTION("""COMPUTED_VALUE"""),37.0)</f>
        <v>37</v>
      </c>
      <c r="D148" s="5" t="str">
        <f>IFERROR(__xludf.DUMMYFUNCTION("""COMPUTED_VALUE"""),"קריית מלאכי")</f>
        <v>קריית מלאכי</v>
      </c>
      <c r="E148" s="5" t="str">
        <f>IFERROR(__xludf.DUMMYFUNCTION("""COMPUTED_VALUE"""),"אישה")</f>
        <v>אישה</v>
      </c>
      <c r="F148" s="5" t="str">
        <f>IFERROR(__xludf.DUMMYFUNCTION("""COMPUTED_VALUE"""),"אזרחים")</f>
        <v>אזרחים</v>
      </c>
      <c r="G148" s="3"/>
      <c r="H148" s="3" t="str">
        <f>IFERROR(__xludf.DUMMYFUNCTION("""COMPUTED_VALUE"""),"07.10.2023")</f>
        <v>07.10.2023</v>
      </c>
      <c r="I148" s="4" t="str">
        <f>IFERROR(__xludf.DUMMYFUNCTION("""COMPUTED_VALUE"""),"סמוך למפלסים")</f>
        <v>סמוך למפלסים</v>
      </c>
      <c r="J148" s="4" t="str">
        <f>IFERROR(__xludf.DUMMYFUNCTION("""COMPUTED_VALUE"""),"אזרחים וכיתות כוננות")</f>
        <v>אזרחים וכיתות כוננות</v>
      </c>
      <c r="K148" s="5" t="str">
        <f>IFERROR(__xludf.DUMMYFUNCTION("""COMPUTED_VALUE"""),"פסטיבל נובה")</f>
        <v>פסטיבל נובה</v>
      </c>
      <c r="L148" s="3" t="str">
        <f>IFERROR(__xludf.DUMMYFUNCTION("""COMPUTED_VALUE"""),"Liraz Asulin")</f>
        <v>Liraz Asulin</v>
      </c>
      <c r="M148" s="5"/>
    </row>
    <row r="149">
      <c r="A149" s="3">
        <f>IFERROR(__xludf.DUMMYFUNCTION("""COMPUTED_VALUE"""),682.0)</f>
        <v>682</v>
      </c>
      <c r="B149" s="4" t="str">
        <f>IFERROR(__xludf.DUMMYFUNCTION("""COMPUTED_VALUE"""),"אסייג ליאב")</f>
        <v>אסייג ליאב</v>
      </c>
      <c r="C149" s="3">
        <f>IFERROR(__xludf.DUMMYFUNCTION("""COMPUTED_VALUE"""),24.0)</f>
        <v>24</v>
      </c>
      <c r="D149" s="5" t="str">
        <f>IFERROR(__xludf.DUMMYFUNCTION("""COMPUTED_VALUE"""),"עפולה")</f>
        <v>עפולה</v>
      </c>
      <c r="E149" s="5" t="str">
        <f>IFERROR(__xludf.DUMMYFUNCTION("""COMPUTED_VALUE"""),"גבר")</f>
        <v>גבר</v>
      </c>
      <c r="F149" s="5" t="str">
        <f>IFERROR(__xludf.DUMMYFUNCTION("""COMPUTED_VALUE"""),"אזרחים")</f>
        <v>אזרחים</v>
      </c>
      <c r="G149" s="3"/>
      <c r="H149" s="3" t="str">
        <f>IFERROR(__xludf.DUMMYFUNCTION("""COMPUTED_VALUE"""),"07.10.2023")</f>
        <v>07.10.2023</v>
      </c>
      <c r="I149" s="4" t="str">
        <f>IFERROR(__xludf.DUMMYFUNCTION("""COMPUTED_VALUE"""),"פסטיבל נובה")</f>
        <v>פסטיבל נובה</v>
      </c>
      <c r="J149" s="4" t="str">
        <f>IFERROR(__xludf.DUMMYFUNCTION("""COMPUTED_VALUE"""),"אזרחים וכיתות כוננות")</f>
        <v>אזרחים וכיתות כוננות</v>
      </c>
      <c r="K149" s="5" t="str">
        <f>IFERROR(__xludf.DUMMYFUNCTION("""COMPUTED_VALUE"""),"פסטיבל נובה")</f>
        <v>פסטיבל נובה</v>
      </c>
      <c r="L149" s="3" t="str">
        <f>IFERROR(__xludf.DUMMYFUNCTION("""COMPUTED_VALUE"""),"Liav Asayag")</f>
        <v>Liav Asayag</v>
      </c>
      <c r="M149" s="5"/>
    </row>
    <row r="150">
      <c r="A150" s="3">
        <f>IFERROR(__xludf.DUMMYFUNCTION("""COMPUTED_VALUE"""),1478.0)</f>
        <v>1478</v>
      </c>
      <c r="B150" s="4" t="str">
        <f>IFERROR(__xludf.DUMMYFUNCTION("""COMPUTED_VALUE"""),"אפרים ירין משה")</f>
        <v>אפרים ירין משה</v>
      </c>
      <c r="C150" s="3">
        <f>IFERROR(__xludf.DUMMYFUNCTION("""COMPUTED_VALUE"""),24.0)</f>
        <v>24</v>
      </c>
      <c r="D150" s="5" t="str">
        <f>IFERROR(__xludf.DUMMYFUNCTION("""COMPUTED_VALUE"""),"פתח תקווה")</f>
        <v>פתח תקווה</v>
      </c>
      <c r="E150" s="5" t="str">
        <f>IFERROR(__xludf.DUMMYFUNCTION("""COMPUTED_VALUE"""),"גבר")</f>
        <v>גבר</v>
      </c>
      <c r="F150" s="5" t="str">
        <f>IFERROR(__xludf.DUMMYFUNCTION("""COMPUTED_VALUE"""),"אזרחים")</f>
        <v>אזרחים</v>
      </c>
      <c r="G150" s="3"/>
      <c r="H150" s="3" t="str">
        <f>IFERROR(__xludf.DUMMYFUNCTION("""COMPUTED_VALUE"""),"07.10.2023")</f>
        <v>07.10.2023</v>
      </c>
      <c r="I150" s="4" t="str">
        <f>IFERROR(__xludf.DUMMYFUNCTION("""COMPUTED_VALUE"""),"פסטיבל נובה; סמוך למכולות הצהובות")</f>
        <v>פסטיבל נובה; סמוך למכולות הצהובות</v>
      </c>
      <c r="J150" s="4" t="str">
        <f>IFERROR(__xludf.DUMMYFUNCTION("""COMPUTED_VALUE"""),"אזרחים וכיתות כוננות")</f>
        <v>אזרחים וכיתות כוננות</v>
      </c>
      <c r="K150" s="5" t="str">
        <f>IFERROR(__xludf.DUMMYFUNCTION("""COMPUTED_VALUE"""),"פסטיבל נובה")</f>
        <v>פסטיבל נובה</v>
      </c>
      <c r="L150" s="3" t="str">
        <f>IFERROR(__xludf.DUMMYFUNCTION("""COMPUTED_VALUE"""),"Yarin Moshe Efraim")</f>
        <v>Yarin Moshe Efraim</v>
      </c>
      <c r="M150" s="5"/>
    </row>
    <row r="151">
      <c r="A151" s="3">
        <f>IFERROR(__xludf.DUMMYFUNCTION("""COMPUTED_VALUE"""),1433.0)</f>
        <v>1433</v>
      </c>
      <c r="B151" s="4" t="str">
        <f>IFERROR(__xludf.DUMMYFUNCTION("""COMPUTED_VALUE"""),"אפרים נעם ליאל")</f>
        <v>אפרים נעם ליאל</v>
      </c>
      <c r="C151" s="3">
        <f>IFERROR(__xludf.DUMMYFUNCTION("""COMPUTED_VALUE"""),24.0)</f>
        <v>24</v>
      </c>
      <c r="D151" s="5" t="str">
        <f>IFERROR(__xludf.DUMMYFUNCTION("""COMPUTED_VALUE"""),"חד נס")</f>
        <v>חד נס</v>
      </c>
      <c r="E151" s="5" t="str">
        <f>IFERROR(__xludf.DUMMYFUNCTION("""COMPUTED_VALUE"""),"גבר")</f>
        <v>גבר</v>
      </c>
      <c r="F151" s="5" t="str">
        <f>IFERROR(__xludf.DUMMYFUNCTION("""COMPUTED_VALUE"""),"אזרחים")</f>
        <v>אזרחים</v>
      </c>
      <c r="G151" s="3"/>
      <c r="H151" s="3" t="str">
        <f>IFERROR(__xludf.DUMMYFUNCTION("""COMPUTED_VALUE"""),"07.10.2023")</f>
        <v>07.10.2023</v>
      </c>
      <c r="I151" s="4" t="str">
        <f>IFERROR(__xludf.DUMMYFUNCTION("""COMPUTED_VALUE"""),"פסטיבל נובה; בר צפוני")</f>
        <v>פסטיבל נובה; בר צפוני</v>
      </c>
      <c r="J151" s="4" t="str">
        <f>IFERROR(__xludf.DUMMYFUNCTION("""COMPUTED_VALUE"""),"אזרחים וכיתות כוננות")</f>
        <v>אזרחים וכיתות כוננות</v>
      </c>
      <c r="K151" s="5" t="str">
        <f>IFERROR(__xludf.DUMMYFUNCTION("""COMPUTED_VALUE"""),"פסטיבל נובה")</f>
        <v>פסטיבל נובה</v>
      </c>
      <c r="L151" s="3" t="str">
        <f>IFERROR(__xludf.DUMMYFUNCTION("""COMPUTED_VALUE"""),"Noam Efraim")</f>
        <v>Noam Efraim</v>
      </c>
      <c r="M151" s="5"/>
    </row>
    <row r="152">
      <c r="A152" s="3">
        <f>IFERROR(__xludf.DUMMYFUNCTION("""COMPUTED_VALUE"""),740.0)</f>
        <v>740</v>
      </c>
      <c r="B152" s="4" t="str">
        <f>IFERROR(__xludf.DUMMYFUNCTION("""COMPUTED_VALUE"""),"אקשטיין מתן")</f>
        <v>אקשטיין מתן</v>
      </c>
      <c r="C152" s="3">
        <f>IFERROR(__xludf.DUMMYFUNCTION("""COMPUTED_VALUE"""),23.0)</f>
        <v>23</v>
      </c>
      <c r="D152" s="5" t="str">
        <f>IFERROR(__xludf.DUMMYFUNCTION("""COMPUTED_VALUE"""),"אבן יהודה")</f>
        <v>אבן יהודה</v>
      </c>
      <c r="E152" s="5" t="str">
        <f>IFERROR(__xludf.DUMMYFUNCTION("""COMPUTED_VALUE"""),"גבר")</f>
        <v>גבר</v>
      </c>
      <c r="F152" s="5" t="str">
        <f>IFERROR(__xludf.DUMMYFUNCTION("""COMPUTED_VALUE"""),"אזרחים")</f>
        <v>אזרחים</v>
      </c>
      <c r="G152" s="3"/>
      <c r="H152" s="3" t="str">
        <f>IFERROR(__xludf.DUMMYFUNCTION("""COMPUTED_VALUE"""),"07.10.2023")</f>
        <v>07.10.2023</v>
      </c>
      <c r="I152" s="4" t="str">
        <f>IFERROR(__xludf.DUMMYFUNCTION("""COMPUTED_VALUE"""),"מיגונית בצומת גמה (צפון)")</f>
        <v>מיגונית בצומת גמה (צפון)</v>
      </c>
      <c r="J152" s="2" t="str">
        <f>IFERROR(__xludf.DUMMYFUNCTION("""COMPUTED_VALUE"""),"אזרחים וכיתות כוננות")</f>
        <v>אזרחים וכיתות כוננות</v>
      </c>
      <c r="K152" s="5" t="str">
        <f>IFERROR(__xludf.DUMMYFUNCTION("""COMPUTED_VALUE"""),"פסטיבל נובה")</f>
        <v>פסטיבל נובה</v>
      </c>
      <c r="L152" s="3" t="str">
        <f>IFERROR(__xludf.DUMMYFUNCTION("""COMPUTED_VALUE"""),"Matan Ekstein")</f>
        <v>Matan Ekstein</v>
      </c>
      <c r="M152" s="5"/>
    </row>
    <row r="153">
      <c r="A153" s="3">
        <f>IFERROR(__xludf.DUMMYFUNCTION("""COMPUTED_VALUE"""),679.0)</f>
        <v>679</v>
      </c>
      <c r="B153" s="4" t="str">
        <f>IFERROR(__xludf.DUMMYFUNCTION("""COMPUTED_VALUE"""),"ארד אורי")</f>
        <v>ארד אורי</v>
      </c>
      <c r="C153" s="3">
        <f>IFERROR(__xludf.DUMMYFUNCTION("""COMPUTED_VALUE"""),22.0)</f>
        <v>22</v>
      </c>
      <c r="D153" s="5" t="str">
        <f>IFERROR(__xludf.DUMMYFUNCTION("""COMPUTED_VALUE"""),"חולון")</f>
        <v>חולון</v>
      </c>
      <c r="E153" s="5" t="str">
        <f>IFERROR(__xludf.DUMMYFUNCTION("""COMPUTED_VALUE"""),"גבר")</f>
        <v>גבר</v>
      </c>
      <c r="F153" s="5" t="str">
        <f>IFERROR(__xludf.DUMMYFUNCTION("""COMPUTED_VALUE"""),"אזרחים")</f>
        <v>אזרחים</v>
      </c>
      <c r="G153" s="3"/>
      <c r="H153" s="3" t="str">
        <f>IFERROR(__xludf.DUMMYFUNCTION("""COMPUTED_VALUE"""),"07.10.2023")</f>
        <v>07.10.2023</v>
      </c>
      <c r="I153" s="4" t="str">
        <f>IFERROR(__xludf.DUMMYFUNCTION("""COMPUTED_VALUE"""),"סמוך למפלסים")</f>
        <v>סמוך למפלסים</v>
      </c>
      <c r="J153" s="4" t="str">
        <f>IFERROR(__xludf.DUMMYFUNCTION("""COMPUTED_VALUE"""),"אזרחים וכיתות כוננות")</f>
        <v>אזרחים וכיתות כוננות</v>
      </c>
      <c r="K153" s="5" t="str">
        <f>IFERROR(__xludf.DUMMYFUNCTION("""COMPUTED_VALUE"""),"פסטיבל נובה")</f>
        <v>פסטיבל נובה</v>
      </c>
      <c r="L153" s="3" t="str">
        <f>IFERROR(__xludf.DUMMYFUNCTION("""COMPUTED_VALUE"""),"Ori Arad")</f>
        <v>Ori Arad</v>
      </c>
      <c r="M153" s="5"/>
    </row>
    <row r="154">
      <c r="A154" s="3">
        <f>IFERROR(__xludf.DUMMYFUNCTION("""COMPUTED_VALUE"""),678.0)</f>
        <v>678</v>
      </c>
      <c r="B154" s="4" t="str">
        <f>IFERROR(__xludf.DUMMYFUNCTION("""COMPUTED_VALUE"""),"ארד נבו")</f>
        <v>ארד נבו</v>
      </c>
      <c r="C154" s="3">
        <f>IFERROR(__xludf.DUMMYFUNCTION("""COMPUTED_VALUE"""),25.0)</f>
        <v>25</v>
      </c>
      <c r="D154" s="5" t="str">
        <f>IFERROR(__xludf.DUMMYFUNCTION("""COMPUTED_VALUE"""),"סעד")</f>
        <v>סעד</v>
      </c>
      <c r="E154" s="5" t="str">
        <f>IFERROR(__xludf.DUMMYFUNCTION("""COMPUTED_VALUE"""),"גבר")</f>
        <v>גבר</v>
      </c>
      <c r="F154" s="5" t="str">
        <f>IFERROR(__xludf.DUMMYFUNCTION("""COMPUTED_VALUE"""),"אזרחים")</f>
        <v>אזרחים</v>
      </c>
      <c r="G154" s="3"/>
      <c r="H154" s="3" t="str">
        <f>IFERROR(__xludf.DUMMYFUNCTION("""COMPUTED_VALUE"""),"07.10.2023")</f>
        <v>07.10.2023</v>
      </c>
      <c r="I154" s="4" t="str">
        <f>IFERROR(__xludf.DUMMYFUNCTION("""COMPUTED_VALUE"""),"פסטיבל נובה")</f>
        <v>פסטיבל נובה</v>
      </c>
      <c r="J154" s="4" t="str">
        <f>IFERROR(__xludf.DUMMYFUNCTION("""COMPUTED_VALUE"""),"אזרחים וכיתות כוננות")</f>
        <v>אזרחים וכיתות כוננות</v>
      </c>
      <c r="K154" s="5" t="str">
        <f>IFERROR(__xludf.DUMMYFUNCTION("""COMPUTED_VALUE"""),"פסטיבל נובה")</f>
        <v>פסטיבל נובה</v>
      </c>
      <c r="L154" s="3" t="str">
        <f>IFERROR(__xludf.DUMMYFUNCTION("""COMPUTED_VALUE"""),"Nevo Arad")</f>
        <v>Nevo Arad</v>
      </c>
      <c r="M154" s="5"/>
    </row>
    <row r="155">
      <c r="A155" s="3">
        <f>IFERROR(__xludf.DUMMYFUNCTION("""COMPUTED_VALUE"""),681.0)</f>
        <v>681</v>
      </c>
      <c r="B155" s="4" t="str">
        <f>IFERROR(__xludf.DUMMYFUNCTION("""COMPUTED_VALUE"""),"אריאל דן")</f>
        <v>אריאל דן</v>
      </c>
      <c r="C155" s="3">
        <f>IFERROR(__xludf.DUMMYFUNCTION("""COMPUTED_VALUE"""),23.0)</f>
        <v>23</v>
      </c>
      <c r="D155" s="5" t="str">
        <f>IFERROR(__xludf.DUMMYFUNCTION("""COMPUTED_VALUE"""),"הרצליה")</f>
        <v>הרצליה</v>
      </c>
      <c r="E155" s="5" t="str">
        <f>IFERROR(__xludf.DUMMYFUNCTION("""COMPUTED_VALUE"""),"גבר")</f>
        <v>גבר</v>
      </c>
      <c r="F155" s="5" t="str">
        <f>IFERROR(__xludf.DUMMYFUNCTION("""COMPUTED_VALUE"""),"אזרחים")</f>
        <v>אזרחים</v>
      </c>
      <c r="G155" s="3"/>
      <c r="H155" s="3" t="str">
        <f>IFERROR(__xludf.DUMMYFUNCTION("""COMPUTED_VALUE"""),"07.10.2023")</f>
        <v>07.10.2023</v>
      </c>
      <c r="I155" s="4" t="str">
        <f>IFERROR(__xludf.DUMMYFUNCTION("""COMPUTED_VALUE"""),"מיגונית בצומת גמה (מערב)")</f>
        <v>מיגונית בצומת גמה (מערב)</v>
      </c>
      <c r="J155" s="4" t="str">
        <f>IFERROR(__xludf.DUMMYFUNCTION("""COMPUTED_VALUE"""),"אזרחים וכיתות כוננות")</f>
        <v>אזרחים וכיתות כוננות</v>
      </c>
      <c r="K155" s="5" t="str">
        <f>IFERROR(__xludf.DUMMYFUNCTION("""COMPUTED_VALUE"""),"פסטיבל נובה")</f>
        <v>פסטיבל נובה</v>
      </c>
      <c r="L155" s="3" t="str">
        <f>IFERROR(__xludf.DUMMYFUNCTION("""COMPUTED_VALUE"""),"Dan Ariel")</f>
        <v>Dan Ariel</v>
      </c>
      <c r="M155" s="5"/>
    </row>
    <row r="156">
      <c r="A156" s="3">
        <f>IFERROR(__xludf.DUMMYFUNCTION("""COMPUTED_VALUE"""),1536.0)</f>
        <v>1536</v>
      </c>
      <c r="B156" s="4" t="str">
        <f>IFERROR(__xludf.DUMMYFUNCTION("""COMPUTED_VALUE"""),"ארנין איילת")</f>
        <v>ארנין איילת</v>
      </c>
      <c r="C156" s="3">
        <f>IFERROR(__xludf.DUMMYFUNCTION("""COMPUTED_VALUE"""),22.0)</f>
        <v>22</v>
      </c>
      <c r="D156" s="5" t="str">
        <f>IFERROR(__xludf.DUMMYFUNCTION("""COMPUTED_VALUE"""),"עצמון")</f>
        <v>עצמון</v>
      </c>
      <c r="E156" s="5" t="str">
        <f>IFERROR(__xludf.DUMMYFUNCTION("""COMPUTED_VALUE"""),"אישה")</f>
        <v>אישה</v>
      </c>
      <c r="F156" s="5" t="str">
        <f>IFERROR(__xludf.DUMMYFUNCTION("""COMPUTED_VALUE"""),"אזרחים")</f>
        <v>אזרחים</v>
      </c>
      <c r="G156" s="3"/>
      <c r="H156" s="3" t="str">
        <f>IFERROR(__xludf.DUMMYFUNCTION("""COMPUTED_VALUE"""),"07.10.2023")</f>
        <v>07.10.2023</v>
      </c>
      <c r="I156" s="4" t="str">
        <f>IFERROR(__xludf.DUMMYFUNCTION("""COMPUTED_VALUE"""),"מיגונית בכניסה לרעים (מערב)")</f>
        <v>מיגונית בכניסה לרעים (מערב)</v>
      </c>
      <c r="J156" s="4" t="str">
        <f>IFERROR(__xludf.DUMMYFUNCTION("""COMPUTED_VALUE"""),"אזרחים וכיתות כוננות")</f>
        <v>אזרחים וכיתות כוננות</v>
      </c>
      <c r="K156" s="5" t="str">
        <f>IFERROR(__xludf.DUMMYFUNCTION("""COMPUTED_VALUE"""),"פסטיבל נובה")</f>
        <v>פסטיבל נובה</v>
      </c>
      <c r="L156" s="3" t="str">
        <f>IFERROR(__xludf.DUMMYFUNCTION("""COMPUTED_VALUE"""),"Ayelet Arnin")</f>
        <v>Ayelet Arnin</v>
      </c>
      <c r="M156" s="5"/>
    </row>
    <row r="157">
      <c r="A157" s="3">
        <f>IFERROR(__xludf.DUMMYFUNCTION("""COMPUTED_VALUE"""),683.0)</f>
        <v>683</v>
      </c>
      <c r="B157" s="4" t="str">
        <f>IFERROR(__xludf.DUMMYFUNCTION("""COMPUTED_VALUE"""),"אשואן סהר")</f>
        <v>אשואן סהר</v>
      </c>
      <c r="C157" s="3">
        <f>IFERROR(__xludf.DUMMYFUNCTION("""COMPUTED_VALUE"""),22.0)</f>
        <v>22</v>
      </c>
      <c r="D157" s="5" t="str">
        <f>IFERROR(__xludf.DUMMYFUNCTION("""COMPUTED_VALUE"""),"נתניה")</f>
        <v>נתניה</v>
      </c>
      <c r="E157" s="5" t="str">
        <f>IFERROR(__xludf.DUMMYFUNCTION("""COMPUTED_VALUE"""),"גבר")</f>
        <v>גבר</v>
      </c>
      <c r="F157" s="5" t="str">
        <f>IFERROR(__xludf.DUMMYFUNCTION("""COMPUTED_VALUE"""),"אזרחים")</f>
        <v>אזרחים</v>
      </c>
      <c r="G157" s="3"/>
      <c r="H157" s="3" t="str">
        <f>IFERROR(__xludf.DUMMYFUNCTION("""COMPUTED_VALUE"""),"07.10.2023")</f>
        <v>07.10.2023</v>
      </c>
      <c r="I157" s="4" t="str">
        <f>IFERROR(__xludf.DUMMYFUNCTION("""COMPUTED_VALUE"""),"פסטיבל נובה")</f>
        <v>פסטיבל נובה</v>
      </c>
      <c r="J157" s="4" t="str">
        <f>IFERROR(__xludf.DUMMYFUNCTION("""COMPUTED_VALUE"""),"אזרחים וכיתות כוננות")</f>
        <v>אזרחים וכיתות כוננות</v>
      </c>
      <c r="K157" s="5" t="str">
        <f>IFERROR(__xludf.DUMMYFUNCTION("""COMPUTED_VALUE"""),"פסטיבל נובה")</f>
        <v>פסטיבל נובה</v>
      </c>
      <c r="L157" s="3" t="str">
        <f>IFERROR(__xludf.DUMMYFUNCTION("""COMPUTED_VALUE"""),"Sahar Ashuan")</f>
        <v>Sahar Ashuan</v>
      </c>
      <c r="M157" s="5"/>
    </row>
    <row r="158">
      <c r="A158" s="3">
        <f>IFERROR(__xludf.DUMMYFUNCTION("""COMPUTED_VALUE"""),1504.0)</f>
        <v>1504</v>
      </c>
      <c r="B158" s="4" t="str">
        <f>IFERROR(__xludf.DUMMYFUNCTION("""COMPUTED_VALUE"""),"בהט דרור")</f>
        <v>בהט דרור</v>
      </c>
      <c r="C158" s="3">
        <f>IFERROR(__xludf.DUMMYFUNCTION("""COMPUTED_VALUE"""),30.0)</f>
        <v>30</v>
      </c>
      <c r="D158" s="5" t="str">
        <f>IFERROR(__xludf.DUMMYFUNCTION("""COMPUTED_VALUE"""),"בית אלפא")</f>
        <v>בית אלפא</v>
      </c>
      <c r="E158" s="5" t="str">
        <f>IFERROR(__xludf.DUMMYFUNCTION("""COMPUTED_VALUE"""),"גבר")</f>
        <v>גבר</v>
      </c>
      <c r="F158" s="5" t="str">
        <f>IFERROR(__xludf.DUMMYFUNCTION("""COMPUTED_VALUE"""),"אזרחים")</f>
        <v>אזרחים</v>
      </c>
      <c r="G158" s="3"/>
      <c r="H158" s="3" t="str">
        <f>IFERROR(__xludf.DUMMYFUNCTION("""COMPUTED_VALUE"""),"07.10.2023")</f>
        <v>07.10.2023</v>
      </c>
      <c r="I158" s="4" t="str">
        <f>IFERROR(__xludf.DUMMYFUNCTION("""COMPUTED_VALUE"""),"פסטיבל נובה")</f>
        <v>פסטיבל נובה</v>
      </c>
      <c r="J158" s="4" t="str">
        <f>IFERROR(__xludf.DUMMYFUNCTION("""COMPUTED_VALUE"""),"אזרחים וכיתות כוננות")</f>
        <v>אזרחים וכיתות כוננות</v>
      </c>
      <c r="K158" s="5" t="str">
        <f>IFERROR(__xludf.DUMMYFUNCTION("""COMPUTED_VALUE"""),"פסטיבל נובה")</f>
        <v>פסטיבל נובה</v>
      </c>
      <c r="L158" s="3" t="str">
        <f>IFERROR(__xludf.DUMMYFUNCTION("""COMPUTED_VALUE"""),"Dror Bahat")</f>
        <v>Dror Bahat</v>
      </c>
      <c r="M158" s="5"/>
    </row>
    <row r="159">
      <c r="A159" s="3">
        <f>IFERROR(__xludf.DUMMYFUNCTION("""COMPUTED_VALUE"""),715.0)</f>
        <v>715</v>
      </c>
      <c r="B159" s="4" t="str">
        <f>IFERROR(__xludf.DUMMYFUNCTION("""COMPUTED_VALUE"""),"בובטס בן איון אורטל")</f>
        <v>בובטס בן איון אורטל</v>
      </c>
      <c r="C159" s="3">
        <f>IFERROR(__xludf.DUMMYFUNCTION("""COMPUTED_VALUE"""),24.0)</f>
        <v>24</v>
      </c>
      <c r="D159" s="5" t="str">
        <f>IFERROR(__xludf.DUMMYFUNCTION("""COMPUTED_VALUE"""),"ירושלים")</f>
        <v>ירושלים</v>
      </c>
      <c r="E159" s="5" t="str">
        <f>IFERROR(__xludf.DUMMYFUNCTION("""COMPUTED_VALUE"""),"אישה")</f>
        <v>אישה</v>
      </c>
      <c r="F159" s="5" t="str">
        <f>IFERROR(__xludf.DUMMYFUNCTION("""COMPUTED_VALUE"""),"אזרחים")</f>
        <v>אזרחים</v>
      </c>
      <c r="G159" s="3"/>
      <c r="H159" s="3" t="str">
        <f>IFERROR(__xludf.DUMMYFUNCTION("""COMPUTED_VALUE"""),"07.10.2023")</f>
        <v>07.10.2023</v>
      </c>
      <c r="I159" s="4" t="str">
        <f>IFERROR(__xludf.DUMMYFUNCTION("""COMPUTED_VALUE"""),"סמוך לצומת בארי")</f>
        <v>סמוך לצומת בארי</v>
      </c>
      <c r="J159" s="4" t="str">
        <f>IFERROR(__xludf.DUMMYFUNCTION("""COMPUTED_VALUE"""),"אזרחים וכיתות כוננות")</f>
        <v>אזרחים וכיתות כוננות</v>
      </c>
      <c r="K159" s="5" t="str">
        <f>IFERROR(__xludf.DUMMYFUNCTION("""COMPUTED_VALUE"""),"פסטיבל נובה")</f>
        <v>פסטיבל נובה</v>
      </c>
      <c r="L159" s="3" t="str">
        <f>IFERROR(__xludf.DUMMYFUNCTION("""COMPUTED_VALUE"""),"ortal Bubtas Ben-Ayun")</f>
        <v>ortal Bubtas Ben-Ayun</v>
      </c>
      <c r="M159" s="5"/>
    </row>
    <row r="160">
      <c r="A160" s="3">
        <f>IFERROR(__xludf.DUMMYFUNCTION("""COMPUTED_VALUE"""),1485.0)</f>
        <v>1485</v>
      </c>
      <c r="B160" s="4" t="str">
        <f>IFERROR(__xludf.DUMMYFUNCTION("""COMPUTED_VALUE"""),"בולדס דורון")</f>
        <v>בולדס דורון</v>
      </c>
      <c r="C160" s="3">
        <f>IFERROR(__xludf.DUMMYFUNCTION("""COMPUTED_VALUE"""),34.0)</f>
        <v>34</v>
      </c>
      <c r="D160" s="5" t="str">
        <f>IFERROR(__xludf.DUMMYFUNCTION("""COMPUTED_VALUE"""),"גן השומרון")</f>
        <v>גן השומרון</v>
      </c>
      <c r="E160" s="5" t="str">
        <f>IFERROR(__xludf.DUMMYFUNCTION("""COMPUTED_VALUE"""),"גבר")</f>
        <v>גבר</v>
      </c>
      <c r="F160" s="5" t="str">
        <f>IFERROR(__xludf.DUMMYFUNCTION("""COMPUTED_VALUE"""),"אזרחים")</f>
        <v>אזרחים</v>
      </c>
      <c r="G160" s="3"/>
      <c r="H160" s="3" t="str">
        <f>IFERROR(__xludf.DUMMYFUNCTION("""COMPUTED_VALUE"""),"07.10.2023")</f>
        <v>07.10.2023</v>
      </c>
      <c r="I160" s="4" t="str">
        <f>IFERROR(__xludf.DUMMYFUNCTION("""COMPUTED_VALUE"""),"פסטיבל נובה; בר מרכזי")</f>
        <v>פסטיבל נובה; בר מרכזי</v>
      </c>
      <c r="J160" s="4" t="str">
        <f>IFERROR(__xludf.DUMMYFUNCTION("""COMPUTED_VALUE"""),"אזרחים וכיתות כוננות")</f>
        <v>אזרחים וכיתות כוננות</v>
      </c>
      <c r="K160" s="5" t="str">
        <f>IFERROR(__xludf.DUMMYFUNCTION("""COMPUTED_VALUE"""),"פסטיבל נובה")</f>
        <v>פסטיבל נובה</v>
      </c>
      <c r="L160" s="3" t="str">
        <f>IFERROR(__xludf.DUMMYFUNCTION("""COMPUTED_VALUE"""),"Doron Bolds")</f>
        <v>Doron Bolds</v>
      </c>
      <c r="M160" s="5"/>
    </row>
    <row r="161">
      <c r="A161" s="3">
        <f>IFERROR(__xludf.DUMMYFUNCTION("""COMPUTED_VALUE"""),1499.0)</f>
        <v>1499</v>
      </c>
      <c r="B161" s="4" t="str">
        <f>IFERROR(__xludf.DUMMYFUNCTION("""COMPUTED_VALUE"""),"בונגרט סופיה")</f>
        <v>בונגרט סופיה</v>
      </c>
      <c r="C161" s="3">
        <f>IFERROR(__xludf.DUMMYFUNCTION("""COMPUTED_VALUE"""),21.0)</f>
        <v>21</v>
      </c>
      <c r="D161" s="5" t="str">
        <f>IFERROR(__xludf.DUMMYFUNCTION("""COMPUTED_VALUE"""),"כרמיאל")</f>
        <v>כרמיאל</v>
      </c>
      <c r="E161" s="5" t="str">
        <f>IFERROR(__xludf.DUMMYFUNCTION("""COMPUTED_VALUE"""),"אישה")</f>
        <v>אישה</v>
      </c>
      <c r="F161" s="5" t="str">
        <f>IFERROR(__xludf.DUMMYFUNCTION("""COMPUTED_VALUE"""),"אזרחים")</f>
        <v>אזרחים</v>
      </c>
      <c r="G161" s="3"/>
      <c r="H161" s="3" t="str">
        <f>IFERROR(__xludf.DUMMYFUNCTION("""COMPUTED_VALUE"""),"07.10.2023")</f>
        <v>07.10.2023</v>
      </c>
      <c r="I161" s="4" t="str">
        <f>IFERROR(__xludf.DUMMYFUNCTION("""COMPUTED_VALUE"""),"מיגונית בצומת בארי")</f>
        <v>מיגונית בצומת בארי</v>
      </c>
      <c r="J161" s="4" t="str">
        <f>IFERROR(__xludf.DUMMYFUNCTION("""COMPUTED_VALUE"""),"אזרחים וכיתות כוננות")</f>
        <v>אזרחים וכיתות כוננות</v>
      </c>
      <c r="K161" s="5" t="str">
        <f>IFERROR(__xludf.DUMMYFUNCTION("""COMPUTED_VALUE"""),"פסטיבל נובה")</f>
        <v>פסטיבל נובה</v>
      </c>
      <c r="L161" s="3" t="str">
        <f>IFERROR(__xludf.DUMMYFUNCTION("""COMPUTED_VALUE"""),"Sofia Bongrat")</f>
        <v>Sofia Bongrat</v>
      </c>
      <c r="M161" s="5"/>
    </row>
    <row r="162">
      <c r="A162" s="3">
        <f>IFERROR(__xludf.DUMMYFUNCTION("""COMPUTED_VALUE"""),717.0)</f>
        <v>717</v>
      </c>
      <c r="B162" s="4" t="str">
        <f>IFERROR(__xludf.DUMMYFUNCTION("""COMPUTED_VALUE"""),"בוסקילה ירדן")</f>
        <v>בוסקילה ירדן</v>
      </c>
      <c r="C162" s="3">
        <f>IFERROR(__xludf.DUMMYFUNCTION("""COMPUTED_VALUE"""),25.0)</f>
        <v>25</v>
      </c>
      <c r="D162" s="5" t="str">
        <f>IFERROR(__xludf.DUMMYFUNCTION("""COMPUTED_VALUE"""),"כפר מסריק")</f>
        <v>כפר מסריק</v>
      </c>
      <c r="E162" s="5" t="str">
        <f>IFERROR(__xludf.DUMMYFUNCTION("""COMPUTED_VALUE"""),"גבר")</f>
        <v>גבר</v>
      </c>
      <c r="F162" s="5" t="str">
        <f>IFERROR(__xludf.DUMMYFUNCTION("""COMPUTED_VALUE"""),"אזרחים")</f>
        <v>אזרחים</v>
      </c>
      <c r="G162" s="3"/>
      <c r="H162" s="3" t="str">
        <f>IFERROR(__xludf.DUMMYFUNCTION("""COMPUTED_VALUE"""),"07.10.2023")</f>
        <v>07.10.2023</v>
      </c>
      <c r="I162" s="4" t="str">
        <f>IFERROR(__xludf.DUMMYFUNCTION("""COMPUTED_VALUE"""),"פסטיבל נובה; סמוך למכולות הצהובות")</f>
        <v>פסטיבל נובה; סמוך למכולות הצהובות</v>
      </c>
      <c r="J162" s="4" t="str">
        <f>IFERROR(__xludf.DUMMYFUNCTION("""COMPUTED_VALUE"""),"אזרחים וכיתות כוננות")</f>
        <v>אזרחים וכיתות כוננות</v>
      </c>
      <c r="K162" s="5" t="str">
        <f>IFERROR(__xludf.DUMMYFUNCTION("""COMPUTED_VALUE"""),"פסטיבל נובה")</f>
        <v>פסטיבל נובה</v>
      </c>
      <c r="L162" s="3" t="str">
        <f>IFERROR(__xludf.DUMMYFUNCTION("""COMPUTED_VALUE"""),"Yarden Buskila")</f>
        <v>Yarden Buskila</v>
      </c>
      <c r="M162" s="5"/>
    </row>
    <row r="163">
      <c r="A163" s="3">
        <f>IFERROR(__xludf.DUMMYFUNCTION("""COMPUTED_VALUE"""),713.0)</f>
        <v>713</v>
      </c>
      <c r="B163" s="4" t="str">
        <f>IFERROR(__xludf.DUMMYFUNCTION("""COMPUTED_VALUE"""),"בועזיז מורלי נטע")</f>
        <v>בועזיז מורלי נטע</v>
      </c>
      <c r="C163" s="3">
        <f>IFERROR(__xludf.DUMMYFUNCTION("""COMPUTED_VALUE"""),40.0)</f>
        <v>40</v>
      </c>
      <c r="D163" s="5" t="str">
        <f>IFERROR(__xludf.DUMMYFUNCTION("""COMPUTED_VALUE"""),"ראשון לציון")</f>
        <v>ראשון לציון</v>
      </c>
      <c r="E163" s="5" t="str">
        <f>IFERROR(__xludf.DUMMYFUNCTION("""COMPUTED_VALUE"""),"אישה")</f>
        <v>אישה</v>
      </c>
      <c r="F163" s="5" t="str">
        <f>IFERROR(__xludf.DUMMYFUNCTION("""COMPUTED_VALUE"""),"אזרחים")</f>
        <v>אזרחים</v>
      </c>
      <c r="G163" s="3"/>
      <c r="H163" s="3" t="str">
        <f>IFERROR(__xludf.DUMMYFUNCTION("""COMPUTED_VALUE"""),"07.10.2023")</f>
        <v>07.10.2023</v>
      </c>
      <c r="I163" s="4" t="str">
        <f>IFERROR(__xludf.DUMMYFUNCTION("""COMPUTED_VALUE"""),"פסטיבל נובה; בר צפוני")</f>
        <v>פסטיבל נובה; בר צפוני</v>
      </c>
      <c r="J163" s="4" t="str">
        <f>IFERROR(__xludf.DUMMYFUNCTION("""COMPUTED_VALUE"""),"אזרחים וכיתות כוננות")</f>
        <v>אזרחים וכיתות כוננות</v>
      </c>
      <c r="K163" s="5" t="str">
        <f>IFERROR(__xludf.DUMMYFUNCTION("""COMPUTED_VALUE"""),"פסטיבל נובה")</f>
        <v>פסטיבל נובה</v>
      </c>
      <c r="L163" s="3" t="str">
        <f>IFERROR(__xludf.DUMMYFUNCTION("""COMPUTED_VALUE"""),"Neta Boaziz Morali")</f>
        <v>Neta Boaziz Morali</v>
      </c>
      <c r="M163" s="5"/>
    </row>
    <row r="164">
      <c r="A164" s="3">
        <f>IFERROR(__xludf.DUMMYFUNCTION("""COMPUTED_VALUE"""),915.0)</f>
        <v>915</v>
      </c>
      <c r="B164" s="4" t="str">
        <f>IFERROR(__xludf.DUMMYFUNCTION("""COMPUTED_VALUE"""),"בוקובזה רז")</f>
        <v>בוקובזה רז</v>
      </c>
      <c r="C164" s="3">
        <f>IFERROR(__xludf.DUMMYFUNCTION("""COMPUTED_VALUE"""),23.0)</f>
        <v>23</v>
      </c>
      <c r="D164" s="5" t="str">
        <f>IFERROR(__xludf.DUMMYFUNCTION("""COMPUTED_VALUE"""),"בית נחמיה")</f>
        <v>בית נחמיה</v>
      </c>
      <c r="E164" s="5" t="str">
        <f>IFERROR(__xludf.DUMMYFUNCTION("""COMPUTED_VALUE"""),"גבר")</f>
        <v>גבר</v>
      </c>
      <c r="F164" s="5" t="str">
        <f>IFERROR(__xludf.DUMMYFUNCTION("""COMPUTED_VALUE"""),"אזרחים")</f>
        <v>אזרחים</v>
      </c>
      <c r="G164" s="3"/>
      <c r="H164" s="3" t="str">
        <f>IFERROR(__xludf.DUMMYFUNCTION("""COMPUTED_VALUE"""),"07.10.2023")</f>
        <v>07.10.2023</v>
      </c>
      <c r="I164" s="4" t="str">
        <f>IFERROR(__xludf.DUMMYFUNCTION("""COMPUTED_VALUE"""),"בכניסה לרעים")</f>
        <v>בכניסה לרעים</v>
      </c>
      <c r="J164" s="4" t="str">
        <f>IFERROR(__xludf.DUMMYFUNCTION("""COMPUTED_VALUE"""),"אזרחים וכיתות כוננות")</f>
        <v>אזרחים וכיתות כוננות</v>
      </c>
      <c r="K164" s="5" t="str">
        <f>IFERROR(__xludf.DUMMYFUNCTION("""COMPUTED_VALUE"""),"פסטיבל נובה")</f>
        <v>פסטיבל נובה</v>
      </c>
      <c r="L164" s="3" t="str">
        <f>IFERROR(__xludf.DUMMYFUNCTION("""COMPUTED_VALUE"""),"Raz Bokovza")</f>
        <v>Raz Bokovza</v>
      </c>
      <c r="M164" s="5"/>
    </row>
    <row r="165">
      <c r="A165" s="3">
        <f>IFERROR(__xludf.DUMMYFUNCTION("""COMPUTED_VALUE"""),1389.0)</f>
        <v>1389</v>
      </c>
      <c r="B165" s="4" t="str">
        <f>IFERROR(__xludf.DUMMYFUNCTION("""COMPUTED_VALUE"""),"בור גלאון ליעם")</f>
        <v>בור גלאון ליעם</v>
      </c>
      <c r="C165" s="3">
        <f>IFERROR(__xludf.DUMMYFUNCTION("""COMPUTED_VALUE"""),26.0)</f>
        <v>26</v>
      </c>
      <c r="D165" s="5" t="str">
        <f>IFERROR(__xludf.DUMMYFUNCTION("""COMPUTED_VALUE"""),"תל אביב")</f>
        <v>תל אביב</v>
      </c>
      <c r="E165" s="5" t="str">
        <f>IFERROR(__xludf.DUMMYFUNCTION("""COMPUTED_VALUE"""),"גבר")</f>
        <v>גבר</v>
      </c>
      <c r="F165" s="5" t="str">
        <f>IFERROR(__xludf.DUMMYFUNCTION("""COMPUTED_VALUE"""),"אזרחים")</f>
        <v>אזרחים</v>
      </c>
      <c r="G165" s="3"/>
      <c r="H165" s="3" t="str">
        <f>IFERROR(__xludf.DUMMYFUNCTION("""COMPUTED_VALUE"""),"07.10.2023")</f>
        <v>07.10.2023</v>
      </c>
      <c r="I165" s="4" t="str">
        <f>IFERROR(__xludf.DUMMYFUNCTION("""COMPUTED_VALUE"""),"פסטיבל נובה; קמפינג")</f>
        <v>פסטיבל נובה; קמפינג</v>
      </c>
      <c r="J165" s="4" t="str">
        <f>IFERROR(__xludf.DUMMYFUNCTION("""COMPUTED_VALUE"""),"אזרחים וכיתות כוננות")</f>
        <v>אזרחים וכיתות כוננות</v>
      </c>
      <c r="K165" s="5" t="str">
        <f>IFERROR(__xludf.DUMMYFUNCTION("""COMPUTED_VALUE"""),"פסטיבל נובה")</f>
        <v>פסטיבל נובה</v>
      </c>
      <c r="L165" s="3" t="str">
        <f>IFERROR(__xludf.DUMMYFUNCTION("""COMPUTED_VALUE"""),"Liam Gallon")</f>
        <v>Liam Gallon</v>
      </c>
      <c r="M165" s="5"/>
    </row>
    <row r="166">
      <c r="A166" s="3">
        <f>IFERROR(__xludf.DUMMYFUNCTION("""COMPUTED_VALUE"""),1436.0)</f>
        <v>1436</v>
      </c>
      <c r="B166" s="4" t="str">
        <f>IFERROR(__xludf.DUMMYFUNCTION("""COMPUTED_VALUE"""),"בורשטיין מטיאס (הרנן)")</f>
        <v>בורשטיין מטיאס (הרנן)</v>
      </c>
      <c r="C166" s="3">
        <f>IFERROR(__xludf.DUMMYFUNCTION("""COMPUTED_VALUE"""),41.0)</f>
        <v>41</v>
      </c>
      <c r="D166" s="5" t="str">
        <f>IFERROR(__xludf.DUMMYFUNCTION("""COMPUTED_VALUE"""),"כרמיאל")</f>
        <v>כרמיאל</v>
      </c>
      <c r="E166" s="5" t="str">
        <f>IFERROR(__xludf.DUMMYFUNCTION("""COMPUTED_VALUE"""),"גבר")</f>
        <v>גבר</v>
      </c>
      <c r="F166" s="5" t="str">
        <f>IFERROR(__xludf.DUMMYFUNCTION("""COMPUTED_VALUE"""),"אזרחים")</f>
        <v>אזרחים</v>
      </c>
      <c r="G166" s="3"/>
      <c r="H166" s="3" t="str">
        <f>IFERROR(__xludf.DUMMYFUNCTION("""COMPUTED_VALUE"""),"07.10.2023")</f>
        <v>07.10.2023</v>
      </c>
      <c r="I166" s="4" t="str">
        <f>IFERROR(__xludf.DUMMYFUNCTION("""COMPUTED_VALUE"""),"בין נובה לרעים")</f>
        <v>בין נובה לרעים</v>
      </c>
      <c r="J166" s="4" t="str">
        <f>IFERROR(__xludf.DUMMYFUNCTION("""COMPUTED_VALUE"""),"אזרחים וכיתות כוננות")</f>
        <v>אזרחים וכיתות כוננות</v>
      </c>
      <c r="K166" s="5" t="str">
        <f>IFERROR(__xludf.DUMMYFUNCTION("""COMPUTED_VALUE"""),"פסטיבל נובה")</f>
        <v>פסטיבל נובה</v>
      </c>
      <c r="L166" s="3" t="str">
        <f>IFERROR(__xludf.DUMMYFUNCTION("""COMPUTED_VALUE"""),"Matias Burstein")</f>
        <v>Matias Burstein</v>
      </c>
      <c r="M166" s="5"/>
    </row>
    <row r="167">
      <c r="A167" s="3">
        <f>IFERROR(__xludf.DUMMYFUNCTION("""COMPUTED_VALUE"""),1435.0)</f>
        <v>1435</v>
      </c>
      <c r="B167" s="4" t="str">
        <f>IFERROR(__xludf.DUMMYFUNCTION("""COMPUTED_VALUE"""),"בורשטיין עינב (חן)")</f>
        <v>בורשטיין עינב (חן)</v>
      </c>
      <c r="C167" s="3">
        <f>IFERROR(__xludf.DUMMYFUNCTION("""COMPUTED_VALUE"""),39.0)</f>
        <v>39</v>
      </c>
      <c r="D167" s="5" t="str">
        <f>IFERROR(__xludf.DUMMYFUNCTION("""COMPUTED_VALUE"""),"כרמיאל")</f>
        <v>כרמיאל</v>
      </c>
      <c r="E167" s="5" t="str">
        <f>IFERROR(__xludf.DUMMYFUNCTION("""COMPUTED_VALUE"""),"אישה")</f>
        <v>אישה</v>
      </c>
      <c r="F167" s="5" t="str">
        <f>IFERROR(__xludf.DUMMYFUNCTION("""COMPUTED_VALUE"""),"אזרחים")</f>
        <v>אזרחים</v>
      </c>
      <c r="G167" s="3"/>
      <c r="H167" s="3" t="str">
        <f>IFERROR(__xludf.DUMMYFUNCTION("""COMPUTED_VALUE"""),"07.10.2023")</f>
        <v>07.10.2023</v>
      </c>
      <c r="I167" s="4" t="str">
        <f>IFERROR(__xludf.DUMMYFUNCTION("""COMPUTED_VALUE"""),"בין נובה לרעים")</f>
        <v>בין נובה לרעים</v>
      </c>
      <c r="J167" s="4" t="str">
        <f>IFERROR(__xludf.DUMMYFUNCTION("""COMPUTED_VALUE"""),"אזרחים וכיתות כוננות")</f>
        <v>אזרחים וכיתות כוננות</v>
      </c>
      <c r="K167" s="5" t="str">
        <f>IFERROR(__xludf.DUMMYFUNCTION("""COMPUTED_VALUE"""),"פסטיבל נובה")</f>
        <v>פסטיבל נובה</v>
      </c>
      <c r="L167" s="3" t="str">
        <f>IFERROR(__xludf.DUMMYFUNCTION("""COMPUTED_VALUE"""),"Einav (Hen) Burstein")</f>
        <v>Einav (Hen) Burstein</v>
      </c>
      <c r="M167" s="5"/>
    </row>
    <row r="168">
      <c r="A168" s="3">
        <f>IFERROR(__xludf.DUMMYFUNCTION("""COMPUTED_VALUE"""),711.0)</f>
        <v>711</v>
      </c>
      <c r="B168" s="4" t="str">
        <f>IFERROR(__xludf.DUMMYFUNCTION("""COMPUTED_VALUE"""),"ביטון בניהו")</f>
        <v>ביטון בניהו</v>
      </c>
      <c r="C168" s="3">
        <f>IFERROR(__xludf.DUMMYFUNCTION("""COMPUTED_VALUE"""),23.0)</f>
        <v>23</v>
      </c>
      <c r="D168" s="5" t="str">
        <f>IFERROR(__xludf.DUMMYFUNCTION("""COMPUTED_VALUE"""),"ירושלים")</f>
        <v>ירושלים</v>
      </c>
      <c r="E168" s="5" t="str">
        <f>IFERROR(__xludf.DUMMYFUNCTION("""COMPUTED_VALUE"""),"גבר")</f>
        <v>גבר</v>
      </c>
      <c r="F168" s="5" t="str">
        <f>IFERROR(__xludf.DUMMYFUNCTION("""COMPUTED_VALUE"""),"אזרחים")</f>
        <v>אזרחים</v>
      </c>
      <c r="G168" s="3"/>
      <c r="H168" s="3" t="str">
        <f>IFERROR(__xludf.DUMMYFUNCTION("""COMPUTED_VALUE"""),"07.10.2023")</f>
        <v>07.10.2023</v>
      </c>
      <c r="I168" s="4" t="str">
        <f>IFERROR(__xludf.DUMMYFUNCTION("""COMPUTED_VALUE"""),"בארי")</f>
        <v>בארי</v>
      </c>
      <c r="J168" s="4" t="str">
        <f>IFERROR(__xludf.DUMMYFUNCTION("""COMPUTED_VALUE"""),"אזרחים וכיתות כוננות")</f>
        <v>אזרחים וכיתות כוננות</v>
      </c>
      <c r="K168" s="5" t="str">
        <f>IFERROR(__xludf.DUMMYFUNCTION("""COMPUTED_VALUE"""),"פסטיבל נובה")</f>
        <v>פסטיבל נובה</v>
      </c>
      <c r="L168" s="3" t="str">
        <f>IFERROR(__xludf.DUMMYFUNCTION("""COMPUTED_VALUE"""),"Benayahu Biton")</f>
        <v>Benayahu Biton</v>
      </c>
      <c r="M168" s="5"/>
    </row>
    <row r="169">
      <c r="A169" s="3">
        <f>IFERROR(__xludf.DUMMYFUNCTION("""COMPUTED_VALUE"""),1526.0)</f>
        <v>1526</v>
      </c>
      <c r="B169" s="4" t="str">
        <f>IFERROR(__xludf.DUMMYFUNCTION("""COMPUTED_VALUE"""),"ביטון מאיה")</f>
        <v>ביטון מאיה</v>
      </c>
      <c r="C169" s="3">
        <f>IFERROR(__xludf.DUMMYFUNCTION("""COMPUTED_VALUE"""),23.0)</f>
        <v>23</v>
      </c>
      <c r="D169" s="5" t="str">
        <f>IFERROR(__xludf.DUMMYFUNCTION("""COMPUTED_VALUE"""),"פתח תקווה")</f>
        <v>פתח תקווה</v>
      </c>
      <c r="E169" s="5" t="str">
        <f>IFERROR(__xludf.DUMMYFUNCTION("""COMPUTED_VALUE"""),"אישה")</f>
        <v>אישה</v>
      </c>
      <c r="F169" s="5" t="str">
        <f>IFERROR(__xludf.DUMMYFUNCTION("""COMPUTED_VALUE"""),"אזרחים")</f>
        <v>אזרחים</v>
      </c>
      <c r="G169" s="3"/>
      <c r="H169" s="3" t="str">
        <f>IFERROR(__xludf.DUMMYFUNCTION("""COMPUTED_VALUE"""),"07.10.2023")</f>
        <v>07.10.2023</v>
      </c>
      <c r="I169" s="4" t="str">
        <f>IFERROR(__xludf.DUMMYFUNCTION("""COMPUTED_VALUE"""),"פסטיבל נובה; מכולות צהובות")</f>
        <v>פסטיבל נובה; מכולות צהובות</v>
      </c>
      <c r="J169" s="4" t="str">
        <f>IFERROR(__xludf.DUMMYFUNCTION("""COMPUTED_VALUE"""),"אזרחים וכיתות כוננות")</f>
        <v>אזרחים וכיתות כוננות</v>
      </c>
      <c r="K169" s="5" t="str">
        <f>IFERROR(__xludf.DUMMYFUNCTION("""COMPUTED_VALUE"""),"פסטיבל נובה")</f>
        <v>פסטיבל נובה</v>
      </c>
      <c r="L169" s="3" t="str">
        <f>IFERROR(__xludf.DUMMYFUNCTION("""COMPUTED_VALUE"""),"Maya Bitton")</f>
        <v>Maya Bitton</v>
      </c>
      <c r="M169" s="5"/>
    </row>
    <row r="170">
      <c r="A170" s="3">
        <f>IFERROR(__xludf.DUMMYFUNCTION("""COMPUTED_VALUE"""),913.0)</f>
        <v>913</v>
      </c>
      <c r="B170" s="4" t="str">
        <f>IFERROR(__xludf.DUMMYFUNCTION("""COMPUTED_VALUE"""),"ביטון מרדכי בן אריאל")</f>
        <v>ביטון מרדכי בן אריאל</v>
      </c>
      <c r="C170" s="3">
        <f>IFERROR(__xludf.DUMMYFUNCTION("""COMPUTED_VALUE"""),22.0)</f>
        <v>22</v>
      </c>
      <c r="D170" s="5" t="str">
        <f>IFERROR(__xludf.DUMMYFUNCTION("""COMPUTED_VALUE"""),"חולון")</f>
        <v>חולון</v>
      </c>
      <c r="E170" s="5" t="str">
        <f>IFERROR(__xludf.DUMMYFUNCTION("""COMPUTED_VALUE"""),"גבר")</f>
        <v>גבר</v>
      </c>
      <c r="F170" s="5" t="str">
        <f>IFERROR(__xludf.DUMMYFUNCTION("""COMPUTED_VALUE"""),"אזרחים")</f>
        <v>אזרחים</v>
      </c>
      <c r="G170" s="3"/>
      <c r="H170" s="3" t="str">
        <f>IFERROR(__xludf.DUMMYFUNCTION("""COMPUTED_VALUE"""),"07.10.2023")</f>
        <v>07.10.2023</v>
      </c>
      <c r="I170" s="4" t="str">
        <f>IFERROR(__xludf.DUMMYFUNCTION("""COMPUTED_VALUE"""),"מיגונית בצומת בארי")</f>
        <v>מיגונית בצומת בארי</v>
      </c>
      <c r="J170" s="4" t="str">
        <f>IFERROR(__xludf.DUMMYFUNCTION("""COMPUTED_VALUE"""),"אזרחים וכיתות כוננות")</f>
        <v>אזרחים וכיתות כוננות</v>
      </c>
      <c r="K170" s="5" t="str">
        <f>IFERROR(__xludf.DUMMYFUNCTION("""COMPUTED_VALUE"""),"פסטיבל נובה")</f>
        <v>פסטיבל נובה</v>
      </c>
      <c r="L170" s="3" t="str">
        <f>IFERROR(__xludf.DUMMYFUNCTION("""COMPUTED_VALUE"""),"Ariel Ben Mordechai Bitton")</f>
        <v>Ariel Ben Mordechai Bitton</v>
      </c>
      <c r="M170" s="5"/>
    </row>
    <row r="171">
      <c r="A171" s="3">
        <f>IFERROR(__xludf.DUMMYFUNCTION("""COMPUTED_VALUE"""),712.0)</f>
        <v>712</v>
      </c>
      <c r="B171" s="4" t="str">
        <f>IFERROR(__xludf.DUMMYFUNCTION("""COMPUTED_VALUE"""),"ביטון נדב")</f>
        <v>ביטון נדב</v>
      </c>
      <c r="C171" s="3">
        <f>IFERROR(__xludf.DUMMYFUNCTION("""COMPUTED_VALUE"""),20.0)</f>
        <v>20</v>
      </c>
      <c r="D171" s="5" t="str">
        <f>IFERROR(__xludf.DUMMYFUNCTION("""COMPUTED_VALUE"""),"אופקים")</f>
        <v>אופקים</v>
      </c>
      <c r="E171" s="5" t="str">
        <f>IFERROR(__xludf.DUMMYFUNCTION("""COMPUTED_VALUE"""),"גבר")</f>
        <v>גבר</v>
      </c>
      <c r="F171" s="5" t="str">
        <f>IFERROR(__xludf.DUMMYFUNCTION("""COMPUTED_VALUE"""),"צה""ל")</f>
        <v>צה"ל</v>
      </c>
      <c r="G171" s="3" t="str">
        <f>IFERROR(__xludf.DUMMYFUNCTION("""COMPUTED_VALUE"""),"סמ״ר")</f>
        <v>סמ״ר</v>
      </c>
      <c r="H171" s="3" t="str">
        <f>IFERROR(__xludf.DUMMYFUNCTION("""COMPUTED_VALUE"""),"07.10.2023")</f>
        <v>07.10.2023</v>
      </c>
      <c r="I171" s="4" t="str">
        <f>IFERROR(__xludf.DUMMYFUNCTION("""COMPUTED_VALUE"""),"עיקול נחל בוהו")</f>
        <v>עיקול נחל בוהו</v>
      </c>
      <c r="J171" s="4" t="str">
        <f>IFERROR(__xludf.DUMMYFUNCTION("""COMPUTED_VALUE"""),"אזרחים וכיתות כוננות")</f>
        <v>אזרחים וכיתות כוננות</v>
      </c>
      <c r="K171" s="5" t="str">
        <f>IFERROR(__xludf.DUMMYFUNCTION("""COMPUTED_VALUE"""),"פסטיבל נובה")</f>
        <v>פסטיבל נובה</v>
      </c>
      <c r="L171" s="3" t="str">
        <f>IFERROR(__xludf.DUMMYFUNCTION("""COMPUTED_VALUE"""),"Nadav Biton")</f>
        <v>Nadav Biton</v>
      </c>
      <c r="M171" s="5"/>
    </row>
    <row r="172">
      <c r="A172" s="3">
        <f>IFERROR(__xludf.DUMMYFUNCTION("""COMPUTED_VALUE"""),701.0)</f>
        <v>701</v>
      </c>
      <c r="B172" s="4" t="str">
        <f>IFERROR(__xludf.DUMMYFUNCTION("""COMPUTED_VALUE"""),"ביילין אורון")</f>
        <v>ביילין אורון</v>
      </c>
      <c r="C172" s="3">
        <f>IFERROR(__xludf.DUMMYFUNCTION("""COMPUTED_VALUE"""),24.0)</f>
        <v>24</v>
      </c>
      <c r="D172" s="5" t="str">
        <f>IFERROR(__xludf.DUMMYFUNCTION("""COMPUTED_VALUE"""),"רמת גן")</f>
        <v>רמת גן</v>
      </c>
      <c r="E172" s="5" t="str">
        <f>IFERROR(__xludf.DUMMYFUNCTION("""COMPUTED_VALUE"""),"גבר")</f>
        <v>גבר</v>
      </c>
      <c r="F172" s="5" t="str">
        <f>IFERROR(__xludf.DUMMYFUNCTION("""COMPUTED_VALUE"""),"אזרחים")</f>
        <v>אזרחים</v>
      </c>
      <c r="G172" s="5"/>
      <c r="H172" s="3" t="str">
        <f>IFERROR(__xludf.DUMMYFUNCTION("""COMPUTED_VALUE"""),"07.10.2023")</f>
        <v>07.10.2023</v>
      </c>
      <c r="I172" s="4" t="str">
        <f>IFERROR(__xludf.DUMMYFUNCTION("""COMPUTED_VALUE"""),"עיקול נחל גרר")</f>
        <v>עיקול נחל גרר</v>
      </c>
      <c r="J172" s="4" t="str">
        <f>IFERROR(__xludf.DUMMYFUNCTION("""COMPUTED_VALUE"""),"אזרחים וכיתות כוננות")</f>
        <v>אזרחים וכיתות כוננות</v>
      </c>
      <c r="K172" s="5" t="str">
        <f>IFERROR(__xludf.DUMMYFUNCTION("""COMPUTED_VALUE"""),"פסטיבל נובה")</f>
        <v>פסטיבל נובה</v>
      </c>
      <c r="L172" s="3" t="str">
        <f>IFERROR(__xludf.DUMMYFUNCTION("""COMPUTED_VALUE"""),"Oron Beiilin")</f>
        <v>Oron Beiilin</v>
      </c>
      <c r="M172" s="5"/>
    </row>
    <row r="173">
      <c r="A173" s="3">
        <f>IFERROR(__xludf.DUMMYFUNCTION("""COMPUTED_VALUE"""),1339.0)</f>
        <v>1339</v>
      </c>
      <c r="B173" s="4" t="str">
        <f>IFERROR(__xludf.DUMMYFUNCTION("""COMPUTED_VALUE"""),"ביילין בן צבי שגיב")</f>
        <v>ביילין בן צבי שגיב</v>
      </c>
      <c r="C173" s="3">
        <f>IFERROR(__xludf.DUMMYFUNCTION("""COMPUTED_VALUE"""),24.0)</f>
        <v>24</v>
      </c>
      <c r="D173" s="5" t="str">
        <f>IFERROR(__xludf.DUMMYFUNCTION("""COMPUTED_VALUE"""),"חולון")</f>
        <v>חולון</v>
      </c>
      <c r="E173" s="5" t="str">
        <f>IFERROR(__xludf.DUMMYFUNCTION("""COMPUTED_VALUE"""),"גבר")</f>
        <v>גבר</v>
      </c>
      <c r="F173" s="5" t="str">
        <f>IFERROR(__xludf.DUMMYFUNCTION("""COMPUTED_VALUE"""),"אזרחים")</f>
        <v>אזרחים</v>
      </c>
      <c r="G173" s="5"/>
      <c r="H173" s="3" t="str">
        <f>IFERROR(__xludf.DUMMYFUNCTION("""COMPUTED_VALUE"""),"07.10.2023")</f>
        <v>07.10.2023</v>
      </c>
      <c r="I173" s="4" t="str">
        <f>IFERROR(__xludf.DUMMYFUNCTION("""COMPUTED_VALUE"""),"סמוך למפלסים")</f>
        <v>סמוך למפלסים</v>
      </c>
      <c r="J173" s="4" t="str">
        <f>IFERROR(__xludf.DUMMYFUNCTION("""COMPUTED_VALUE"""),"אזרחים וכיתות כוננות")</f>
        <v>אזרחים וכיתות כוננות</v>
      </c>
      <c r="K173" s="5" t="str">
        <f>IFERROR(__xludf.DUMMYFUNCTION("""COMPUTED_VALUE"""),"פסטיבל נובה")</f>
        <v>פסטיבל נובה</v>
      </c>
      <c r="L173" s="3" t="str">
        <f>IFERROR(__xludf.DUMMYFUNCTION("""COMPUTED_VALUE"""),"Sagiv Baylin Ben Zvi")</f>
        <v>Sagiv Baylin Ben Zvi</v>
      </c>
      <c r="M173" s="5"/>
    </row>
    <row r="174">
      <c r="A174" s="3">
        <f>IFERROR(__xludf.DUMMYFUNCTION("""COMPUTED_VALUE"""),710.0)</f>
        <v>710</v>
      </c>
      <c r="B174" s="4" t="str">
        <f>IFERROR(__xludf.DUMMYFUNCTION("""COMPUTED_VALUE"""),"ביכר נעומי")</f>
        <v>ביכר נעומי</v>
      </c>
      <c r="C174" s="3">
        <f>IFERROR(__xludf.DUMMYFUNCTION("""COMPUTED_VALUE"""),19.0)</f>
        <v>19</v>
      </c>
      <c r="D174" s="5" t="str">
        <f>IFERROR(__xludf.DUMMYFUNCTION("""COMPUTED_VALUE"""),"אשדוד")</f>
        <v>אשדוד</v>
      </c>
      <c r="E174" s="5" t="str">
        <f>IFERROR(__xludf.DUMMYFUNCTION("""COMPUTED_VALUE"""),"אישה")</f>
        <v>אישה</v>
      </c>
      <c r="F174" s="5" t="str">
        <f>IFERROR(__xludf.DUMMYFUNCTION("""COMPUTED_VALUE"""),"אזרחים")</f>
        <v>אזרחים</v>
      </c>
      <c r="G174" s="3"/>
      <c r="H174" s="3" t="str">
        <f>IFERROR(__xludf.DUMMYFUNCTION("""COMPUTED_VALUE"""),"07.10.2023")</f>
        <v>07.10.2023</v>
      </c>
      <c r="I174" s="4" t="str">
        <f>IFERROR(__xludf.DUMMYFUNCTION("""COMPUTED_VALUE"""),"צומת שער הנגב")</f>
        <v>צומת שער הנגב</v>
      </c>
      <c r="J174" s="4" t="str">
        <f>IFERROR(__xludf.DUMMYFUNCTION("""COMPUTED_VALUE"""),"אזרחים וכיתות כוננות")</f>
        <v>אזרחים וכיתות כוננות</v>
      </c>
      <c r="K174" s="5" t="str">
        <f>IFERROR(__xludf.DUMMYFUNCTION("""COMPUTED_VALUE"""),"פסטיבל נובה")</f>
        <v>פסטיבל נובה</v>
      </c>
      <c r="L174" s="3" t="str">
        <f>IFERROR(__xludf.DUMMYFUNCTION("""COMPUTED_VALUE"""),"Naomie Bikhar")</f>
        <v>Naomie Bikhar</v>
      </c>
      <c r="M174" s="5"/>
    </row>
    <row r="175">
      <c r="A175" s="3">
        <f>IFERROR(__xludf.DUMMYFUNCTION("""COMPUTED_VALUE"""),1583.0)</f>
        <v>1583</v>
      </c>
      <c r="B175" s="4" t="str">
        <f>IFERROR(__xludf.DUMMYFUNCTION("""COMPUTED_VALUE"""),"בילמס ספיר")</f>
        <v>בילמס ספיר</v>
      </c>
      <c r="C175" s="3">
        <f>IFERROR(__xludf.DUMMYFUNCTION("""COMPUTED_VALUE"""),24.0)</f>
        <v>24</v>
      </c>
      <c r="D175" s="5" t="str">
        <f>IFERROR(__xludf.DUMMYFUNCTION("""COMPUTED_VALUE"""),"ראשון לציון")</f>
        <v>ראשון לציון</v>
      </c>
      <c r="E175" s="5" t="str">
        <f>IFERROR(__xludf.DUMMYFUNCTION("""COMPUTED_VALUE"""),"אישה")</f>
        <v>אישה</v>
      </c>
      <c r="F175" s="5" t="str">
        <f>IFERROR(__xludf.DUMMYFUNCTION("""COMPUTED_VALUE"""),"אזרחים")</f>
        <v>אזרחים</v>
      </c>
      <c r="G175" s="3"/>
      <c r="H175" s="3" t="str">
        <f>IFERROR(__xludf.DUMMYFUNCTION("""COMPUTED_VALUE"""),"07.10.2023")</f>
        <v>07.10.2023</v>
      </c>
      <c r="I175" s="4" t="str">
        <f>IFERROR(__xludf.DUMMYFUNCTION("""COMPUTED_VALUE"""),"בכניסה לעלומים")</f>
        <v>בכניסה לעלומים</v>
      </c>
      <c r="J175" s="4" t="str">
        <f>IFERROR(__xludf.DUMMYFUNCTION("""COMPUTED_VALUE"""),"אזרחים וכיתות כוננות")</f>
        <v>אזרחים וכיתות כוננות</v>
      </c>
      <c r="K175" s="5" t="str">
        <f>IFERROR(__xludf.DUMMYFUNCTION("""COMPUTED_VALUE"""),"פסטיבל נובה")</f>
        <v>פסטיבל נובה</v>
      </c>
      <c r="L175" s="3" t="str">
        <f>IFERROR(__xludf.DUMMYFUNCTION("""COMPUTED_VALUE"""),"Sapir Bilmes")</f>
        <v>Sapir Bilmes</v>
      </c>
      <c r="M175" s="5"/>
    </row>
    <row r="176">
      <c r="A176" s="3">
        <f>IFERROR(__xludf.DUMMYFUNCTION("""COMPUTED_VALUE"""),691.0)</f>
        <v>691</v>
      </c>
      <c r="B176" s="4" t="str">
        <f>IFERROR(__xludf.DUMMYFUNCTION("""COMPUTED_VALUE"""),"בכר יהודה")</f>
        <v>בכר יהודה</v>
      </c>
      <c r="C176" s="3">
        <f>IFERROR(__xludf.DUMMYFUNCTION("""COMPUTED_VALUE"""),24.0)</f>
        <v>24</v>
      </c>
      <c r="D176" s="5" t="str">
        <f>IFERROR(__xludf.DUMMYFUNCTION("""COMPUTED_VALUE"""),"ביתר עלית")</f>
        <v>ביתר עלית</v>
      </c>
      <c r="E176" s="5" t="str">
        <f>IFERROR(__xludf.DUMMYFUNCTION("""COMPUTED_VALUE"""),"גבר")</f>
        <v>גבר</v>
      </c>
      <c r="F176" s="5" t="str">
        <f>IFERROR(__xludf.DUMMYFUNCTION("""COMPUTED_VALUE"""),"אזרחים")</f>
        <v>אזרחים</v>
      </c>
      <c r="G176" s="3"/>
      <c r="H176" s="3" t="str">
        <f>IFERROR(__xludf.DUMMYFUNCTION("""COMPUTED_VALUE"""),"07.10.2023")</f>
        <v>07.10.2023</v>
      </c>
      <c r="I176" s="4" t="str">
        <f>IFERROR(__xludf.DUMMYFUNCTION("""COMPUTED_VALUE"""),"בין נובה לרעים")</f>
        <v>בין נובה לרעים</v>
      </c>
      <c r="J176" s="4" t="str">
        <f>IFERROR(__xludf.DUMMYFUNCTION("""COMPUTED_VALUE"""),"אזרחים וכיתות כוננות")</f>
        <v>אזרחים וכיתות כוננות</v>
      </c>
      <c r="K176" s="5" t="str">
        <f>IFERROR(__xludf.DUMMYFUNCTION("""COMPUTED_VALUE"""),"פסטיבל נובה")</f>
        <v>פסטיבל נובה</v>
      </c>
      <c r="L176" s="3" t="str">
        <f>IFERROR(__xludf.DUMMYFUNCTION("""COMPUTED_VALUE"""),"Yehuda Bachar")</f>
        <v>Yehuda Bachar</v>
      </c>
      <c r="M176" s="5"/>
    </row>
    <row r="177">
      <c r="A177" s="3">
        <f>IFERROR(__xludf.DUMMYFUNCTION("""COMPUTED_VALUE"""),886.0)</f>
        <v>886</v>
      </c>
      <c r="B177" s="4" t="str">
        <f>IFERROR(__xludf.DUMMYFUNCTION("""COMPUTED_VALUE"""),"בן אבי חן")</f>
        <v>בן אבי חן</v>
      </c>
      <c r="C177" s="3">
        <f>IFERROR(__xludf.DUMMYFUNCTION("""COMPUTED_VALUE"""),21.0)</f>
        <v>21</v>
      </c>
      <c r="D177" s="5" t="str">
        <f>IFERROR(__xludf.DUMMYFUNCTION("""COMPUTED_VALUE"""),"מבטחים")</f>
        <v>מבטחים</v>
      </c>
      <c r="E177" s="5" t="str">
        <f>IFERROR(__xludf.DUMMYFUNCTION("""COMPUTED_VALUE"""),"אישה")</f>
        <v>אישה</v>
      </c>
      <c r="F177" s="5" t="str">
        <f>IFERROR(__xludf.DUMMYFUNCTION("""COMPUTED_VALUE"""),"אזרחים")</f>
        <v>אזרחים</v>
      </c>
      <c r="G177" s="3"/>
      <c r="H177" s="3" t="str">
        <f>IFERROR(__xludf.DUMMYFUNCTION("""COMPUTED_VALUE"""),"07.10.2023")</f>
        <v>07.10.2023</v>
      </c>
      <c r="I177" s="4" t="str">
        <f>IFERROR(__xludf.DUMMYFUNCTION("""COMPUTED_VALUE"""),"צומת מבטחים")</f>
        <v>צומת מבטחים</v>
      </c>
      <c r="J177" s="4" t="str">
        <f>IFERROR(__xludf.DUMMYFUNCTION("""COMPUTED_VALUE"""),"אזרחים וכיתות כוננות")</f>
        <v>אזרחים וכיתות כוננות</v>
      </c>
      <c r="K177" s="5" t="str">
        <f>IFERROR(__xludf.DUMMYFUNCTION("""COMPUTED_VALUE"""),"פסטיבל נובה")</f>
        <v>פסטיבל נובה</v>
      </c>
      <c r="L177" s="3" t="str">
        <f>IFERROR(__xludf.DUMMYFUNCTION("""COMPUTED_VALUE"""),"Chen Ben Avi")</f>
        <v>Chen Ben Avi</v>
      </c>
      <c r="M177" s="5"/>
    </row>
    <row r="178">
      <c r="A178" s="3">
        <f>IFERROR(__xludf.DUMMYFUNCTION("""COMPUTED_VALUE"""),922.0)</f>
        <v>922</v>
      </c>
      <c r="B178" s="4" t="str">
        <f>IFERROR(__xludf.DUMMYFUNCTION("""COMPUTED_VALUE"""),"בן אבידה עמית (יהודה)")</f>
        <v>בן אבידה עמית (יהודה)</v>
      </c>
      <c r="C178" s="3">
        <f>IFERROR(__xludf.DUMMYFUNCTION("""COMPUTED_VALUE"""),19.0)</f>
        <v>19</v>
      </c>
      <c r="D178" s="5" t="str">
        <f>IFERROR(__xludf.DUMMYFUNCTION("""COMPUTED_VALUE"""),"תל אביב")</f>
        <v>תל אביב</v>
      </c>
      <c r="E178" s="5" t="str">
        <f>IFERROR(__xludf.DUMMYFUNCTION("""COMPUTED_VALUE"""),"גבר")</f>
        <v>גבר</v>
      </c>
      <c r="F178" s="5" t="str">
        <f>IFERROR(__xludf.DUMMYFUNCTION("""COMPUTED_VALUE"""),"אזרחים")</f>
        <v>אזרחים</v>
      </c>
      <c r="G178" s="3"/>
      <c r="H178" s="3" t="str">
        <f>IFERROR(__xludf.DUMMYFUNCTION("""COMPUTED_VALUE"""),"07.10.2023")</f>
        <v>07.10.2023</v>
      </c>
      <c r="I178" s="4" t="str">
        <f>IFERROR(__xludf.DUMMYFUNCTION("""COMPUTED_VALUE"""),"מיגונית בכניסה לרעים (מערב)")</f>
        <v>מיגונית בכניסה לרעים (מערב)</v>
      </c>
      <c r="J178" s="4" t="str">
        <f>IFERROR(__xludf.DUMMYFUNCTION("""COMPUTED_VALUE"""),"אזרחים וכיתות כוננות")</f>
        <v>אזרחים וכיתות כוננות</v>
      </c>
      <c r="K178" s="5" t="str">
        <f>IFERROR(__xludf.DUMMYFUNCTION("""COMPUTED_VALUE"""),"פסטיבל נובה")</f>
        <v>פסטיבל נובה</v>
      </c>
      <c r="L178" s="3" t="str">
        <f>IFERROR(__xludf.DUMMYFUNCTION("""COMPUTED_VALUE"""),"Amit (Yehuda) Ben Avida")</f>
        <v>Amit (Yehuda) Ben Avida</v>
      </c>
      <c r="M178" s="5"/>
    </row>
    <row r="179">
      <c r="A179" s="3">
        <f>IFERROR(__xludf.DUMMYFUNCTION("""COMPUTED_VALUE"""),703.0)</f>
        <v>703</v>
      </c>
      <c r="B179" s="4" t="str">
        <f>IFERROR(__xludf.DUMMYFUNCTION("""COMPUTED_VALUE"""),"בן דוד נגר סלין רחל")</f>
        <v>בן דוד נגר סלין רחל</v>
      </c>
      <c r="C179" s="3">
        <f>IFERROR(__xludf.DUMMYFUNCTION("""COMPUTED_VALUE"""),32.0)</f>
        <v>32</v>
      </c>
      <c r="D179" s="5" t="str">
        <f>IFERROR(__xludf.DUMMYFUNCTION("""COMPUTED_VALUE"""),"חולון")</f>
        <v>חולון</v>
      </c>
      <c r="E179" s="5" t="str">
        <f>IFERROR(__xludf.DUMMYFUNCTION("""COMPUTED_VALUE"""),"אישה")</f>
        <v>אישה</v>
      </c>
      <c r="F179" s="5" t="str">
        <f>IFERROR(__xludf.DUMMYFUNCTION("""COMPUTED_VALUE"""),"אזרחים")</f>
        <v>אזרחים</v>
      </c>
      <c r="G179" s="3"/>
      <c r="H179" s="3" t="str">
        <f>IFERROR(__xludf.DUMMYFUNCTION("""COMPUTED_VALUE"""),"07.10.2023")</f>
        <v>07.10.2023</v>
      </c>
      <c r="I179" s="4" t="str">
        <f>IFERROR(__xludf.DUMMYFUNCTION("""COMPUTED_VALUE"""),"מיגונית מפלסים")</f>
        <v>מיגונית מפלסים</v>
      </c>
      <c r="J179" s="4" t="str">
        <f>IFERROR(__xludf.DUMMYFUNCTION("""COMPUTED_VALUE"""),"אזרחים וכיתות כוננות")</f>
        <v>אזרחים וכיתות כוננות</v>
      </c>
      <c r="K179" s="5" t="str">
        <f>IFERROR(__xludf.DUMMYFUNCTION("""COMPUTED_VALUE"""),"פסטיבל נובה")</f>
        <v>פסטיבל נובה</v>
      </c>
      <c r="L179" s="3" t="str">
        <f>IFERROR(__xludf.DUMMYFUNCTION("""COMPUTED_VALUE"""),"Celine Ben-David Nagar")</f>
        <v>Celine Ben-David Nagar</v>
      </c>
      <c r="M179" s="5"/>
    </row>
    <row r="180">
      <c r="A180" s="3">
        <f>IFERROR(__xludf.DUMMYFUNCTION("""COMPUTED_VALUE"""),1531.0)</f>
        <v>1531</v>
      </c>
      <c r="B180" s="4" t="str">
        <f>IFERROR(__xludf.DUMMYFUNCTION("""COMPUTED_VALUE"""),"בן זינו עידו")</f>
        <v>בן זינו עידו</v>
      </c>
      <c r="C180" s="3">
        <f>IFERROR(__xludf.DUMMYFUNCTION("""COMPUTED_VALUE"""),26.0)</f>
        <v>26</v>
      </c>
      <c r="D180" s="5" t="str">
        <f>IFERROR(__xludf.DUMMYFUNCTION("""COMPUTED_VALUE"""),"מרכז שפירא")</f>
        <v>מרכז שפירא</v>
      </c>
      <c r="E180" s="5" t="str">
        <f>IFERROR(__xludf.DUMMYFUNCTION("""COMPUTED_VALUE"""),"גבר")</f>
        <v>גבר</v>
      </c>
      <c r="F180" s="5" t="str">
        <f>IFERROR(__xludf.DUMMYFUNCTION("""COMPUTED_VALUE"""),"אזרחים")</f>
        <v>אזרחים</v>
      </c>
      <c r="G180" s="3"/>
      <c r="H180" s="3" t="str">
        <f>IFERROR(__xludf.DUMMYFUNCTION("""COMPUTED_VALUE"""),"07.10.2023")</f>
        <v>07.10.2023</v>
      </c>
      <c r="I180" s="4" t="str">
        <f>IFERROR(__xludf.DUMMYFUNCTION("""COMPUTED_VALUE"""),"כביש רעים - אורים")</f>
        <v>כביש רעים - אורים</v>
      </c>
      <c r="J180" s="4" t="str">
        <f>IFERROR(__xludf.DUMMYFUNCTION("""COMPUTED_VALUE"""),"אזרחים וכיתות כוננות")</f>
        <v>אזרחים וכיתות כוננות</v>
      </c>
      <c r="K180" s="5" t="str">
        <f>IFERROR(__xludf.DUMMYFUNCTION("""COMPUTED_VALUE"""),"פסטיבל נובה")</f>
        <v>פסטיבל נובה</v>
      </c>
      <c r="L180" s="3" t="str">
        <f>IFERROR(__xludf.DUMMYFUNCTION("""COMPUTED_VALUE"""),"Ido Ben Zino")</f>
        <v>Ido Ben Zino</v>
      </c>
      <c r="M180" s="5"/>
    </row>
    <row r="181">
      <c r="A181" s="3">
        <f>IFERROR(__xludf.DUMMYFUNCTION("""COMPUTED_VALUE"""),1590.0)</f>
        <v>1590</v>
      </c>
      <c r="B181" s="4" t="str">
        <f>IFERROR(__xludf.DUMMYFUNCTION("""COMPUTED_VALUE"""),"בן זכריה יוחאי")</f>
        <v>בן זכריה יוחאי</v>
      </c>
      <c r="C181" s="3">
        <f>IFERROR(__xludf.DUMMYFUNCTION("""COMPUTED_VALUE"""),23.0)</f>
        <v>23</v>
      </c>
      <c r="D181" s="5" t="str">
        <f>IFERROR(__xludf.DUMMYFUNCTION("""COMPUTED_VALUE"""),"נתניה")</f>
        <v>נתניה</v>
      </c>
      <c r="E181" s="5" t="str">
        <f>IFERROR(__xludf.DUMMYFUNCTION("""COMPUTED_VALUE"""),"גבר")</f>
        <v>גבר</v>
      </c>
      <c r="F181" s="5" t="str">
        <f>IFERROR(__xludf.DUMMYFUNCTION("""COMPUTED_VALUE"""),"אזרחים")</f>
        <v>אזרחים</v>
      </c>
      <c r="G181" s="3"/>
      <c r="H181" s="3" t="str">
        <f>IFERROR(__xludf.DUMMYFUNCTION("""COMPUTED_VALUE"""),"07.10.2023")</f>
        <v>07.10.2023</v>
      </c>
      <c r="I181" s="4" t="str">
        <f>IFERROR(__xludf.DUMMYFUNCTION("""COMPUTED_VALUE"""),"פסטיבל נובה")</f>
        <v>פסטיבל נובה</v>
      </c>
      <c r="J181" s="4" t="str">
        <f>IFERROR(__xludf.DUMMYFUNCTION("""COMPUTED_VALUE"""),"אזרחים וכיתות כוננות")</f>
        <v>אזרחים וכיתות כוננות</v>
      </c>
      <c r="K181" s="5" t="str">
        <f>IFERROR(__xludf.DUMMYFUNCTION("""COMPUTED_VALUE"""),"פסטיבל נובה")</f>
        <v>פסטיבל נובה</v>
      </c>
      <c r="L181" s="3" t="str">
        <f>IFERROR(__xludf.DUMMYFUNCTION("""COMPUTED_VALUE"""),"Yohay Ben Zechariah")</f>
        <v>Yohay Ben Zechariah</v>
      </c>
      <c r="M181" s="5"/>
    </row>
    <row r="182">
      <c r="A182" s="3">
        <f>IFERROR(__xludf.DUMMYFUNCTION("""COMPUTED_VALUE"""),1522.0)</f>
        <v>1522</v>
      </c>
      <c r="B182" s="4" t="str">
        <f>IFERROR(__xludf.DUMMYFUNCTION("""COMPUTED_VALUE"""),"בן חמו אור חיים")</f>
        <v>בן חמו אור חיים</v>
      </c>
      <c r="C182" s="3">
        <f>IFERROR(__xludf.DUMMYFUNCTION("""COMPUTED_VALUE"""),19.0)</f>
        <v>19</v>
      </c>
      <c r="D182" s="5" t="str">
        <f>IFERROR(__xludf.DUMMYFUNCTION("""COMPUTED_VALUE"""),"רחובות")</f>
        <v>רחובות</v>
      </c>
      <c r="E182" s="5" t="str">
        <f>IFERROR(__xludf.DUMMYFUNCTION("""COMPUTED_VALUE"""),"גבר")</f>
        <v>גבר</v>
      </c>
      <c r="F182" s="5" t="str">
        <f>IFERROR(__xludf.DUMMYFUNCTION("""COMPUTED_VALUE"""),"אזרחים")</f>
        <v>אזרחים</v>
      </c>
      <c r="G182" s="3"/>
      <c r="H182" s="3" t="str">
        <f>IFERROR(__xludf.DUMMYFUNCTION("""COMPUTED_VALUE"""),"07.10.2023")</f>
        <v>07.10.2023</v>
      </c>
      <c r="I182" s="4" t="str">
        <f>IFERROR(__xludf.DUMMYFUNCTION("""COMPUTED_VALUE"""),"סמוך למפלסים")</f>
        <v>סמוך למפלסים</v>
      </c>
      <c r="J182" s="4" t="str">
        <f>IFERROR(__xludf.DUMMYFUNCTION("""COMPUTED_VALUE"""),"אזרחים וכיתות כוננות")</f>
        <v>אזרחים וכיתות כוננות</v>
      </c>
      <c r="K182" s="5" t="str">
        <f>IFERROR(__xludf.DUMMYFUNCTION("""COMPUTED_VALUE"""),"פסטיבל נובה")</f>
        <v>פסטיבל נובה</v>
      </c>
      <c r="L182" s="3" t="str">
        <f>IFERROR(__xludf.DUMMYFUNCTION("""COMPUTED_VALUE"""),"Or Chaim Ben Hemo")</f>
        <v>Or Chaim Ben Hemo</v>
      </c>
      <c r="M182" s="5"/>
    </row>
    <row r="183">
      <c r="A183" s="3">
        <f>IFERROR(__xludf.DUMMYFUNCTION("""COMPUTED_VALUE"""),704.0)</f>
        <v>704</v>
      </c>
      <c r="B183" s="4" t="str">
        <f>IFERROR(__xludf.DUMMYFUNCTION("""COMPUTED_VALUE"""),"בן חמו דן")</f>
        <v>בן חמו דן</v>
      </c>
      <c r="C183" s="3">
        <f>IFERROR(__xludf.DUMMYFUNCTION("""COMPUTED_VALUE"""),26.0)</f>
        <v>26</v>
      </c>
      <c r="D183" s="5" t="str">
        <f>IFERROR(__xludf.DUMMYFUNCTION("""COMPUTED_VALUE"""),"רעננה")</f>
        <v>רעננה</v>
      </c>
      <c r="E183" s="5" t="str">
        <f>IFERROR(__xludf.DUMMYFUNCTION("""COMPUTED_VALUE"""),"גבר")</f>
        <v>גבר</v>
      </c>
      <c r="F183" s="5" t="str">
        <f>IFERROR(__xludf.DUMMYFUNCTION("""COMPUTED_VALUE"""),"אזרחים")</f>
        <v>אזרחים</v>
      </c>
      <c r="G183" s="3"/>
      <c r="H183" s="3" t="str">
        <f>IFERROR(__xludf.DUMMYFUNCTION("""COMPUTED_VALUE"""),"07.10.2023")</f>
        <v>07.10.2023</v>
      </c>
      <c r="I183" s="4" t="str">
        <f>IFERROR(__xludf.DUMMYFUNCTION("""COMPUTED_VALUE"""),"פסטיבל נובה; חניה")</f>
        <v>פסטיבל נובה; חניה</v>
      </c>
      <c r="J183" s="4" t="str">
        <f>IFERROR(__xludf.DUMMYFUNCTION("""COMPUTED_VALUE"""),"אזרחים וכיתות כוננות")</f>
        <v>אזרחים וכיתות כוננות</v>
      </c>
      <c r="K183" s="5" t="str">
        <f>IFERROR(__xludf.DUMMYFUNCTION("""COMPUTED_VALUE"""),"פסטיבל נובה")</f>
        <v>פסטיבל נובה</v>
      </c>
      <c r="L183" s="3" t="str">
        <f>IFERROR(__xludf.DUMMYFUNCTION("""COMPUTED_VALUE"""),"Dan Ben Hemo")</f>
        <v>Dan Ben Hemo</v>
      </c>
      <c r="M183" s="5"/>
    </row>
    <row r="184">
      <c r="A184" s="3">
        <f>IFERROR(__xludf.DUMMYFUNCTION("""COMPUTED_VALUE"""),1557.0)</f>
        <v>1557</v>
      </c>
      <c r="B184" s="4" t="str">
        <f>IFERROR(__xludf.DUMMYFUNCTION("""COMPUTED_VALUE"""),"בן נעים שחר")</f>
        <v>בן נעים שחר</v>
      </c>
      <c r="C184" s="3">
        <f>IFERROR(__xludf.DUMMYFUNCTION("""COMPUTED_VALUE"""),42.0)</f>
        <v>42</v>
      </c>
      <c r="D184" s="5" t="str">
        <f>IFERROR(__xludf.DUMMYFUNCTION("""COMPUTED_VALUE"""),"צור משה")</f>
        <v>צור משה</v>
      </c>
      <c r="E184" s="5" t="str">
        <f>IFERROR(__xludf.DUMMYFUNCTION("""COMPUTED_VALUE"""),"גבר")</f>
        <v>גבר</v>
      </c>
      <c r="F184" s="5" t="str">
        <f>IFERROR(__xludf.DUMMYFUNCTION("""COMPUTED_VALUE"""),"אזרחים")</f>
        <v>אזרחים</v>
      </c>
      <c r="G184" s="3"/>
      <c r="H184" s="3" t="str">
        <f>IFERROR(__xludf.DUMMYFUNCTION("""COMPUTED_VALUE"""),"07.10.2023")</f>
        <v>07.10.2023</v>
      </c>
      <c r="I184" s="4" t="str">
        <f>IFERROR(__xludf.DUMMYFUNCTION("""COMPUTED_VALUE"""),"כביש שער הנגב מפלסים")</f>
        <v>כביש שער הנגב מפלסים</v>
      </c>
      <c r="J184" s="4" t="str">
        <f>IFERROR(__xludf.DUMMYFUNCTION("""COMPUTED_VALUE"""),"אזרחים וכיתות כוננות")</f>
        <v>אזרחים וכיתות כוננות</v>
      </c>
      <c r="K184" s="5" t="str">
        <f>IFERROR(__xludf.DUMMYFUNCTION("""COMPUTED_VALUE"""),"פסטיבל נובה")</f>
        <v>פסטיבל נובה</v>
      </c>
      <c r="L184" s="3" t="str">
        <f>IFERROR(__xludf.DUMMYFUNCTION("""COMPUTED_VALUE"""),"Shahar Ben Naim")</f>
        <v>Shahar Ben Naim</v>
      </c>
      <c r="M184" s="5"/>
    </row>
    <row r="185">
      <c r="A185" s="3">
        <f>IFERROR(__xludf.DUMMYFUNCTION("""COMPUTED_VALUE"""),706.0)</f>
        <v>706</v>
      </c>
      <c r="B185" s="4" t="str">
        <f>IFERROR(__xludf.DUMMYFUNCTION("""COMPUTED_VALUE"""),"בן סניור דניאל")</f>
        <v>בן סניור דניאל</v>
      </c>
      <c r="C185" s="3">
        <f>IFERROR(__xludf.DUMMYFUNCTION("""COMPUTED_VALUE"""),34.0)</f>
        <v>34</v>
      </c>
      <c r="D185" s="5" t="str">
        <f>IFERROR(__xludf.DUMMYFUNCTION("""COMPUTED_VALUE"""),"אור עקיבא")</f>
        <v>אור עקיבא</v>
      </c>
      <c r="E185" s="5" t="str">
        <f>IFERROR(__xludf.DUMMYFUNCTION("""COMPUTED_VALUE"""),"אישה")</f>
        <v>אישה</v>
      </c>
      <c r="F185" s="5" t="str">
        <f>IFERROR(__xludf.DUMMYFUNCTION("""COMPUTED_VALUE"""),"אזרחים")</f>
        <v>אזרחים</v>
      </c>
      <c r="G185" s="3"/>
      <c r="H185" s="3" t="str">
        <f>IFERROR(__xludf.DUMMYFUNCTION("""COMPUTED_VALUE"""),"07.10.2023")</f>
        <v>07.10.2023</v>
      </c>
      <c r="I185" s="4" t="str">
        <f>IFERROR(__xludf.DUMMYFUNCTION("""COMPUTED_VALUE"""),"סמוך למפלסים")</f>
        <v>סמוך למפלסים</v>
      </c>
      <c r="J185" s="4" t="str">
        <f>IFERROR(__xludf.DUMMYFUNCTION("""COMPUTED_VALUE"""),"אזרחים וכיתות כוננות")</f>
        <v>אזרחים וכיתות כוננות</v>
      </c>
      <c r="K185" s="5" t="str">
        <f>IFERROR(__xludf.DUMMYFUNCTION("""COMPUTED_VALUE"""),"פסטיבל נובה")</f>
        <v>פסטיבל נובה</v>
      </c>
      <c r="L185" s="3" t="str">
        <f>IFERROR(__xludf.DUMMYFUNCTION("""COMPUTED_VALUE"""),"Daniel Ben Senior")</f>
        <v>Daniel Ben Senior</v>
      </c>
      <c r="M185" s="5"/>
    </row>
    <row r="186">
      <c r="A186" s="3">
        <f>IFERROR(__xludf.DUMMYFUNCTION("""COMPUTED_VALUE"""),702.0)</f>
        <v>702</v>
      </c>
      <c r="B186" s="4" t="str">
        <f>IFERROR(__xludf.DUMMYFUNCTION("""COMPUTED_VALUE"""),"בן עמי שני")</f>
        <v>בן עמי שני</v>
      </c>
      <c r="C186" s="3">
        <f>IFERROR(__xludf.DUMMYFUNCTION("""COMPUTED_VALUE"""),27.0)</f>
        <v>27</v>
      </c>
      <c r="D186" s="5" t="str">
        <f>IFERROR(__xludf.DUMMYFUNCTION("""COMPUTED_VALUE"""),"חולון")</f>
        <v>חולון</v>
      </c>
      <c r="E186" s="5" t="str">
        <f>IFERROR(__xludf.DUMMYFUNCTION("""COMPUTED_VALUE"""),"אישה")</f>
        <v>אישה</v>
      </c>
      <c r="F186" s="5" t="str">
        <f>IFERROR(__xludf.DUMMYFUNCTION("""COMPUTED_VALUE"""),"אזרחים")</f>
        <v>אזרחים</v>
      </c>
      <c r="G186" s="3"/>
      <c r="H186" s="3" t="str">
        <f>IFERROR(__xludf.DUMMYFUNCTION("""COMPUTED_VALUE"""),"07.10.2023")</f>
        <v>07.10.2023</v>
      </c>
      <c r="I186" s="4" t="str">
        <f>IFERROR(__xludf.DUMMYFUNCTION("""COMPUTED_VALUE"""),"פסטיבל נובה; מיגונית חניון רעים")</f>
        <v>פסטיבל נובה; מיגונית חניון רעים</v>
      </c>
      <c r="J186" s="4" t="str">
        <f>IFERROR(__xludf.DUMMYFUNCTION("""COMPUTED_VALUE"""),"אזרחים וכיתות כוננות")</f>
        <v>אזרחים וכיתות כוננות</v>
      </c>
      <c r="K186" s="5" t="str">
        <f>IFERROR(__xludf.DUMMYFUNCTION("""COMPUTED_VALUE"""),"פסטיבל נובה")</f>
        <v>פסטיבל נובה</v>
      </c>
      <c r="L186" s="3" t="str">
        <f>IFERROR(__xludf.DUMMYFUNCTION("""COMPUTED_VALUE"""),"Shani Ben-Ami")</f>
        <v>Shani Ben-Ami</v>
      </c>
      <c r="M186" s="5"/>
    </row>
    <row r="187">
      <c r="A187" s="3">
        <f>IFERROR(__xludf.DUMMYFUNCTION("""COMPUTED_VALUE"""),1082.0)</f>
        <v>1082</v>
      </c>
      <c r="B187" s="4" t="str">
        <f>IFERROR(__xludf.DUMMYFUNCTION("""COMPUTED_VALUE"""),"בן פורת אליסף")</f>
        <v>בן פורת אליסף</v>
      </c>
      <c r="C187" s="3">
        <f>IFERROR(__xludf.DUMMYFUNCTION("""COMPUTED_VALUE"""),21.0)</f>
        <v>21</v>
      </c>
      <c r="D187" s="5" t="str">
        <f>IFERROR(__xludf.DUMMYFUNCTION("""COMPUTED_VALUE"""),"צפת")</f>
        <v>צפת</v>
      </c>
      <c r="E187" s="5" t="str">
        <f>IFERROR(__xludf.DUMMYFUNCTION("""COMPUTED_VALUE"""),"גבר")</f>
        <v>גבר</v>
      </c>
      <c r="F187" s="5" t="str">
        <f>IFERROR(__xludf.DUMMYFUNCTION("""COMPUTED_VALUE"""),"צה""ל")</f>
        <v>צה"ל</v>
      </c>
      <c r="G187" s="3" t="str">
        <f>IFERROR(__xludf.DUMMYFUNCTION("""COMPUTED_VALUE"""),"סמ״ר")</f>
        <v>סמ״ר</v>
      </c>
      <c r="H187" s="3" t="str">
        <f>IFERROR(__xludf.DUMMYFUNCTION("""COMPUTED_VALUE"""),"07.10.2023")</f>
        <v>07.10.2023</v>
      </c>
      <c r="I187" s="4" t="str">
        <f>IFERROR(__xludf.DUMMYFUNCTION("""COMPUTED_VALUE"""),"סמוך למפלסים")</f>
        <v>סמוך למפלסים</v>
      </c>
      <c r="J187" s="4" t="str">
        <f>IFERROR(__xludf.DUMMYFUNCTION("""COMPUTED_VALUE"""),"אזרחים וכיתות כוננות")</f>
        <v>אזרחים וכיתות כוננות</v>
      </c>
      <c r="K187" s="5" t="str">
        <f>IFERROR(__xludf.DUMMYFUNCTION("""COMPUTED_VALUE"""),"פסטיבל נובה")</f>
        <v>פסטיבל נובה</v>
      </c>
      <c r="L187" s="3" t="str">
        <f>IFERROR(__xludf.DUMMYFUNCTION("""COMPUTED_VALUE"""),"Elyasif Ben Porat")</f>
        <v>Elyasif Ben Porat</v>
      </c>
      <c r="M187" s="5"/>
    </row>
    <row r="188">
      <c r="A188" s="3">
        <f>IFERROR(__xludf.DUMMYFUNCTION("""COMPUTED_VALUE"""),705.0)</f>
        <v>705</v>
      </c>
      <c r="B188" s="4" t="str">
        <f>IFERROR(__xludf.DUMMYFUNCTION("""COMPUTED_VALUE"""),"בן רובי עדן")</f>
        <v>בן רובי עדן</v>
      </c>
      <c r="C188" s="3">
        <f>IFERROR(__xludf.DUMMYFUNCTION("""COMPUTED_VALUE"""),23.0)</f>
        <v>23</v>
      </c>
      <c r="D188" s="5" t="str">
        <f>IFERROR(__xludf.DUMMYFUNCTION("""COMPUTED_VALUE"""),"ראשון לציון")</f>
        <v>ראשון לציון</v>
      </c>
      <c r="E188" s="5" t="str">
        <f>IFERROR(__xludf.DUMMYFUNCTION("""COMPUTED_VALUE"""),"אישה")</f>
        <v>אישה</v>
      </c>
      <c r="F188" s="5" t="str">
        <f>IFERROR(__xludf.DUMMYFUNCTION("""COMPUTED_VALUE"""),"אזרחים")</f>
        <v>אזרחים</v>
      </c>
      <c r="G188" s="5"/>
      <c r="H188" s="3" t="str">
        <f>IFERROR(__xludf.DUMMYFUNCTION("""COMPUTED_VALUE"""),"07.10.2023")</f>
        <v>07.10.2023</v>
      </c>
      <c r="I188" s="4" t="str">
        <f>IFERROR(__xludf.DUMMYFUNCTION("""COMPUTED_VALUE"""),"מיגונית בצומת בארי")</f>
        <v>מיגונית בצומת בארי</v>
      </c>
      <c r="J188" s="4" t="str">
        <f>IFERROR(__xludf.DUMMYFUNCTION("""COMPUTED_VALUE"""),"אזרחים וכיתות כוננות")</f>
        <v>אזרחים וכיתות כוננות</v>
      </c>
      <c r="K188" s="5" t="str">
        <f>IFERROR(__xludf.DUMMYFUNCTION("""COMPUTED_VALUE"""),"פסטיבל נובה")</f>
        <v>פסטיבל נובה</v>
      </c>
      <c r="L188" s="3" t="str">
        <f>IFERROR(__xludf.DUMMYFUNCTION("""COMPUTED_VALUE"""),"Eden Ben Rubi")</f>
        <v>Eden Ben Rubi</v>
      </c>
      <c r="M188" s="5"/>
    </row>
    <row r="189">
      <c r="A189" s="3">
        <f>IFERROR(__xludf.DUMMYFUNCTION("""COMPUTED_VALUE"""),1446.0)</f>
        <v>1446</v>
      </c>
      <c r="B189" s="4" t="str">
        <f>IFERROR(__xludf.DUMMYFUNCTION("""COMPUTED_VALUE"""),"בנג'ו איתי")</f>
        <v>בנג'ו איתי</v>
      </c>
      <c r="C189" s="3">
        <f>IFERROR(__xludf.DUMMYFUNCTION("""COMPUTED_VALUE"""),30.0)</f>
        <v>30</v>
      </c>
      <c r="D189" s="5" t="str">
        <f>IFERROR(__xludf.DUMMYFUNCTION("""COMPUTED_VALUE"""),"חיפה")</f>
        <v>חיפה</v>
      </c>
      <c r="E189" s="5" t="str">
        <f>IFERROR(__xludf.DUMMYFUNCTION("""COMPUTED_VALUE"""),"גבר")</f>
        <v>גבר</v>
      </c>
      <c r="F189" s="5" t="str">
        <f>IFERROR(__xludf.DUMMYFUNCTION("""COMPUTED_VALUE"""),"אזרחים")</f>
        <v>אזרחים</v>
      </c>
      <c r="G189" s="5"/>
      <c r="H189" s="3" t="str">
        <f>IFERROR(__xludf.DUMMYFUNCTION("""COMPUTED_VALUE"""),"07.10.2023")</f>
        <v>07.10.2023</v>
      </c>
      <c r="I189" s="4" t="str">
        <f>IFERROR(__xludf.DUMMYFUNCTION("""COMPUTED_VALUE"""),"מיגונית בכניסה לרעים (מערב)")</f>
        <v>מיגונית בכניסה לרעים (מערב)</v>
      </c>
      <c r="J189" s="4" t="str">
        <f>IFERROR(__xludf.DUMMYFUNCTION("""COMPUTED_VALUE"""),"אזרחים וכיתות כוננות")</f>
        <v>אזרחים וכיתות כוננות</v>
      </c>
      <c r="K189" s="5" t="str">
        <f>IFERROR(__xludf.DUMMYFUNCTION("""COMPUTED_VALUE"""),"פסטיבל נובה")</f>
        <v>פסטיבל נובה</v>
      </c>
      <c r="L189" s="3" t="str">
        <f>IFERROR(__xludf.DUMMYFUNCTION("""COMPUTED_VALUE"""),"Itay Banjo")</f>
        <v>Itay Banjo</v>
      </c>
      <c r="M189" s="5"/>
    </row>
    <row r="190">
      <c r="A190" s="3">
        <f>IFERROR(__xludf.DUMMYFUNCTION("""COMPUTED_VALUE"""),692.0)</f>
        <v>692</v>
      </c>
      <c r="B190" s="4" t="str">
        <f>IFERROR(__xludf.DUMMYFUNCTION("""COMPUTED_VALUE"""),"בר דין נהוראי")</f>
        <v>בר דין נהוראי</v>
      </c>
      <c r="C190" s="3">
        <f>IFERROR(__xludf.DUMMYFUNCTION("""COMPUTED_VALUE"""),27.0)</f>
        <v>27</v>
      </c>
      <c r="D190" s="5" t="str">
        <f>IFERROR(__xludf.DUMMYFUNCTION("""COMPUTED_VALUE"""),"אחוזת ברק")</f>
        <v>אחוזת ברק</v>
      </c>
      <c r="E190" s="5" t="str">
        <f>IFERROR(__xludf.DUMMYFUNCTION("""COMPUTED_VALUE"""),"גבר")</f>
        <v>גבר</v>
      </c>
      <c r="F190" s="5" t="str">
        <f>IFERROR(__xludf.DUMMYFUNCTION("""COMPUTED_VALUE"""),"אזרחים")</f>
        <v>אזרחים</v>
      </c>
      <c r="G190" s="3"/>
      <c r="H190" s="3" t="str">
        <f>IFERROR(__xludf.DUMMYFUNCTION("""COMPUTED_VALUE"""),"07.10.2023")</f>
        <v>07.10.2023</v>
      </c>
      <c r="I190" s="4" t="str">
        <f>IFERROR(__xludf.DUMMYFUNCTION("""COMPUTED_VALUE"""),"מיגונית בכניסה לרעים (מזרח)")</f>
        <v>מיגונית בכניסה לרעים (מזרח)</v>
      </c>
      <c r="J190" s="4" t="str">
        <f>IFERROR(__xludf.DUMMYFUNCTION("""COMPUTED_VALUE"""),"אזרחים וכיתות כוננות")</f>
        <v>אזרחים וכיתות כוננות</v>
      </c>
      <c r="K190" s="5" t="str">
        <f>IFERROR(__xludf.DUMMYFUNCTION("""COMPUTED_VALUE"""),"פסטיבל נובה")</f>
        <v>פסטיבל נובה</v>
      </c>
      <c r="L190" s="3" t="str">
        <f>IFERROR(__xludf.DUMMYFUNCTION("""COMPUTED_VALUE"""),"Din Bar")</f>
        <v>Din Bar</v>
      </c>
      <c r="M190" s="5"/>
    </row>
    <row r="191">
      <c r="A191" s="3">
        <f>IFERROR(__xludf.DUMMYFUNCTION("""COMPUTED_VALUE"""),693.0)</f>
        <v>693</v>
      </c>
      <c r="B191" s="4" t="str">
        <f>IFERROR(__xludf.DUMMYFUNCTION("""COMPUTED_VALUE"""),"בר שהם")</f>
        <v>בר שהם</v>
      </c>
      <c r="C191" s="3">
        <f>IFERROR(__xludf.DUMMYFUNCTION("""COMPUTED_VALUE"""),21.0)</f>
        <v>21</v>
      </c>
      <c r="D191" s="5" t="str">
        <f>IFERROR(__xludf.DUMMYFUNCTION("""COMPUTED_VALUE"""),"אחוזת ברק")</f>
        <v>אחוזת ברק</v>
      </c>
      <c r="E191" s="5" t="str">
        <f>IFERROR(__xludf.DUMMYFUNCTION("""COMPUTED_VALUE"""),"גבר")</f>
        <v>גבר</v>
      </c>
      <c r="F191" s="5" t="str">
        <f>IFERROR(__xludf.DUMMYFUNCTION("""COMPUTED_VALUE"""),"צה""ל")</f>
        <v>צה"ל</v>
      </c>
      <c r="G191" s="3" t="str">
        <f>IFERROR(__xludf.DUMMYFUNCTION("""COMPUTED_VALUE"""),"סמ״ר")</f>
        <v>סמ״ר</v>
      </c>
      <c r="H191" s="3" t="str">
        <f>IFERROR(__xludf.DUMMYFUNCTION("""COMPUTED_VALUE"""),"07.10.2023")</f>
        <v>07.10.2023</v>
      </c>
      <c r="I191" s="4" t="str">
        <f>IFERROR(__xludf.DUMMYFUNCTION("""COMPUTED_VALUE"""),"מיגונית בכניסה לרעים (מזרח)")</f>
        <v>מיגונית בכניסה לרעים (מזרח)</v>
      </c>
      <c r="J191" s="4" t="str">
        <f>IFERROR(__xludf.DUMMYFUNCTION("""COMPUTED_VALUE"""),"אזרחים וכיתות כוננות")</f>
        <v>אזרחים וכיתות כוננות</v>
      </c>
      <c r="K191" s="5" t="str">
        <f>IFERROR(__xludf.DUMMYFUNCTION("""COMPUTED_VALUE"""),"פסטיבל נובה")</f>
        <v>פסטיבל נובה</v>
      </c>
      <c r="L191" s="3" t="str">
        <f>IFERROR(__xludf.DUMMYFUNCTION("""COMPUTED_VALUE"""),"Shoham Bar")</f>
        <v>Shoham Bar</v>
      </c>
      <c r="M191" s="5"/>
    </row>
    <row r="192">
      <c r="A192" s="3">
        <f>IFERROR(__xludf.DUMMYFUNCTION("""COMPUTED_VALUE"""),695.0)</f>
        <v>695</v>
      </c>
      <c r="B192" s="4" t="str">
        <f>IFERROR(__xludf.DUMMYFUNCTION("""COMPUTED_VALUE"""),"בראון יובל")</f>
        <v>בראון יובל</v>
      </c>
      <c r="C192" s="3">
        <f>IFERROR(__xludf.DUMMYFUNCTION("""COMPUTED_VALUE"""),25.0)</f>
        <v>25</v>
      </c>
      <c r="D192" s="5" t="str">
        <f>IFERROR(__xludf.DUMMYFUNCTION("""COMPUTED_VALUE"""),"כפר יונה")</f>
        <v>כפר יונה</v>
      </c>
      <c r="E192" s="5" t="str">
        <f>IFERROR(__xludf.DUMMYFUNCTION("""COMPUTED_VALUE"""),"אישה")</f>
        <v>אישה</v>
      </c>
      <c r="F192" s="5" t="str">
        <f>IFERROR(__xludf.DUMMYFUNCTION("""COMPUTED_VALUE"""),"אזרחים")</f>
        <v>אזרחים</v>
      </c>
      <c r="G192" s="5"/>
      <c r="H192" s="3" t="str">
        <f>IFERROR(__xludf.DUMMYFUNCTION("""COMPUTED_VALUE"""),"07.10.2023")</f>
        <v>07.10.2023</v>
      </c>
      <c r="I192" s="4" t="str">
        <f>IFERROR(__xludf.DUMMYFUNCTION("""COMPUTED_VALUE"""),"סמוך למיגונית בצומת גמה (דרום)")</f>
        <v>סמוך למיגונית בצומת גמה (דרום)</v>
      </c>
      <c r="J192" s="4" t="str">
        <f>IFERROR(__xludf.DUMMYFUNCTION("""COMPUTED_VALUE"""),"אזרחים וכיתות כוננות")</f>
        <v>אזרחים וכיתות כוננות</v>
      </c>
      <c r="K192" s="5" t="str">
        <f>IFERROR(__xludf.DUMMYFUNCTION("""COMPUTED_VALUE"""),"פסטיבל נובה")</f>
        <v>פסטיבל נובה</v>
      </c>
      <c r="L192" s="3" t="str">
        <f>IFERROR(__xludf.DUMMYFUNCTION("""COMPUTED_VALUE"""),"Yuval Bar-On")</f>
        <v>Yuval Bar-On</v>
      </c>
      <c r="M192" s="5"/>
    </row>
    <row r="193">
      <c r="A193" s="3">
        <f>IFERROR(__xludf.DUMMYFUNCTION("""COMPUTED_VALUE"""),1617.0)</f>
        <v>1617</v>
      </c>
      <c r="B193" s="4" t="str">
        <f>IFERROR(__xludf.DUMMYFUNCTION("""COMPUTED_VALUE"""),"בראל גבריאל ישי")</f>
        <v>בראל גבריאל ישי</v>
      </c>
      <c r="C193" s="3">
        <f>IFERROR(__xludf.DUMMYFUNCTION("""COMPUTED_VALUE"""),22.0)</f>
        <v>22</v>
      </c>
      <c r="D193" s="5" t="str">
        <f>IFERROR(__xludf.DUMMYFUNCTION("""COMPUTED_VALUE"""),"צפת")</f>
        <v>צפת</v>
      </c>
      <c r="E193" s="5" t="str">
        <f>IFERROR(__xludf.DUMMYFUNCTION("""COMPUTED_VALUE"""),"גבר")</f>
        <v>גבר</v>
      </c>
      <c r="F193" s="5" t="str">
        <f>IFERROR(__xludf.DUMMYFUNCTION("""COMPUTED_VALUE"""),"אזרחים")</f>
        <v>אזרחים</v>
      </c>
      <c r="G193" s="5"/>
      <c r="H193" s="3" t="str">
        <f>IFERROR(__xludf.DUMMYFUNCTION("""COMPUTED_VALUE"""),"07.10.2023")</f>
        <v>07.10.2023</v>
      </c>
      <c r="I193" s="4" t="str">
        <f>IFERROR(__xludf.DUMMYFUNCTION("""COMPUTED_VALUE"""),"סמוך למפלסים")</f>
        <v>סמוך למפלסים</v>
      </c>
      <c r="J193" s="4" t="str">
        <f>IFERROR(__xludf.DUMMYFUNCTION("""COMPUTED_VALUE"""),"אזרחים וכיתות כוננות")</f>
        <v>אזרחים וכיתות כוננות</v>
      </c>
      <c r="K193" s="5" t="str">
        <f>IFERROR(__xludf.DUMMYFUNCTION("""COMPUTED_VALUE"""),"פסטיבל נובה")</f>
        <v>פסטיבל נובה</v>
      </c>
      <c r="L193" s="3" t="str">
        <f>IFERROR(__xludf.DUMMYFUNCTION("""COMPUTED_VALUE"""),"Gabriel Ishay Barel")</f>
        <v>Gabriel Ishay Barel</v>
      </c>
      <c r="M193" s="5"/>
    </row>
    <row r="194">
      <c r="A194" s="3">
        <f>IFERROR(__xludf.DUMMYFUNCTION("""COMPUTED_VALUE"""),1303.0)</f>
        <v>1303</v>
      </c>
      <c r="B194" s="4" t="str">
        <f>IFERROR(__xludf.DUMMYFUNCTION("""COMPUTED_VALUE"""),"ברגמן אלדד (אנג'ל)")</f>
        <v>ברגמן אלדד (אנג'ל)</v>
      </c>
      <c r="C194" s="3">
        <f>IFERROR(__xludf.DUMMYFUNCTION("""COMPUTED_VALUE"""),26.0)</f>
        <v>26</v>
      </c>
      <c r="D194" s="5" t="str">
        <f>IFERROR(__xludf.DUMMYFUNCTION("""COMPUTED_VALUE"""),"מרכז שפירא")</f>
        <v>מרכז שפירא</v>
      </c>
      <c r="E194" s="5" t="str">
        <f>IFERROR(__xludf.DUMMYFUNCTION("""COMPUTED_VALUE"""),"גבר")</f>
        <v>גבר</v>
      </c>
      <c r="F194" s="5" t="str">
        <f>IFERROR(__xludf.DUMMYFUNCTION("""COMPUTED_VALUE"""),"אזרחים")</f>
        <v>אזרחים</v>
      </c>
      <c r="G194" s="3"/>
      <c r="H194" s="3" t="str">
        <f>IFERROR(__xludf.DUMMYFUNCTION("""COMPUTED_VALUE"""),"07.10.2023")</f>
        <v>07.10.2023</v>
      </c>
      <c r="I194" s="4" t="str">
        <f>IFERROR(__xludf.DUMMYFUNCTION("""COMPUTED_VALUE"""),"מיגונית בצומת בארי")</f>
        <v>מיגונית בצומת בארי</v>
      </c>
      <c r="J194" s="4" t="str">
        <f>IFERROR(__xludf.DUMMYFUNCTION("""COMPUTED_VALUE"""),"אזרחים וכיתות כוננות")</f>
        <v>אזרחים וכיתות כוננות</v>
      </c>
      <c r="K194" s="5" t="str">
        <f>IFERROR(__xludf.DUMMYFUNCTION("""COMPUTED_VALUE"""),"פסטיבל נובה")</f>
        <v>פסטיבל נובה</v>
      </c>
      <c r="L194" s="3" t="str">
        <f>IFERROR(__xludf.DUMMYFUNCTION("""COMPUTED_VALUE"""),"Eldad (Angel) Bergman")</f>
        <v>Eldad (Angel) Bergman</v>
      </c>
      <c r="M194" s="5"/>
    </row>
    <row r="195">
      <c r="A195" s="3">
        <f>IFERROR(__xludf.DUMMYFUNCTION("""COMPUTED_VALUE"""),698.0)</f>
        <v>698</v>
      </c>
      <c r="B195" s="4" t="str">
        <f>IFERROR(__xludf.DUMMYFUNCTION("""COMPUTED_VALUE"""),"ברדה לירון")</f>
        <v>ברדה לירון</v>
      </c>
      <c r="C195" s="3">
        <f>IFERROR(__xludf.DUMMYFUNCTION("""COMPUTED_VALUE"""),27.0)</f>
        <v>27</v>
      </c>
      <c r="D195" s="5" t="str">
        <f>IFERROR(__xludf.DUMMYFUNCTION("""COMPUTED_VALUE"""),"שערי תקווה")</f>
        <v>שערי תקווה</v>
      </c>
      <c r="E195" s="5" t="str">
        <f>IFERROR(__xludf.DUMMYFUNCTION("""COMPUTED_VALUE"""),"אישה")</f>
        <v>אישה</v>
      </c>
      <c r="F195" s="5" t="str">
        <f>IFERROR(__xludf.DUMMYFUNCTION("""COMPUTED_VALUE"""),"אזרחים")</f>
        <v>אזרחים</v>
      </c>
      <c r="G195" s="3"/>
      <c r="H195" s="3" t="str">
        <f>IFERROR(__xludf.DUMMYFUNCTION("""COMPUTED_VALUE"""),"07.10.2023")</f>
        <v>07.10.2023</v>
      </c>
      <c r="I195" s="4" t="str">
        <f>IFERROR(__xludf.DUMMYFUNCTION("""COMPUTED_VALUE"""),"פסטיבל נובה")</f>
        <v>פסטיבל נובה</v>
      </c>
      <c r="J195" s="4" t="str">
        <f>IFERROR(__xludf.DUMMYFUNCTION("""COMPUTED_VALUE"""),"אזרחים וכיתות כוננות")</f>
        <v>אזרחים וכיתות כוננות</v>
      </c>
      <c r="K195" s="5" t="str">
        <f>IFERROR(__xludf.DUMMYFUNCTION("""COMPUTED_VALUE"""),"פסטיבל נובה")</f>
        <v>פסטיבל נובה</v>
      </c>
      <c r="L195" s="3" t="str">
        <f>IFERROR(__xludf.DUMMYFUNCTION("""COMPUTED_VALUE"""),"Liron Barda")</f>
        <v>Liron Barda</v>
      </c>
      <c r="M195" s="5"/>
    </row>
    <row r="196">
      <c r="A196" s="3">
        <f>IFERROR(__xludf.DUMMYFUNCTION("""COMPUTED_VALUE"""),1390.0)</f>
        <v>1390</v>
      </c>
      <c r="B196" s="4" t="str">
        <f>IFERROR(__xludf.DUMMYFUNCTION("""COMPUTED_VALUE"""),"ברזני סתיו")</f>
        <v>ברזני סתיו</v>
      </c>
      <c r="C196" s="3">
        <f>IFERROR(__xludf.DUMMYFUNCTION("""COMPUTED_VALUE"""),22.0)</f>
        <v>22</v>
      </c>
      <c r="D196" s="5" t="str">
        <f>IFERROR(__xludf.DUMMYFUNCTION("""COMPUTED_VALUE"""),"גן נר")</f>
        <v>גן נר</v>
      </c>
      <c r="E196" s="5" t="str">
        <f>IFERROR(__xludf.DUMMYFUNCTION("""COMPUTED_VALUE"""),"אישה")</f>
        <v>אישה</v>
      </c>
      <c r="F196" s="5" t="str">
        <f>IFERROR(__xludf.DUMMYFUNCTION("""COMPUTED_VALUE"""),"אזרחים")</f>
        <v>אזרחים</v>
      </c>
      <c r="G196" s="3"/>
      <c r="H196" s="3" t="str">
        <f>IFERROR(__xludf.DUMMYFUNCTION("""COMPUTED_VALUE"""),"07.10.2023")</f>
        <v>07.10.2023</v>
      </c>
      <c r="I196" s="4" t="str">
        <f>IFERROR(__xludf.DUMMYFUNCTION("""COMPUTED_VALUE"""),"פסטיבל נובה")</f>
        <v>פסטיבל נובה</v>
      </c>
      <c r="J196" s="4" t="str">
        <f>IFERROR(__xludf.DUMMYFUNCTION("""COMPUTED_VALUE"""),"אזרחים וכיתות כוננות")</f>
        <v>אזרחים וכיתות כוננות</v>
      </c>
      <c r="K196" s="5" t="str">
        <f>IFERROR(__xludf.DUMMYFUNCTION("""COMPUTED_VALUE"""),"פסטיבל נובה")</f>
        <v>פסטיבל נובה</v>
      </c>
      <c r="L196" s="3" t="str">
        <f>IFERROR(__xludf.DUMMYFUNCTION("""COMPUTED_VALUE"""),"Stav Barazani")</f>
        <v>Stav Barazani</v>
      </c>
      <c r="M196" s="5"/>
    </row>
    <row r="197">
      <c r="A197" s="3">
        <f>IFERROR(__xludf.DUMMYFUNCTION("""COMPUTED_VALUE"""),700.0)</f>
        <v>700</v>
      </c>
      <c r="B197" s="4" t="str">
        <f>IFERROR(__xludf.DUMMYFUNCTION("""COMPUTED_VALUE"""),"ברטיק (קליין) טל")</f>
        <v>ברטיק (קליין) טל</v>
      </c>
      <c r="C197" s="3">
        <f>IFERROR(__xludf.DUMMYFUNCTION("""COMPUTED_VALUE"""),48.0)</f>
        <v>48</v>
      </c>
      <c r="D197" s="5" t="str">
        <f>IFERROR(__xludf.DUMMYFUNCTION("""COMPUTED_VALUE"""),"באר שבע")</f>
        <v>באר שבע</v>
      </c>
      <c r="E197" s="5" t="str">
        <f>IFERROR(__xludf.DUMMYFUNCTION("""COMPUTED_VALUE"""),"אישה")</f>
        <v>אישה</v>
      </c>
      <c r="F197" s="5" t="str">
        <f>IFERROR(__xludf.DUMMYFUNCTION("""COMPUTED_VALUE"""),"אזרחים")</f>
        <v>אזרחים</v>
      </c>
      <c r="G197" s="3"/>
      <c r="H197" s="3" t="str">
        <f>IFERROR(__xludf.DUMMYFUNCTION("""COMPUTED_VALUE"""),"07.10.2023")</f>
        <v>07.10.2023</v>
      </c>
      <c r="I197" s="4" t="str">
        <f>IFERROR(__xludf.DUMMYFUNCTION("""COMPUTED_VALUE"""),"מיגונית בכניסה לרעים (מזרח)")</f>
        <v>מיגונית בכניסה לרעים (מזרח)</v>
      </c>
      <c r="J197" s="4" t="str">
        <f>IFERROR(__xludf.DUMMYFUNCTION("""COMPUTED_VALUE"""),"אזרחים וכיתות כוננות")</f>
        <v>אזרחים וכיתות כוננות</v>
      </c>
      <c r="K197" s="5" t="str">
        <f>IFERROR(__xludf.DUMMYFUNCTION("""COMPUTED_VALUE"""),"פסטיבל נובה")</f>
        <v>פסטיבל נובה</v>
      </c>
      <c r="L197" s="3" t="str">
        <f>IFERROR(__xludf.DUMMYFUNCTION("""COMPUTED_VALUE"""),"Tal Bartik")</f>
        <v>Tal Bartik</v>
      </c>
      <c r="M197" s="5"/>
    </row>
    <row r="198">
      <c r="A198" s="3">
        <f>IFERROR(__xludf.DUMMYFUNCTION("""COMPUTED_VALUE"""),699.0)</f>
        <v>699</v>
      </c>
      <c r="B198" s="4" t="str">
        <f>IFERROR(__xludf.DUMMYFUNCTION("""COMPUTED_VALUE"""),"ברטל נדב")</f>
        <v>ברטל נדב</v>
      </c>
      <c r="C198" s="3">
        <f>IFERROR(__xludf.DUMMYFUNCTION("""COMPUTED_VALUE"""),23.0)</f>
        <v>23</v>
      </c>
      <c r="D198" s="5" t="str">
        <f>IFERROR(__xludf.DUMMYFUNCTION("""COMPUTED_VALUE"""),"בית אריה")</f>
        <v>בית אריה</v>
      </c>
      <c r="E198" s="5" t="str">
        <f>IFERROR(__xludf.DUMMYFUNCTION("""COMPUTED_VALUE"""),"גבר")</f>
        <v>גבר</v>
      </c>
      <c r="F198" s="5" t="str">
        <f>IFERROR(__xludf.DUMMYFUNCTION("""COMPUTED_VALUE"""),"אזרחים")</f>
        <v>אזרחים</v>
      </c>
      <c r="G198" s="3"/>
      <c r="H198" s="3" t="str">
        <f>IFERROR(__xludf.DUMMYFUNCTION("""COMPUTED_VALUE"""),"07.10.2023")</f>
        <v>07.10.2023</v>
      </c>
      <c r="I198" s="4" t="str">
        <f>IFERROR(__xludf.DUMMYFUNCTION("""COMPUTED_VALUE"""),"סמוך למפלסים")</f>
        <v>סמוך למפלסים</v>
      </c>
      <c r="J198" s="4" t="str">
        <f>IFERROR(__xludf.DUMMYFUNCTION("""COMPUTED_VALUE"""),"אזרחים וכיתות כוננות")</f>
        <v>אזרחים וכיתות כוננות</v>
      </c>
      <c r="K198" s="5" t="str">
        <f>IFERROR(__xludf.DUMMYFUNCTION("""COMPUTED_VALUE"""),"פסטיבל נובה")</f>
        <v>פסטיבל נובה</v>
      </c>
      <c r="L198" s="3" t="str">
        <f>IFERROR(__xludf.DUMMYFUNCTION("""COMPUTED_VALUE"""),"Nadav Bartal")</f>
        <v>Nadav Bartal</v>
      </c>
      <c r="M198" s="5"/>
    </row>
    <row r="199">
      <c r="A199" s="3">
        <f>IFERROR(__xludf.DUMMYFUNCTION("""COMPUTED_VALUE"""),1422.0)</f>
        <v>1422</v>
      </c>
      <c r="B199" s="4" t="str">
        <f>IFERROR(__xludf.DUMMYFUNCTION("""COMPUTED_VALUE"""),"אליהו ברנט רומי")</f>
        <v>אליהו ברנט רומי</v>
      </c>
      <c r="C199" s="3">
        <f>IFERROR(__xludf.DUMMYFUNCTION("""COMPUTED_VALUE"""),38.0)</f>
        <v>38</v>
      </c>
      <c r="D199" s="5" t="str">
        <f>IFERROR(__xludf.DUMMYFUNCTION("""COMPUTED_VALUE"""),"מודיעין מכבים רעות")</f>
        <v>מודיעין מכבים רעות</v>
      </c>
      <c r="E199" s="5" t="str">
        <f>IFERROR(__xludf.DUMMYFUNCTION("""COMPUTED_VALUE"""),"אישה")</f>
        <v>אישה</v>
      </c>
      <c r="F199" s="5" t="str">
        <f>IFERROR(__xludf.DUMMYFUNCTION("""COMPUTED_VALUE"""),"אזרחים")</f>
        <v>אזרחים</v>
      </c>
      <c r="G199" s="3"/>
      <c r="H199" s="3" t="str">
        <f>IFERROR(__xludf.DUMMYFUNCTION("""COMPUTED_VALUE"""),"07.10.2023")</f>
        <v>07.10.2023</v>
      </c>
      <c r="I199" s="4" t="str">
        <f>IFERROR(__xludf.DUMMYFUNCTION("""COMPUTED_VALUE"""),"פסטיבל נובה")</f>
        <v>פסטיבל נובה</v>
      </c>
      <c r="J199" s="4" t="str">
        <f>IFERROR(__xludf.DUMMYFUNCTION("""COMPUTED_VALUE"""),"אזרחים וכיתות כוננות")</f>
        <v>אזרחים וכיתות כוננות</v>
      </c>
      <c r="K199" s="5" t="str">
        <f>IFERROR(__xludf.DUMMYFUNCTION("""COMPUTED_VALUE"""),"פסטיבל נובה")</f>
        <v>פסטיבל נובה</v>
      </c>
      <c r="L199" s="3" t="str">
        <f>IFERROR(__xludf.DUMMYFUNCTION("""COMPUTED_VALUE"""),"Romi Eli Bernat")</f>
        <v>Romi Eli Bernat</v>
      </c>
      <c r="M199" s="5"/>
    </row>
    <row r="200">
      <c r="A200" s="3">
        <f>IFERROR(__xludf.DUMMYFUNCTION("""COMPUTED_VALUE"""),1517.0)</f>
        <v>1517</v>
      </c>
      <c r="B200" s="4" t="str">
        <f>IFERROR(__xludf.DUMMYFUNCTION("""COMPUTED_VALUE"""),"ברנשטיין אליהו יעקב")</f>
        <v>ברנשטיין אליהו יעקב</v>
      </c>
      <c r="C200" s="3">
        <f>IFERROR(__xludf.DUMMYFUNCTION("""COMPUTED_VALUE"""),20.0)</f>
        <v>20</v>
      </c>
      <c r="D200" s="5" t="str">
        <f>IFERROR(__xludf.DUMMYFUNCTION("""COMPUTED_VALUE"""),"ירושלים")</f>
        <v>ירושלים</v>
      </c>
      <c r="E200" s="5" t="str">
        <f>IFERROR(__xludf.DUMMYFUNCTION("""COMPUTED_VALUE"""),"גבר")</f>
        <v>גבר</v>
      </c>
      <c r="F200" s="5" t="str">
        <f>IFERROR(__xludf.DUMMYFUNCTION("""COMPUTED_VALUE"""),"אזרחים")</f>
        <v>אזרחים</v>
      </c>
      <c r="G200" s="3"/>
      <c r="H200" s="3" t="str">
        <f>IFERROR(__xludf.DUMMYFUNCTION("""COMPUTED_VALUE"""),"07.10.2023")</f>
        <v>07.10.2023</v>
      </c>
      <c r="I200" s="4" t="str">
        <f>IFERROR(__xludf.DUMMYFUNCTION("""COMPUTED_VALUE"""),"מיגונית בצומת גמה (דרום)")</f>
        <v>מיגונית בצומת גמה (דרום)</v>
      </c>
      <c r="J200" s="4" t="str">
        <f>IFERROR(__xludf.DUMMYFUNCTION("""COMPUTED_VALUE"""),"אזרחים וכיתות כוננות")</f>
        <v>אזרחים וכיתות כוננות</v>
      </c>
      <c r="K200" s="5" t="str">
        <f>IFERROR(__xludf.DUMMYFUNCTION("""COMPUTED_VALUE"""),"פסטיבל נובה")</f>
        <v>פסטיבל נובה</v>
      </c>
      <c r="L200" s="3" t="str">
        <f>IFERROR(__xludf.DUMMYFUNCTION("""COMPUTED_VALUE"""),"Eliyahu Ya'akov Bernstein")</f>
        <v>Eliyahu Ya'akov Bernstein</v>
      </c>
      <c r="M200" s="5"/>
    </row>
    <row r="201">
      <c r="A201" s="3">
        <f>IFERROR(__xludf.DUMMYFUNCTION("""COMPUTED_VALUE"""),709.0)</f>
        <v>709</v>
      </c>
      <c r="B201" s="4" t="str">
        <f>IFERROR(__xludf.DUMMYFUNCTION("""COMPUTED_VALUE"""),"ברנשטיין בן")</f>
        <v>ברנשטיין בן</v>
      </c>
      <c r="C201" s="3">
        <f>IFERROR(__xludf.DUMMYFUNCTION("""COMPUTED_VALUE"""),23.0)</f>
        <v>23</v>
      </c>
      <c r="D201" s="5" t="str">
        <f>IFERROR(__xludf.DUMMYFUNCTION("""COMPUTED_VALUE"""),"ציפורי")</f>
        <v>ציפורי</v>
      </c>
      <c r="E201" s="5" t="str">
        <f>IFERROR(__xludf.DUMMYFUNCTION("""COMPUTED_VALUE"""),"גבר")</f>
        <v>גבר</v>
      </c>
      <c r="F201" s="5" t="str">
        <f>IFERROR(__xludf.DUMMYFUNCTION("""COMPUTED_VALUE"""),"אזרחים")</f>
        <v>אזרחים</v>
      </c>
      <c r="G201" s="3"/>
      <c r="H201" s="3" t="str">
        <f>IFERROR(__xludf.DUMMYFUNCTION("""COMPUTED_VALUE"""),"07.10.2023")</f>
        <v>07.10.2023</v>
      </c>
      <c r="I201" s="4" t="str">
        <f>IFERROR(__xludf.DUMMYFUNCTION("""COMPUTED_VALUE"""),"מזרחית לחניון רעים")</f>
        <v>מזרחית לחניון רעים</v>
      </c>
      <c r="J201" s="4" t="str">
        <f>IFERROR(__xludf.DUMMYFUNCTION("""COMPUTED_VALUE"""),"אזרחים וכיתות כוננות")</f>
        <v>אזרחים וכיתות כוננות</v>
      </c>
      <c r="K201" s="5" t="str">
        <f>IFERROR(__xludf.DUMMYFUNCTION("""COMPUTED_VALUE"""),"פסטיבל נובה")</f>
        <v>פסטיבל נובה</v>
      </c>
      <c r="L201" s="3" t="str">
        <f>IFERROR(__xludf.DUMMYFUNCTION("""COMPUTED_VALUE"""),"Ben Bernstein")</f>
        <v>Ben Bernstein</v>
      </c>
      <c r="M201" s="5"/>
    </row>
    <row r="202">
      <c r="A202" s="3">
        <f>IFERROR(__xludf.DUMMYFUNCTION("""COMPUTED_VALUE"""),1550.0)</f>
        <v>1550</v>
      </c>
      <c r="B202" s="4" t="str">
        <f>IFERROR(__xludf.DUMMYFUNCTION("""COMPUTED_VALUE"""),"ברסלבסקי דניאל (דני)")</f>
        <v>ברסלבסקי דניאל (דני)</v>
      </c>
      <c r="C202" s="3">
        <f>IFERROR(__xludf.DUMMYFUNCTION("""COMPUTED_VALUE"""),32.0)</f>
        <v>32</v>
      </c>
      <c r="D202" s="5" t="str">
        <f>IFERROR(__xludf.DUMMYFUNCTION("""COMPUTED_VALUE"""),"קריית גת")</f>
        <v>קריית גת</v>
      </c>
      <c r="E202" s="5" t="str">
        <f>IFERROR(__xludf.DUMMYFUNCTION("""COMPUTED_VALUE"""),"גבר")</f>
        <v>גבר</v>
      </c>
      <c r="F202" s="5" t="str">
        <f>IFERROR(__xludf.DUMMYFUNCTION("""COMPUTED_VALUE"""),"אזרחים")</f>
        <v>אזרחים</v>
      </c>
      <c r="G202" s="3"/>
      <c r="H202" s="3" t="str">
        <f>IFERROR(__xludf.DUMMYFUNCTION("""COMPUTED_VALUE"""),"07.10.2023")</f>
        <v>07.10.2023</v>
      </c>
      <c r="I202" s="4" t="str">
        <f>IFERROR(__xludf.DUMMYFUNCTION("""COMPUTED_VALUE"""),"פסטיבל נובה; בר צפוני")</f>
        <v>פסטיבל נובה; בר צפוני</v>
      </c>
      <c r="J202" s="4" t="str">
        <f>IFERROR(__xludf.DUMMYFUNCTION("""COMPUTED_VALUE"""),"אזרחים וכיתות כוננות")</f>
        <v>אזרחים וכיתות כוננות</v>
      </c>
      <c r="K202" s="5" t="str">
        <f>IFERROR(__xludf.DUMMYFUNCTION("""COMPUTED_VALUE"""),"פסטיבל נובה")</f>
        <v>פסטיבל נובה</v>
      </c>
      <c r="L202" s="3" t="str">
        <f>IFERROR(__xludf.DUMMYFUNCTION("""COMPUTED_VALUE"""),"Daniel Braslavsky")</f>
        <v>Daniel Braslavsky</v>
      </c>
      <c r="M202" s="5"/>
    </row>
    <row r="203">
      <c r="A203" s="3">
        <f>IFERROR(__xludf.DUMMYFUNCTION("""COMPUTED_VALUE"""),697.0)</f>
        <v>697</v>
      </c>
      <c r="B203" s="4" t="str">
        <f>IFERROR(__xludf.DUMMYFUNCTION("""COMPUTED_VALUE"""),"ברעם עילי")</f>
        <v>ברעם עילי</v>
      </c>
      <c r="C203" s="3">
        <f>IFERROR(__xludf.DUMMYFUNCTION("""COMPUTED_VALUE"""),27.0)</f>
        <v>27</v>
      </c>
      <c r="D203" s="5" t="str">
        <f>IFERROR(__xludf.DUMMYFUNCTION("""COMPUTED_VALUE"""),"רמת גן")</f>
        <v>רמת גן</v>
      </c>
      <c r="E203" s="5" t="str">
        <f>IFERROR(__xludf.DUMMYFUNCTION("""COMPUTED_VALUE"""),"גבר")</f>
        <v>גבר</v>
      </c>
      <c r="F203" s="5" t="str">
        <f>IFERROR(__xludf.DUMMYFUNCTION("""COMPUTED_VALUE"""),"אזרחים")</f>
        <v>אזרחים</v>
      </c>
      <c r="G203" s="3"/>
      <c r="H203" s="3" t="str">
        <f>IFERROR(__xludf.DUMMYFUNCTION("""COMPUTED_VALUE"""),"07.10.2023")</f>
        <v>07.10.2023</v>
      </c>
      <c r="I203" s="4" t="str">
        <f>IFERROR(__xludf.DUMMYFUNCTION("""COMPUTED_VALUE"""),"דרומית לגבים")</f>
        <v>דרומית לגבים</v>
      </c>
      <c r="J203" s="4" t="str">
        <f>IFERROR(__xludf.DUMMYFUNCTION("""COMPUTED_VALUE"""),"אזרחים וכיתות כוננות")</f>
        <v>אזרחים וכיתות כוננות</v>
      </c>
      <c r="K203" s="5" t="str">
        <f>IFERROR(__xludf.DUMMYFUNCTION("""COMPUTED_VALUE"""),"פסטיבל נובה")</f>
        <v>פסטיבל נובה</v>
      </c>
      <c r="L203" s="3" t="str">
        <f>IFERROR(__xludf.DUMMYFUNCTION("""COMPUTED_VALUE"""),"Ilai Baram")</f>
        <v>Ilai Baram</v>
      </c>
      <c r="M203" s="5"/>
    </row>
    <row r="204">
      <c r="A204" s="3">
        <f>IFERROR(__xludf.DUMMYFUNCTION("""COMPUTED_VALUE"""),755.0)</f>
        <v>755</v>
      </c>
      <c r="B204" s="4" t="str">
        <f>IFERROR(__xludf.DUMMYFUNCTION("""COMPUTED_VALUE"""),"ג'ורג'י שיר חנה")</f>
        <v>ג'ורג'י שיר חנה</v>
      </c>
      <c r="C204" s="3">
        <f>IFERROR(__xludf.DUMMYFUNCTION("""COMPUTED_VALUE"""),22.0)</f>
        <v>22</v>
      </c>
      <c r="D204" s="5" t="str">
        <f>IFERROR(__xludf.DUMMYFUNCTION("""COMPUTED_VALUE"""),"ראשון לציון")</f>
        <v>ראשון לציון</v>
      </c>
      <c r="E204" s="5" t="str">
        <f>IFERROR(__xludf.DUMMYFUNCTION("""COMPUTED_VALUE"""),"אישה")</f>
        <v>אישה</v>
      </c>
      <c r="F204" s="5" t="str">
        <f>IFERROR(__xludf.DUMMYFUNCTION("""COMPUTED_VALUE"""),"אזרחים")</f>
        <v>אזרחים</v>
      </c>
      <c r="G204" s="3"/>
      <c r="H204" s="3" t="str">
        <f>IFERROR(__xludf.DUMMYFUNCTION("""COMPUTED_VALUE"""),"07.10.2023")</f>
        <v>07.10.2023</v>
      </c>
      <c r="I204" s="4" t="str">
        <f>IFERROR(__xludf.DUMMYFUNCTION("""COMPUTED_VALUE"""),"פסטיבל נובה; אמבולנס")</f>
        <v>פסטיבל נובה; אמבולנס</v>
      </c>
      <c r="J204" s="2" t="str">
        <f>IFERROR(__xludf.DUMMYFUNCTION("""COMPUTED_VALUE"""),"אזרחים וכיתות כוננות")</f>
        <v>אזרחים וכיתות כוננות</v>
      </c>
      <c r="K204" s="5" t="str">
        <f>IFERROR(__xludf.DUMMYFUNCTION("""COMPUTED_VALUE"""),"פסטיבל נובה")</f>
        <v>פסטיבל נובה</v>
      </c>
      <c r="L204" s="3" t="str">
        <f>IFERROR(__xludf.DUMMYFUNCTION("""COMPUTED_VALUE"""),"Shir Georgy Hanna")</f>
        <v>Shir Georgy Hanna</v>
      </c>
      <c r="M204" s="5"/>
    </row>
    <row r="205">
      <c r="A205" s="3">
        <f>IFERROR(__xludf.DUMMYFUNCTION("""COMPUTED_VALUE"""),1428.0)</f>
        <v>1428</v>
      </c>
      <c r="B205" s="4" t="str">
        <f>IFERROR(__xludf.DUMMYFUNCTION("""COMPUTED_VALUE"""),"ג'רפי ליאל")</f>
        <v>ג'רפי ליאל</v>
      </c>
      <c r="C205" s="3">
        <f>IFERROR(__xludf.DUMMYFUNCTION("""COMPUTED_VALUE"""),18.0)</f>
        <v>18</v>
      </c>
      <c r="D205" s="5" t="str">
        <f>IFERROR(__xludf.DUMMYFUNCTION("""COMPUTED_VALUE"""),"ירושלים")</f>
        <v>ירושלים</v>
      </c>
      <c r="E205" s="5" t="str">
        <f>IFERROR(__xludf.DUMMYFUNCTION("""COMPUTED_VALUE"""),"גבר")</f>
        <v>גבר</v>
      </c>
      <c r="F205" s="5" t="str">
        <f>IFERROR(__xludf.DUMMYFUNCTION("""COMPUTED_VALUE"""),"אזרחים")</f>
        <v>אזרחים</v>
      </c>
      <c r="G205" s="3"/>
      <c r="H205" s="3" t="str">
        <f>IFERROR(__xludf.DUMMYFUNCTION("""COMPUTED_VALUE"""),"07.10.2023")</f>
        <v>07.10.2023</v>
      </c>
      <c r="I205" s="4" t="str">
        <f>IFERROR(__xludf.DUMMYFUNCTION("""COMPUTED_VALUE"""),"מיגונית בכניסה לרעים (מזרח)")</f>
        <v>מיגונית בכניסה לרעים (מזרח)</v>
      </c>
      <c r="J205" s="4" t="str">
        <f>IFERROR(__xludf.DUMMYFUNCTION("""COMPUTED_VALUE"""),"אזרחים וכיתות כוננות")</f>
        <v>אזרחים וכיתות כוננות</v>
      </c>
      <c r="K205" s="5" t="str">
        <f>IFERROR(__xludf.DUMMYFUNCTION("""COMPUTED_VALUE"""),"פסטיבל נובה")</f>
        <v>פסטיבל נובה</v>
      </c>
      <c r="L205" s="3" t="str">
        <f>IFERROR(__xludf.DUMMYFUNCTION("""COMPUTED_VALUE"""),"Liel Gherafi")</f>
        <v>Liel Gherafi</v>
      </c>
      <c r="M205" s="5"/>
    </row>
    <row r="206">
      <c r="A206" s="3">
        <f>IFERROR(__xludf.DUMMYFUNCTION("""COMPUTED_VALUE"""),751.0)</f>
        <v>751</v>
      </c>
      <c r="B206" s="4" t="str">
        <f>IFERROR(__xludf.DUMMYFUNCTION("""COMPUTED_VALUE"""),"גבאי שני")</f>
        <v>גבאי שני</v>
      </c>
      <c r="C206" s="3">
        <f>IFERROR(__xludf.DUMMYFUNCTION("""COMPUTED_VALUE"""),25.0)</f>
        <v>25</v>
      </c>
      <c r="D206" s="5" t="str">
        <f>IFERROR(__xludf.DUMMYFUNCTION("""COMPUTED_VALUE"""),"יקנעם עילית")</f>
        <v>יקנעם עילית</v>
      </c>
      <c r="E206" s="5" t="str">
        <f>IFERROR(__xludf.DUMMYFUNCTION("""COMPUTED_VALUE"""),"אישה")</f>
        <v>אישה</v>
      </c>
      <c r="F206" s="5" t="str">
        <f>IFERROR(__xludf.DUMMYFUNCTION("""COMPUTED_VALUE"""),"אזרחים")</f>
        <v>אזרחים</v>
      </c>
      <c r="G206" s="3"/>
      <c r="H206" s="3" t="str">
        <f>IFERROR(__xludf.DUMMYFUNCTION("""COMPUTED_VALUE"""),"07.10.2023")</f>
        <v>07.10.2023</v>
      </c>
      <c r="I206" s="4" t="str">
        <f>IFERROR(__xludf.DUMMYFUNCTION("""COMPUTED_VALUE"""),"פסטיבל נובה; אמבולנס")</f>
        <v>פסטיבל נובה; אמבולנס</v>
      </c>
      <c r="J206" s="4" t="str">
        <f>IFERROR(__xludf.DUMMYFUNCTION("""COMPUTED_VALUE"""),"אזרחים וכיתות כוננות")</f>
        <v>אזרחים וכיתות כוננות</v>
      </c>
      <c r="K206" s="5" t="str">
        <f>IFERROR(__xludf.DUMMYFUNCTION("""COMPUTED_VALUE"""),"פסטיבל נובה")</f>
        <v>פסטיבל נובה</v>
      </c>
      <c r="L206" s="3" t="str">
        <f>IFERROR(__xludf.DUMMYFUNCTION("""COMPUTED_VALUE"""),"Shani Gabay")</f>
        <v>Shani Gabay</v>
      </c>
      <c r="M206" s="5"/>
    </row>
    <row r="207">
      <c r="A207" s="3">
        <f>IFERROR(__xludf.DUMMYFUNCTION("""COMPUTED_VALUE"""),766.0)</f>
        <v>766</v>
      </c>
      <c r="B207" s="4" t="str">
        <f>IFERROR(__xludf.DUMMYFUNCTION("""COMPUTED_VALUE"""),"גוטמן תמר")</f>
        <v>גוטמן תמר</v>
      </c>
      <c r="C207" s="3">
        <f>IFERROR(__xludf.DUMMYFUNCTION("""COMPUTED_VALUE"""),27.0)</f>
        <v>27</v>
      </c>
      <c r="D207" s="5" t="str">
        <f>IFERROR(__xludf.DUMMYFUNCTION("""COMPUTED_VALUE"""),"כפר בן נון")</f>
        <v>כפר בן נון</v>
      </c>
      <c r="E207" s="5" t="str">
        <f>IFERROR(__xludf.DUMMYFUNCTION("""COMPUTED_VALUE"""),"אישה")</f>
        <v>אישה</v>
      </c>
      <c r="F207" s="5" t="str">
        <f>IFERROR(__xludf.DUMMYFUNCTION("""COMPUTED_VALUE"""),"אזרחים")</f>
        <v>אזרחים</v>
      </c>
      <c r="G207" s="3"/>
      <c r="H207" s="3" t="str">
        <f>IFERROR(__xludf.DUMMYFUNCTION("""COMPUTED_VALUE"""),"07.10.2023")</f>
        <v>07.10.2023</v>
      </c>
      <c r="I207" s="4" t="str">
        <f>IFERROR(__xludf.DUMMYFUNCTION("""COMPUTED_VALUE"""),"פסטיבל נובה; גשר נחל גרר")</f>
        <v>פסטיבל נובה; גשר נחל גרר</v>
      </c>
      <c r="J207" s="4" t="str">
        <f>IFERROR(__xludf.DUMMYFUNCTION("""COMPUTED_VALUE"""),"אזרחים וכיתות כוננות")</f>
        <v>אזרחים וכיתות כוננות</v>
      </c>
      <c r="K207" s="5" t="str">
        <f>IFERROR(__xludf.DUMMYFUNCTION("""COMPUTED_VALUE"""),"פסטיבל נובה")</f>
        <v>פסטיבל נובה</v>
      </c>
      <c r="L207" s="3" t="str">
        <f>IFERROR(__xludf.DUMMYFUNCTION("""COMPUTED_VALUE"""),"Tamar Gutman")</f>
        <v>Tamar Gutman</v>
      </c>
      <c r="M207" s="5"/>
    </row>
    <row r="208">
      <c r="A208" s="3">
        <f>IFERROR(__xludf.DUMMYFUNCTION("""COMPUTED_VALUE"""),759.0)</f>
        <v>759</v>
      </c>
      <c r="B208" s="4" t="str">
        <f>IFERROR(__xludf.DUMMYFUNCTION("""COMPUTED_VALUE"""),"גולדנברג ניצן")</f>
        <v>גולדנברג ניצן</v>
      </c>
      <c r="C208" s="3">
        <f>IFERROR(__xludf.DUMMYFUNCTION("""COMPUTED_VALUE"""),28.0)</f>
        <v>28</v>
      </c>
      <c r="D208" s="5" t="str">
        <f>IFERROR(__xludf.DUMMYFUNCTION("""COMPUTED_VALUE"""),"נתניה")</f>
        <v>נתניה</v>
      </c>
      <c r="E208" s="5" t="str">
        <f>IFERROR(__xludf.DUMMYFUNCTION("""COMPUTED_VALUE"""),"גבר")</f>
        <v>גבר</v>
      </c>
      <c r="F208" s="5" t="str">
        <f>IFERROR(__xludf.DUMMYFUNCTION("""COMPUTED_VALUE"""),"אזרחים")</f>
        <v>אזרחים</v>
      </c>
      <c r="G208" s="3"/>
      <c r="H208" s="3" t="str">
        <f>IFERROR(__xludf.DUMMYFUNCTION("""COMPUTED_VALUE"""),"07.10.2023")</f>
        <v>07.10.2023</v>
      </c>
      <c r="I208" s="4" t="str">
        <f>IFERROR(__xludf.DUMMYFUNCTION("""COMPUTED_VALUE"""),"מזרחית לכניסה לרעים")</f>
        <v>מזרחית לכניסה לרעים</v>
      </c>
      <c r="J208" s="2" t="str">
        <f>IFERROR(__xludf.DUMMYFUNCTION("""COMPUTED_VALUE"""),"אזרחים וכיתות כוננות")</f>
        <v>אזרחים וכיתות כוננות</v>
      </c>
      <c r="K208" s="5" t="str">
        <f>IFERROR(__xludf.DUMMYFUNCTION("""COMPUTED_VALUE"""),"פסטיבל נובה")</f>
        <v>פסטיבל נובה</v>
      </c>
      <c r="L208" s="3" t="str">
        <f>IFERROR(__xludf.DUMMYFUNCTION("""COMPUTED_VALUE"""),"Nitzan Goldenberg")</f>
        <v>Nitzan Goldenberg</v>
      </c>
      <c r="M208" s="5"/>
    </row>
    <row r="209">
      <c r="A209" s="3">
        <f>IFERROR(__xludf.DUMMYFUNCTION("""COMPUTED_VALUE"""),760.0)</f>
        <v>760</v>
      </c>
      <c r="B209" s="4" t="str">
        <f>IFERROR(__xludf.DUMMYFUNCTION("""COMPUTED_VALUE"""),"גולדנברג תמר")</f>
        <v>גולדנברג תמר</v>
      </c>
      <c r="C209" s="3">
        <f>IFERROR(__xludf.DUMMYFUNCTION("""COMPUTED_VALUE"""),24.0)</f>
        <v>24</v>
      </c>
      <c r="D209" s="5" t="str">
        <f>IFERROR(__xludf.DUMMYFUNCTION("""COMPUTED_VALUE"""),"ראשון לציון")</f>
        <v>ראשון לציון</v>
      </c>
      <c r="E209" s="5" t="str">
        <f>IFERROR(__xludf.DUMMYFUNCTION("""COMPUTED_VALUE"""),"אישה")</f>
        <v>אישה</v>
      </c>
      <c r="F209" s="5" t="str">
        <f>IFERROR(__xludf.DUMMYFUNCTION("""COMPUTED_VALUE"""),"אזרחים")</f>
        <v>אזרחים</v>
      </c>
      <c r="G209" s="3"/>
      <c r="H209" s="3" t="str">
        <f>IFERROR(__xludf.DUMMYFUNCTION("""COMPUTED_VALUE"""),"07.10.2023")</f>
        <v>07.10.2023</v>
      </c>
      <c r="I209" s="4" t="str">
        <f>IFERROR(__xludf.DUMMYFUNCTION("""COMPUTED_VALUE"""),"סמוך למפלסים")</f>
        <v>סמוך למפלסים</v>
      </c>
      <c r="J209" s="2" t="str">
        <f>IFERROR(__xludf.DUMMYFUNCTION("""COMPUTED_VALUE"""),"אזרחים וכיתות כוננות")</f>
        <v>אזרחים וכיתות כוננות</v>
      </c>
      <c r="K209" s="5" t="str">
        <f>IFERROR(__xludf.DUMMYFUNCTION("""COMPUTED_VALUE"""),"פסטיבל נובה")</f>
        <v>פסטיבל נובה</v>
      </c>
      <c r="L209" s="3" t="str">
        <f>IFERROR(__xludf.DUMMYFUNCTION("""COMPUTED_VALUE"""),"Tamar Goldenberg")</f>
        <v>Tamar Goldenberg</v>
      </c>
      <c r="M209" s="5"/>
    </row>
    <row r="210">
      <c r="A210" s="3">
        <f>IFERROR(__xludf.DUMMYFUNCTION("""COMPUTED_VALUE"""),761.0)</f>
        <v>761</v>
      </c>
      <c r="B210" s="4" t="str">
        <f>IFERROR(__xludf.DUMMYFUNCTION("""COMPUTED_VALUE"""),"גולטמן דניאל")</f>
        <v>גולטמן דניאל</v>
      </c>
      <c r="C210" s="3">
        <f>IFERROR(__xludf.DUMMYFUNCTION("""COMPUTED_VALUE"""),24.0)</f>
        <v>24</v>
      </c>
      <c r="D210" s="5" t="str">
        <f>IFERROR(__xludf.DUMMYFUNCTION("""COMPUTED_VALUE"""),"ראשון לציון")</f>
        <v>ראשון לציון</v>
      </c>
      <c r="E210" s="5" t="str">
        <f>IFERROR(__xludf.DUMMYFUNCTION("""COMPUTED_VALUE"""),"גבר")</f>
        <v>גבר</v>
      </c>
      <c r="F210" s="5" t="str">
        <f>IFERROR(__xludf.DUMMYFUNCTION("""COMPUTED_VALUE"""),"אזרחים")</f>
        <v>אזרחים</v>
      </c>
      <c r="G210" s="3"/>
      <c r="H210" s="3" t="str">
        <f>IFERROR(__xludf.DUMMYFUNCTION("""COMPUTED_VALUE"""),"07.10.2023")</f>
        <v>07.10.2023</v>
      </c>
      <c r="I210" s="4" t="str">
        <f>IFERROR(__xludf.DUMMYFUNCTION("""COMPUTED_VALUE"""),"פסטיבל נובה; בר צפוני")</f>
        <v>פסטיבל נובה; בר צפוני</v>
      </c>
      <c r="J210" s="4" t="str">
        <f>IFERROR(__xludf.DUMMYFUNCTION("""COMPUTED_VALUE"""),"אזרחים וכיתות כוננות")</f>
        <v>אזרחים וכיתות כוננות</v>
      </c>
      <c r="K210" s="5" t="str">
        <f>IFERROR(__xludf.DUMMYFUNCTION("""COMPUTED_VALUE"""),"פסטיבל נובה")</f>
        <v>פסטיבל נובה</v>
      </c>
      <c r="L210" s="3" t="str">
        <f>IFERROR(__xludf.DUMMYFUNCTION("""COMPUTED_VALUE"""),"Daniel Goltman")</f>
        <v>Daniel Goltman</v>
      </c>
      <c r="M210" s="5"/>
    </row>
    <row r="211">
      <c r="A211" s="3">
        <f>IFERROR(__xludf.DUMMYFUNCTION("""COMPUTED_VALUE"""),1445.0)</f>
        <v>1445</v>
      </c>
      <c r="B211" s="4" t="str">
        <f>IFERROR(__xludf.DUMMYFUNCTION("""COMPUTED_VALUE"""),"גוסק מרגריטה")</f>
        <v>גוסק מרגריטה</v>
      </c>
      <c r="C211" s="3">
        <f>IFERROR(__xludf.DUMMYFUNCTION("""COMPUTED_VALUE"""),21.0)</f>
        <v>21</v>
      </c>
      <c r="D211" s="5" t="str">
        <f>IFERROR(__xludf.DUMMYFUNCTION("""COMPUTED_VALUE"""),"גן יבנה")</f>
        <v>גן יבנה</v>
      </c>
      <c r="E211" s="5" t="str">
        <f>IFERROR(__xludf.DUMMYFUNCTION("""COMPUTED_VALUE"""),"אישה")</f>
        <v>אישה</v>
      </c>
      <c r="F211" s="5" t="str">
        <f>IFERROR(__xludf.DUMMYFUNCTION("""COMPUTED_VALUE"""),"אזרחים")</f>
        <v>אזרחים</v>
      </c>
      <c r="G211" s="3"/>
      <c r="H211" s="3" t="str">
        <f>IFERROR(__xludf.DUMMYFUNCTION("""COMPUTED_VALUE"""),"07.10.2023")</f>
        <v>07.10.2023</v>
      </c>
      <c r="I211" s="4" t="str">
        <f>IFERROR(__xludf.DUMMYFUNCTION("""COMPUTED_VALUE"""),"סמוך למפלסים")</f>
        <v>סמוך למפלסים</v>
      </c>
      <c r="J211" s="4" t="str">
        <f>IFERROR(__xludf.DUMMYFUNCTION("""COMPUTED_VALUE"""),"אזרחים וכיתות כוננות")</f>
        <v>אזרחים וכיתות כוננות</v>
      </c>
      <c r="K211" s="5" t="str">
        <f>IFERROR(__xludf.DUMMYFUNCTION("""COMPUTED_VALUE"""),"פסטיבל נובה")</f>
        <v>פסטיבל נובה</v>
      </c>
      <c r="L211" s="3" t="str">
        <f>IFERROR(__xludf.DUMMYFUNCTION("""COMPUTED_VALUE"""),"Margarita Gusak")</f>
        <v>Margarita Gusak</v>
      </c>
      <c r="M211" s="5"/>
    </row>
    <row r="212">
      <c r="A212" s="3">
        <f>IFERROR(__xludf.DUMMYFUNCTION("""COMPUTED_VALUE"""),882.0)</f>
        <v>882</v>
      </c>
      <c r="B212" s="4" t="str">
        <f>IFERROR(__xludf.DUMMYFUNCTION("""COMPUTED_VALUE"""),"גורביץ' (וסילקובסקי) ליליה")</f>
        <v>גורביץ' (וסילקובסקי) ליליה</v>
      </c>
      <c r="C212" s="3">
        <f>IFERROR(__xludf.DUMMYFUNCTION("""COMPUTED_VALUE"""),38.0)</f>
        <v>38</v>
      </c>
      <c r="D212" s="5" t="str">
        <f>IFERROR(__xludf.DUMMYFUNCTION("""COMPUTED_VALUE"""),"עומר")</f>
        <v>עומר</v>
      </c>
      <c r="E212" s="5" t="str">
        <f>IFERROR(__xludf.DUMMYFUNCTION("""COMPUTED_VALUE"""),"אישה")</f>
        <v>אישה</v>
      </c>
      <c r="F212" s="5" t="str">
        <f>IFERROR(__xludf.DUMMYFUNCTION("""COMPUTED_VALUE"""),"אזרחים")</f>
        <v>אזרחים</v>
      </c>
      <c r="G212" s="3"/>
      <c r="H212" s="3" t="str">
        <f>IFERROR(__xludf.DUMMYFUNCTION("""COMPUTED_VALUE"""),"07.10.2023")</f>
        <v>07.10.2023</v>
      </c>
      <c r="I212" s="4" t="str">
        <f>IFERROR(__xludf.DUMMYFUNCTION("""COMPUTED_VALUE"""),"כביש רעים - צומת מעון")</f>
        <v>כביש רעים - צומת מעון</v>
      </c>
      <c r="J212" s="4" t="str">
        <f>IFERROR(__xludf.DUMMYFUNCTION("""COMPUTED_VALUE"""),"אזרחים וכיתות כוננות")</f>
        <v>אזרחים וכיתות כוננות</v>
      </c>
      <c r="K212" s="5" t="str">
        <f>IFERROR(__xludf.DUMMYFUNCTION("""COMPUTED_VALUE"""),"פסטיבל נובה")</f>
        <v>פסטיבל נובה</v>
      </c>
      <c r="L212" s="3" t="str">
        <f>IFERROR(__xludf.DUMMYFUNCTION("""COMPUTED_VALUE"""),"Lilia Gurevich")</f>
        <v>Lilia Gurevich</v>
      </c>
      <c r="M212" s="5"/>
    </row>
    <row r="213">
      <c r="A213" s="3">
        <f>IFERROR(__xludf.DUMMYFUNCTION("""COMPUTED_VALUE"""),1618.0)</f>
        <v>1618</v>
      </c>
      <c r="B213" s="4" t="str">
        <f>IFERROR(__xludf.DUMMYFUNCTION("""COMPUTED_VALUE"""),"גורדני שרון")</f>
        <v>גורדני שרון</v>
      </c>
      <c r="C213" s="3">
        <f>IFERROR(__xludf.DUMMYFUNCTION("""COMPUTED_VALUE"""),25.0)</f>
        <v>25</v>
      </c>
      <c r="D213" s="5" t="str">
        <f>IFERROR(__xludf.DUMMYFUNCTION("""COMPUTED_VALUE"""),"קדרון")</f>
        <v>קדרון</v>
      </c>
      <c r="E213" s="5" t="str">
        <f>IFERROR(__xludf.DUMMYFUNCTION("""COMPUTED_VALUE"""),"גבר")</f>
        <v>גבר</v>
      </c>
      <c r="F213" s="5" t="str">
        <f>IFERROR(__xludf.DUMMYFUNCTION("""COMPUTED_VALUE"""),"אזרחים")</f>
        <v>אזרחים</v>
      </c>
      <c r="G213" s="3"/>
      <c r="H213" s="3" t="str">
        <f>IFERROR(__xludf.DUMMYFUNCTION("""COMPUTED_VALUE"""),"07.10.2023")</f>
        <v>07.10.2023</v>
      </c>
      <c r="I213" s="4" t="str">
        <f>IFERROR(__xludf.DUMMYFUNCTION("""COMPUTED_VALUE"""),"מיגונית בכניסה לעלומים")</f>
        <v>מיגונית בכניסה לעלומים</v>
      </c>
      <c r="J213" s="4" t="str">
        <f>IFERROR(__xludf.DUMMYFUNCTION("""COMPUTED_VALUE"""),"אזרחים וכיתות כוננות")</f>
        <v>אזרחים וכיתות כוננות</v>
      </c>
      <c r="K213" s="5" t="str">
        <f>IFERROR(__xludf.DUMMYFUNCTION("""COMPUTED_VALUE"""),"פסטיבל נובה")</f>
        <v>פסטיבל נובה</v>
      </c>
      <c r="L213" s="3" t="str">
        <f>IFERROR(__xludf.DUMMYFUNCTION("""COMPUTED_VALUE"""),"Sharon Gordeni")</f>
        <v>Sharon Gordeni</v>
      </c>
      <c r="M213" s="5"/>
    </row>
    <row r="214">
      <c r="A214" s="3">
        <f>IFERROR(__xludf.DUMMYFUNCTION("""COMPUTED_VALUE"""),1503.0)</f>
        <v>1503</v>
      </c>
      <c r="B214" s="4" t="str">
        <f>IFERROR(__xludf.DUMMYFUNCTION("""COMPUTED_VALUE"""),"גוריונוב אנטון")</f>
        <v>גוריונוב אנטון</v>
      </c>
      <c r="C214" s="3">
        <f>IFERROR(__xludf.DUMMYFUNCTION("""COMPUTED_VALUE"""),37.0)</f>
        <v>37</v>
      </c>
      <c r="D214" s="5" t="str">
        <f>IFERROR(__xludf.DUMMYFUNCTION("""COMPUTED_VALUE"""),"צפת")</f>
        <v>צפת</v>
      </c>
      <c r="E214" s="5" t="str">
        <f>IFERROR(__xludf.DUMMYFUNCTION("""COMPUTED_VALUE"""),"גבר")</f>
        <v>גבר</v>
      </c>
      <c r="F214" s="5" t="str">
        <f>IFERROR(__xludf.DUMMYFUNCTION("""COMPUTED_VALUE"""),"אזרחים")</f>
        <v>אזרחים</v>
      </c>
      <c r="G214" s="3"/>
      <c r="H214" s="3" t="str">
        <f>IFERROR(__xludf.DUMMYFUNCTION("""COMPUTED_VALUE"""),"07.10.2023")</f>
        <v>07.10.2023</v>
      </c>
      <c r="I214" s="4" t="str">
        <f>IFERROR(__xludf.DUMMYFUNCTION("""COMPUTED_VALUE"""),"פסטיבל נובה; חסימה בכביש 232")</f>
        <v>פסטיבל נובה; חסימה בכביש 232</v>
      </c>
      <c r="J214" s="4" t="str">
        <f>IFERROR(__xludf.DUMMYFUNCTION("""COMPUTED_VALUE"""),"אזרחים וכיתות כוננות")</f>
        <v>אזרחים וכיתות כוננות</v>
      </c>
      <c r="K214" s="5" t="str">
        <f>IFERROR(__xludf.DUMMYFUNCTION("""COMPUTED_VALUE"""),"פסטיבל נובה")</f>
        <v>פסטיבל נובה</v>
      </c>
      <c r="L214" s="3" t="str">
        <f>IFERROR(__xludf.DUMMYFUNCTION("""COMPUTED_VALUE"""),"Anton Guryonov")</f>
        <v>Anton Guryonov</v>
      </c>
      <c r="M214" s="5"/>
    </row>
    <row r="215">
      <c r="A215" s="3">
        <f>IFERROR(__xludf.DUMMYFUNCTION("""COMPUTED_VALUE"""),763.0)</f>
        <v>763</v>
      </c>
      <c r="B215" s="4" t="str">
        <f>IFERROR(__xludf.DUMMYFUNCTION("""COMPUTED_VALUE"""),"גורלוב ויקטוריה")</f>
        <v>גורלוב ויקטוריה</v>
      </c>
      <c r="C215" s="3">
        <f>IFERROR(__xludf.DUMMYFUNCTION("""COMPUTED_VALUE"""),23.0)</f>
        <v>23</v>
      </c>
      <c r="D215" s="5" t="str">
        <f>IFERROR(__xludf.DUMMYFUNCTION("""COMPUTED_VALUE"""),"בת ים")</f>
        <v>בת ים</v>
      </c>
      <c r="E215" s="5" t="str">
        <f>IFERROR(__xludf.DUMMYFUNCTION("""COMPUTED_VALUE"""),"אישה")</f>
        <v>אישה</v>
      </c>
      <c r="F215" s="5" t="str">
        <f>IFERROR(__xludf.DUMMYFUNCTION("""COMPUTED_VALUE"""),"אזרחים")</f>
        <v>אזרחים</v>
      </c>
      <c r="G215" s="3"/>
      <c r="H215" s="3" t="str">
        <f>IFERROR(__xludf.DUMMYFUNCTION("""COMPUTED_VALUE"""),"07.10.2023")</f>
        <v>07.10.2023</v>
      </c>
      <c r="I215" s="4" t="str">
        <f>IFERROR(__xludf.DUMMYFUNCTION("""COMPUTED_VALUE"""),"פסטיבל נובה; אמבולנס")</f>
        <v>פסטיבל נובה; אמבולנס</v>
      </c>
      <c r="J215" s="4" t="str">
        <f>IFERROR(__xludf.DUMMYFUNCTION("""COMPUTED_VALUE"""),"אזרחים וכיתות כוננות")</f>
        <v>אזרחים וכיתות כוננות</v>
      </c>
      <c r="K215" s="5" t="str">
        <f>IFERROR(__xludf.DUMMYFUNCTION("""COMPUTED_VALUE"""),"פסטיבל נובה")</f>
        <v>פסטיבל נובה</v>
      </c>
      <c r="L215" s="3" t="str">
        <f>IFERROR(__xludf.DUMMYFUNCTION("""COMPUTED_VALUE"""),"Victoria Gorlov")</f>
        <v>Victoria Gorlov</v>
      </c>
      <c r="M215" s="5"/>
    </row>
    <row r="216">
      <c r="A216" s="3">
        <f>IFERROR(__xludf.DUMMYFUNCTION("""COMPUTED_VALUE"""),764.0)</f>
        <v>764</v>
      </c>
      <c r="B216" s="4" t="str">
        <f>IFERROR(__xludf.DUMMYFUNCTION("""COMPUTED_VALUE"""),"גז עדן")</f>
        <v>גז עדן</v>
      </c>
      <c r="C216" s="3">
        <f>IFERROR(__xludf.DUMMYFUNCTION("""COMPUTED_VALUE"""),31.0)</f>
        <v>31</v>
      </c>
      <c r="D216" s="5" t="str">
        <f>IFERROR(__xludf.DUMMYFUNCTION("""COMPUTED_VALUE"""),"אשקלון")</f>
        <v>אשקלון</v>
      </c>
      <c r="E216" s="5" t="str">
        <f>IFERROR(__xludf.DUMMYFUNCTION("""COMPUTED_VALUE"""),"אישה")</f>
        <v>אישה</v>
      </c>
      <c r="F216" s="5" t="str">
        <f>IFERROR(__xludf.DUMMYFUNCTION("""COMPUTED_VALUE"""),"אזרחים")</f>
        <v>אזרחים</v>
      </c>
      <c r="G216" s="3"/>
      <c r="H216" s="3" t="str">
        <f>IFERROR(__xludf.DUMMYFUNCTION("""COMPUTED_VALUE"""),"07.10.2023")</f>
        <v>07.10.2023</v>
      </c>
      <c r="I216" s="4" t="str">
        <f>IFERROR(__xludf.DUMMYFUNCTION("""COMPUTED_VALUE"""),"סמוך למפלסים")</f>
        <v>סמוך למפלסים</v>
      </c>
      <c r="J216" s="4" t="str">
        <f>IFERROR(__xludf.DUMMYFUNCTION("""COMPUTED_VALUE"""),"אזרחים וכיתות כוננות")</f>
        <v>אזרחים וכיתות כוננות</v>
      </c>
      <c r="K216" s="5" t="str">
        <f>IFERROR(__xludf.DUMMYFUNCTION("""COMPUTED_VALUE"""),"פסטיבל נובה")</f>
        <v>פסטיבל נובה</v>
      </c>
      <c r="L216" s="3" t="str">
        <f>IFERROR(__xludf.DUMMYFUNCTION("""COMPUTED_VALUE"""),"Eden Guez")</f>
        <v>Eden Guez</v>
      </c>
      <c r="M216" s="5"/>
    </row>
    <row r="217">
      <c r="A217" s="3">
        <f>IFERROR(__xludf.DUMMYFUNCTION("""COMPUTED_VALUE"""),1391.0)</f>
        <v>1391</v>
      </c>
      <c r="B217" s="4" t="str">
        <f>IFERROR(__xludf.DUMMYFUNCTION("""COMPUTED_VALUE"""),"גטה סתיו")</f>
        <v>גטה סתיו</v>
      </c>
      <c r="C217" s="3">
        <f>IFERROR(__xludf.DUMMYFUNCTION("""COMPUTED_VALUE"""),30.0)</f>
        <v>30</v>
      </c>
      <c r="D217" s="5" t="str">
        <f>IFERROR(__xludf.DUMMYFUNCTION("""COMPUTED_VALUE"""),"אשקלון")</f>
        <v>אשקלון</v>
      </c>
      <c r="E217" s="5" t="str">
        <f>IFERROR(__xludf.DUMMYFUNCTION("""COMPUTED_VALUE"""),"אישה")</f>
        <v>אישה</v>
      </c>
      <c r="F217" s="5" t="str">
        <f>IFERROR(__xludf.DUMMYFUNCTION("""COMPUTED_VALUE"""),"אזרחים")</f>
        <v>אזרחים</v>
      </c>
      <c r="G217" s="3"/>
      <c r="H217" s="3" t="str">
        <f>IFERROR(__xludf.DUMMYFUNCTION("""COMPUTED_VALUE"""),"07.10.2023")</f>
        <v>07.10.2023</v>
      </c>
      <c r="I217" s="4" t="str">
        <f>IFERROR(__xludf.DUMMYFUNCTION("""COMPUTED_VALUE"""),"סמוך למפלסים")</f>
        <v>סמוך למפלסים</v>
      </c>
      <c r="J217" s="4" t="str">
        <f>IFERROR(__xludf.DUMMYFUNCTION("""COMPUTED_VALUE"""),"אזרחים וכיתות כוננות")</f>
        <v>אזרחים וכיתות כוננות</v>
      </c>
      <c r="K217" s="5" t="str">
        <f>IFERROR(__xludf.DUMMYFUNCTION("""COMPUTED_VALUE"""),"פסטיבל נובה")</f>
        <v>פסטיבל נובה</v>
      </c>
      <c r="L217" s="3" t="str">
        <f>IFERROR(__xludf.DUMMYFUNCTION("""COMPUTED_VALUE"""),"Stav Gueta")</f>
        <v>Stav Gueta</v>
      </c>
      <c r="M217" s="5"/>
    </row>
    <row r="218">
      <c r="A218" s="3">
        <f>IFERROR(__xludf.DUMMYFUNCTION("""COMPUTED_VALUE"""),757.0)</f>
        <v>757</v>
      </c>
      <c r="B218" s="4" t="str">
        <f>IFERROR(__xludf.DUMMYFUNCTION("""COMPUTED_VALUE"""),"גילר ירוסלב (סלבה)")</f>
        <v>גילר ירוסלב (סלבה)</v>
      </c>
      <c r="C218" s="3">
        <f>IFERROR(__xludf.DUMMYFUNCTION("""COMPUTED_VALUE"""),28.0)</f>
        <v>28</v>
      </c>
      <c r="D218" s="5" t="str">
        <f>IFERROR(__xludf.DUMMYFUNCTION("""COMPUTED_VALUE"""),"כרמיאל")</f>
        <v>כרמיאל</v>
      </c>
      <c r="E218" s="5" t="str">
        <f>IFERROR(__xludf.DUMMYFUNCTION("""COMPUTED_VALUE"""),"גבר")</f>
        <v>גבר</v>
      </c>
      <c r="F218" s="5" t="str">
        <f>IFERROR(__xludf.DUMMYFUNCTION("""COMPUTED_VALUE"""),"אזרחים")</f>
        <v>אזרחים</v>
      </c>
      <c r="G218" s="3"/>
      <c r="H218" s="3" t="str">
        <f>IFERROR(__xludf.DUMMYFUNCTION("""COMPUTED_VALUE"""),"07.10.2023")</f>
        <v>07.10.2023</v>
      </c>
      <c r="I218" s="4" t="str">
        <f>IFERROR(__xludf.DUMMYFUNCTION("""COMPUTED_VALUE"""),"סמוך למפלסים")</f>
        <v>סמוך למפלסים</v>
      </c>
      <c r="J218" s="4" t="str">
        <f>IFERROR(__xludf.DUMMYFUNCTION("""COMPUTED_VALUE"""),"אזרחים וכיתות כוננות")</f>
        <v>אזרחים וכיתות כוננות</v>
      </c>
      <c r="K218" s="5" t="str">
        <f>IFERROR(__xludf.DUMMYFUNCTION("""COMPUTED_VALUE"""),"פסטיבל נובה")</f>
        <v>פסטיבל נובה</v>
      </c>
      <c r="L218" s="3" t="str">
        <f>IFERROR(__xludf.DUMMYFUNCTION("""COMPUTED_VALUE"""),"Yaroslav Giler Slava")</f>
        <v>Yaroslav Giler Slava</v>
      </c>
      <c r="M218" s="5"/>
    </row>
    <row r="219">
      <c r="A219" s="3">
        <f>IFERROR(__xludf.DUMMYFUNCTION("""COMPUTED_VALUE"""),758.0)</f>
        <v>758</v>
      </c>
      <c r="B219" s="4" t="str">
        <f>IFERROR(__xludf.DUMMYFUNCTION("""COMPUTED_VALUE"""),"גינדי שחר")</f>
        <v>גינדי שחר</v>
      </c>
      <c r="C219" s="3">
        <f>IFERROR(__xludf.DUMMYFUNCTION("""COMPUTED_VALUE"""),25.0)</f>
        <v>25</v>
      </c>
      <c r="D219" s="5" t="str">
        <f>IFERROR(__xludf.DUMMYFUNCTION("""COMPUTED_VALUE"""),"חולון")</f>
        <v>חולון</v>
      </c>
      <c r="E219" s="5" t="str">
        <f>IFERROR(__xludf.DUMMYFUNCTION("""COMPUTED_VALUE"""),"אישה")</f>
        <v>אישה</v>
      </c>
      <c r="F219" s="5" t="str">
        <f>IFERROR(__xludf.DUMMYFUNCTION("""COMPUTED_VALUE"""),"אזרחים")</f>
        <v>אזרחים</v>
      </c>
      <c r="G219" s="3"/>
      <c r="H219" s="3" t="str">
        <f>IFERROR(__xludf.DUMMYFUNCTION("""COMPUTED_VALUE"""),"07.10.2023")</f>
        <v>07.10.2023</v>
      </c>
      <c r="I219" s="4" t="str">
        <f>IFERROR(__xludf.DUMMYFUNCTION("""COMPUTED_VALUE"""),"סמוך לצומת גמה")</f>
        <v>סמוך לצומת גמה</v>
      </c>
      <c r="J219" s="4" t="str">
        <f>IFERROR(__xludf.DUMMYFUNCTION("""COMPUTED_VALUE"""),"אזרחים וכיתות כוננות")</f>
        <v>אזרחים וכיתות כוננות</v>
      </c>
      <c r="K219" s="5" t="str">
        <f>IFERROR(__xludf.DUMMYFUNCTION("""COMPUTED_VALUE"""),"פסטיבל נובה")</f>
        <v>פסטיבל נובה</v>
      </c>
      <c r="L219" s="3" t="str">
        <f>IFERROR(__xludf.DUMMYFUNCTION("""COMPUTED_VALUE"""),"Shahar Gindi")</f>
        <v>Shahar Gindi</v>
      </c>
      <c r="M219" s="5"/>
    </row>
    <row r="220">
      <c r="A220" s="3">
        <f>IFERROR(__xludf.DUMMYFUNCTION("""COMPUTED_VALUE"""),1568.0)</f>
        <v>1568</v>
      </c>
      <c r="B220" s="4" t="str">
        <f>IFERROR(__xludf.DUMMYFUNCTION("""COMPUTED_VALUE"""),"גל שלו")</f>
        <v>גל שלו</v>
      </c>
      <c r="C220" s="3">
        <f>IFERROR(__xludf.DUMMYFUNCTION("""COMPUTED_VALUE"""),25.0)</f>
        <v>25</v>
      </c>
      <c r="D220" s="5" t="str">
        <f>IFERROR(__xludf.DUMMYFUNCTION("""COMPUTED_VALUE"""),"אחוזת ברק")</f>
        <v>אחוזת ברק</v>
      </c>
      <c r="E220" s="5" t="str">
        <f>IFERROR(__xludf.DUMMYFUNCTION("""COMPUTED_VALUE"""),"גבר")</f>
        <v>גבר</v>
      </c>
      <c r="F220" s="5" t="str">
        <f>IFERROR(__xludf.DUMMYFUNCTION("""COMPUTED_VALUE"""),"אזרחים")</f>
        <v>אזרחים</v>
      </c>
      <c r="G220" s="3"/>
      <c r="H220" s="3" t="str">
        <f>IFERROR(__xludf.DUMMYFUNCTION("""COMPUTED_VALUE"""),"07.10.2023")</f>
        <v>07.10.2023</v>
      </c>
      <c r="I220" s="4" t="str">
        <f>IFERROR(__xludf.DUMMYFUNCTION("""COMPUTED_VALUE"""),"סמוך למפלסים")</f>
        <v>סמוך למפלסים</v>
      </c>
      <c r="J220" s="4" t="str">
        <f>IFERROR(__xludf.DUMMYFUNCTION("""COMPUTED_VALUE"""),"אזרחים וכיתות כוננות")</f>
        <v>אזרחים וכיתות כוננות</v>
      </c>
      <c r="K220" s="5" t="str">
        <f>IFERROR(__xludf.DUMMYFUNCTION("""COMPUTED_VALUE"""),"פסטיבל נובה")</f>
        <v>פסטיבל נובה</v>
      </c>
      <c r="L220" s="3" t="str">
        <f>IFERROR(__xludf.DUMMYFUNCTION("""COMPUTED_VALUE"""),"Shalev Gal")</f>
        <v>Shalev Gal</v>
      </c>
      <c r="M220" s="5"/>
    </row>
    <row r="221">
      <c r="A221" s="3">
        <f>IFERROR(__xludf.DUMMYFUNCTION("""COMPUTED_VALUE"""),752.0)</f>
        <v>752</v>
      </c>
      <c r="B221" s="4" t="str">
        <f>IFERROR(__xludf.DUMMYFUNCTION("""COMPUTED_VALUE"""),"גנדלין איזבלה")</f>
        <v>גנדלין איזבלה</v>
      </c>
      <c r="C221" s="3">
        <f>IFERROR(__xludf.DUMMYFUNCTION("""COMPUTED_VALUE"""),27.0)</f>
        <v>27</v>
      </c>
      <c r="D221" s="5" t="str">
        <f>IFERROR(__xludf.DUMMYFUNCTION("""COMPUTED_VALUE"""),"אשדוד")</f>
        <v>אשדוד</v>
      </c>
      <c r="E221" s="5" t="str">
        <f>IFERROR(__xludf.DUMMYFUNCTION("""COMPUTED_VALUE"""),"אישה")</f>
        <v>אישה</v>
      </c>
      <c r="F221" s="5" t="str">
        <f>IFERROR(__xludf.DUMMYFUNCTION("""COMPUTED_VALUE"""),"אזרחים")</f>
        <v>אזרחים</v>
      </c>
      <c r="G221" s="3"/>
      <c r="H221" s="3" t="str">
        <f>IFERROR(__xludf.DUMMYFUNCTION("""COMPUTED_VALUE"""),"07.10.2023")</f>
        <v>07.10.2023</v>
      </c>
      <c r="I221" s="4" t="str">
        <f>IFERROR(__xludf.DUMMYFUNCTION("""COMPUTED_VALUE"""),"מיגונית בכניסה לעלומים")</f>
        <v>מיגונית בכניסה לעלומים</v>
      </c>
      <c r="J221" s="4" t="str">
        <f>IFERROR(__xludf.DUMMYFUNCTION("""COMPUTED_VALUE"""),"אזרחים וכיתות כוננות")</f>
        <v>אזרחים וכיתות כוננות</v>
      </c>
      <c r="K221" s="5" t="str">
        <f>IFERROR(__xludf.DUMMYFUNCTION("""COMPUTED_VALUE"""),"פסטיבל נובה")</f>
        <v>פסטיבל נובה</v>
      </c>
      <c r="L221" s="3" t="str">
        <f>IFERROR(__xludf.DUMMYFUNCTION("""COMPUTED_VALUE"""),"Izabella Gandlin")</f>
        <v>Izabella Gandlin</v>
      </c>
      <c r="M221" s="5"/>
    </row>
    <row r="222">
      <c r="A222" s="3">
        <f>IFERROR(__xludf.DUMMYFUNCTION("""COMPUTED_VALUE"""),754.0)</f>
        <v>754</v>
      </c>
      <c r="B222" s="4" t="str">
        <f>IFERROR(__xludf.DUMMYFUNCTION("""COMPUTED_VALUE"""),"גנוט אביה")</f>
        <v>גנוט אביה</v>
      </c>
      <c r="C222" s="3">
        <f>IFERROR(__xludf.DUMMYFUNCTION("""COMPUTED_VALUE"""),22.0)</f>
        <v>22</v>
      </c>
      <c r="D222" s="5" t="str">
        <f>IFERROR(__xludf.DUMMYFUNCTION("""COMPUTED_VALUE"""),"צופים")</f>
        <v>צופים</v>
      </c>
      <c r="E222" s="5" t="str">
        <f>IFERROR(__xludf.DUMMYFUNCTION("""COMPUTED_VALUE"""),"אישה")</f>
        <v>אישה</v>
      </c>
      <c r="F222" s="5" t="str">
        <f>IFERROR(__xludf.DUMMYFUNCTION("""COMPUTED_VALUE"""),"אזרחים")</f>
        <v>אזרחים</v>
      </c>
      <c r="G222" s="3"/>
      <c r="H222" s="3" t="str">
        <f>IFERROR(__xludf.DUMMYFUNCTION("""COMPUTED_VALUE"""),"07.10.2023")</f>
        <v>07.10.2023</v>
      </c>
      <c r="I222" s="4" t="str">
        <f>IFERROR(__xludf.DUMMYFUNCTION("""COMPUTED_VALUE"""),"פסטיבל נובה")</f>
        <v>פסטיבל נובה</v>
      </c>
      <c r="J222" s="2" t="str">
        <f>IFERROR(__xludf.DUMMYFUNCTION("""COMPUTED_VALUE"""),"אזרחים וכיתות כוננות")</f>
        <v>אזרחים וכיתות כוננות</v>
      </c>
      <c r="K222" s="5" t="str">
        <f>IFERROR(__xludf.DUMMYFUNCTION("""COMPUTED_VALUE"""),"פסטיבל נובה")</f>
        <v>פסטיבל נובה</v>
      </c>
      <c r="L222" s="3" t="str">
        <f>IFERROR(__xludf.DUMMYFUNCTION("""COMPUTED_VALUE"""),"Aviya Ganot")</f>
        <v>Aviya Ganot</v>
      </c>
      <c r="M222" s="5"/>
    </row>
    <row r="223">
      <c r="A223" s="3">
        <f>IFERROR(__xludf.DUMMYFUNCTION("""COMPUTED_VALUE"""),753.0)</f>
        <v>753</v>
      </c>
      <c r="B223" s="4" t="str">
        <f>IFERROR(__xludf.DUMMYFUNCTION("""COMPUTED_VALUE"""),"גנון שירן")</f>
        <v>גנון שירן</v>
      </c>
      <c r="C223" s="3">
        <f>IFERROR(__xludf.DUMMYFUNCTION("""COMPUTED_VALUE"""),38.0)</f>
        <v>38</v>
      </c>
      <c r="D223" s="5" t="str">
        <f>IFERROR(__xludf.DUMMYFUNCTION("""COMPUTED_VALUE"""),"בת ים")</f>
        <v>בת ים</v>
      </c>
      <c r="E223" s="5" t="str">
        <f>IFERROR(__xludf.DUMMYFUNCTION("""COMPUTED_VALUE"""),"אישה")</f>
        <v>אישה</v>
      </c>
      <c r="F223" s="5" t="str">
        <f>IFERROR(__xludf.DUMMYFUNCTION("""COMPUTED_VALUE"""),"אזרחים")</f>
        <v>אזרחים</v>
      </c>
      <c r="G223" s="3"/>
      <c r="H223" s="3" t="str">
        <f>IFERROR(__xludf.DUMMYFUNCTION("""COMPUTED_VALUE"""),"07.10.2023")</f>
        <v>07.10.2023</v>
      </c>
      <c r="I223" s="4" t="str">
        <f>IFERROR(__xludf.DUMMYFUNCTION("""COMPUTED_VALUE"""),"פסטיבל נובה; פקק ביציאה")</f>
        <v>פסטיבל נובה; פקק ביציאה</v>
      </c>
      <c r="J223" s="4" t="str">
        <f>IFERROR(__xludf.DUMMYFUNCTION("""COMPUTED_VALUE"""),"אזרחים וכיתות כוננות")</f>
        <v>אזרחים וכיתות כוננות</v>
      </c>
      <c r="K223" s="5" t="str">
        <f>IFERROR(__xludf.DUMMYFUNCTION("""COMPUTED_VALUE"""),"פסטיבל נובה")</f>
        <v>פסטיבל נובה</v>
      </c>
      <c r="L223" s="3" t="str">
        <f>IFERROR(__xludf.DUMMYFUNCTION("""COMPUTED_VALUE"""),"Shiran Ganon")</f>
        <v>Shiran Ganon</v>
      </c>
      <c r="M223" s="5"/>
    </row>
    <row r="224">
      <c r="A224" s="3">
        <f>IFERROR(__xludf.DUMMYFUNCTION("""COMPUTED_VALUE"""),1440.0)</f>
        <v>1440</v>
      </c>
      <c r="B224" s="4" t="str">
        <f>IFERROR(__xludf.DUMMYFUNCTION("""COMPUTED_VALUE"""),"גניס יוסף (ספי)")</f>
        <v>גניס יוסף (ספי)</v>
      </c>
      <c r="C224" s="3">
        <f>IFERROR(__xludf.DUMMYFUNCTION("""COMPUTED_VALUE"""),30.0)</f>
        <v>30</v>
      </c>
      <c r="D224" s="5" t="str">
        <f>IFERROR(__xludf.DUMMYFUNCTION("""COMPUTED_VALUE"""),"רמת גן")</f>
        <v>רמת גן</v>
      </c>
      <c r="E224" s="5" t="str">
        <f>IFERROR(__xludf.DUMMYFUNCTION("""COMPUTED_VALUE"""),"גבר")</f>
        <v>גבר</v>
      </c>
      <c r="F224" s="5" t="str">
        <f>IFERROR(__xludf.DUMMYFUNCTION("""COMPUTED_VALUE"""),"אזרחים")</f>
        <v>אזרחים</v>
      </c>
      <c r="G224" s="3"/>
      <c r="H224" s="3" t="str">
        <f>IFERROR(__xludf.DUMMYFUNCTION("""COMPUTED_VALUE"""),"07.10.2023")</f>
        <v>07.10.2023</v>
      </c>
      <c r="I224" s="4" t="str">
        <f>IFERROR(__xludf.DUMMYFUNCTION("""COMPUTED_VALUE"""),"מיגונית בצומת גמה (דרום)")</f>
        <v>מיגונית בצומת גמה (דרום)</v>
      </c>
      <c r="J224" s="4" t="str">
        <f>IFERROR(__xludf.DUMMYFUNCTION("""COMPUTED_VALUE"""),"אזרחים וכיתות כוננות")</f>
        <v>אזרחים וכיתות כוננות</v>
      </c>
      <c r="K224" s="5" t="str">
        <f>IFERROR(__xludf.DUMMYFUNCTION("""COMPUTED_VALUE"""),"פסטיבל נובה")</f>
        <v>פסטיבל נובה</v>
      </c>
      <c r="L224" s="3" t="str">
        <f>IFERROR(__xludf.DUMMYFUNCTION("""COMPUTED_VALUE"""),"Sefi Yossef Genis")</f>
        <v>Sefi Yossef Genis</v>
      </c>
      <c r="M224" s="5"/>
    </row>
    <row r="225">
      <c r="A225" s="3">
        <f>IFERROR(__xludf.DUMMYFUNCTION("""COMPUTED_VALUE"""),1392.0)</f>
        <v>1392</v>
      </c>
      <c r="B225" s="4" t="str">
        <f>IFERROR(__xludf.DUMMYFUNCTION("""COMPUTED_VALUE"""),"גרציאני מאור")</f>
        <v>גרציאני מאור</v>
      </c>
      <c r="C225" s="3">
        <f>IFERROR(__xludf.DUMMYFUNCTION("""COMPUTED_VALUE"""),22.0)</f>
        <v>22</v>
      </c>
      <c r="D225" s="5" t="str">
        <f>IFERROR(__xludf.DUMMYFUNCTION("""COMPUTED_VALUE"""),"תל אביב")</f>
        <v>תל אביב</v>
      </c>
      <c r="E225" s="5" t="str">
        <f>IFERROR(__xludf.DUMMYFUNCTION("""COMPUTED_VALUE"""),"גבר")</f>
        <v>גבר</v>
      </c>
      <c r="F225" s="5" t="str">
        <f>IFERROR(__xludf.DUMMYFUNCTION("""COMPUTED_VALUE"""),"אזרחים")</f>
        <v>אזרחים</v>
      </c>
      <c r="G225" s="3"/>
      <c r="H225" s="3" t="str">
        <f>IFERROR(__xludf.DUMMYFUNCTION("""COMPUTED_VALUE"""),"07.10.2023")</f>
        <v>07.10.2023</v>
      </c>
      <c r="I225" s="4" t="str">
        <f>IFERROR(__xludf.DUMMYFUNCTION("""COMPUTED_VALUE"""),"בארי")</f>
        <v>בארי</v>
      </c>
      <c r="J225" s="4" t="str">
        <f>IFERROR(__xludf.DUMMYFUNCTION("""COMPUTED_VALUE"""),"אזרחים וכיתות כוננות")</f>
        <v>אזרחים וכיתות כוננות</v>
      </c>
      <c r="K225" s="5" t="str">
        <f>IFERROR(__xludf.DUMMYFUNCTION("""COMPUTED_VALUE"""),"פסטיבל נובה")</f>
        <v>פסטיבל נובה</v>
      </c>
      <c r="L225" s="3" t="str">
        <f>IFERROR(__xludf.DUMMYFUNCTION("""COMPUTED_VALUE"""),"Maor Graziani")</f>
        <v>Maor Graziani</v>
      </c>
      <c r="M225" s="5"/>
    </row>
    <row r="226">
      <c r="A226" s="3">
        <f>IFERROR(__xludf.DUMMYFUNCTION("""COMPUTED_VALUE"""),1314.0)</f>
        <v>1314</v>
      </c>
      <c r="B226" s="4" t="str">
        <f>IFERROR(__xludf.DUMMYFUNCTION("""COMPUTED_VALUE"""),"גרקוביץ' דפנה")</f>
        <v>גרקוביץ' דפנה</v>
      </c>
      <c r="C226" s="3">
        <f>IFERROR(__xludf.DUMMYFUNCTION("""COMPUTED_VALUE"""),47.0)</f>
        <v>47</v>
      </c>
      <c r="D226" s="5" t="str">
        <f>IFERROR(__xludf.DUMMYFUNCTION("""COMPUTED_VALUE"""),"כיסופים")</f>
        <v>כיסופים</v>
      </c>
      <c r="E226" s="5" t="str">
        <f>IFERROR(__xludf.DUMMYFUNCTION("""COMPUTED_VALUE"""),"אישה")</f>
        <v>אישה</v>
      </c>
      <c r="F226" s="5" t="str">
        <f>IFERROR(__xludf.DUMMYFUNCTION("""COMPUTED_VALUE"""),"אזרחים")</f>
        <v>אזרחים</v>
      </c>
      <c r="G226" s="3"/>
      <c r="H226" s="3" t="str">
        <f>IFERROR(__xludf.DUMMYFUNCTION("""COMPUTED_VALUE"""),"07.10.2023")</f>
        <v>07.10.2023</v>
      </c>
      <c r="I226" s="4" t="str">
        <f>IFERROR(__xludf.DUMMYFUNCTION("""COMPUTED_VALUE"""),"כיסופים")</f>
        <v>כיסופים</v>
      </c>
      <c r="J226" s="4" t="str">
        <f>IFERROR(__xludf.DUMMYFUNCTION("""COMPUTED_VALUE"""),"אזרחים וכיתות כוננות")</f>
        <v>אזרחים וכיתות כוננות</v>
      </c>
      <c r="K226" s="5"/>
      <c r="L226" s="3" t="str">
        <f>IFERROR(__xludf.DUMMYFUNCTION("""COMPUTED_VALUE"""),"Dafna Garcovich")</f>
        <v>Dafna Garcovich</v>
      </c>
      <c r="M226" s="5"/>
    </row>
    <row r="227">
      <c r="A227" s="3">
        <f>IFERROR(__xludf.DUMMYFUNCTION("""COMPUTED_VALUE"""),1547.0)</f>
        <v>1547</v>
      </c>
      <c r="B227" s="4" t="str">
        <f>IFERROR(__xludf.DUMMYFUNCTION("""COMPUTED_VALUE"""),"דב רחל (רייצ'ל)")</f>
        <v>דב רחל (רייצ'ל)</v>
      </c>
      <c r="C227" s="3">
        <f>IFERROR(__xludf.DUMMYFUNCTION("""COMPUTED_VALUE"""),25.0)</f>
        <v>25</v>
      </c>
      <c r="D227" s="5" t="str">
        <f>IFERROR(__xludf.DUMMYFUNCTION("""COMPUTED_VALUE"""),"קריית ים")</f>
        <v>קריית ים</v>
      </c>
      <c r="E227" s="5" t="str">
        <f>IFERROR(__xludf.DUMMYFUNCTION("""COMPUTED_VALUE"""),"אישה")</f>
        <v>אישה</v>
      </c>
      <c r="F227" s="5" t="str">
        <f>IFERROR(__xludf.DUMMYFUNCTION("""COMPUTED_VALUE"""),"אזרחים")</f>
        <v>אזרחים</v>
      </c>
      <c r="G227" s="3"/>
      <c r="H227" s="3" t="str">
        <f>IFERROR(__xludf.DUMMYFUNCTION("""COMPUTED_VALUE"""),"07.10.2023")</f>
        <v>07.10.2023</v>
      </c>
      <c r="I227" s="4" t="str">
        <f>IFERROR(__xludf.DUMMYFUNCTION("""COMPUTED_VALUE"""),"סמוך לכיסופים")</f>
        <v>סמוך לכיסופים</v>
      </c>
      <c r="J227" s="4" t="str">
        <f>IFERROR(__xludf.DUMMYFUNCTION("""COMPUTED_VALUE"""),"אזרחים וכיתות כוננות")</f>
        <v>אזרחים וכיתות כוננות</v>
      </c>
      <c r="K227" s="5" t="str">
        <f>IFERROR(__xludf.DUMMYFUNCTION("""COMPUTED_VALUE"""),"פסטיבל נובה")</f>
        <v>פסטיבל נובה</v>
      </c>
      <c r="L227" s="3" t="str">
        <f>IFERROR(__xludf.DUMMYFUNCTION("""COMPUTED_VALUE"""),"Rachel Dove")</f>
        <v>Rachel Dove</v>
      </c>
      <c r="M227" s="5"/>
    </row>
    <row r="228">
      <c r="A228" s="3">
        <f>IFERROR(__xludf.DUMMYFUNCTION("""COMPUTED_VALUE"""),885.0)</f>
        <v>885</v>
      </c>
      <c r="B228" s="4" t="str">
        <f>IFERROR(__xludf.DUMMYFUNCTION("""COMPUTED_VALUE"""),"דדון אבי")</f>
        <v>דדון אבי</v>
      </c>
      <c r="C228" s="3">
        <f>IFERROR(__xludf.DUMMYFUNCTION("""COMPUTED_VALUE"""),44.0)</f>
        <v>44</v>
      </c>
      <c r="D228" s="5" t="str">
        <f>IFERROR(__xludf.DUMMYFUNCTION("""COMPUTED_VALUE"""),"עפולה")</f>
        <v>עפולה</v>
      </c>
      <c r="E228" s="5" t="str">
        <f>IFERROR(__xludf.DUMMYFUNCTION("""COMPUTED_VALUE"""),"גבר")</f>
        <v>גבר</v>
      </c>
      <c r="F228" s="5" t="str">
        <f>IFERROR(__xludf.DUMMYFUNCTION("""COMPUTED_VALUE"""),"אזרחים")</f>
        <v>אזרחים</v>
      </c>
      <c r="G228" s="3"/>
      <c r="H228" s="3" t="str">
        <f>IFERROR(__xludf.DUMMYFUNCTION("""COMPUTED_VALUE"""),"07.10.2023")</f>
        <v>07.10.2023</v>
      </c>
      <c r="I228" s="4" t="str">
        <f>IFERROR(__xludf.DUMMYFUNCTION("""COMPUTED_VALUE"""),"פסטיבל נובה")</f>
        <v>פסטיבל נובה</v>
      </c>
      <c r="J228" s="2" t="str">
        <f>IFERROR(__xludf.DUMMYFUNCTION("""COMPUTED_VALUE"""),"אזרחים וכיתות כוננות")</f>
        <v>אזרחים וכיתות כוננות</v>
      </c>
      <c r="K228" s="5" t="str">
        <f>IFERROR(__xludf.DUMMYFUNCTION("""COMPUTED_VALUE"""),"פסטיבל נובה")</f>
        <v>פסטיבל נובה</v>
      </c>
      <c r="L228" s="3" t="str">
        <f>IFERROR(__xludf.DUMMYFUNCTION("""COMPUTED_VALUE"""),"Avi Dadon")</f>
        <v>Avi Dadon</v>
      </c>
      <c r="M228" s="5"/>
    </row>
    <row r="229">
      <c r="A229" s="3">
        <f>IFERROR(__xludf.DUMMYFUNCTION("""COMPUTED_VALUE"""),723.0)</f>
        <v>723</v>
      </c>
      <c r="B229" s="4" t="str">
        <f>IFERROR(__xludf.DUMMYFUNCTION("""COMPUTED_VALUE"""),"דהן יצחק איציק")</f>
        <v>דהן יצחק איציק</v>
      </c>
      <c r="C229" s="3">
        <f>IFERROR(__xludf.DUMMYFUNCTION("""COMPUTED_VALUE"""),48.0)</f>
        <v>48</v>
      </c>
      <c r="D229" s="5" t="str">
        <f>IFERROR(__xludf.DUMMYFUNCTION("""COMPUTED_VALUE"""),"קריית מלאכי")</f>
        <v>קריית מלאכי</v>
      </c>
      <c r="E229" s="5" t="str">
        <f>IFERROR(__xludf.DUMMYFUNCTION("""COMPUTED_VALUE"""),"גבר")</f>
        <v>גבר</v>
      </c>
      <c r="F229" s="5" t="str">
        <f>IFERROR(__xludf.DUMMYFUNCTION("""COMPUTED_VALUE"""),"אזרחים")</f>
        <v>אזרחים</v>
      </c>
      <c r="G229" s="3"/>
      <c r="H229" s="3" t="str">
        <f>IFERROR(__xludf.DUMMYFUNCTION("""COMPUTED_VALUE"""),"07.10.2023")</f>
        <v>07.10.2023</v>
      </c>
      <c r="I229" s="4" t="str">
        <f>IFERROR(__xludf.DUMMYFUNCTION("""COMPUTED_VALUE"""),"מיגונית בכניסה לעלומים")</f>
        <v>מיגונית בכניסה לעלומים</v>
      </c>
      <c r="J229" s="4" t="str">
        <f>IFERROR(__xludf.DUMMYFUNCTION("""COMPUTED_VALUE"""),"אזרחים וכיתות כוננות")</f>
        <v>אזרחים וכיתות כוננות</v>
      </c>
      <c r="K229" s="5" t="str">
        <f>IFERROR(__xludf.DUMMYFUNCTION("""COMPUTED_VALUE"""),"פסטיבל נובה")</f>
        <v>פסטיבל נובה</v>
      </c>
      <c r="L229" s="3" t="str">
        <f>IFERROR(__xludf.DUMMYFUNCTION("""COMPUTED_VALUE"""),"Itzik Dahan")</f>
        <v>Itzik Dahan</v>
      </c>
      <c r="M229" s="5"/>
    </row>
    <row r="230">
      <c r="A230" s="3">
        <f>IFERROR(__xludf.DUMMYFUNCTION("""COMPUTED_VALUE"""),728.0)</f>
        <v>728</v>
      </c>
      <c r="B230" s="4" t="str">
        <f>IFERROR(__xludf.DUMMYFUNCTION("""COMPUTED_VALUE"""),"דוד הודיה")</f>
        <v>דוד הודיה</v>
      </c>
      <c r="C230" s="3">
        <f>IFERROR(__xludf.DUMMYFUNCTION("""COMPUTED_VALUE"""),27.0)</f>
        <v>27</v>
      </c>
      <c r="D230" s="5" t="str">
        <f>IFERROR(__xludf.DUMMYFUNCTION("""COMPUTED_VALUE"""),"בית דגן")</f>
        <v>בית דגן</v>
      </c>
      <c r="E230" s="5" t="str">
        <f>IFERROR(__xludf.DUMMYFUNCTION("""COMPUTED_VALUE"""),"אישה")</f>
        <v>אישה</v>
      </c>
      <c r="F230" s="5" t="str">
        <f>IFERROR(__xludf.DUMMYFUNCTION("""COMPUTED_VALUE"""),"אזרחים")</f>
        <v>אזרחים</v>
      </c>
      <c r="G230" s="3"/>
      <c r="H230" s="3" t="str">
        <f>IFERROR(__xludf.DUMMYFUNCTION("""COMPUTED_VALUE"""),"07.10.2023")</f>
        <v>07.10.2023</v>
      </c>
      <c r="I230" s="4" t="str">
        <f>IFERROR(__xludf.DUMMYFUNCTION("""COMPUTED_VALUE"""),"פסטיבל נובה; חסימה בכביש 232")</f>
        <v>פסטיבל נובה; חסימה בכביש 232</v>
      </c>
      <c r="J230" s="4" t="str">
        <f>IFERROR(__xludf.DUMMYFUNCTION("""COMPUTED_VALUE"""),"אזרחים וכיתות כוננות")</f>
        <v>אזרחים וכיתות כוננות</v>
      </c>
      <c r="K230" s="5" t="str">
        <f>IFERROR(__xludf.DUMMYFUNCTION("""COMPUTED_VALUE"""),"פסטיבל נובה")</f>
        <v>פסטיבל נובה</v>
      </c>
      <c r="L230" s="3" t="str">
        <f>IFERROR(__xludf.DUMMYFUNCTION("""COMPUTED_VALUE"""),"Hodaya David")</f>
        <v>Hodaya David</v>
      </c>
      <c r="M230" s="5"/>
    </row>
    <row r="231">
      <c r="A231" s="3">
        <f>IFERROR(__xludf.DUMMYFUNCTION("""COMPUTED_VALUE"""),1534.0)</f>
        <v>1534</v>
      </c>
      <c r="B231" s="4" t="str">
        <f>IFERROR(__xludf.DUMMYFUNCTION("""COMPUTED_VALUE"""),"דוד עמית יצחק")</f>
        <v>דוד עמית יצחק</v>
      </c>
      <c r="C231" s="3">
        <f>IFERROR(__xludf.DUMMYFUNCTION("""COMPUTED_VALUE"""),24.0)</f>
        <v>24</v>
      </c>
      <c r="D231" s="5" t="str">
        <f>IFERROR(__xludf.DUMMYFUNCTION("""COMPUTED_VALUE"""),"בית שמש")</f>
        <v>בית שמש</v>
      </c>
      <c r="E231" s="5" t="str">
        <f>IFERROR(__xludf.DUMMYFUNCTION("""COMPUTED_VALUE"""),"גבר")</f>
        <v>גבר</v>
      </c>
      <c r="F231" s="5" t="str">
        <f>IFERROR(__xludf.DUMMYFUNCTION("""COMPUTED_VALUE"""),"אזרחים")</f>
        <v>אזרחים</v>
      </c>
      <c r="G231" s="3"/>
      <c r="H231" s="3" t="str">
        <f>IFERROR(__xludf.DUMMYFUNCTION("""COMPUTED_VALUE"""),"07.10.2023")</f>
        <v>07.10.2023</v>
      </c>
      <c r="I231" s="4" t="str">
        <f>IFERROR(__xludf.DUMMYFUNCTION("""COMPUTED_VALUE"""),"דרומית מזרחית לחניון רעים")</f>
        <v>דרומית מזרחית לחניון רעים</v>
      </c>
      <c r="J231" s="4" t="str">
        <f>IFERROR(__xludf.DUMMYFUNCTION("""COMPUTED_VALUE"""),"אזרחים וכיתות כוננות")</f>
        <v>אזרחים וכיתות כוננות</v>
      </c>
      <c r="K231" s="5" t="str">
        <f>IFERROR(__xludf.DUMMYFUNCTION("""COMPUTED_VALUE"""),"פסטיבל נובה")</f>
        <v>פסטיבל נובה</v>
      </c>
      <c r="L231" s="3" t="str">
        <f>IFERROR(__xludf.DUMMYFUNCTION("""COMPUTED_VALUE"""),"Amit David")</f>
        <v>Amit David</v>
      </c>
      <c r="M231" s="5"/>
    </row>
    <row r="232">
      <c r="A232" s="3">
        <f>IFERROR(__xludf.DUMMYFUNCTION("""COMPUTED_VALUE"""),729.0)</f>
        <v>729</v>
      </c>
      <c r="B232" s="4" t="str">
        <f>IFERROR(__xludf.DUMMYFUNCTION("""COMPUTED_VALUE"""),"דוד תאיר")</f>
        <v>דוד תאיר</v>
      </c>
      <c r="C232" s="3">
        <f>IFERROR(__xludf.DUMMYFUNCTION("""COMPUTED_VALUE"""),24.0)</f>
        <v>24</v>
      </c>
      <c r="D232" s="5" t="str">
        <f>IFERROR(__xludf.DUMMYFUNCTION("""COMPUTED_VALUE"""),"בית דגן")</f>
        <v>בית דגן</v>
      </c>
      <c r="E232" s="5" t="str">
        <f>IFERROR(__xludf.DUMMYFUNCTION("""COMPUTED_VALUE"""),"אישה")</f>
        <v>אישה</v>
      </c>
      <c r="F232" s="5" t="str">
        <f>IFERROR(__xludf.DUMMYFUNCTION("""COMPUTED_VALUE"""),"אזרחים")</f>
        <v>אזרחים</v>
      </c>
      <c r="G232" s="3"/>
      <c r="H232" s="3" t="str">
        <f>IFERROR(__xludf.DUMMYFUNCTION("""COMPUTED_VALUE"""),"07.10.2023")</f>
        <v>07.10.2023</v>
      </c>
      <c r="I232" s="4" t="str">
        <f>IFERROR(__xludf.DUMMYFUNCTION("""COMPUTED_VALUE"""),"פסטיבל נובה; חסימה בכביש 232")</f>
        <v>פסטיבל נובה; חסימה בכביש 232</v>
      </c>
      <c r="J232" s="4" t="str">
        <f>IFERROR(__xludf.DUMMYFUNCTION("""COMPUTED_VALUE"""),"אזרחים וכיתות כוננות")</f>
        <v>אזרחים וכיתות כוננות</v>
      </c>
      <c r="K232" s="5" t="str">
        <f>IFERROR(__xludf.DUMMYFUNCTION("""COMPUTED_VALUE"""),"פסטיבל נובה")</f>
        <v>פסטיבל נובה</v>
      </c>
      <c r="L232" s="3" t="str">
        <f>IFERROR(__xludf.DUMMYFUNCTION("""COMPUTED_VALUE"""),"Tair David")</f>
        <v>Tair David</v>
      </c>
      <c r="M232" s="5"/>
    </row>
    <row r="233">
      <c r="A233" s="3">
        <f>IFERROR(__xludf.DUMMYFUNCTION("""COMPUTED_VALUE"""),1549.0)</f>
        <v>1549</v>
      </c>
      <c r="B233" s="4" t="str">
        <f>IFERROR(__xludf.DUMMYFUNCTION("""COMPUTED_VALUE"""),"דוידוב קרינה אלה")</f>
        <v>דוידוב קרינה אלה</v>
      </c>
      <c r="C233" s="3">
        <f>IFERROR(__xludf.DUMMYFUNCTION("""COMPUTED_VALUE"""),30.0)</f>
        <v>30</v>
      </c>
      <c r="D233" s="5" t="str">
        <f>IFERROR(__xludf.DUMMYFUNCTION("""COMPUTED_VALUE"""),"קריית גת")</f>
        <v>קריית גת</v>
      </c>
      <c r="E233" s="5" t="str">
        <f>IFERROR(__xludf.DUMMYFUNCTION("""COMPUTED_VALUE"""),"אישה")</f>
        <v>אישה</v>
      </c>
      <c r="F233" s="5" t="str">
        <f>IFERROR(__xludf.DUMMYFUNCTION("""COMPUTED_VALUE"""),"אזרחים")</f>
        <v>אזרחים</v>
      </c>
      <c r="G233" s="3"/>
      <c r="H233" s="3" t="str">
        <f>IFERROR(__xludf.DUMMYFUNCTION("""COMPUTED_VALUE"""),"07.10.2023")</f>
        <v>07.10.2023</v>
      </c>
      <c r="I233" s="4" t="str">
        <f>IFERROR(__xludf.DUMMYFUNCTION("""COMPUTED_VALUE"""),"פסטיבל נובה; בר צפוני")</f>
        <v>פסטיבל נובה; בר צפוני</v>
      </c>
      <c r="J233" s="4" t="str">
        <f>IFERROR(__xludf.DUMMYFUNCTION("""COMPUTED_VALUE"""),"אזרחים וכיתות כוננות")</f>
        <v>אזרחים וכיתות כוננות</v>
      </c>
      <c r="K233" s="5" t="str">
        <f>IFERROR(__xludf.DUMMYFUNCTION("""COMPUTED_VALUE"""),"פסטיבל נובה")</f>
        <v>פסטיבל נובה</v>
      </c>
      <c r="L233" s="3" t="str">
        <f>IFERROR(__xludf.DUMMYFUNCTION("""COMPUTED_VALUE"""),"Karina Ella Davidov")</f>
        <v>Karina Ella Davidov</v>
      </c>
      <c r="M233" s="5"/>
    </row>
    <row r="234">
      <c r="A234" s="3">
        <f>IFERROR(__xludf.DUMMYFUNCTION("""COMPUTED_VALUE"""),730.0)</f>
        <v>730</v>
      </c>
      <c r="B234" s="4" t="str">
        <f>IFERROR(__xludf.DUMMYFUNCTION("""COMPUTED_VALUE"""),"דוידי ברק")</f>
        <v>דוידי ברק</v>
      </c>
      <c r="C234" s="3">
        <f>IFERROR(__xludf.DUMMYFUNCTION("""COMPUTED_VALUE"""),28.0)</f>
        <v>28</v>
      </c>
      <c r="D234" s="5" t="str">
        <f>IFERROR(__xludf.DUMMYFUNCTION("""COMPUTED_VALUE"""),"חולון")</f>
        <v>חולון</v>
      </c>
      <c r="E234" s="5" t="str">
        <f>IFERROR(__xludf.DUMMYFUNCTION("""COMPUTED_VALUE"""),"גבר")</f>
        <v>גבר</v>
      </c>
      <c r="F234" s="5" t="str">
        <f>IFERROR(__xludf.DUMMYFUNCTION("""COMPUTED_VALUE"""),"אזרחים")</f>
        <v>אזרחים</v>
      </c>
      <c r="G234" s="3"/>
      <c r="H234" s="3" t="str">
        <f>IFERROR(__xludf.DUMMYFUNCTION("""COMPUTED_VALUE"""),"07.10.2023")</f>
        <v>07.10.2023</v>
      </c>
      <c r="I234" s="4" t="str">
        <f>IFERROR(__xludf.DUMMYFUNCTION("""COMPUTED_VALUE"""),"מיגונית בכניסה לעלומים")</f>
        <v>מיגונית בכניסה לעלומים</v>
      </c>
      <c r="J234" s="4" t="str">
        <f>IFERROR(__xludf.DUMMYFUNCTION("""COMPUTED_VALUE"""),"אזרחים וכיתות כוננות")</f>
        <v>אזרחים וכיתות כוננות</v>
      </c>
      <c r="K234" s="5" t="str">
        <f>IFERROR(__xludf.DUMMYFUNCTION("""COMPUTED_VALUE"""),"פסטיבל נובה")</f>
        <v>פסטיבל נובה</v>
      </c>
      <c r="L234" s="3" t="str">
        <f>IFERROR(__xludf.DUMMYFUNCTION("""COMPUTED_VALUE"""),"Barak Davidi")</f>
        <v>Barak Davidi</v>
      </c>
      <c r="M234" s="5"/>
    </row>
    <row r="235">
      <c r="A235" s="3">
        <f>IFERROR(__xludf.DUMMYFUNCTION("""COMPUTED_VALUE"""),731.0)</f>
        <v>731</v>
      </c>
      <c r="B235" s="4" t="str">
        <f>IFERROR(__xludf.DUMMYFUNCTION("""COMPUTED_VALUE"""),"דויטשוילי שון")</f>
        <v>דויטשוילי שון</v>
      </c>
      <c r="C235" s="3">
        <f>IFERROR(__xludf.DUMMYFUNCTION("""COMPUTED_VALUE"""),25.0)</f>
        <v>25</v>
      </c>
      <c r="D235" s="5" t="str">
        <f>IFERROR(__xludf.DUMMYFUNCTION("""COMPUTED_VALUE"""),"באר שבע")</f>
        <v>באר שבע</v>
      </c>
      <c r="E235" s="5" t="str">
        <f>IFERROR(__xludf.DUMMYFUNCTION("""COMPUTED_VALUE"""),"גבר")</f>
        <v>גבר</v>
      </c>
      <c r="F235" s="5" t="str">
        <f>IFERROR(__xludf.DUMMYFUNCTION("""COMPUTED_VALUE"""),"אזרחים")</f>
        <v>אזרחים</v>
      </c>
      <c r="G235" s="3"/>
      <c r="H235" s="3" t="str">
        <f>IFERROR(__xludf.DUMMYFUNCTION("""COMPUTED_VALUE"""),"07.10.2023")</f>
        <v>07.10.2023</v>
      </c>
      <c r="I235" s="4" t="str">
        <f>IFERROR(__xludf.DUMMYFUNCTION("""COMPUTED_VALUE"""),"פסטיבל נובה; שירותים כימיים")</f>
        <v>פסטיבל נובה; שירותים כימיים</v>
      </c>
      <c r="J235" s="2" t="str">
        <f>IFERROR(__xludf.DUMMYFUNCTION("""COMPUTED_VALUE"""),"אזרחים וכיתות כוננות")</f>
        <v>אזרחים וכיתות כוננות</v>
      </c>
      <c r="K235" s="5" t="str">
        <f>IFERROR(__xludf.DUMMYFUNCTION("""COMPUTED_VALUE"""),"פסטיבל נובה")</f>
        <v>פסטיבל נובה</v>
      </c>
      <c r="L235" s="3" t="str">
        <f>IFERROR(__xludf.DUMMYFUNCTION("""COMPUTED_VALUE"""),"Sean Deutchvili")</f>
        <v>Sean Deutchvili</v>
      </c>
      <c r="M235" s="5"/>
    </row>
    <row r="236">
      <c r="A236" s="3">
        <f>IFERROR(__xludf.DUMMYFUNCTION("""COMPUTED_VALUE"""),1299.0)</f>
        <v>1299</v>
      </c>
      <c r="B236" s="4" t="str">
        <f>IFERROR(__xludf.DUMMYFUNCTION("""COMPUTED_VALUE"""),"דור עידן")</f>
        <v>דור עידן</v>
      </c>
      <c r="C236" s="3">
        <f>IFERROR(__xludf.DUMMYFUNCTION("""COMPUTED_VALUE"""),25.0)</f>
        <v>25</v>
      </c>
      <c r="D236" s="5" t="str">
        <f>IFERROR(__xludf.DUMMYFUNCTION("""COMPUTED_VALUE"""),"גבעון")</f>
        <v>גבעון</v>
      </c>
      <c r="E236" s="5" t="str">
        <f>IFERROR(__xludf.DUMMYFUNCTION("""COMPUTED_VALUE"""),"גבר")</f>
        <v>גבר</v>
      </c>
      <c r="F236" s="5" t="str">
        <f>IFERROR(__xludf.DUMMYFUNCTION("""COMPUTED_VALUE"""),"אזרחים")</f>
        <v>אזרחים</v>
      </c>
      <c r="G236" s="3"/>
      <c r="H236" s="3" t="str">
        <f>IFERROR(__xludf.DUMMYFUNCTION("""COMPUTED_VALUE"""),"07.10.2023")</f>
        <v>07.10.2023</v>
      </c>
      <c r="I236" s="4" t="str">
        <f>IFERROR(__xludf.DUMMYFUNCTION("""COMPUTED_VALUE"""),"פסטיבל נובה")</f>
        <v>פסטיבל נובה</v>
      </c>
      <c r="J236" s="4" t="str">
        <f>IFERROR(__xludf.DUMMYFUNCTION("""COMPUTED_VALUE"""),"אזרחים וכיתות כוננות")</f>
        <v>אזרחים וכיתות כוננות</v>
      </c>
      <c r="K236" s="5" t="str">
        <f>IFERROR(__xludf.DUMMYFUNCTION("""COMPUTED_VALUE"""),"פסטיבל נובה")</f>
        <v>פסטיבל נובה</v>
      </c>
      <c r="L236" s="3" t="str">
        <f>IFERROR(__xludf.DUMMYFUNCTION("""COMPUTED_VALUE"""),"Idan Dor")</f>
        <v>Idan Dor</v>
      </c>
      <c r="M236" s="5"/>
    </row>
    <row r="237">
      <c r="A237" s="3">
        <f>IFERROR(__xludf.DUMMYFUNCTION("""COMPUTED_VALUE"""),1619.0)</f>
        <v>1619</v>
      </c>
      <c r="B237" s="4" t="str">
        <f>IFERROR(__xludf.DUMMYFUNCTION("""COMPUTED_VALUE"""),"דייטשמן רונן")</f>
        <v>דייטשמן רונן</v>
      </c>
      <c r="C237" s="3">
        <f>IFERROR(__xludf.DUMMYFUNCTION("""COMPUTED_VALUE"""),49.0)</f>
        <v>49</v>
      </c>
      <c r="D237" s="5" t="str">
        <f>IFERROR(__xludf.DUMMYFUNCTION("""COMPUTED_VALUE"""),"להבים")</f>
        <v>להבים</v>
      </c>
      <c r="E237" s="5" t="str">
        <f>IFERROR(__xludf.DUMMYFUNCTION("""COMPUTED_VALUE"""),"גבר")</f>
        <v>גבר</v>
      </c>
      <c r="F237" s="5" t="str">
        <f>IFERROR(__xludf.DUMMYFUNCTION("""COMPUTED_VALUE"""),"אזרחים")</f>
        <v>אזרחים</v>
      </c>
      <c r="G237" s="3"/>
      <c r="H237" s="3" t="str">
        <f>IFERROR(__xludf.DUMMYFUNCTION("""COMPUTED_VALUE"""),"07.10.2023")</f>
        <v>07.10.2023</v>
      </c>
      <c r="I237" s="4" t="str">
        <f>IFERROR(__xludf.DUMMYFUNCTION("""COMPUTED_VALUE"""),"מיגונית בכניסה לרעים (מזרח)")</f>
        <v>מיגונית בכניסה לרעים (מזרח)</v>
      </c>
      <c r="J237" s="4" t="str">
        <f>IFERROR(__xludf.DUMMYFUNCTION("""COMPUTED_VALUE"""),"אזרחים וכיתות כוננות")</f>
        <v>אזרחים וכיתות כוננות</v>
      </c>
      <c r="K237" s="5" t="str">
        <f>IFERROR(__xludf.DUMMYFUNCTION("""COMPUTED_VALUE"""),"פסטיבל נובה")</f>
        <v>פסטיבל נובה</v>
      </c>
      <c r="L237" s="3" t="str">
        <f>IFERROR(__xludf.DUMMYFUNCTION("""COMPUTED_VALUE"""),"Ronen Deitchman")</f>
        <v>Ronen Deitchman</v>
      </c>
      <c r="M237" s="5"/>
    </row>
    <row r="238">
      <c r="A238" s="3">
        <f>IFERROR(__xludf.DUMMYFUNCTION("""COMPUTED_VALUE"""),1457.0)</f>
        <v>1457</v>
      </c>
      <c r="B238" s="4" t="str">
        <f>IFERROR(__xludf.DUMMYFUNCTION("""COMPUTED_VALUE"""),"דמרי דן")</f>
        <v>דמרי דן</v>
      </c>
      <c r="C238" s="3">
        <f>IFERROR(__xludf.DUMMYFUNCTION("""COMPUTED_VALUE"""),21.0)</f>
        <v>21</v>
      </c>
      <c r="D238" s="5" t="str">
        <f>IFERROR(__xludf.DUMMYFUNCTION("""COMPUTED_VALUE"""),"צוחר")</f>
        <v>צוחר</v>
      </c>
      <c r="E238" s="5" t="str">
        <f>IFERROR(__xludf.DUMMYFUNCTION("""COMPUTED_VALUE"""),"גבר")</f>
        <v>גבר</v>
      </c>
      <c r="F238" s="5" t="str">
        <f>IFERROR(__xludf.DUMMYFUNCTION("""COMPUTED_VALUE"""),"אזרחים")</f>
        <v>אזרחים</v>
      </c>
      <c r="G238" s="3"/>
      <c r="H238" s="3" t="str">
        <f>IFERROR(__xludf.DUMMYFUNCTION("""COMPUTED_VALUE"""),"07.10.2023")</f>
        <v>07.10.2023</v>
      </c>
      <c r="I238" s="4" t="str">
        <f>IFERROR(__xludf.DUMMYFUNCTION("""COMPUTED_VALUE"""),"צומת מבטחים")</f>
        <v>צומת מבטחים</v>
      </c>
      <c r="J238" s="4" t="str">
        <f>IFERROR(__xludf.DUMMYFUNCTION("""COMPUTED_VALUE"""),"אזרחים וכיתות כוננות")</f>
        <v>אזרחים וכיתות כוננות</v>
      </c>
      <c r="K238" s="5" t="str">
        <f>IFERROR(__xludf.DUMMYFUNCTION("""COMPUTED_VALUE"""),"פסטיבל נובה")</f>
        <v>פסטיבל נובה</v>
      </c>
      <c r="L238" s="3" t="str">
        <f>IFERROR(__xludf.DUMMYFUNCTION("""COMPUTED_VALUE"""),"Dan Damri")</f>
        <v>Dan Damri</v>
      </c>
      <c r="M238" s="5"/>
    </row>
    <row r="239">
      <c r="A239" s="3">
        <f>IFERROR(__xludf.DUMMYFUNCTION("""COMPUTED_VALUE"""),724.0)</f>
        <v>724</v>
      </c>
      <c r="B239" s="4" t="str">
        <f>IFERROR(__xludf.DUMMYFUNCTION("""COMPUTED_VALUE"""),"דמתי קים")</f>
        <v>דמתי קים</v>
      </c>
      <c r="C239" s="3">
        <f>IFERROR(__xludf.DUMMYFUNCTION("""COMPUTED_VALUE"""),22.0)</f>
        <v>22</v>
      </c>
      <c r="D239" s="5" t="str">
        <f>IFERROR(__xludf.DUMMYFUNCTION("""COMPUTED_VALUE"""),"גדרה")</f>
        <v>גדרה</v>
      </c>
      <c r="E239" s="5" t="str">
        <f>IFERROR(__xludf.DUMMYFUNCTION("""COMPUTED_VALUE"""),"אישה")</f>
        <v>אישה</v>
      </c>
      <c r="F239" s="5" t="str">
        <f>IFERROR(__xludf.DUMMYFUNCTION("""COMPUTED_VALUE"""),"אזרחים")</f>
        <v>אזרחים</v>
      </c>
      <c r="G239" s="3"/>
      <c r="H239" s="3" t="str">
        <f>IFERROR(__xludf.DUMMYFUNCTION("""COMPUTED_VALUE"""),"07.10.2023")</f>
        <v>07.10.2023</v>
      </c>
      <c r="I239" s="4" t="str">
        <f>IFERROR(__xludf.DUMMYFUNCTION("""COMPUTED_VALUE"""),"מיגונית בכניסה לרעים (מזרח)")</f>
        <v>מיגונית בכניסה לרעים (מזרח)</v>
      </c>
      <c r="J239" s="4" t="str">
        <f>IFERROR(__xludf.DUMMYFUNCTION("""COMPUTED_VALUE"""),"אזרחים וכיתות כוננות")</f>
        <v>אזרחים וכיתות כוננות</v>
      </c>
      <c r="K239" s="5" t="str">
        <f>IFERROR(__xludf.DUMMYFUNCTION("""COMPUTED_VALUE"""),"פסטיבל נובה")</f>
        <v>פסטיבל נובה</v>
      </c>
      <c r="L239" s="3" t="str">
        <f>IFERROR(__xludf.DUMMYFUNCTION("""COMPUTED_VALUE"""),"Kim Damti")</f>
        <v>Kim Damti</v>
      </c>
      <c r="M239" s="5"/>
    </row>
    <row r="240">
      <c r="A240" s="3">
        <f>IFERROR(__xludf.DUMMYFUNCTION("""COMPUTED_VALUE"""),725.0)</f>
        <v>725</v>
      </c>
      <c r="B240" s="4" t="str">
        <f>IFERROR(__xludf.DUMMYFUNCTION("""COMPUTED_VALUE"""),"דנגורי גל")</f>
        <v>דנגורי גל</v>
      </c>
      <c r="C240" s="3">
        <f>IFERROR(__xludf.DUMMYFUNCTION("""COMPUTED_VALUE"""),23.0)</f>
        <v>23</v>
      </c>
      <c r="D240" s="5" t="str">
        <f>IFERROR(__xludf.DUMMYFUNCTION("""COMPUTED_VALUE"""),"בית אריה")</f>
        <v>בית אריה</v>
      </c>
      <c r="E240" s="5" t="str">
        <f>IFERROR(__xludf.DUMMYFUNCTION("""COMPUTED_VALUE"""),"גבר")</f>
        <v>גבר</v>
      </c>
      <c r="F240" s="5" t="str">
        <f>IFERROR(__xludf.DUMMYFUNCTION("""COMPUTED_VALUE"""),"אזרחים")</f>
        <v>אזרחים</v>
      </c>
      <c r="G240" s="3"/>
      <c r="H240" s="3" t="str">
        <f>IFERROR(__xludf.DUMMYFUNCTION("""COMPUTED_VALUE"""),"07.10.2023")</f>
        <v>07.10.2023</v>
      </c>
      <c r="I240" s="4" t="str">
        <f>IFERROR(__xludf.DUMMYFUNCTION("""COMPUTED_VALUE"""),"סמוך למפלסים")</f>
        <v>סמוך למפלסים</v>
      </c>
      <c r="J240" s="4" t="str">
        <f>IFERROR(__xludf.DUMMYFUNCTION("""COMPUTED_VALUE"""),"אזרחים וכיתות כוננות")</f>
        <v>אזרחים וכיתות כוננות</v>
      </c>
      <c r="K240" s="5" t="str">
        <f>IFERROR(__xludf.DUMMYFUNCTION("""COMPUTED_VALUE"""),"פסטיבל נובה")</f>
        <v>פסטיבל נובה</v>
      </c>
      <c r="L240" s="3" t="str">
        <f>IFERROR(__xludf.DUMMYFUNCTION("""COMPUTED_VALUE"""),"Gal Danguri")</f>
        <v>Gal Danguri</v>
      </c>
      <c r="M240" s="5"/>
    </row>
    <row r="241">
      <c r="A241" s="3">
        <f>IFERROR(__xludf.DUMMYFUNCTION("""COMPUTED_VALUE"""),727.0)</f>
        <v>727</v>
      </c>
      <c r="B241" s="4" t="str">
        <f>IFERROR(__xludf.DUMMYFUNCTION("""COMPUTED_VALUE"""),"דפני לין")</f>
        <v>דפני לין</v>
      </c>
      <c r="C241" s="3">
        <f>IFERROR(__xludf.DUMMYFUNCTION("""COMPUTED_VALUE"""),22.0)</f>
        <v>22</v>
      </c>
      <c r="D241" s="5" t="str">
        <f>IFERROR(__xludf.DUMMYFUNCTION("""COMPUTED_VALUE"""),"עין המפרץ")</f>
        <v>עין המפרץ</v>
      </c>
      <c r="E241" s="5" t="str">
        <f>IFERROR(__xludf.DUMMYFUNCTION("""COMPUTED_VALUE"""),"אישה")</f>
        <v>אישה</v>
      </c>
      <c r="F241" s="5" t="str">
        <f>IFERROR(__xludf.DUMMYFUNCTION("""COMPUTED_VALUE"""),"אזרחים")</f>
        <v>אזרחים</v>
      </c>
      <c r="G241" s="3"/>
      <c r="H241" s="3" t="str">
        <f>IFERROR(__xludf.DUMMYFUNCTION("""COMPUTED_VALUE"""),"07.10.2023")</f>
        <v>07.10.2023</v>
      </c>
      <c r="I241" s="4" t="str">
        <f>IFERROR(__xludf.DUMMYFUNCTION("""COMPUTED_VALUE"""),"פסטיבל נובה; אמבולנס")</f>
        <v>פסטיבל נובה; אמבולנס</v>
      </c>
      <c r="J241" s="4" t="str">
        <f>IFERROR(__xludf.DUMMYFUNCTION("""COMPUTED_VALUE"""),"אזרחים וכיתות כוננות")</f>
        <v>אזרחים וכיתות כוננות</v>
      </c>
      <c r="K241" s="5" t="str">
        <f>IFERROR(__xludf.DUMMYFUNCTION("""COMPUTED_VALUE"""),"פסטיבל נובה")</f>
        <v>פסטיבל נובה</v>
      </c>
      <c r="L241" s="3" t="str">
        <f>IFERROR(__xludf.DUMMYFUNCTION("""COMPUTED_VALUE"""),"Lynn Daphne")</f>
        <v>Lynn Daphne</v>
      </c>
      <c r="M241" s="5"/>
    </row>
    <row r="242">
      <c r="A242" s="3">
        <f>IFERROR(__xludf.DUMMYFUNCTION("""COMPUTED_VALUE"""),902.0)</f>
        <v>902</v>
      </c>
      <c r="B242" s="4" t="str">
        <f>IFERROR(__xludf.DUMMYFUNCTION("""COMPUTED_VALUE"""),"הירש (אוזן) שרון")</f>
        <v>הירש (אוזן) שרון</v>
      </c>
      <c r="C242" s="3">
        <f>IFERROR(__xludf.DUMMYFUNCTION("""COMPUTED_VALUE"""),46.0)</f>
        <v>46</v>
      </c>
      <c r="D242" s="5" t="str">
        <f>IFERROR(__xludf.DUMMYFUNCTION("""COMPUTED_VALUE"""),"הוד השרון")</f>
        <v>הוד השרון</v>
      </c>
      <c r="E242" s="5" t="str">
        <f>IFERROR(__xludf.DUMMYFUNCTION("""COMPUTED_VALUE"""),"אישה")</f>
        <v>אישה</v>
      </c>
      <c r="F242" s="5" t="str">
        <f>IFERROR(__xludf.DUMMYFUNCTION("""COMPUTED_VALUE"""),"אזרחים")</f>
        <v>אזרחים</v>
      </c>
      <c r="G242" s="3"/>
      <c r="H242" s="3" t="str">
        <f>IFERROR(__xludf.DUMMYFUNCTION("""COMPUTED_VALUE"""),"07.10.2023")</f>
        <v>07.10.2023</v>
      </c>
      <c r="I242" s="4" t="str">
        <f>IFERROR(__xludf.DUMMYFUNCTION("""COMPUTED_VALUE"""),"סמוך למפלסים")</f>
        <v>סמוך למפלסים</v>
      </c>
      <c r="J242" s="2" t="str">
        <f>IFERROR(__xludf.DUMMYFUNCTION("""COMPUTED_VALUE"""),"אזרחים וכיתות כוננות")</f>
        <v>אזרחים וכיתות כוננות</v>
      </c>
      <c r="K242" s="5" t="str">
        <f>IFERROR(__xludf.DUMMYFUNCTION("""COMPUTED_VALUE"""),"פסטיבל נובה")</f>
        <v>פסטיבל נובה</v>
      </c>
      <c r="L242" s="3" t="str">
        <f>IFERROR(__xludf.DUMMYFUNCTION("""COMPUTED_VALUE"""),"Sharon Hirsch")</f>
        <v>Sharon Hirsch</v>
      </c>
      <c r="M242" s="5"/>
    </row>
    <row r="243">
      <c r="A243" s="3">
        <f>IFERROR(__xludf.DUMMYFUNCTION("""COMPUTED_VALUE"""),769.0)</f>
        <v>769</v>
      </c>
      <c r="B243" s="4" t="str">
        <f>IFERROR(__xludf.DUMMYFUNCTION("""COMPUTED_VALUE"""),"הלוי אביעד")</f>
        <v>הלוי אביעד</v>
      </c>
      <c r="C243" s="3">
        <f>IFERROR(__xludf.DUMMYFUNCTION("""COMPUTED_VALUE"""),29.0)</f>
        <v>29</v>
      </c>
      <c r="D243" s="5" t="str">
        <f>IFERROR(__xludf.DUMMYFUNCTION("""COMPUTED_VALUE"""),"גן הדרום")</f>
        <v>גן הדרום</v>
      </c>
      <c r="E243" s="5" t="str">
        <f>IFERROR(__xludf.DUMMYFUNCTION("""COMPUTED_VALUE"""),"גבר")</f>
        <v>גבר</v>
      </c>
      <c r="F243" s="5" t="str">
        <f>IFERROR(__xludf.DUMMYFUNCTION("""COMPUTED_VALUE"""),"אזרחים")</f>
        <v>אזרחים</v>
      </c>
      <c r="G243" s="3"/>
      <c r="H243" s="3" t="str">
        <f>IFERROR(__xludf.DUMMYFUNCTION("""COMPUTED_VALUE"""),"07.10.2023")</f>
        <v>07.10.2023</v>
      </c>
      <c r="I243" s="4" t="str">
        <f>IFERROR(__xludf.DUMMYFUNCTION("""COMPUTED_VALUE"""),"פסטיבל נובה")</f>
        <v>פסטיבל נובה</v>
      </c>
      <c r="J243" s="4" t="str">
        <f>IFERROR(__xludf.DUMMYFUNCTION("""COMPUTED_VALUE"""),"אזרחים וכיתות כוננות")</f>
        <v>אזרחים וכיתות כוננות</v>
      </c>
      <c r="K243" s="5" t="str">
        <f>IFERROR(__xludf.DUMMYFUNCTION("""COMPUTED_VALUE"""),"פסטיבל נובה")</f>
        <v>פסטיבל נובה</v>
      </c>
      <c r="L243" s="3" t="str">
        <f>IFERROR(__xludf.DUMMYFUNCTION("""COMPUTED_VALUE"""),"Aviad Halevi")</f>
        <v>Aviad Halevi</v>
      </c>
      <c r="M243" s="5"/>
    </row>
    <row r="244">
      <c r="A244" s="3">
        <f>IFERROR(__xludf.DUMMYFUNCTION("""COMPUTED_VALUE"""),1424.0)</f>
        <v>1424</v>
      </c>
      <c r="B244" s="4" t="str">
        <f>IFERROR(__xludf.DUMMYFUNCTION("""COMPUTED_VALUE"""),"הרמן עידן")</f>
        <v>הרמן עידן</v>
      </c>
      <c r="C244" s="3">
        <f>IFERROR(__xludf.DUMMYFUNCTION("""COMPUTED_VALUE"""),26.0)</f>
        <v>26</v>
      </c>
      <c r="D244" s="5" t="str">
        <f>IFERROR(__xludf.DUMMYFUNCTION("""COMPUTED_VALUE"""),"פלמחים")</f>
        <v>פלמחים</v>
      </c>
      <c r="E244" s="5" t="str">
        <f>IFERROR(__xludf.DUMMYFUNCTION("""COMPUTED_VALUE"""),"גבר")</f>
        <v>גבר</v>
      </c>
      <c r="F244" s="5" t="str">
        <f>IFERROR(__xludf.DUMMYFUNCTION("""COMPUTED_VALUE"""),"אזרחים")</f>
        <v>אזרחים</v>
      </c>
      <c r="G244" s="3"/>
      <c r="H244" s="3" t="str">
        <f>IFERROR(__xludf.DUMMYFUNCTION("""COMPUTED_VALUE"""),"07.10.2023")</f>
        <v>07.10.2023</v>
      </c>
      <c r="I244" s="4" t="str">
        <f>IFERROR(__xludf.DUMMYFUNCTION("""COMPUTED_VALUE"""),"מיגונית בכניסה לרעים (מזרח)")</f>
        <v>מיגונית בכניסה לרעים (מזרח)</v>
      </c>
      <c r="J244" s="4" t="str">
        <f>IFERROR(__xludf.DUMMYFUNCTION("""COMPUTED_VALUE"""),"אזרחים וכיתות כוננות")</f>
        <v>אזרחים וכיתות כוננות</v>
      </c>
      <c r="K244" s="5" t="str">
        <f>IFERROR(__xludf.DUMMYFUNCTION("""COMPUTED_VALUE"""),"פסטיבל נובה")</f>
        <v>פסטיבל נובה</v>
      </c>
      <c r="L244" s="3" t="str">
        <f>IFERROR(__xludf.DUMMYFUNCTION("""COMPUTED_VALUE"""),"Idan Herman")</f>
        <v>Idan Herman</v>
      </c>
      <c r="M244" s="5"/>
    </row>
    <row r="245">
      <c r="A245" s="3">
        <f>IFERROR(__xludf.DUMMYFUNCTION("""COMPUTED_VALUE"""),896.0)</f>
        <v>896</v>
      </c>
      <c r="B245" s="4" t="str">
        <f>IFERROR(__xludf.DUMMYFUNCTION("""COMPUTED_VALUE"""),"הרמתי עידן")</f>
        <v>הרמתי עידן</v>
      </c>
      <c r="C245" s="3">
        <f>IFERROR(__xludf.DUMMYFUNCTION("""COMPUTED_VALUE"""),22.0)</f>
        <v>22</v>
      </c>
      <c r="D245" s="5" t="str">
        <f>IFERROR(__xludf.DUMMYFUNCTION("""COMPUTED_VALUE"""),"אלפי מנשה")</f>
        <v>אלפי מנשה</v>
      </c>
      <c r="E245" s="5" t="str">
        <f>IFERROR(__xludf.DUMMYFUNCTION("""COMPUTED_VALUE"""),"גבר")</f>
        <v>גבר</v>
      </c>
      <c r="F245" s="5" t="str">
        <f>IFERROR(__xludf.DUMMYFUNCTION("""COMPUTED_VALUE"""),"אזרחים")</f>
        <v>אזרחים</v>
      </c>
      <c r="G245" s="3"/>
      <c r="H245" s="3" t="str">
        <f>IFERROR(__xludf.DUMMYFUNCTION("""COMPUTED_VALUE"""),"07.10.2023")</f>
        <v>07.10.2023</v>
      </c>
      <c r="I245" s="4" t="str">
        <f>IFERROR(__xludf.DUMMYFUNCTION("""COMPUTED_VALUE"""),"בין נובה לרעים")</f>
        <v>בין נובה לרעים</v>
      </c>
      <c r="J245" s="4" t="str">
        <f>IFERROR(__xludf.DUMMYFUNCTION("""COMPUTED_VALUE"""),"אזרחים וכיתות כוננות")</f>
        <v>אזרחים וכיתות כוננות</v>
      </c>
      <c r="K245" s="5" t="str">
        <f>IFERROR(__xludf.DUMMYFUNCTION("""COMPUTED_VALUE"""),"פסטיבל נובה")</f>
        <v>פסטיבל נובה</v>
      </c>
      <c r="L245" s="3" t="str">
        <f>IFERROR(__xludf.DUMMYFUNCTION("""COMPUTED_VALUE"""),"Idan Haramaty")</f>
        <v>Idan Haramaty</v>
      </c>
      <c r="M245" s="5"/>
    </row>
    <row r="246">
      <c r="A246" s="3">
        <f>IFERROR(__xludf.DUMMYFUNCTION("""COMPUTED_VALUE"""),1358.0)</f>
        <v>1358</v>
      </c>
      <c r="B246" s="4" t="str">
        <f>IFERROR(__xludf.DUMMYFUNCTION("""COMPUTED_VALUE"""),"ואקנין פרמוטר לימור")</f>
        <v>ואקנין פרמוטר לימור</v>
      </c>
      <c r="C246" s="3">
        <f>IFERROR(__xludf.DUMMYFUNCTION("""COMPUTED_VALUE"""),49.0)</f>
        <v>49</v>
      </c>
      <c r="D246" s="5" t="str">
        <f>IFERROR(__xludf.DUMMYFUNCTION("""COMPUTED_VALUE"""),"באר שבע")</f>
        <v>באר שבע</v>
      </c>
      <c r="E246" s="5" t="str">
        <f>IFERROR(__xludf.DUMMYFUNCTION("""COMPUTED_VALUE"""),"אישה")</f>
        <v>אישה</v>
      </c>
      <c r="F246" s="5" t="str">
        <f>IFERROR(__xludf.DUMMYFUNCTION("""COMPUTED_VALUE"""),"אזרחים")</f>
        <v>אזרחים</v>
      </c>
      <c r="G246" s="3"/>
      <c r="H246" s="3" t="str">
        <f>IFERROR(__xludf.DUMMYFUNCTION("""COMPUTED_VALUE"""),"07.10.2023")</f>
        <v>07.10.2023</v>
      </c>
      <c r="I246" s="4" t="str">
        <f>IFERROR(__xludf.DUMMYFUNCTION("""COMPUTED_VALUE"""),"מיגונית בצומת גמה (דרום)")</f>
        <v>מיגונית בצומת גמה (דרום)</v>
      </c>
      <c r="J246" s="4" t="str">
        <f>IFERROR(__xludf.DUMMYFUNCTION("""COMPUTED_VALUE"""),"אזרחים וכיתות כוננות")</f>
        <v>אזרחים וכיתות כוננות</v>
      </c>
      <c r="K246" s="5" t="str">
        <f>IFERROR(__xludf.DUMMYFUNCTION("""COMPUTED_VALUE"""),"פסטיבל נובה")</f>
        <v>פסטיבל נובה</v>
      </c>
      <c r="L246" s="3" t="str">
        <f>IFERROR(__xludf.DUMMYFUNCTION("""COMPUTED_VALUE"""),"Limor Vaknin Permuter")</f>
        <v>Limor Vaknin Permuter</v>
      </c>
      <c r="M246" s="5"/>
    </row>
    <row r="247">
      <c r="A247" s="3">
        <f>IFERROR(__xludf.DUMMYFUNCTION("""COMPUTED_VALUE"""),951.0)</f>
        <v>951</v>
      </c>
      <c r="B247" s="4" t="str">
        <f>IFERROR(__xludf.DUMMYFUNCTION("""COMPUTED_VALUE"""),"ודעי דניאל מאיר")</f>
        <v>ודעי דניאל מאיר</v>
      </c>
      <c r="C247" s="3">
        <f>IFERROR(__xludf.DUMMYFUNCTION("""COMPUTED_VALUE"""),26.0)</f>
        <v>26</v>
      </c>
      <c r="D247" s="5" t="str">
        <f>IFERROR(__xludf.DUMMYFUNCTION("""COMPUTED_VALUE"""),"ירושלים")</f>
        <v>ירושלים</v>
      </c>
      <c r="E247" s="5" t="str">
        <f>IFERROR(__xludf.DUMMYFUNCTION("""COMPUTED_VALUE"""),"גבר")</f>
        <v>גבר</v>
      </c>
      <c r="F247" s="5" t="str">
        <f>IFERROR(__xludf.DUMMYFUNCTION("""COMPUTED_VALUE"""),"אזרחים")</f>
        <v>אזרחים</v>
      </c>
      <c r="G247" s="3"/>
      <c r="H247" s="3" t="str">
        <f>IFERROR(__xludf.DUMMYFUNCTION("""COMPUTED_VALUE"""),"07.10.2023")</f>
        <v>07.10.2023</v>
      </c>
      <c r="I247" s="4" t="str">
        <f>IFERROR(__xludf.DUMMYFUNCTION("""COMPUTED_VALUE"""),"מיגונית בכניסה לרעים (מזרח)")</f>
        <v>מיגונית בכניסה לרעים (מזרח)</v>
      </c>
      <c r="J247" s="4" t="str">
        <f>IFERROR(__xludf.DUMMYFUNCTION("""COMPUTED_VALUE"""),"אזרחים וכיתות כוננות")</f>
        <v>אזרחים וכיתות כוננות</v>
      </c>
      <c r="K247" s="5" t="str">
        <f>IFERROR(__xludf.DUMMYFUNCTION("""COMPUTED_VALUE"""),"פסטיבל נובה")</f>
        <v>פסטיבל נובה</v>
      </c>
      <c r="L247" s="3" t="str">
        <f>IFERROR(__xludf.DUMMYFUNCTION("""COMPUTED_VALUE"""),"Daniel Vadai")</f>
        <v>Daniel Vadai</v>
      </c>
      <c r="M247" s="5"/>
    </row>
    <row r="248">
      <c r="A248" s="3">
        <f>IFERROR(__xludf.DUMMYFUNCTION("""COMPUTED_VALUE"""),892.0)</f>
        <v>892</v>
      </c>
      <c r="B248" s="4" t="str">
        <f>IFERROR(__xludf.DUMMYFUNCTION("""COMPUTED_VALUE"""),"והדי משה")</f>
        <v>והדי משה</v>
      </c>
      <c r="C248" s="3">
        <f>IFERROR(__xludf.DUMMYFUNCTION("""COMPUTED_VALUE"""),37.0)</f>
        <v>37</v>
      </c>
      <c r="D248" s="5" t="str">
        <f>IFERROR(__xludf.DUMMYFUNCTION("""COMPUTED_VALUE"""),"אשקלון")</f>
        <v>אשקלון</v>
      </c>
      <c r="E248" s="5" t="str">
        <f>IFERROR(__xludf.DUMMYFUNCTION("""COMPUTED_VALUE"""),"גבר")</f>
        <v>גבר</v>
      </c>
      <c r="F248" s="5" t="str">
        <f>IFERROR(__xludf.DUMMYFUNCTION("""COMPUTED_VALUE"""),"אזרחים")</f>
        <v>אזרחים</v>
      </c>
      <c r="G248" s="3"/>
      <c r="H248" s="3" t="str">
        <f>IFERROR(__xludf.DUMMYFUNCTION("""COMPUTED_VALUE"""),"07.10.2023")</f>
        <v>07.10.2023</v>
      </c>
      <c r="I248" s="4" t="str">
        <f>IFERROR(__xludf.DUMMYFUNCTION("""COMPUTED_VALUE"""),"כביש שער הנגב מפלסים")</f>
        <v>כביש שער הנגב מפלסים</v>
      </c>
      <c r="J248" s="4" t="str">
        <f>IFERROR(__xludf.DUMMYFUNCTION("""COMPUTED_VALUE"""),"אזרחים וכיתות כוננות")</f>
        <v>אזרחים וכיתות כוננות</v>
      </c>
      <c r="K248" s="5" t="str">
        <f>IFERROR(__xludf.DUMMYFUNCTION("""COMPUTED_VALUE"""),"פסטיבל נובה")</f>
        <v>פסטיבל נובה</v>
      </c>
      <c r="L248" s="3" t="str">
        <f>IFERROR(__xludf.DUMMYFUNCTION("""COMPUTED_VALUE"""),"Moshe Vadi")</f>
        <v>Moshe Vadi</v>
      </c>
      <c r="M248" s="5"/>
    </row>
    <row r="249">
      <c r="A249" s="3">
        <f>IFERROR(__xludf.DUMMYFUNCTION("""COMPUTED_VALUE"""),959.0)</f>
        <v>959</v>
      </c>
      <c r="B249" s="4" t="str">
        <f>IFERROR(__xludf.DUMMYFUNCTION("""COMPUTED_VALUE"""),"וולדמן דניאל")</f>
        <v>וולדמן דניאל</v>
      </c>
      <c r="C249" s="3">
        <f>IFERROR(__xludf.DUMMYFUNCTION("""COMPUTED_VALUE"""),24.0)</f>
        <v>24</v>
      </c>
      <c r="D249" s="5" t="str">
        <f>IFERROR(__xludf.DUMMYFUNCTION("""COMPUTED_VALUE"""),"תל אביב")</f>
        <v>תל אביב</v>
      </c>
      <c r="E249" s="5" t="str">
        <f>IFERROR(__xludf.DUMMYFUNCTION("""COMPUTED_VALUE"""),"אישה")</f>
        <v>אישה</v>
      </c>
      <c r="F249" s="5" t="str">
        <f>IFERROR(__xludf.DUMMYFUNCTION("""COMPUTED_VALUE"""),"אזרחים")</f>
        <v>אזרחים</v>
      </c>
      <c r="G249" s="3"/>
      <c r="H249" s="3" t="str">
        <f>IFERROR(__xludf.DUMMYFUNCTION("""COMPUTED_VALUE"""),"07.10.2023")</f>
        <v>07.10.2023</v>
      </c>
      <c r="I249" s="4" t="str">
        <f>IFERROR(__xludf.DUMMYFUNCTION("""COMPUTED_VALUE"""),"סמוך לצומת גמה")</f>
        <v>סמוך לצומת גמה</v>
      </c>
      <c r="J249" s="4" t="str">
        <f>IFERROR(__xludf.DUMMYFUNCTION("""COMPUTED_VALUE"""),"אזרחים וכיתות כוננות")</f>
        <v>אזרחים וכיתות כוננות</v>
      </c>
      <c r="K249" s="5" t="str">
        <f>IFERROR(__xludf.DUMMYFUNCTION("""COMPUTED_VALUE"""),"פסטיבל נובה")</f>
        <v>פסטיבל נובה</v>
      </c>
      <c r="L249" s="3" t="str">
        <f>IFERROR(__xludf.DUMMYFUNCTION("""COMPUTED_VALUE"""),"Danielle Waldman")</f>
        <v>Danielle Waldman</v>
      </c>
      <c r="M249" s="5"/>
    </row>
    <row r="250">
      <c r="A250" s="3">
        <f>IFERROR(__xludf.DUMMYFUNCTION("""COMPUTED_VALUE"""),958.0)</f>
        <v>958</v>
      </c>
      <c r="B250" s="4" t="str">
        <f>IFERROR(__xludf.DUMMYFUNCTION("""COMPUTED_VALUE"""),"ויגדרגאוז (דובז'נקו) סיימון")</f>
        <v>ויגדרגאוז (דובז'נקו) סיימון</v>
      </c>
      <c r="C250" s="3">
        <f>IFERROR(__xludf.DUMMYFUNCTION("""COMPUTED_VALUE"""),21.0)</f>
        <v>21</v>
      </c>
      <c r="D250" s="5" t="str">
        <f>IFERROR(__xludf.DUMMYFUNCTION("""COMPUTED_VALUE"""),"ראשון לציון")</f>
        <v>ראשון לציון</v>
      </c>
      <c r="E250" s="5" t="str">
        <f>IFERROR(__xludf.DUMMYFUNCTION("""COMPUTED_VALUE"""),"גבר")</f>
        <v>גבר</v>
      </c>
      <c r="F250" s="5" t="str">
        <f>IFERROR(__xludf.DUMMYFUNCTION("""COMPUTED_VALUE"""),"אזרחים")</f>
        <v>אזרחים</v>
      </c>
      <c r="G250" s="3"/>
      <c r="H250" s="3" t="str">
        <f>IFERROR(__xludf.DUMMYFUNCTION("""COMPUTED_VALUE"""),"07.10.2023")</f>
        <v>07.10.2023</v>
      </c>
      <c r="I250" s="4" t="str">
        <f>IFERROR(__xludf.DUMMYFUNCTION("""COMPUTED_VALUE"""),"סמוך למפלסים")</f>
        <v>סמוך למפלסים</v>
      </c>
      <c r="J250" s="4" t="str">
        <f>IFERROR(__xludf.DUMMYFUNCTION("""COMPUTED_VALUE"""),"אזרחים וכיתות כוננות")</f>
        <v>אזרחים וכיתות כוננות</v>
      </c>
      <c r="K250" s="5" t="str">
        <f>IFERROR(__xludf.DUMMYFUNCTION("""COMPUTED_VALUE"""),"פסטיבל נובה")</f>
        <v>פסטיבל נובה</v>
      </c>
      <c r="L250" s="3" t="str">
        <f>IFERROR(__xludf.DUMMYFUNCTION("""COMPUTED_VALUE"""),"Simon Vigdergauz")</f>
        <v>Simon Vigdergauz</v>
      </c>
      <c r="M250" s="5"/>
    </row>
    <row r="251">
      <c r="A251" s="3">
        <f>IFERROR(__xludf.DUMMYFUNCTION("""COMPUTED_VALUE"""),1493.0)</f>
        <v>1493</v>
      </c>
      <c r="B251" s="4" t="str">
        <f>IFERROR(__xludf.DUMMYFUNCTION("""COMPUTED_VALUE"""),"ויינברג רון")</f>
        <v>ויינברג רון</v>
      </c>
      <c r="C251" s="3">
        <f>IFERROR(__xludf.DUMMYFUNCTION("""COMPUTED_VALUE"""),24.0)</f>
        <v>24</v>
      </c>
      <c r="D251" s="5" t="str">
        <f>IFERROR(__xludf.DUMMYFUNCTION("""COMPUTED_VALUE"""),"יקנעם עילית")</f>
        <v>יקנעם עילית</v>
      </c>
      <c r="E251" s="5" t="str">
        <f>IFERROR(__xludf.DUMMYFUNCTION("""COMPUTED_VALUE"""),"גבר")</f>
        <v>גבר</v>
      </c>
      <c r="F251" s="5" t="str">
        <f>IFERROR(__xludf.DUMMYFUNCTION("""COMPUTED_VALUE"""),"אזרחים")</f>
        <v>אזרחים</v>
      </c>
      <c r="G251" s="3"/>
      <c r="H251" s="3" t="str">
        <f>IFERROR(__xludf.DUMMYFUNCTION("""COMPUTED_VALUE"""),"07.10.2023")</f>
        <v>07.10.2023</v>
      </c>
      <c r="I251" s="4" t="str">
        <f>IFERROR(__xludf.DUMMYFUNCTION("""COMPUTED_VALUE"""),"סמוך לצומת מבטחים")</f>
        <v>סמוך לצומת מבטחים</v>
      </c>
      <c r="J251" s="4" t="str">
        <f>IFERROR(__xludf.DUMMYFUNCTION("""COMPUTED_VALUE"""),"אזרחים וכיתות כוננות")</f>
        <v>אזרחים וכיתות כוננות</v>
      </c>
      <c r="K251" s="5" t="str">
        <f>IFERROR(__xludf.DUMMYFUNCTION("""COMPUTED_VALUE"""),"פסטיבל נובה")</f>
        <v>פסטיבל נובה</v>
      </c>
      <c r="L251" s="3" t="str">
        <f>IFERROR(__xludf.DUMMYFUNCTION("""COMPUTED_VALUE"""),"Ron Weinberg")</f>
        <v>Ron Weinberg</v>
      </c>
      <c r="M251" s="5"/>
    </row>
    <row r="252">
      <c r="A252" s="3">
        <f>IFERROR(__xludf.DUMMYFUNCTION("""COMPUTED_VALUE"""),1507.0)</f>
        <v>1507</v>
      </c>
      <c r="B252" s="4" t="str">
        <f>IFERROR(__xludf.DUMMYFUNCTION("""COMPUTED_VALUE"""),"ויינשטיין ליאל")</f>
        <v>ויינשטיין ליאל</v>
      </c>
      <c r="C252" s="3">
        <f>IFERROR(__xludf.DUMMYFUNCTION("""COMPUTED_VALUE"""),19.0)</f>
        <v>19</v>
      </c>
      <c r="D252" s="5" t="str">
        <f>IFERROR(__xludf.DUMMYFUNCTION("""COMPUTED_VALUE"""),"נתניה")</f>
        <v>נתניה</v>
      </c>
      <c r="E252" s="5" t="str">
        <f>IFERROR(__xludf.DUMMYFUNCTION("""COMPUTED_VALUE"""),"אישה")</f>
        <v>אישה</v>
      </c>
      <c r="F252" s="5" t="str">
        <f>IFERROR(__xludf.DUMMYFUNCTION("""COMPUTED_VALUE"""),"צה""ל")</f>
        <v>צה"ל</v>
      </c>
      <c r="G252" s="3" t="str">
        <f>IFERROR(__xludf.DUMMYFUNCTION("""COMPUTED_VALUE"""),"סמל")</f>
        <v>סמל</v>
      </c>
      <c r="H252" s="3" t="str">
        <f>IFERROR(__xludf.DUMMYFUNCTION("""COMPUTED_VALUE"""),"07.10.2023")</f>
        <v>07.10.2023</v>
      </c>
      <c r="I252" s="4" t="str">
        <f>IFERROR(__xludf.DUMMYFUNCTION("""COMPUTED_VALUE"""),"מיגונית בכניסה לרעים (מזרח)")</f>
        <v>מיגונית בכניסה לרעים (מזרח)</v>
      </c>
      <c r="J252" s="4" t="str">
        <f>IFERROR(__xludf.DUMMYFUNCTION("""COMPUTED_VALUE"""),"אזרחים וכיתות כוננות")</f>
        <v>אזרחים וכיתות כוננות</v>
      </c>
      <c r="K252" s="5" t="str">
        <f>IFERROR(__xludf.DUMMYFUNCTION("""COMPUTED_VALUE"""),"פסטיבל נובה")</f>
        <v>פסטיבל נובה</v>
      </c>
      <c r="L252" s="3" t="str">
        <f>IFERROR(__xludf.DUMMYFUNCTION("""COMPUTED_VALUE"""),"Liel Weinstein")</f>
        <v>Liel Weinstein</v>
      </c>
      <c r="M252" s="5"/>
    </row>
    <row r="253">
      <c r="A253" s="3">
        <f>IFERROR(__xludf.DUMMYFUNCTION("""COMPUTED_VALUE"""),954.0)</f>
        <v>954</v>
      </c>
      <c r="B253" s="4" t="str">
        <f>IFERROR(__xludf.DUMMYFUNCTION("""COMPUTED_VALUE"""),"ולאנו פונטס ברונה")</f>
        <v>ולאנו פונטס ברונה</v>
      </c>
      <c r="C253" s="3">
        <f>IFERROR(__xludf.DUMMYFUNCTION("""COMPUTED_VALUE"""),24.0)</f>
        <v>24</v>
      </c>
      <c r="D253" s="5" t="str">
        <f>IFERROR(__xludf.DUMMYFUNCTION("""COMPUTED_VALUE"""),"פתח תקווה")</f>
        <v>פתח תקווה</v>
      </c>
      <c r="E253" s="5" t="str">
        <f>IFERROR(__xludf.DUMMYFUNCTION("""COMPUTED_VALUE"""),"אישה")</f>
        <v>אישה</v>
      </c>
      <c r="F253" s="5" t="str">
        <f>IFERROR(__xludf.DUMMYFUNCTION("""COMPUTED_VALUE"""),"אזרחים")</f>
        <v>אזרחים</v>
      </c>
      <c r="G253" s="5"/>
      <c r="H253" s="3" t="str">
        <f>IFERROR(__xludf.DUMMYFUNCTION("""COMPUTED_VALUE"""),"07.10.2023")</f>
        <v>07.10.2023</v>
      </c>
      <c r="I253" s="4" t="str">
        <f>IFERROR(__xludf.DUMMYFUNCTION("""COMPUTED_VALUE"""),"פסטיבל נובה; קמפינג")</f>
        <v>פסטיבל נובה; קמפינג</v>
      </c>
      <c r="J253" s="4" t="str">
        <f>IFERROR(__xludf.DUMMYFUNCTION("""COMPUTED_VALUE"""),"אזרחים וכיתות כוננות")</f>
        <v>אזרחים וכיתות כוננות</v>
      </c>
      <c r="K253" s="5" t="str">
        <f>IFERROR(__xludf.DUMMYFUNCTION("""COMPUTED_VALUE"""),"פסטיבל נובה")</f>
        <v>פסטיבל נובה</v>
      </c>
      <c r="L253" s="3" t="str">
        <f>IFERROR(__xludf.DUMMYFUNCTION("""COMPUTED_VALUE"""),"Bruna Valeanu")</f>
        <v>Bruna Valeanu</v>
      </c>
      <c r="M253" s="5"/>
    </row>
    <row r="254">
      <c r="A254" s="3">
        <f>IFERROR(__xludf.DUMMYFUNCTION("""COMPUTED_VALUE"""),953.0)</f>
        <v>953</v>
      </c>
      <c r="B254" s="4" t="str">
        <f>IFERROR(__xludf.DUMMYFUNCTION("""COMPUTED_VALUE"""),"וקנין אושר")</f>
        <v>וקנין אושר</v>
      </c>
      <c r="C254" s="3">
        <f>IFERROR(__xludf.DUMMYFUNCTION("""COMPUTED_VALUE"""),35.0)</f>
        <v>35</v>
      </c>
      <c r="D254" s="5" t="str">
        <f>IFERROR(__xludf.DUMMYFUNCTION("""COMPUTED_VALUE"""),"ירושלים")</f>
        <v>ירושלים</v>
      </c>
      <c r="E254" s="5" t="str">
        <f>IFERROR(__xludf.DUMMYFUNCTION("""COMPUTED_VALUE"""),"גבר")</f>
        <v>גבר</v>
      </c>
      <c r="F254" s="5" t="str">
        <f>IFERROR(__xludf.DUMMYFUNCTION("""COMPUTED_VALUE"""),"אזרחים")</f>
        <v>אזרחים</v>
      </c>
      <c r="G254" s="5"/>
      <c r="H254" s="3" t="str">
        <f>IFERROR(__xludf.DUMMYFUNCTION("""COMPUTED_VALUE"""),"07.10.2023")</f>
        <v>07.10.2023</v>
      </c>
      <c r="I254" s="4" t="str">
        <f>IFERROR(__xludf.DUMMYFUNCTION("""COMPUTED_VALUE"""),"מיגונית בצומת גמה (דרום)")</f>
        <v>מיגונית בצומת גמה (דרום)</v>
      </c>
      <c r="J254" s="4" t="str">
        <f>IFERROR(__xludf.DUMMYFUNCTION("""COMPUTED_VALUE"""),"אזרחים וכיתות כוננות")</f>
        <v>אזרחים וכיתות כוננות</v>
      </c>
      <c r="K254" s="5" t="str">
        <f>IFERROR(__xludf.DUMMYFUNCTION("""COMPUTED_VALUE"""),"פסטיבל נובה")</f>
        <v>פסטיבל נובה</v>
      </c>
      <c r="L254" s="3" t="str">
        <f>IFERROR(__xludf.DUMMYFUNCTION("""COMPUTED_VALUE"""),"Osher Vaknin")</f>
        <v>Osher Vaknin</v>
      </c>
      <c r="M254" s="5"/>
    </row>
    <row r="255">
      <c r="A255" s="3">
        <f>IFERROR(__xludf.DUMMYFUNCTION("""COMPUTED_VALUE"""),952.0)</f>
        <v>952</v>
      </c>
      <c r="B255" s="4" t="str">
        <f>IFERROR(__xludf.DUMMYFUNCTION("""COMPUTED_VALUE"""),"וקנין מיכאל")</f>
        <v>וקנין מיכאל</v>
      </c>
      <c r="C255" s="3">
        <f>IFERROR(__xludf.DUMMYFUNCTION("""COMPUTED_VALUE"""),35.0)</f>
        <v>35</v>
      </c>
      <c r="D255" s="5" t="str">
        <f>IFERROR(__xludf.DUMMYFUNCTION("""COMPUTED_VALUE"""),"ירושלים")</f>
        <v>ירושלים</v>
      </c>
      <c r="E255" s="5" t="str">
        <f>IFERROR(__xludf.DUMMYFUNCTION("""COMPUTED_VALUE"""),"גבר")</f>
        <v>גבר</v>
      </c>
      <c r="F255" s="5" t="str">
        <f>IFERROR(__xludf.DUMMYFUNCTION("""COMPUTED_VALUE"""),"אזרחים")</f>
        <v>אזרחים</v>
      </c>
      <c r="G255" s="3"/>
      <c r="H255" s="3" t="str">
        <f>IFERROR(__xludf.DUMMYFUNCTION("""COMPUTED_VALUE"""),"07.10.2023")</f>
        <v>07.10.2023</v>
      </c>
      <c r="I255" s="4" t="str">
        <f>IFERROR(__xludf.DUMMYFUNCTION("""COMPUTED_VALUE"""),"פסטיבל נובה")</f>
        <v>פסטיבל נובה</v>
      </c>
      <c r="J255" s="4" t="str">
        <f>IFERROR(__xludf.DUMMYFUNCTION("""COMPUTED_VALUE"""),"אזרחים וכיתות כוננות")</f>
        <v>אזרחים וכיתות כוננות</v>
      </c>
      <c r="K255" s="5" t="str">
        <f>IFERROR(__xludf.DUMMYFUNCTION("""COMPUTED_VALUE"""),"פסטיבל נובה")</f>
        <v>פסטיבל נובה</v>
      </c>
      <c r="L255" s="3" t="str">
        <f>IFERROR(__xludf.DUMMYFUNCTION("""COMPUTED_VALUE"""),"Michael Vaknin")</f>
        <v>Michael Vaknin</v>
      </c>
      <c r="M255" s="5"/>
    </row>
    <row r="256">
      <c r="A256" s="3">
        <f>IFERROR(__xludf.DUMMYFUNCTION("""COMPUTED_VALUE"""),960.0)</f>
        <v>960</v>
      </c>
      <c r="B256" s="4" t="str">
        <f>IFERROR(__xludf.DUMMYFUNCTION("""COMPUTED_VALUE"""),"ורבר אלון")</f>
        <v>ורבר אלון</v>
      </c>
      <c r="C256" s="3">
        <f>IFERROR(__xludf.DUMMYFUNCTION("""COMPUTED_VALUE"""),26.0)</f>
        <v>26</v>
      </c>
      <c r="D256" s="5" t="str">
        <f>IFERROR(__xludf.DUMMYFUNCTION("""COMPUTED_VALUE"""),"רעננה")</f>
        <v>רעננה</v>
      </c>
      <c r="E256" s="5" t="str">
        <f>IFERROR(__xludf.DUMMYFUNCTION("""COMPUTED_VALUE"""),"גבר")</f>
        <v>גבר</v>
      </c>
      <c r="F256" s="5" t="str">
        <f>IFERROR(__xludf.DUMMYFUNCTION("""COMPUTED_VALUE"""),"אזרחים")</f>
        <v>אזרחים</v>
      </c>
      <c r="G256" s="3"/>
      <c r="H256" s="3" t="str">
        <f>IFERROR(__xludf.DUMMYFUNCTION("""COMPUTED_VALUE"""),"07.10.2023")</f>
        <v>07.10.2023</v>
      </c>
      <c r="I256" s="4" t="str">
        <f>IFERROR(__xludf.DUMMYFUNCTION("""COMPUTED_VALUE"""),"צפונית לצומת גמה")</f>
        <v>צפונית לצומת גמה</v>
      </c>
      <c r="J256" s="4" t="str">
        <f>IFERROR(__xludf.DUMMYFUNCTION("""COMPUTED_VALUE"""),"אזרחים וכיתות כוננות")</f>
        <v>אזרחים וכיתות כוננות</v>
      </c>
      <c r="K256" s="5" t="str">
        <f>IFERROR(__xludf.DUMMYFUNCTION("""COMPUTED_VALUE"""),"פסטיבל נובה")</f>
        <v>פסטיבל נובה</v>
      </c>
      <c r="L256" s="3" t="str">
        <f>IFERROR(__xludf.DUMMYFUNCTION("""COMPUTED_VALUE"""),"Alon Werber")</f>
        <v>Alon Werber</v>
      </c>
      <c r="M256" s="5"/>
    </row>
    <row r="257">
      <c r="A257" s="3">
        <f>IFERROR(__xludf.DUMMYFUNCTION("""COMPUTED_VALUE"""),955.0)</f>
        <v>955</v>
      </c>
      <c r="B257" s="4" t="str">
        <f>IFERROR(__xludf.DUMMYFUNCTION("""COMPUTED_VALUE"""),"ורדי לורי")</f>
        <v>ורדי לורי</v>
      </c>
      <c r="C257" s="3">
        <f>IFERROR(__xludf.DUMMYFUNCTION("""COMPUTED_VALUE"""),24.0)</f>
        <v>24</v>
      </c>
      <c r="D257" s="5" t="str">
        <f>IFERROR(__xludf.DUMMYFUNCTION("""COMPUTED_VALUE"""),"הרצליה")</f>
        <v>הרצליה</v>
      </c>
      <c r="E257" s="5" t="str">
        <f>IFERROR(__xludf.DUMMYFUNCTION("""COMPUTED_VALUE"""),"אישה")</f>
        <v>אישה</v>
      </c>
      <c r="F257" s="5" t="str">
        <f>IFERROR(__xludf.DUMMYFUNCTION("""COMPUTED_VALUE"""),"אזרחים")</f>
        <v>אזרחים</v>
      </c>
      <c r="G257" s="3"/>
      <c r="H257" s="3" t="str">
        <f>IFERROR(__xludf.DUMMYFUNCTION("""COMPUTED_VALUE"""),"07.10.2023")</f>
        <v>07.10.2023</v>
      </c>
      <c r="I257" s="4" t="str">
        <f>IFERROR(__xludf.DUMMYFUNCTION("""COMPUTED_VALUE"""),"מיגונית בכניסה לעלומים")</f>
        <v>מיגונית בכניסה לעלומים</v>
      </c>
      <c r="J257" s="4" t="str">
        <f>IFERROR(__xludf.DUMMYFUNCTION("""COMPUTED_VALUE"""),"אזרחים וכיתות כוננות")</f>
        <v>אזרחים וכיתות כוננות</v>
      </c>
      <c r="K257" s="5" t="str">
        <f>IFERROR(__xludf.DUMMYFUNCTION("""COMPUTED_VALUE"""),"פסטיבל נובה")</f>
        <v>פסטיבל נובה</v>
      </c>
      <c r="L257" s="3" t="str">
        <f>IFERROR(__xludf.DUMMYFUNCTION("""COMPUTED_VALUE"""),"Laurie Vardi")</f>
        <v>Laurie Vardi</v>
      </c>
      <c r="M257" s="5"/>
    </row>
    <row r="258">
      <c r="A258" s="3">
        <f>IFERROR(__xludf.DUMMYFUNCTION("""COMPUTED_VALUE"""),957.0)</f>
        <v>957</v>
      </c>
      <c r="B258" s="4" t="str">
        <f>IFERROR(__xludf.DUMMYFUNCTION("""COMPUTED_VALUE"""),"ורניקוב קרין")</f>
        <v>ורניקוב קרין</v>
      </c>
      <c r="C258" s="3">
        <f>IFERROR(__xludf.DUMMYFUNCTION("""COMPUTED_VALUE"""),22.0)</f>
        <v>22</v>
      </c>
      <c r="D258" s="5" t="str">
        <f>IFERROR(__xludf.DUMMYFUNCTION("""COMPUTED_VALUE"""),"ראשון לציון")</f>
        <v>ראשון לציון</v>
      </c>
      <c r="E258" s="5" t="str">
        <f>IFERROR(__xludf.DUMMYFUNCTION("""COMPUTED_VALUE"""),"אישה")</f>
        <v>אישה</v>
      </c>
      <c r="F258" s="5" t="str">
        <f>IFERROR(__xludf.DUMMYFUNCTION("""COMPUTED_VALUE"""),"אזרחים")</f>
        <v>אזרחים</v>
      </c>
      <c r="G258" s="3"/>
      <c r="H258" s="3" t="str">
        <f>IFERROR(__xludf.DUMMYFUNCTION("""COMPUTED_VALUE"""),"07.10.2023")</f>
        <v>07.10.2023</v>
      </c>
      <c r="I258" s="4" t="str">
        <f>IFERROR(__xludf.DUMMYFUNCTION("""COMPUTED_VALUE"""),"בכניסה לעלומים")</f>
        <v>בכניסה לעלומים</v>
      </c>
      <c r="J258" s="4" t="str">
        <f>IFERROR(__xludf.DUMMYFUNCTION("""COMPUTED_VALUE"""),"אזרחים וכיתות כוננות")</f>
        <v>אזרחים וכיתות כוננות</v>
      </c>
      <c r="K258" s="5" t="str">
        <f>IFERROR(__xludf.DUMMYFUNCTION("""COMPUTED_VALUE"""),"פסטיבל נובה")</f>
        <v>פסטיבל נובה</v>
      </c>
      <c r="L258" s="3" t="str">
        <f>IFERROR(__xludf.DUMMYFUNCTION("""COMPUTED_VALUE"""),"Karin Vernikov")</f>
        <v>Karin Vernikov</v>
      </c>
      <c r="M258" s="5"/>
    </row>
    <row r="259">
      <c r="A259" s="3">
        <f>IFERROR(__xludf.DUMMYFUNCTION("""COMPUTED_VALUE"""),779.0)</f>
        <v>779</v>
      </c>
      <c r="B259" s="4" t="str">
        <f>IFERROR(__xludf.DUMMYFUNCTION("""COMPUTED_VALUE"""),"ז'ורנו קארין")</f>
        <v>ז'ורנו קארין</v>
      </c>
      <c r="C259" s="3">
        <f>IFERROR(__xludf.DUMMYFUNCTION("""COMPUTED_VALUE"""),24.0)</f>
        <v>24</v>
      </c>
      <c r="D259" s="5" t="str">
        <f>IFERROR(__xludf.DUMMYFUNCTION("""COMPUTED_VALUE"""),"מזכרת בתיה")</f>
        <v>מזכרת בתיה</v>
      </c>
      <c r="E259" s="5" t="str">
        <f>IFERROR(__xludf.DUMMYFUNCTION("""COMPUTED_VALUE"""),"אישה")</f>
        <v>אישה</v>
      </c>
      <c r="F259" s="5" t="str">
        <f>IFERROR(__xludf.DUMMYFUNCTION("""COMPUTED_VALUE"""),"אזרחים")</f>
        <v>אזרחים</v>
      </c>
      <c r="G259" s="3"/>
      <c r="H259" s="3" t="str">
        <f>IFERROR(__xludf.DUMMYFUNCTION("""COMPUTED_VALUE"""),"07.10.2023")</f>
        <v>07.10.2023</v>
      </c>
      <c r="I259" s="4" t="str">
        <f>IFERROR(__xludf.DUMMYFUNCTION("""COMPUTED_VALUE"""),"פסטיבל נובה; אמבולנס")</f>
        <v>פסטיבל נובה; אמבולנס</v>
      </c>
      <c r="J259" s="4" t="str">
        <f>IFERROR(__xludf.DUMMYFUNCTION("""COMPUTED_VALUE"""),"אזרחים וכיתות כוננות")</f>
        <v>אזרחים וכיתות כוננות</v>
      </c>
      <c r="K259" s="5" t="str">
        <f>IFERROR(__xludf.DUMMYFUNCTION("""COMPUTED_VALUE"""),"פסטיבל נובה")</f>
        <v>פסטיבל נובה</v>
      </c>
      <c r="L259" s="3" t="str">
        <f>IFERROR(__xludf.DUMMYFUNCTION("""COMPUTED_VALUE"""),"Karin Journo")</f>
        <v>Karin Journo</v>
      </c>
      <c r="M259" s="5"/>
    </row>
    <row r="260">
      <c r="A260" s="3">
        <f>IFERROR(__xludf.DUMMYFUNCTION("""COMPUTED_VALUE"""),1486.0)</f>
        <v>1486</v>
      </c>
      <c r="B260" s="4" t="str">
        <f>IFERROR(__xludf.DUMMYFUNCTION("""COMPUTED_VALUE"""),"זגדון רינת הודיה")</f>
        <v>זגדון רינת הודיה</v>
      </c>
      <c r="C260" s="3">
        <f>IFERROR(__xludf.DUMMYFUNCTION("""COMPUTED_VALUE"""),23.0)</f>
        <v>23</v>
      </c>
      <c r="D260" s="5" t="str">
        <f>IFERROR(__xludf.DUMMYFUNCTION("""COMPUTED_VALUE"""),"אלעזר")</f>
        <v>אלעזר</v>
      </c>
      <c r="E260" s="5" t="str">
        <f>IFERROR(__xludf.DUMMYFUNCTION("""COMPUTED_VALUE"""),"אישה")</f>
        <v>אישה</v>
      </c>
      <c r="F260" s="5" t="str">
        <f>IFERROR(__xludf.DUMMYFUNCTION("""COMPUTED_VALUE"""),"אזרחים")</f>
        <v>אזרחים</v>
      </c>
      <c r="G260" s="3"/>
      <c r="H260" s="3" t="str">
        <f>IFERROR(__xludf.DUMMYFUNCTION("""COMPUTED_VALUE"""),"07.10.2023")</f>
        <v>07.10.2023</v>
      </c>
      <c r="I260" s="4" t="str">
        <f>IFERROR(__xludf.DUMMYFUNCTION("""COMPUTED_VALUE"""),"פסטיבל נובה; בר צפוני")</f>
        <v>פסטיבל נובה; בר צפוני</v>
      </c>
      <c r="J260" s="4" t="str">
        <f>IFERROR(__xludf.DUMMYFUNCTION("""COMPUTED_VALUE"""),"אזרחים וכיתות כוננות")</f>
        <v>אזרחים וכיתות כוננות</v>
      </c>
      <c r="K260" s="5" t="str">
        <f>IFERROR(__xludf.DUMMYFUNCTION("""COMPUTED_VALUE"""),"פסטיבל נובה")</f>
        <v>פסטיבל נובה</v>
      </c>
      <c r="L260" s="3" t="str">
        <f>IFERROR(__xludf.DUMMYFUNCTION("""COMPUTED_VALUE"""),"Rinat Hodia Zagdon")</f>
        <v>Rinat Hodia Zagdon</v>
      </c>
      <c r="M260" s="5"/>
    </row>
    <row r="261">
      <c r="A261" s="3">
        <f>IFERROR(__xludf.DUMMYFUNCTION("""COMPUTED_VALUE"""),1621.0)</f>
        <v>1621</v>
      </c>
      <c r="B261" s="4" t="str">
        <f>IFERROR(__xludf.DUMMYFUNCTION("""COMPUTED_VALUE"""),"זוארמן מוטי (מרדכי)")</f>
        <v>זוארמן מוטי (מרדכי)</v>
      </c>
      <c r="C261" s="3">
        <f>IFERROR(__xludf.DUMMYFUNCTION("""COMPUTED_VALUE"""),74.0)</f>
        <v>74</v>
      </c>
      <c r="D261" s="5" t="str">
        <f>IFERROR(__xludf.DUMMYFUNCTION("""COMPUTED_VALUE"""),"רמת השרון")</f>
        <v>רמת השרון</v>
      </c>
      <c r="E261" s="5" t="str">
        <f>IFERROR(__xludf.DUMMYFUNCTION("""COMPUTED_VALUE"""),"גבר")</f>
        <v>גבר</v>
      </c>
      <c r="F261" s="5" t="str">
        <f>IFERROR(__xludf.DUMMYFUNCTION("""COMPUTED_VALUE"""),"אזרחים")</f>
        <v>אזרחים</v>
      </c>
      <c r="G261" s="3"/>
      <c r="H261" s="3" t="str">
        <f>IFERROR(__xludf.DUMMYFUNCTION("""COMPUTED_VALUE"""),"07.10.2023")</f>
        <v>07.10.2023</v>
      </c>
      <c r="I261" s="4" t="str">
        <f>IFERROR(__xludf.DUMMYFUNCTION("""COMPUTED_VALUE"""),"צומת שער הנגב")</f>
        <v>צומת שער הנגב</v>
      </c>
      <c r="J261" s="4" t="str">
        <f>IFERROR(__xludf.DUMMYFUNCTION("""COMPUTED_VALUE"""),"אזרחים וכיתות כוננות")</f>
        <v>אזרחים וכיתות כוננות</v>
      </c>
      <c r="K261" s="5" t="str">
        <f>IFERROR(__xludf.DUMMYFUNCTION("""COMPUTED_VALUE"""),"פסטיבל נובה")</f>
        <v>פסטיבל נובה</v>
      </c>
      <c r="L261" s="3" t="str">
        <f>IFERROR(__xludf.DUMMYFUNCTION("""COMPUTED_VALUE"""),"Motti Zoherman")</f>
        <v>Motti Zoherman</v>
      </c>
      <c r="M261" s="5"/>
    </row>
    <row r="262">
      <c r="A262" s="3">
        <f>IFERROR(__xludf.DUMMYFUNCTION("""COMPUTED_VALUE"""),970.0)</f>
        <v>970</v>
      </c>
      <c r="B262" s="4" t="str">
        <f>IFERROR(__xludf.DUMMYFUNCTION("""COMPUTED_VALUE"""),"זהר בר")</f>
        <v>זהר בר</v>
      </c>
      <c r="C262" s="3">
        <f>IFERROR(__xludf.DUMMYFUNCTION("""COMPUTED_VALUE"""),23.0)</f>
        <v>23</v>
      </c>
      <c r="D262" s="5" t="str">
        <f>IFERROR(__xludf.DUMMYFUNCTION("""COMPUTED_VALUE"""),"כפר ורבורג")</f>
        <v>כפר ורבורג</v>
      </c>
      <c r="E262" s="5" t="str">
        <f>IFERROR(__xludf.DUMMYFUNCTION("""COMPUTED_VALUE"""),"אישה")</f>
        <v>אישה</v>
      </c>
      <c r="F262" s="5" t="str">
        <f>IFERROR(__xludf.DUMMYFUNCTION("""COMPUTED_VALUE"""),"אזרחים")</f>
        <v>אזרחים</v>
      </c>
      <c r="G262" s="3"/>
      <c r="H262" s="3" t="str">
        <f>IFERROR(__xludf.DUMMYFUNCTION("""COMPUTED_VALUE"""),"07.10.2023")</f>
        <v>07.10.2023</v>
      </c>
      <c r="I262" s="4" t="str">
        <f>IFERROR(__xludf.DUMMYFUNCTION("""COMPUTED_VALUE"""),"פסטיבל נובה")</f>
        <v>פסטיבל נובה</v>
      </c>
      <c r="J262" s="4" t="str">
        <f>IFERROR(__xludf.DUMMYFUNCTION("""COMPUTED_VALUE"""),"אזרחים וכיתות כוננות")</f>
        <v>אזרחים וכיתות כוננות</v>
      </c>
      <c r="K262" s="5" t="str">
        <f>IFERROR(__xludf.DUMMYFUNCTION("""COMPUTED_VALUE"""),"פסטיבל נובה")</f>
        <v>פסטיבל נובה</v>
      </c>
      <c r="L262" s="3" t="str">
        <f>IFERROR(__xludf.DUMMYFUNCTION("""COMPUTED_VALUE"""),"Bar Zohar")</f>
        <v>Bar Zohar</v>
      </c>
      <c r="M262" s="5"/>
    </row>
    <row r="263">
      <c r="A263" s="3">
        <f>IFERROR(__xludf.DUMMYFUNCTION("""COMPUTED_VALUE"""),1622.0)</f>
        <v>1622</v>
      </c>
      <c r="B263" s="4" t="str">
        <f>IFERROR(__xludf.DUMMYFUNCTION("""COMPUTED_VALUE"""),"זיו אור")</f>
        <v>זיו אור</v>
      </c>
      <c r="C263" s="3">
        <f>IFERROR(__xludf.DUMMYFUNCTION("""COMPUTED_VALUE"""),24.0)</f>
        <v>24</v>
      </c>
      <c r="D263" s="5" t="str">
        <f>IFERROR(__xludf.DUMMYFUNCTION("""COMPUTED_VALUE"""),"מצפה עדי")</f>
        <v>מצפה עדי</v>
      </c>
      <c r="E263" s="5" t="str">
        <f>IFERROR(__xludf.DUMMYFUNCTION("""COMPUTED_VALUE"""),"גבר")</f>
        <v>גבר</v>
      </c>
      <c r="F263" s="5" t="str">
        <f>IFERROR(__xludf.DUMMYFUNCTION("""COMPUTED_VALUE"""),"אזרחים")</f>
        <v>אזרחים</v>
      </c>
      <c r="G263" s="3"/>
      <c r="H263" s="3" t="str">
        <f>IFERROR(__xludf.DUMMYFUNCTION("""COMPUTED_VALUE"""),"07.10.2023")</f>
        <v>07.10.2023</v>
      </c>
      <c r="I263" s="4" t="str">
        <f>IFERROR(__xludf.DUMMYFUNCTION("""COMPUTED_VALUE"""),"מזרחית לחניון רעים")</f>
        <v>מזרחית לחניון רעים</v>
      </c>
      <c r="J263" s="4" t="str">
        <f>IFERROR(__xludf.DUMMYFUNCTION("""COMPUTED_VALUE"""),"אזרחים וכיתות כוננות")</f>
        <v>אזרחים וכיתות כוננות</v>
      </c>
      <c r="K263" s="5" t="str">
        <f>IFERROR(__xludf.DUMMYFUNCTION("""COMPUTED_VALUE"""),"פסטיבל נובה")</f>
        <v>פסטיבל נובה</v>
      </c>
      <c r="L263" s="3" t="str">
        <f>IFERROR(__xludf.DUMMYFUNCTION("""COMPUTED_VALUE"""),"Or Ziv")</f>
        <v>Or Ziv</v>
      </c>
      <c r="M263" s="5"/>
    </row>
    <row r="264">
      <c r="A264" s="3">
        <f>IFERROR(__xludf.DUMMYFUNCTION("""COMPUTED_VALUE"""),852.0)</f>
        <v>852</v>
      </c>
      <c r="B264" s="4" t="str">
        <f>IFERROR(__xludf.DUMMYFUNCTION("""COMPUTED_VALUE"""),"זיידמן יונתן (ג'וני)")</f>
        <v>זיידמן יונתן (ג'וני)</v>
      </c>
      <c r="C264" s="3">
        <f>IFERROR(__xludf.DUMMYFUNCTION("""COMPUTED_VALUE"""),26.0)</f>
        <v>26</v>
      </c>
      <c r="D264" s="5" t="str">
        <f>IFERROR(__xludf.DUMMYFUNCTION("""COMPUTED_VALUE"""),"תל אביב")</f>
        <v>תל אביב</v>
      </c>
      <c r="E264" s="5" t="str">
        <f>IFERROR(__xludf.DUMMYFUNCTION("""COMPUTED_VALUE"""),"גבר")</f>
        <v>גבר</v>
      </c>
      <c r="F264" s="5" t="str">
        <f>IFERROR(__xludf.DUMMYFUNCTION("""COMPUTED_VALUE"""),"אזרחים")</f>
        <v>אזרחים</v>
      </c>
      <c r="G264" s="3"/>
      <c r="H264" s="3" t="str">
        <f>IFERROR(__xludf.DUMMYFUNCTION("""COMPUTED_VALUE"""),"07.10.2023")</f>
        <v>07.10.2023</v>
      </c>
      <c r="I264" s="4" t="str">
        <f>IFERROR(__xludf.DUMMYFUNCTION("""COMPUTED_VALUE"""),"דרומית לגבים")</f>
        <v>דרומית לגבים</v>
      </c>
      <c r="J264" s="4" t="str">
        <f>IFERROR(__xludf.DUMMYFUNCTION("""COMPUTED_VALUE"""),"אזרחים וכיתות כוננות")</f>
        <v>אזרחים וכיתות כוננות</v>
      </c>
      <c r="K264" s="5" t="str">
        <f>IFERROR(__xludf.DUMMYFUNCTION("""COMPUTED_VALUE"""),"פסטיבל נובה")</f>
        <v>פסטיבל נובה</v>
      </c>
      <c r="L264" s="3" t="str">
        <f>IFERROR(__xludf.DUMMYFUNCTION("""COMPUTED_VALUE"""),"Jonathan Seidmen")</f>
        <v>Jonathan Seidmen</v>
      </c>
      <c r="M264" s="5"/>
    </row>
    <row r="265">
      <c r="A265" s="3">
        <f>IFERROR(__xludf.DUMMYFUNCTION("""COMPUTED_VALUE"""),1426.0)</f>
        <v>1426</v>
      </c>
      <c r="B265" s="4" t="str">
        <f>IFERROR(__xludf.DUMMYFUNCTION("""COMPUTED_VALUE"""),"זנדר נועה")</f>
        <v>זנדר נועה</v>
      </c>
      <c r="C265" s="3">
        <f>IFERROR(__xludf.DUMMYFUNCTION("""COMPUTED_VALUE"""),22.0)</f>
        <v>22</v>
      </c>
      <c r="D265" s="5" t="str">
        <f>IFERROR(__xludf.DUMMYFUNCTION("""COMPUTED_VALUE"""),"ראשון לציון")</f>
        <v>ראשון לציון</v>
      </c>
      <c r="E265" s="5" t="str">
        <f>IFERROR(__xludf.DUMMYFUNCTION("""COMPUTED_VALUE"""),"אישה")</f>
        <v>אישה</v>
      </c>
      <c r="F265" s="5" t="str">
        <f>IFERROR(__xludf.DUMMYFUNCTION("""COMPUTED_VALUE"""),"אזרחים")</f>
        <v>אזרחים</v>
      </c>
      <c r="G265" s="3"/>
      <c r="H265" s="3" t="str">
        <f>IFERROR(__xludf.DUMMYFUNCTION("""COMPUTED_VALUE"""),"07.10.2023")</f>
        <v>07.10.2023</v>
      </c>
      <c r="I265" s="4" t="str">
        <f>IFERROR(__xludf.DUMMYFUNCTION("""COMPUTED_VALUE"""),"מיגונית בכניסה לרעים (מזרח)")</f>
        <v>מיגונית בכניסה לרעים (מזרח)</v>
      </c>
      <c r="J265" s="4" t="str">
        <f>IFERROR(__xludf.DUMMYFUNCTION("""COMPUTED_VALUE"""),"אזרחים וכיתות כוננות")</f>
        <v>אזרחים וכיתות כוננות</v>
      </c>
      <c r="K265" s="5" t="str">
        <f>IFERROR(__xludf.DUMMYFUNCTION("""COMPUTED_VALUE"""),"פסטיבל נובה")</f>
        <v>פסטיבל נובה</v>
      </c>
      <c r="L265" s="3" t="str">
        <f>IFERROR(__xludf.DUMMYFUNCTION("""COMPUTED_VALUE"""),"Noa Zender")</f>
        <v>Noa Zender</v>
      </c>
      <c r="M265" s="5"/>
    </row>
    <row r="266">
      <c r="A266" s="3">
        <f>IFERROR(__xludf.DUMMYFUNCTION("""COMPUTED_VALUE"""),901.0)</f>
        <v>901</v>
      </c>
      <c r="B266" s="4" t="str">
        <f>IFERROR(__xludf.DUMMYFUNCTION("""COMPUTED_VALUE"""),"זנטי מתן")</f>
        <v>זנטי מתן</v>
      </c>
      <c r="C266" s="3">
        <f>IFERROR(__xludf.DUMMYFUNCTION("""COMPUTED_VALUE"""),23.0)</f>
        <v>23</v>
      </c>
      <c r="D266" s="5" t="str">
        <f>IFERROR(__xludf.DUMMYFUNCTION("""COMPUTED_VALUE"""),"דימונה")</f>
        <v>דימונה</v>
      </c>
      <c r="E266" s="5" t="str">
        <f>IFERROR(__xludf.DUMMYFUNCTION("""COMPUTED_VALUE"""),"גבר")</f>
        <v>גבר</v>
      </c>
      <c r="F266" s="5" t="str">
        <f>IFERROR(__xludf.DUMMYFUNCTION("""COMPUTED_VALUE"""),"אזרחים")</f>
        <v>אזרחים</v>
      </c>
      <c r="G266" s="3"/>
      <c r="H266" s="3" t="str">
        <f>IFERROR(__xludf.DUMMYFUNCTION("""COMPUTED_VALUE"""),"07.10.2023")</f>
        <v>07.10.2023</v>
      </c>
      <c r="I266" s="4" t="str">
        <f>IFERROR(__xludf.DUMMYFUNCTION("""COMPUTED_VALUE"""),"פסטיבל נובה")</f>
        <v>פסטיבל נובה</v>
      </c>
      <c r="J266" s="4" t="str">
        <f>IFERROR(__xludf.DUMMYFUNCTION("""COMPUTED_VALUE"""),"אזרחים וכיתות כוננות")</f>
        <v>אזרחים וכיתות כוננות</v>
      </c>
      <c r="K266" s="5" t="str">
        <f>IFERROR(__xludf.DUMMYFUNCTION("""COMPUTED_VALUE"""),"פסטיבל נובה")</f>
        <v>פסטיבל נובה</v>
      </c>
      <c r="L266" s="3" t="str">
        <f>IFERROR(__xludf.DUMMYFUNCTION("""COMPUTED_VALUE"""),"Matan Znati")</f>
        <v>Matan Znati</v>
      </c>
      <c r="M266" s="5"/>
    </row>
    <row r="267">
      <c r="A267" s="3">
        <f>IFERROR(__xludf.DUMMYFUNCTION("""COMPUTED_VALUE"""),967.0)</f>
        <v>967</v>
      </c>
      <c r="B267" s="4" t="str">
        <f>IFERROR(__xludf.DUMMYFUNCTION("""COMPUTED_VALUE"""),"זפרני איתי")</f>
        <v>זפרני איתי</v>
      </c>
      <c r="C267" s="3">
        <f>IFERROR(__xludf.DUMMYFUNCTION("""COMPUTED_VALUE"""),35.0)</f>
        <v>35</v>
      </c>
      <c r="D267" s="5" t="str">
        <f>IFERROR(__xludf.DUMMYFUNCTION("""COMPUTED_VALUE"""),"ראשון לציון")</f>
        <v>ראשון לציון</v>
      </c>
      <c r="E267" s="5" t="str">
        <f>IFERROR(__xludf.DUMMYFUNCTION("""COMPUTED_VALUE"""),"גבר")</f>
        <v>גבר</v>
      </c>
      <c r="F267" s="5" t="str">
        <f>IFERROR(__xludf.DUMMYFUNCTION("""COMPUTED_VALUE"""),"אזרחים")</f>
        <v>אזרחים</v>
      </c>
      <c r="G267" s="3"/>
      <c r="H267" s="3" t="str">
        <f>IFERROR(__xludf.DUMMYFUNCTION("""COMPUTED_VALUE"""),"07.10.2023")</f>
        <v>07.10.2023</v>
      </c>
      <c r="I267" s="4" t="str">
        <f>IFERROR(__xludf.DUMMYFUNCTION("""COMPUTED_VALUE"""),"סמוך למפלסים")</f>
        <v>סמוך למפלסים</v>
      </c>
      <c r="J267" s="4" t="str">
        <f>IFERROR(__xludf.DUMMYFUNCTION("""COMPUTED_VALUE"""),"אזרחים וכיתות כוננות")</f>
        <v>אזרחים וכיתות כוננות</v>
      </c>
      <c r="K267" s="5" t="str">
        <f>IFERROR(__xludf.DUMMYFUNCTION("""COMPUTED_VALUE"""),"פסטיבל נובה")</f>
        <v>פסטיבל נובה</v>
      </c>
      <c r="L267" s="3" t="str">
        <f>IFERROR(__xludf.DUMMYFUNCTION("""COMPUTED_VALUE"""),"Itay Zafrani")</f>
        <v>Itay Zafrani</v>
      </c>
      <c r="M267" s="5"/>
    </row>
    <row r="268">
      <c r="A268" s="3">
        <f>IFERROR(__xludf.DUMMYFUNCTION("""COMPUTED_VALUE"""),919.0)</f>
        <v>919</v>
      </c>
      <c r="B268" s="4" t="str">
        <f>IFERROR(__xludf.DUMMYFUNCTION("""COMPUTED_VALUE"""),"חבני שקד")</f>
        <v>חבני שקד</v>
      </c>
      <c r="C268" s="3">
        <f>IFERROR(__xludf.DUMMYFUNCTION("""COMPUTED_VALUE"""),22.0)</f>
        <v>22</v>
      </c>
      <c r="D268" s="5" t="str">
        <f>IFERROR(__xludf.DUMMYFUNCTION("""COMPUTED_VALUE"""),"נס ציונה")</f>
        <v>נס ציונה</v>
      </c>
      <c r="E268" s="5" t="str">
        <f>IFERROR(__xludf.DUMMYFUNCTION("""COMPUTED_VALUE"""),"אישה")</f>
        <v>אישה</v>
      </c>
      <c r="F268" s="5" t="str">
        <f>IFERROR(__xludf.DUMMYFUNCTION("""COMPUTED_VALUE"""),"אזרחים")</f>
        <v>אזרחים</v>
      </c>
      <c r="G268" s="3"/>
      <c r="H268" s="3" t="str">
        <f>IFERROR(__xludf.DUMMYFUNCTION("""COMPUTED_VALUE"""),"07.10.2023")</f>
        <v>07.10.2023</v>
      </c>
      <c r="I268" s="4" t="str">
        <f>IFERROR(__xludf.DUMMYFUNCTION("""COMPUTED_VALUE"""),"בכניסה לרעים")</f>
        <v>בכניסה לרעים</v>
      </c>
      <c r="J268" s="4" t="str">
        <f>IFERROR(__xludf.DUMMYFUNCTION("""COMPUTED_VALUE"""),"אזרחים וכיתות כוננות")</f>
        <v>אזרחים וכיתות כוננות</v>
      </c>
      <c r="K268" s="5" t="str">
        <f>IFERROR(__xludf.DUMMYFUNCTION("""COMPUTED_VALUE"""),"פסטיבל נובה")</f>
        <v>פסטיבל נובה</v>
      </c>
      <c r="L268" s="3" t="str">
        <f>IFERROR(__xludf.DUMMYFUNCTION("""COMPUTED_VALUE"""),"Shaked Habani")</f>
        <v>Shaked Habani</v>
      </c>
      <c r="M268" s="5"/>
    </row>
    <row r="269">
      <c r="A269" s="3">
        <f>IFERROR(__xludf.DUMMYFUNCTION("""COMPUTED_VALUE"""),768.0)</f>
        <v>768</v>
      </c>
      <c r="B269" s="4" t="str">
        <f>IFERROR(__xludf.DUMMYFUNCTION("""COMPUTED_VALUE"""),"חג'בי זיו")</f>
        <v>חג'בי זיו</v>
      </c>
      <c r="C269" s="3">
        <f>IFERROR(__xludf.DUMMYFUNCTION("""COMPUTED_VALUE"""),29.0)</f>
        <v>29</v>
      </c>
      <c r="D269" s="5" t="str">
        <f>IFERROR(__xludf.DUMMYFUNCTION("""COMPUTED_VALUE"""),"גבים")</f>
        <v>גבים</v>
      </c>
      <c r="E269" s="5" t="str">
        <f>IFERROR(__xludf.DUMMYFUNCTION("""COMPUTED_VALUE"""),"גבר")</f>
        <v>גבר</v>
      </c>
      <c r="F269" s="5" t="str">
        <f>IFERROR(__xludf.DUMMYFUNCTION("""COMPUTED_VALUE"""),"אזרחים")</f>
        <v>אזרחים</v>
      </c>
      <c r="G269" s="3"/>
      <c r="H269" s="3" t="str">
        <f>IFERROR(__xludf.DUMMYFUNCTION("""COMPUTED_VALUE"""),"07.10.2023")</f>
        <v>07.10.2023</v>
      </c>
      <c r="I269" s="4" t="str">
        <f>IFERROR(__xludf.DUMMYFUNCTION("""COMPUTED_VALUE"""),"פסטיבל נובה")</f>
        <v>פסטיבל נובה</v>
      </c>
      <c r="J269" s="4" t="str">
        <f>IFERROR(__xludf.DUMMYFUNCTION("""COMPUTED_VALUE"""),"אזרחים וכיתות כוננות")</f>
        <v>אזרחים וכיתות כוננות</v>
      </c>
      <c r="K269" s="5" t="str">
        <f>IFERROR(__xludf.DUMMYFUNCTION("""COMPUTED_VALUE"""),"פסטיבל נובה")</f>
        <v>פסטיבל נובה</v>
      </c>
      <c r="L269" s="3" t="str">
        <f>IFERROR(__xludf.DUMMYFUNCTION("""COMPUTED_VALUE"""),"Ziv Hajbi")</f>
        <v>Ziv Hajbi</v>
      </c>
      <c r="M269" s="5"/>
    </row>
    <row r="270">
      <c r="A270" s="3">
        <f>IFERROR(__xludf.DUMMYFUNCTION("""COMPUTED_VALUE"""),1453.0)</f>
        <v>1453</v>
      </c>
      <c r="B270" s="4" t="str">
        <f>IFERROR(__xludf.DUMMYFUNCTION("""COMPUTED_VALUE"""),"חדד אטיאס ליאור")</f>
        <v>חדד אטיאס ליאור</v>
      </c>
      <c r="C270" s="3">
        <f>IFERROR(__xludf.DUMMYFUNCTION("""COMPUTED_VALUE"""),36.0)</f>
        <v>36</v>
      </c>
      <c r="D270" s="5" t="str">
        <f>IFERROR(__xludf.DUMMYFUNCTION("""COMPUTED_VALUE"""),"רחובות")</f>
        <v>רחובות</v>
      </c>
      <c r="E270" s="5" t="str">
        <f>IFERROR(__xludf.DUMMYFUNCTION("""COMPUTED_VALUE"""),"אישה")</f>
        <v>אישה</v>
      </c>
      <c r="F270" s="5" t="str">
        <f>IFERROR(__xludf.DUMMYFUNCTION("""COMPUTED_VALUE"""),"אזרחים")</f>
        <v>אזרחים</v>
      </c>
      <c r="G270" s="3"/>
      <c r="H270" s="3" t="str">
        <f>IFERROR(__xludf.DUMMYFUNCTION("""COMPUTED_VALUE"""),"07.10.2023")</f>
        <v>07.10.2023</v>
      </c>
      <c r="I270" s="4" t="str">
        <f>IFERROR(__xludf.DUMMYFUNCTION("""COMPUTED_VALUE"""),"פסטיבל נובה")</f>
        <v>פסטיבל נובה</v>
      </c>
      <c r="J270" s="4" t="str">
        <f>IFERROR(__xludf.DUMMYFUNCTION("""COMPUTED_VALUE"""),"אזרחים וכיתות כוננות")</f>
        <v>אזרחים וכיתות כוננות</v>
      </c>
      <c r="K270" s="5" t="str">
        <f>IFERROR(__xludf.DUMMYFUNCTION("""COMPUTED_VALUE"""),"פסטיבל נובה")</f>
        <v>פסטיבל נובה</v>
      </c>
      <c r="L270" s="3" t="str">
        <f>IFERROR(__xludf.DUMMYFUNCTION("""COMPUTED_VALUE"""),"Lior Hadad Atias")</f>
        <v>Lior Hadad Atias</v>
      </c>
      <c r="M270" s="5"/>
    </row>
    <row r="271">
      <c r="A271" s="3">
        <f>IFERROR(__xludf.DUMMYFUNCTION("""COMPUTED_VALUE"""),718.0)</f>
        <v>718</v>
      </c>
      <c r="B271" s="4" t="str">
        <f>IFERROR(__xludf.DUMMYFUNCTION("""COMPUTED_VALUE"""),"חיאל גידי")</f>
        <v>חיאל גידי</v>
      </c>
      <c r="C271" s="3">
        <f>IFERROR(__xludf.DUMMYFUNCTION("""COMPUTED_VALUE"""),24.0)</f>
        <v>24</v>
      </c>
      <c r="D271" s="5" t="str">
        <f>IFERROR(__xludf.DUMMYFUNCTION("""COMPUTED_VALUE"""),"אחוזת ברק")</f>
        <v>אחוזת ברק</v>
      </c>
      <c r="E271" s="5" t="str">
        <f>IFERROR(__xludf.DUMMYFUNCTION("""COMPUTED_VALUE"""),"גבר")</f>
        <v>גבר</v>
      </c>
      <c r="F271" s="5" t="str">
        <f>IFERROR(__xludf.DUMMYFUNCTION("""COMPUTED_VALUE"""),"אזרחים")</f>
        <v>אזרחים</v>
      </c>
      <c r="G271" s="3"/>
      <c r="H271" s="3" t="str">
        <f>IFERROR(__xludf.DUMMYFUNCTION("""COMPUTED_VALUE"""),"07.10.2023")</f>
        <v>07.10.2023</v>
      </c>
      <c r="I271" s="4" t="str">
        <f>IFERROR(__xludf.DUMMYFUNCTION("""COMPUTED_VALUE"""),"סמוך למפלסים")</f>
        <v>סמוך למפלסים</v>
      </c>
      <c r="J271" s="4" t="str">
        <f>IFERROR(__xludf.DUMMYFUNCTION("""COMPUTED_VALUE"""),"אזרחים וכיתות כוננות")</f>
        <v>אזרחים וכיתות כוננות</v>
      </c>
      <c r="K271" s="5" t="str">
        <f>IFERROR(__xludf.DUMMYFUNCTION("""COMPUTED_VALUE"""),"פסטיבל נובה")</f>
        <v>פסטיבל נובה</v>
      </c>
      <c r="L271" s="3" t="str">
        <f>IFERROR(__xludf.DUMMYFUNCTION("""COMPUTED_VALUE"""),"Gidon Chiell")</f>
        <v>Gidon Chiell</v>
      </c>
      <c r="M271" s="5"/>
    </row>
    <row r="272">
      <c r="A272" s="3">
        <f>IFERROR(__xludf.DUMMYFUNCTION("""COMPUTED_VALUE"""),719.0)</f>
        <v>719</v>
      </c>
      <c r="B272" s="4" t="str">
        <f>IFERROR(__xludf.DUMMYFUNCTION("""COMPUTED_VALUE"""),"חיאל נועה")</f>
        <v>חיאל נועה</v>
      </c>
      <c r="C272" s="3">
        <f>IFERROR(__xludf.DUMMYFUNCTION("""COMPUTED_VALUE"""),27.0)</f>
        <v>27</v>
      </c>
      <c r="D272" s="5" t="str">
        <f>IFERROR(__xludf.DUMMYFUNCTION("""COMPUTED_VALUE"""),"אחוזת ברק")</f>
        <v>אחוזת ברק</v>
      </c>
      <c r="E272" s="5" t="str">
        <f>IFERROR(__xludf.DUMMYFUNCTION("""COMPUTED_VALUE"""),"אישה")</f>
        <v>אישה</v>
      </c>
      <c r="F272" s="5" t="str">
        <f>IFERROR(__xludf.DUMMYFUNCTION("""COMPUTED_VALUE"""),"אזרחים")</f>
        <v>אזרחים</v>
      </c>
      <c r="G272" s="3"/>
      <c r="H272" s="3" t="str">
        <f>IFERROR(__xludf.DUMMYFUNCTION("""COMPUTED_VALUE"""),"07.10.2023")</f>
        <v>07.10.2023</v>
      </c>
      <c r="I272" s="4" t="str">
        <f>IFERROR(__xludf.DUMMYFUNCTION("""COMPUTED_VALUE"""),"סמוך למפלסים")</f>
        <v>סמוך למפלסים</v>
      </c>
      <c r="J272" s="4" t="str">
        <f>IFERROR(__xludf.DUMMYFUNCTION("""COMPUTED_VALUE"""),"אזרחים וכיתות כוננות")</f>
        <v>אזרחים וכיתות כוננות</v>
      </c>
      <c r="K272" s="5" t="str">
        <f>IFERROR(__xludf.DUMMYFUNCTION("""COMPUTED_VALUE"""),"פסטיבל נובה")</f>
        <v>פסטיבל נובה</v>
      </c>
      <c r="L272" s="3" t="str">
        <f>IFERROR(__xludf.DUMMYFUNCTION("""COMPUTED_VALUE"""),"Noa Chiell")</f>
        <v>Noa Chiell</v>
      </c>
      <c r="M272" s="5"/>
    </row>
    <row r="273">
      <c r="A273" s="3">
        <f>IFERROR(__xludf.DUMMYFUNCTION("""COMPUTED_VALUE"""),1728.0)</f>
        <v>1728</v>
      </c>
      <c r="B273" s="4" t="str">
        <f>IFERROR(__xludf.DUMMYFUNCTION("""COMPUTED_VALUE"""),"חיים מאיה")</f>
        <v>חיים מאיה</v>
      </c>
      <c r="C273" s="3">
        <f>IFERROR(__xludf.DUMMYFUNCTION("""COMPUTED_VALUE"""),22.0)</f>
        <v>22</v>
      </c>
      <c r="D273" s="5" t="str">
        <f>IFERROR(__xludf.DUMMYFUNCTION("""COMPUTED_VALUE"""),"ראש העין")</f>
        <v>ראש העין</v>
      </c>
      <c r="E273" s="5" t="str">
        <f>IFERROR(__xludf.DUMMYFUNCTION("""COMPUTED_VALUE"""),"אישה")</f>
        <v>אישה</v>
      </c>
      <c r="F273" s="5" t="str">
        <f>IFERROR(__xludf.DUMMYFUNCTION("""COMPUTED_VALUE"""),"אזרחים")</f>
        <v>אזרחים</v>
      </c>
      <c r="G273" s="3"/>
      <c r="H273" s="3" t="str">
        <f>IFERROR(__xludf.DUMMYFUNCTION("""COMPUTED_VALUE"""),"07.10.2023")</f>
        <v>07.10.2023</v>
      </c>
      <c r="I273" s="4" t="str">
        <f>IFERROR(__xludf.DUMMYFUNCTION("""COMPUTED_VALUE"""),"מערבית לצומת גמה")</f>
        <v>מערבית לצומת גמה</v>
      </c>
      <c r="J273" s="4" t="str">
        <f>IFERROR(__xludf.DUMMYFUNCTION("""COMPUTED_VALUE"""),"אזרחים וכיתות כוננות")</f>
        <v>אזרחים וכיתות כוננות</v>
      </c>
      <c r="K273" s="5" t="str">
        <f>IFERROR(__xludf.DUMMYFUNCTION("""COMPUTED_VALUE"""),"פסטיבל נובה")</f>
        <v>פסטיבל נובה</v>
      </c>
      <c r="L273" s="3" t="str">
        <f>IFERROR(__xludf.DUMMYFUNCTION("""COMPUTED_VALUE"""),"Maya Chaim")</f>
        <v>Maya Chaim</v>
      </c>
      <c r="M273" s="5"/>
    </row>
    <row r="274">
      <c r="A274" s="3">
        <f>IFERROR(__xludf.DUMMYFUNCTION("""COMPUTED_VALUE"""),770.0)</f>
        <v>770</v>
      </c>
      <c r="B274" s="4" t="str">
        <f>IFERROR(__xludf.DUMMYFUNCTION("""COMPUTED_VALUE"""),"חליפה גאיה")</f>
        <v>חליפה גאיה</v>
      </c>
      <c r="C274" s="3">
        <f>IFERROR(__xludf.DUMMYFUNCTION("""COMPUTED_VALUE"""),24.0)</f>
        <v>24</v>
      </c>
      <c r="D274" s="5" t="str">
        <f>IFERROR(__xludf.DUMMYFUNCTION("""COMPUTED_VALUE"""),"קריית אונו")</f>
        <v>קריית אונו</v>
      </c>
      <c r="E274" s="5" t="str">
        <f>IFERROR(__xludf.DUMMYFUNCTION("""COMPUTED_VALUE"""),"אישה")</f>
        <v>אישה</v>
      </c>
      <c r="F274" s="5" t="str">
        <f>IFERROR(__xludf.DUMMYFUNCTION("""COMPUTED_VALUE"""),"אזרחים")</f>
        <v>אזרחים</v>
      </c>
      <c r="G274" s="3"/>
      <c r="H274" s="3" t="str">
        <f>IFERROR(__xludf.DUMMYFUNCTION("""COMPUTED_VALUE"""),"07.10.2023")</f>
        <v>07.10.2023</v>
      </c>
      <c r="I274" s="4" t="str">
        <f>IFERROR(__xludf.DUMMYFUNCTION("""COMPUTED_VALUE"""),"בכניסה לעלומים")</f>
        <v>בכניסה לעלומים</v>
      </c>
      <c r="J274" s="4" t="str">
        <f>IFERROR(__xludf.DUMMYFUNCTION("""COMPUTED_VALUE"""),"אזרחים וכיתות כוננות")</f>
        <v>אזרחים וכיתות כוננות</v>
      </c>
      <c r="K274" s="5" t="str">
        <f>IFERROR(__xludf.DUMMYFUNCTION("""COMPUTED_VALUE"""),"פסטיבל נובה")</f>
        <v>פסטיבל נובה</v>
      </c>
      <c r="L274" s="3" t="str">
        <f>IFERROR(__xludf.DUMMYFUNCTION("""COMPUTED_VALUE"""),"Gaya Halifa")</f>
        <v>Gaya Halifa</v>
      </c>
      <c r="M274" s="5"/>
    </row>
    <row r="275">
      <c r="A275" s="3">
        <f>IFERROR(__xludf.DUMMYFUNCTION("""COMPUTED_VALUE"""),1456.0)</f>
        <v>1456</v>
      </c>
      <c r="B275" s="4" t="str">
        <f>IFERROR(__xludf.DUMMYFUNCTION("""COMPUTED_VALUE"""),"חמוי אלה")</f>
        <v>חמוי אלה</v>
      </c>
      <c r="C275" s="3">
        <f>IFERROR(__xludf.DUMMYFUNCTION("""COMPUTED_VALUE"""),26.0)</f>
        <v>26</v>
      </c>
      <c r="D275" s="5" t="str">
        <f>IFERROR(__xludf.DUMMYFUNCTION("""COMPUTED_VALUE"""),"ניר יצחק")</f>
        <v>ניר יצחק</v>
      </c>
      <c r="E275" s="5" t="str">
        <f>IFERROR(__xludf.DUMMYFUNCTION("""COMPUTED_VALUE"""),"אישה")</f>
        <v>אישה</v>
      </c>
      <c r="F275" s="5" t="str">
        <f>IFERROR(__xludf.DUMMYFUNCTION("""COMPUTED_VALUE"""),"אזרחים")</f>
        <v>אזרחים</v>
      </c>
      <c r="G275" s="3"/>
      <c r="H275" s="3" t="str">
        <f>IFERROR(__xludf.DUMMYFUNCTION("""COMPUTED_VALUE"""),"07.10.2023")</f>
        <v>07.10.2023</v>
      </c>
      <c r="I275" s="4" t="str">
        <f>IFERROR(__xludf.DUMMYFUNCTION("""COMPUTED_VALUE"""),"פסטיבל נובה")</f>
        <v>פסטיבל נובה</v>
      </c>
      <c r="J275" s="4" t="str">
        <f>IFERROR(__xludf.DUMMYFUNCTION("""COMPUTED_VALUE"""),"אזרחים וכיתות כוננות")</f>
        <v>אזרחים וכיתות כוננות</v>
      </c>
      <c r="K275" s="5" t="str">
        <f>IFERROR(__xludf.DUMMYFUNCTION("""COMPUTED_VALUE"""),"פסטיבל נובה")</f>
        <v>פסטיבל נובה</v>
      </c>
      <c r="L275" s="3" t="str">
        <f>IFERROR(__xludf.DUMMYFUNCTION("""COMPUTED_VALUE"""),"Ella Hamoy")</f>
        <v>Ella Hamoy</v>
      </c>
      <c r="M275" s="5"/>
    </row>
    <row r="276">
      <c r="A276" s="3">
        <f>IFERROR(__xludf.DUMMYFUNCTION("""COMPUTED_VALUE"""),708.0)</f>
        <v>708</v>
      </c>
      <c r="B276" s="4" t="str">
        <f>IFERROR(__xludf.DUMMYFUNCTION("""COMPUTED_VALUE"""),"חסיד בן בנציון")</f>
        <v>חסיד בן בנציון</v>
      </c>
      <c r="C276" s="3">
        <f>IFERROR(__xludf.DUMMYFUNCTION("""COMPUTED_VALUE"""),23.0)</f>
        <v>23</v>
      </c>
      <c r="D276" s="5" t="str">
        <f>IFERROR(__xludf.DUMMYFUNCTION("""COMPUTED_VALUE"""),"ראשון לציון")</f>
        <v>ראשון לציון</v>
      </c>
      <c r="E276" s="5" t="str">
        <f>IFERROR(__xludf.DUMMYFUNCTION("""COMPUTED_VALUE"""),"גבר")</f>
        <v>גבר</v>
      </c>
      <c r="F276" s="5" t="str">
        <f>IFERROR(__xludf.DUMMYFUNCTION("""COMPUTED_VALUE"""),"אזרחים")</f>
        <v>אזרחים</v>
      </c>
      <c r="G276" s="3"/>
      <c r="H276" s="3" t="str">
        <f>IFERROR(__xludf.DUMMYFUNCTION("""COMPUTED_VALUE"""),"07.10.2023")</f>
        <v>07.10.2023</v>
      </c>
      <c r="I276" s="4" t="str">
        <f>IFERROR(__xludf.DUMMYFUNCTION("""COMPUTED_VALUE"""),"פסטיבל נובה; חסימה בכביש 232")</f>
        <v>פסטיבל נובה; חסימה בכביש 232</v>
      </c>
      <c r="J276" s="4" t="str">
        <f>IFERROR(__xludf.DUMMYFUNCTION("""COMPUTED_VALUE"""),"אזרחים וכיתות כוננות")</f>
        <v>אזרחים וכיתות כוננות</v>
      </c>
      <c r="K276" s="5" t="str">
        <f>IFERROR(__xludf.DUMMYFUNCTION("""COMPUTED_VALUE"""),"פסטיבל נובה")</f>
        <v>פסטיבל נובה</v>
      </c>
      <c r="L276" s="3" t="str">
        <f>IFERROR(__xludf.DUMMYFUNCTION("""COMPUTED_VALUE"""),"Ben Ben Zion Hassid")</f>
        <v>Ben Ben Zion Hassid</v>
      </c>
      <c r="M276" s="5"/>
    </row>
    <row r="277">
      <c r="A277" s="3">
        <f>IFERROR(__xludf.DUMMYFUNCTION("""COMPUTED_VALUE"""),1302.0)</f>
        <v>1302</v>
      </c>
      <c r="B277" s="4" t="str">
        <f>IFERROR(__xludf.DUMMYFUNCTION("""COMPUTED_VALUE"""),"חפץ אריה אריק")</f>
        <v>חפץ אריה אריק</v>
      </c>
      <c r="C277" s="3">
        <f>IFERROR(__xludf.DUMMYFUNCTION("""COMPUTED_VALUE"""),28.0)</f>
        <v>28</v>
      </c>
      <c r="D277" s="5" t="str">
        <f>IFERROR(__xludf.DUMMYFUNCTION("""COMPUTED_VALUE"""),"רמלה")</f>
        <v>רמלה</v>
      </c>
      <c r="E277" s="5" t="str">
        <f>IFERROR(__xludf.DUMMYFUNCTION("""COMPUTED_VALUE"""),"גבר")</f>
        <v>גבר</v>
      </c>
      <c r="F277" s="5" t="str">
        <f>IFERROR(__xludf.DUMMYFUNCTION("""COMPUTED_VALUE"""),"אזרחים")</f>
        <v>אזרחים</v>
      </c>
      <c r="G277" s="3"/>
      <c r="H277" s="3" t="str">
        <f>IFERROR(__xludf.DUMMYFUNCTION("""COMPUTED_VALUE"""),"07.10.2023")</f>
        <v>07.10.2023</v>
      </c>
      <c r="I277" s="4" t="str">
        <f>IFERROR(__xludf.DUMMYFUNCTION("""COMPUTED_VALUE"""),"מיגונית בכניסה לעלומים")</f>
        <v>מיגונית בכניסה לעלומים</v>
      </c>
      <c r="J277" s="4" t="str">
        <f>IFERROR(__xludf.DUMMYFUNCTION("""COMPUTED_VALUE"""),"אזרחים וכיתות כוננות")</f>
        <v>אזרחים וכיתות כוננות</v>
      </c>
      <c r="K277" s="5" t="str">
        <f>IFERROR(__xludf.DUMMYFUNCTION("""COMPUTED_VALUE"""),"פסטיבל נובה")</f>
        <v>פסטיבל נובה</v>
      </c>
      <c r="L277" s="3" t="str">
        <f>IFERROR(__xludf.DUMMYFUNCTION("""COMPUTED_VALUE"""),"Arie Hefetz")</f>
        <v>Arie Hefetz</v>
      </c>
      <c r="M277" s="5"/>
    </row>
    <row r="278">
      <c r="A278" s="3">
        <f>IFERROR(__xludf.DUMMYFUNCTION("""COMPUTED_VALUE"""),875.0)</f>
        <v>875</v>
      </c>
      <c r="B278" s="4" t="str">
        <f>IFERROR(__xludf.DUMMYFUNCTION("""COMPUTED_VALUE"""),"טבגן גולדמן קטרינה (קטיה)")</f>
        <v>טבגן גולדמן קטרינה (קטיה)</v>
      </c>
      <c r="C278" s="3">
        <f>IFERROR(__xludf.DUMMYFUNCTION("""COMPUTED_VALUE"""),26.0)</f>
        <v>26</v>
      </c>
      <c r="D278" s="5" t="str">
        <f>IFERROR(__xludf.DUMMYFUNCTION("""COMPUTED_VALUE"""),"חולון")</f>
        <v>חולון</v>
      </c>
      <c r="E278" s="5" t="str">
        <f>IFERROR(__xludf.DUMMYFUNCTION("""COMPUTED_VALUE"""),"אישה")</f>
        <v>אישה</v>
      </c>
      <c r="F278" s="5" t="str">
        <f>IFERROR(__xludf.DUMMYFUNCTION("""COMPUTED_VALUE"""),"אזרחים")</f>
        <v>אזרחים</v>
      </c>
      <c r="G278" s="3"/>
      <c r="H278" s="3" t="str">
        <f>IFERROR(__xludf.DUMMYFUNCTION("""COMPUTED_VALUE"""),"07.10.2023")</f>
        <v>07.10.2023</v>
      </c>
      <c r="I278" s="4" t="str">
        <f>IFERROR(__xludf.DUMMYFUNCTION("""COMPUTED_VALUE"""),"פסטיבל נובה")</f>
        <v>פסטיבל נובה</v>
      </c>
      <c r="J278" s="4" t="str">
        <f>IFERROR(__xludf.DUMMYFUNCTION("""COMPUTED_VALUE"""),"אזרחים וכיתות כוננות")</f>
        <v>אזרחים וכיתות כוננות</v>
      </c>
      <c r="K278" s="5" t="str">
        <f>IFERROR(__xludf.DUMMYFUNCTION("""COMPUTED_VALUE"""),"פסטיבל נובה")</f>
        <v>פסטיבל נובה</v>
      </c>
      <c r="L278" s="3" t="str">
        <f>IFERROR(__xludf.DUMMYFUNCTION("""COMPUTED_VALUE"""),"Katerina Tavgan Goldman")</f>
        <v>Katerina Tavgan Goldman</v>
      </c>
      <c r="M278" s="5"/>
    </row>
    <row r="279">
      <c r="A279" s="3">
        <f>IFERROR(__xludf.DUMMYFUNCTION("""COMPUTED_VALUE"""),873.0)</f>
        <v>873</v>
      </c>
      <c r="B279" s="4" t="str">
        <f>IFERROR(__xludf.DUMMYFUNCTION("""COMPUTED_VALUE"""),"טמם אדיר")</f>
        <v>טמם אדיר</v>
      </c>
      <c r="C279" s="3">
        <f>IFERROR(__xludf.DUMMYFUNCTION("""COMPUTED_VALUE"""),40.0)</f>
        <v>40</v>
      </c>
      <c r="D279" s="5" t="str">
        <f>IFERROR(__xludf.DUMMYFUNCTION("""COMPUTED_VALUE"""),"חולון")</f>
        <v>חולון</v>
      </c>
      <c r="E279" s="5" t="str">
        <f>IFERROR(__xludf.DUMMYFUNCTION("""COMPUTED_VALUE"""),"גבר")</f>
        <v>גבר</v>
      </c>
      <c r="F279" s="5" t="str">
        <f>IFERROR(__xludf.DUMMYFUNCTION("""COMPUTED_VALUE"""),"אזרחים")</f>
        <v>אזרחים</v>
      </c>
      <c r="G279" s="3"/>
      <c r="H279" s="3" t="str">
        <f>IFERROR(__xludf.DUMMYFUNCTION("""COMPUTED_VALUE"""),"07.10.2023")</f>
        <v>07.10.2023</v>
      </c>
      <c r="I279" s="4" t="str">
        <f>IFERROR(__xludf.DUMMYFUNCTION("""COMPUTED_VALUE"""),"מיגונית מפלסים")</f>
        <v>מיגונית מפלסים</v>
      </c>
      <c r="J279" s="4" t="str">
        <f>IFERROR(__xludf.DUMMYFUNCTION("""COMPUTED_VALUE"""),"אזרחים וכיתות כוננות")</f>
        <v>אזרחים וכיתות כוננות</v>
      </c>
      <c r="K279" s="5" t="str">
        <f>IFERROR(__xludf.DUMMYFUNCTION("""COMPUTED_VALUE"""),"פסטיבל נובה")</f>
        <v>פסטיבל נובה</v>
      </c>
      <c r="L279" s="3" t="str">
        <f>IFERROR(__xludf.DUMMYFUNCTION("""COMPUTED_VALUE"""),"Adir Tamam")</f>
        <v>Adir Tamam</v>
      </c>
      <c r="M279" s="5"/>
    </row>
    <row r="280">
      <c r="A280" s="3">
        <f>IFERROR(__xludf.DUMMYFUNCTION("""COMPUTED_VALUE"""),906.0)</f>
        <v>906</v>
      </c>
      <c r="B280" s="4" t="str">
        <f>IFERROR(__xludf.DUMMYFUNCTION("""COMPUTED_VALUE"""),"טקאץ' ליאור")</f>
        <v>טקאץ' ליאור</v>
      </c>
      <c r="C280" s="3">
        <f>IFERROR(__xludf.DUMMYFUNCTION("""COMPUTED_VALUE"""),26.0)</f>
        <v>26</v>
      </c>
      <c r="D280" s="5" t="str">
        <f>IFERROR(__xludf.DUMMYFUNCTION("""COMPUTED_VALUE"""),"באר שבע")</f>
        <v>באר שבע</v>
      </c>
      <c r="E280" s="5" t="str">
        <f>IFERROR(__xludf.DUMMYFUNCTION("""COMPUTED_VALUE"""),"גבר")</f>
        <v>גבר</v>
      </c>
      <c r="F280" s="5" t="str">
        <f>IFERROR(__xludf.DUMMYFUNCTION("""COMPUTED_VALUE"""),"אזרחים")</f>
        <v>אזרחים</v>
      </c>
      <c r="G280" s="3"/>
      <c r="H280" s="3" t="str">
        <f>IFERROR(__xludf.DUMMYFUNCTION("""COMPUTED_VALUE"""),"07.10.2023")</f>
        <v>07.10.2023</v>
      </c>
      <c r="I280" s="4" t="str">
        <f>IFERROR(__xludf.DUMMYFUNCTION("""COMPUTED_VALUE"""),"בכניסה לרעים")</f>
        <v>בכניסה לרעים</v>
      </c>
      <c r="J280" s="4" t="str">
        <f>IFERROR(__xludf.DUMMYFUNCTION("""COMPUTED_VALUE"""),"אזרחים וכיתות כוננות")</f>
        <v>אזרחים וכיתות כוננות</v>
      </c>
      <c r="K280" s="5" t="str">
        <f>IFERROR(__xludf.DUMMYFUNCTION("""COMPUTED_VALUE"""),"פסטיבל נובה")</f>
        <v>פסטיבל נובה</v>
      </c>
      <c r="L280" s="3" t="str">
        <f>IFERROR(__xludf.DUMMYFUNCTION("""COMPUTED_VALUE"""),"Lior Tkach")</f>
        <v>Lior Tkach</v>
      </c>
      <c r="M280" s="5"/>
    </row>
    <row r="281">
      <c r="A281" s="3">
        <f>IFERROR(__xludf.DUMMYFUNCTION("""COMPUTED_VALUE"""),1553.0)</f>
        <v>1553</v>
      </c>
      <c r="B281" s="4" t="str">
        <f>IFERROR(__xludf.DUMMYFUNCTION("""COMPUTED_VALUE"""),"טרבלסי מור")</f>
        <v>טרבלסי מור</v>
      </c>
      <c r="C281" s="3">
        <f>IFERROR(__xludf.DUMMYFUNCTION("""COMPUTED_VALUE"""),27.0)</f>
        <v>27</v>
      </c>
      <c r="D281" s="5" t="str">
        <f>IFERROR(__xludf.DUMMYFUNCTION("""COMPUTED_VALUE"""),"נהריה")</f>
        <v>נהריה</v>
      </c>
      <c r="E281" s="5" t="str">
        <f>IFERROR(__xludf.DUMMYFUNCTION("""COMPUTED_VALUE"""),"גבר")</f>
        <v>גבר</v>
      </c>
      <c r="F281" s="5" t="str">
        <f>IFERROR(__xludf.DUMMYFUNCTION("""COMPUTED_VALUE"""),"אזרחים")</f>
        <v>אזרחים</v>
      </c>
      <c r="G281" s="3"/>
      <c r="H281" s="3" t="str">
        <f>IFERROR(__xludf.DUMMYFUNCTION("""COMPUTED_VALUE"""),"07.10.2023")</f>
        <v>07.10.2023</v>
      </c>
      <c r="I281" s="4" t="str">
        <f>IFERROR(__xludf.DUMMYFUNCTION("""COMPUTED_VALUE"""),"סמוך למפלסים")</f>
        <v>סמוך למפלסים</v>
      </c>
      <c r="J281" s="4" t="str">
        <f>IFERROR(__xludf.DUMMYFUNCTION("""COMPUTED_VALUE"""),"אזרחים וכיתות כוננות")</f>
        <v>אזרחים וכיתות כוננות</v>
      </c>
      <c r="K281" s="5" t="str">
        <f>IFERROR(__xludf.DUMMYFUNCTION("""COMPUTED_VALUE"""),"פסטיבל נובה")</f>
        <v>פסטיבל נובה</v>
      </c>
      <c r="L281" s="3" t="str">
        <f>IFERROR(__xludf.DUMMYFUNCTION("""COMPUTED_VALUE"""),"Mor Trabelsi")</f>
        <v>Mor Trabelsi</v>
      </c>
      <c r="M281" s="5"/>
    </row>
    <row r="282">
      <c r="A282" s="3">
        <f>IFERROR(__xludf.DUMMYFUNCTION("""COMPUTED_VALUE"""),966.0)</f>
        <v>966</v>
      </c>
      <c r="B282" s="4" t="str">
        <f>IFERROR(__xludf.DUMMYFUNCTION("""COMPUTED_VALUE"""),"יהודאי רון")</f>
        <v>יהודאי רון</v>
      </c>
      <c r="C282" s="3">
        <f>IFERROR(__xludf.DUMMYFUNCTION("""COMPUTED_VALUE"""),24.0)</f>
        <v>24</v>
      </c>
      <c r="D282" s="5" t="str">
        <f>IFERROR(__xludf.DUMMYFUNCTION("""COMPUTED_VALUE"""),"יהוד מונוסון")</f>
        <v>יהוד מונוסון</v>
      </c>
      <c r="E282" s="5" t="str">
        <f>IFERROR(__xludf.DUMMYFUNCTION("""COMPUTED_VALUE"""),"גבר")</f>
        <v>גבר</v>
      </c>
      <c r="F282" s="5" t="str">
        <f>IFERROR(__xludf.DUMMYFUNCTION("""COMPUTED_VALUE"""),"אזרחים")</f>
        <v>אזרחים</v>
      </c>
      <c r="G282" s="3"/>
      <c r="H282" s="3" t="str">
        <f>IFERROR(__xludf.DUMMYFUNCTION("""COMPUTED_VALUE"""),"07.10.2023")</f>
        <v>07.10.2023</v>
      </c>
      <c r="I282" s="4" t="str">
        <f>IFERROR(__xludf.DUMMYFUNCTION("""COMPUTED_VALUE"""),"פסטיבל נובה; מכולות צהובות")</f>
        <v>פסטיבל נובה; מכולות צהובות</v>
      </c>
      <c r="J282" s="4" t="str">
        <f>IFERROR(__xludf.DUMMYFUNCTION("""COMPUTED_VALUE"""),"אזרחים וכיתות כוננות")</f>
        <v>אזרחים וכיתות כוננות</v>
      </c>
      <c r="K282" s="5" t="str">
        <f>IFERROR(__xludf.DUMMYFUNCTION("""COMPUTED_VALUE"""),"פסטיבל נובה")</f>
        <v>פסטיבל נובה</v>
      </c>
      <c r="L282" s="3" t="str">
        <f>IFERROR(__xludf.DUMMYFUNCTION("""COMPUTED_VALUE"""),"Ron Yehudai")</f>
        <v>Ron Yehudai</v>
      </c>
      <c r="M282" s="5"/>
    </row>
    <row r="283">
      <c r="A283" s="3">
        <f>IFERROR(__xludf.DUMMYFUNCTION("""COMPUTED_VALUE"""),1529.0)</f>
        <v>1529</v>
      </c>
      <c r="B283" s="4" t="str">
        <f>IFERROR(__xludf.DUMMYFUNCTION("""COMPUTED_VALUE"""),"יעקב אילן משה")</f>
        <v>יעקב אילן משה</v>
      </c>
      <c r="C283" s="3">
        <f>IFERROR(__xludf.DUMMYFUNCTION("""COMPUTED_VALUE"""),29.0)</f>
        <v>29</v>
      </c>
      <c r="D283" s="5" t="str">
        <f>IFERROR(__xludf.DUMMYFUNCTION("""COMPUTED_VALUE"""),"תל אביב")</f>
        <v>תל אביב</v>
      </c>
      <c r="E283" s="5" t="str">
        <f>IFERROR(__xludf.DUMMYFUNCTION("""COMPUTED_VALUE"""),"גבר")</f>
        <v>גבר</v>
      </c>
      <c r="F283" s="5" t="str">
        <f>IFERROR(__xludf.DUMMYFUNCTION("""COMPUTED_VALUE"""),"אזרחים")</f>
        <v>אזרחים</v>
      </c>
      <c r="G283" s="3"/>
      <c r="H283" s="3" t="str">
        <f>IFERROR(__xludf.DUMMYFUNCTION("""COMPUTED_VALUE"""),"07.10.2023")</f>
        <v>07.10.2023</v>
      </c>
      <c r="I283" s="4" t="str">
        <f>IFERROR(__xludf.DUMMYFUNCTION("""COMPUTED_VALUE"""),"פסטיבל נובה; בר צפוני")</f>
        <v>פסטיבל נובה; בר צפוני</v>
      </c>
      <c r="J283" s="4" t="str">
        <f>IFERROR(__xludf.DUMMYFUNCTION("""COMPUTED_VALUE"""),"אזרחים וכיתות כוננות")</f>
        <v>אזרחים וכיתות כוננות</v>
      </c>
      <c r="K283" s="5" t="str">
        <f>IFERROR(__xludf.DUMMYFUNCTION("""COMPUTED_VALUE"""),"פסטיבל נובה")</f>
        <v>פסטיבל נובה</v>
      </c>
      <c r="L283" s="3" t="str">
        <f>IFERROR(__xludf.DUMMYFUNCTION("""COMPUTED_VALUE"""),"Ilan Moshe Yaacov")</f>
        <v>Ilan Moshe Yaacov</v>
      </c>
      <c r="M283" s="5"/>
    </row>
    <row r="284">
      <c r="A284" s="3">
        <f>IFERROR(__xludf.DUMMYFUNCTION("""COMPUTED_VALUE"""),962.0)</f>
        <v>962</v>
      </c>
      <c r="B284" s="4" t="str">
        <f>IFERROR(__xludf.DUMMYFUNCTION("""COMPUTED_VALUE"""),"יעקב שהם")</f>
        <v>יעקב שהם</v>
      </c>
      <c r="C284" s="3">
        <f>IFERROR(__xludf.DUMMYFUNCTION("""COMPUTED_VALUE"""),28.0)</f>
        <v>28</v>
      </c>
      <c r="D284" s="5" t="str">
        <f>IFERROR(__xludf.DUMMYFUNCTION("""COMPUTED_VALUE"""),"הרצליה")</f>
        <v>הרצליה</v>
      </c>
      <c r="E284" s="5" t="str">
        <f>IFERROR(__xludf.DUMMYFUNCTION("""COMPUTED_VALUE"""),"אישה")</f>
        <v>אישה</v>
      </c>
      <c r="F284" s="5" t="str">
        <f>IFERROR(__xludf.DUMMYFUNCTION("""COMPUTED_VALUE"""),"אזרחים")</f>
        <v>אזרחים</v>
      </c>
      <c r="G284" s="3"/>
      <c r="H284" s="3" t="str">
        <f>IFERROR(__xludf.DUMMYFUNCTION("""COMPUTED_VALUE"""),"07.10.2023")</f>
        <v>07.10.2023</v>
      </c>
      <c r="I284" s="4" t="str">
        <f>IFERROR(__xludf.DUMMYFUNCTION("""COMPUTED_VALUE"""),"מיגונית בכניסה לרעים (מזרח)")</f>
        <v>מיגונית בכניסה לרעים (מזרח)</v>
      </c>
      <c r="J284" s="4" t="str">
        <f>IFERROR(__xludf.DUMMYFUNCTION("""COMPUTED_VALUE"""),"אזרחים וכיתות כוננות")</f>
        <v>אזרחים וכיתות כוננות</v>
      </c>
      <c r="K284" s="5" t="str">
        <f>IFERROR(__xludf.DUMMYFUNCTION("""COMPUTED_VALUE"""),"פסטיבל נובה")</f>
        <v>פסטיבל נובה</v>
      </c>
      <c r="L284" s="3" t="str">
        <f>IFERROR(__xludf.DUMMYFUNCTION("""COMPUTED_VALUE"""),"Shoham Yaakov Gherafi")</f>
        <v>Shoham Yaakov Gherafi</v>
      </c>
      <c r="M284" s="5"/>
    </row>
    <row r="285">
      <c r="A285" s="3">
        <f>IFERROR(__xludf.DUMMYFUNCTION("""COMPUTED_VALUE"""),1423.0)</f>
        <v>1423</v>
      </c>
      <c r="B285" s="4" t="str">
        <f>IFERROR(__xludf.DUMMYFUNCTION("""COMPUTED_VALUE"""),"יעקב שובל")</f>
        <v>יעקב שובל</v>
      </c>
      <c r="C285" s="3">
        <f>IFERROR(__xludf.DUMMYFUNCTION("""COMPUTED_VALUE"""),27.0)</f>
        <v>27</v>
      </c>
      <c r="D285" s="5" t="str">
        <f>IFERROR(__xludf.DUMMYFUNCTION("""COMPUTED_VALUE"""),"מחולה")</f>
        <v>מחולה</v>
      </c>
      <c r="E285" s="5" t="str">
        <f>IFERROR(__xludf.DUMMYFUNCTION("""COMPUTED_VALUE"""),"גבר")</f>
        <v>גבר</v>
      </c>
      <c r="F285" s="5" t="str">
        <f>IFERROR(__xludf.DUMMYFUNCTION("""COMPUTED_VALUE"""),"אזרחים")</f>
        <v>אזרחים</v>
      </c>
      <c r="G285" s="3"/>
      <c r="H285" s="3" t="str">
        <f>IFERROR(__xludf.DUMMYFUNCTION("""COMPUTED_VALUE"""),"07.10.2023")</f>
        <v>07.10.2023</v>
      </c>
      <c r="I285" s="4" t="str">
        <f>IFERROR(__xludf.DUMMYFUNCTION("""COMPUTED_VALUE"""),"פסטיבל נובה")</f>
        <v>פסטיבל נובה</v>
      </c>
      <c r="J285" s="4" t="str">
        <f>IFERROR(__xludf.DUMMYFUNCTION("""COMPUTED_VALUE"""),"אזרחים וכיתות כוננות")</f>
        <v>אזרחים וכיתות כוננות</v>
      </c>
      <c r="K285" s="5" t="str">
        <f>IFERROR(__xludf.DUMMYFUNCTION("""COMPUTED_VALUE"""),"פסטיבל נובה")</f>
        <v>פסטיבל נובה</v>
      </c>
      <c r="L285" s="3" t="str">
        <f>IFERROR(__xludf.DUMMYFUNCTION("""COMPUTED_VALUE"""),"Shoval Yaakov")</f>
        <v>Shoval Yaakov</v>
      </c>
      <c r="M285" s="5"/>
    </row>
    <row r="286">
      <c r="A286" s="3">
        <f>IFERROR(__xludf.DUMMYFUNCTION("""COMPUTED_VALUE"""),1427.0)</f>
        <v>1427</v>
      </c>
      <c r="B286" s="4" t="str">
        <f>IFERROR(__xludf.DUMMYFUNCTION("""COMPUTED_VALUE"""),"יעקב שנהב")</f>
        <v>יעקב שנהב</v>
      </c>
      <c r="C286" s="3">
        <f>IFERROR(__xludf.DUMMYFUNCTION("""COMPUTED_VALUE"""),26.0)</f>
        <v>26</v>
      </c>
      <c r="D286" s="5" t="str">
        <f>IFERROR(__xludf.DUMMYFUNCTION("""COMPUTED_VALUE"""),"הרצליה")</f>
        <v>הרצליה</v>
      </c>
      <c r="E286" s="5" t="str">
        <f>IFERROR(__xludf.DUMMYFUNCTION("""COMPUTED_VALUE"""),"אישה")</f>
        <v>אישה</v>
      </c>
      <c r="F286" s="5" t="str">
        <f>IFERROR(__xludf.DUMMYFUNCTION("""COMPUTED_VALUE"""),"אזרחים")</f>
        <v>אזרחים</v>
      </c>
      <c r="G286" s="3"/>
      <c r="H286" s="3" t="str">
        <f>IFERROR(__xludf.DUMMYFUNCTION("""COMPUTED_VALUE"""),"07.10.2023")</f>
        <v>07.10.2023</v>
      </c>
      <c r="I286" s="4" t="str">
        <f>IFERROR(__xludf.DUMMYFUNCTION("""COMPUTED_VALUE"""),"מיגונית בכניסה לרעים (מזרח)")</f>
        <v>מיגונית בכניסה לרעים (מזרח)</v>
      </c>
      <c r="J286" s="4" t="str">
        <f>IFERROR(__xludf.DUMMYFUNCTION("""COMPUTED_VALUE"""),"אזרחים וכיתות כוננות")</f>
        <v>אזרחים וכיתות כוננות</v>
      </c>
      <c r="K286" s="5" t="str">
        <f>IFERROR(__xludf.DUMMYFUNCTION("""COMPUTED_VALUE"""),"פסטיבל נובה")</f>
        <v>פסטיבל נובה</v>
      </c>
      <c r="L286" s="3" t="str">
        <f>IFERROR(__xludf.DUMMYFUNCTION("""COMPUTED_VALUE"""),"Shenhav Yaakov Gherafi")</f>
        <v>Shenhav Yaakov Gherafi</v>
      </c>
      <c r="M286" s="5"/>
    </row>
    <row r="287">
      <c r="A287" s="3">
        <f>IFERROR(__xludf.DUMMYFUNCTION("""COMPUTED_VALUE"""),961.0)</f>
        <v>961</v>
      </c>
      <c r="B287" s="4" t="str">
        <f>IFERROR(__xludf.DUMMYFUNCTION("""COMPUTED_VALUE"""),"יעקובוב סאן אמנון")</f>
        <v>יעקובוב סאן אמנון</v>
      </c>
      <c r="C287" s="3">
        <f>IFERROR(__xludf.DUMMYFUNCTION("""COMPUTED_VALUE"""),22.0)</f>
        <v>22</v>
      </c>
      <c r="D287" s="5" t="str">
        <f>IFERROR(__xludf.DUMMYFUNCTION("""COMPUTED_VALUE"""),"חולון")</f>
        <v>חולון</v>
      </c>
      <c r="E287" s="5" t="str">
        <f>IFERROR(__xludf.DUMMYFUNCTION("""COMPUTED_VALUE"""),"גבר")</f>
        <v>גבר</v>
      </c>
      <c r="F287" s="5" t="str">
        <f>IFERROR(__xludf.DUMMYFUNCTION("""COMPUTED_VALUE"""),"אזרחים")</f>
        <v>אזרחים</v>
      </c>
      <c r="G287" s="3"/>
      <c r="H287" s="3" t="str">
        <f>IFERROR(__xludf.DUMMYFUNCTION("""COMPUTED_VALUE"""),"07.10.2023")</f>
        <v>07.10.2023</v>
      </c>
      <c r="I287" s="4" t="str">
        <f>IFERROR(__xludf.DUMMYFUNCTION("""COMPUTED_VALUE"""),"מיגונית בכניסה לעלומים")</f>
        <v>מיגונית בכניסה לעלומים</v>
      </c>
      <c r="J287" s="4" t="str">
        <f>IFERROR(__xludf.DUMMYFUNCTION("""COMPUTED_VALUE"""),"אזרחים וכיתות כוננות")</f>
        <v>אזרחים וכיתות כוננות</v>
      </c>
      <c r="K287" s="5" t="str">
        <f>IFERROR(__xludf.DUMMYFUNCTION("""COMPUTED_VALUE"""),"פסטיבל נובה")</f>
        <v>פסטיבל נובה</v>
      </c>
      <c r="L287" s="3" t="str">
        <f>IFERROR(__xludf.DUMMYFUNCTION("""COMPUTED_VALUE"""),"San-Amnon Yaacobov")</f>
        <v>San-Amnon Yaacobov</v>
      </c>
      <c r="M287" s="5"/>
    </row>
    <row r="288">
      <c r="A288" s="3">
        <f>IFERROR(__xludf.DUMMYFUNCTION("""COMPUTED_VALUE"""),777.0)</f>
        <v>777</v>
      </c>
      <c r="B288" s="4" t="str">
        <f>IFERROR(__xludf.DUMMYFUNCTION("""COMPUTED_VALUE"""),"יצחקי מאי")</f>
        <v>יצחקי מאי</v>
      </c>
      <c r="C288" s="3">
        <f>IFERROR(__xludf.DUMMYFUNCTION("""COMPUTED_VALUE"""),25.0)</f>
        <v>25</v>
      </c>
      <c r="D288" s="5" t="str">
        <f>IFERROR(__xludf.DUMMYFUNCTION("""COMPUTED_VALUE"""),"הוד השרון")</f>
        <v>הוד השרון</v>
      </c>
      <c r="E288" s="5" t="str">
        <f>IFERROR(__xludf.DUMMYFUNCTION("""COMPUTED_VALUE"""),"אישה")</f>
        <v>אישה</v>
      </c>
      <c r="F288" s="5" t="str">
        <f>IFERROR(__xludf.DUMMYFUNCTION("""COMPUTED_VALUE"""),"אזרחים")</f>
        <v>אזרחים</v>
      </c>
      <c r="G288" s="3"/>
      <c r="H288" s="3" t="str">
        <f>IFERROR(__xludf.DUMMYFUNCTION("""COMPUTED_VALUE"""),"07.10.2023")</f>
        <v>07.10.2023</v>
      </c>
      <c r="I288" s="4" t="str">
        <f>IFERROR(__xludf.DUMMYFUNCTION("""COMPUTED_VALUE"""),"פסטיבל נובה; בר צפוני")</f>
        <v>פסטיבל נובה; בר צפוני</v>
      </c>
      <c r="J288" s="4" t="str">
        <f>IFERROR(__xludf.DUMMYFUNCTION("""COMPUTED_VALUE"""),"אזרחים וכיתות כוננות")</f>
        <v>אזרחים וכיתות כוננות</v>
      </c>
      <c r="K288" s="5" t="str">
        <f>IFERROR(__xludf.DUMMYFUNCTION("""COMPUTED_VALUE"""),"פסטיבל נובה")</f>
        <v>פסטיבל נובה</v>
      </c>
      <c r="L288" s="3" t="str">
        <f>IFERROR(__xludf.DUMMYFUNCTION("""COMPUTED_VALUE"""),"Mai Itzhaki")</f>
        <v>Mai Itzhaki</v>
      </c>
      <c r="M288" s="5"/>
    </row>
    <row r="289">
      <c r="A289" s="3">
        <f>IFERROR(__xludf.DUMMYFUNCTION("""COMPUTED_VALUE"""),874.0)</f>
        <v>874</v>
      </c>
      <c r="B289" s="4" t="str">
        <f>IFERROR(__xludf.DUMMYFUNCTION("""COMPUTED_VALUE"""),"ישמרני (טמם) שירז שירן")</f>
        <v>ישמרני (טמם) שירז שירן</v>
      </c>
      <c r="C289" s="3">
        <f>IFERROR(__xludf.DUMMYFUNCTION("""COMPUTED_VALUE"""),38.0)</f>
        <v>38</v>
      </c>
      <c r="D289" s="5" t="str">
        <f>IFERROR(__xludf.DUMMYFUNCTION("""COMPUTED_VALUE"""),"חולון")</f>
        <v>חולון</v>
      </c>
      <c r="E289" s="5" t="str">
        <f>IFERROR(__xludf.DUMMYFUNCTION("""COMPUTED_VALUE"""),"אישה")</f>
        <v>אישה</v>
      </c>
      <c r="F289" s="5" t="str">
        <f>IFERROR(__xludf.DUMMYFUNCTION("""COMPUTED_VALUE"""),"אזרחים")</f>
        <v>אזרחים</v>
      </c>
      <c r="G289" s="3"/>
      <c r="H289" s="3" t="str">
        <f>IFERROR(__xludf.DUMMYFUNCTION("""COMPUTED_VALUE"""),"07.10.2023")</f>
        <v>07.10.2023</v>
      </c>
      <c r="I289" s="4" t="str">
        <f>IFERROR(__xludf.DUMMYFUNCTION("""COMPUTED_VALUE"""),"מיגונית מפלסים")</f>
        <v>מיגונית מפלסים</v>
      </c>
      <c r="J289" s="4" t="str">
        <f>IFERROR(__xludf.DUMMYFUNCTION("""COMPUTED_VALUE"""),"אזרחים וכיתות כוננות")</f>
        <v>אזרחים וכיתות כוננות</v>
      </c>
      <c r="K289" s="5" t="str">
        <f>IFERROR(__xludf.DUMMYFUNCTION("""COMPUTED_VALUE"""),"פסטיבל נובה")</f>
        <v>פסטיבל נובה</v>
      </c>
      <c r="L289" s="3" t="str">
        <f>IFERROR(__xludf.DUMMYFUNCTION("""COMPUTED_VALUE"""),"Shiraz Shiran Tamam")</f>
        <v>Shiraz Shiran Tamam</v>
      </c>
      <c r="M289" s="5"/>
    </row>
    <row r="290">
      <c r="A290" s="3">
        <f>IFERROR(__xludf.DUMMYFUNCTION("""COMPUTED_VALUE"""),1572.0)</f>
        <v>1572</v>
      </c>
      <c r="B290" s="4" t="str">
        <f>IFERROR(__xludf.DUMMYFUNCTION("""COMPUTED_VALUE"""),"כהן אברהם נריה")</f>
        <v>כהן אברהם נריה</v>
      </c>
      <c r="C290" s="3">
        <f>IFERROR(__xludf.DUMMYFUNCTION("""COMPUTED_VALUE"""),20.0)</f>
        <v>20</v>
      </c>
      <c r="D290" s="5" t="str">
        <f>IFERROR(__xludf.DUMMYFUNCTION("""COMPUTED_VALUE"""),"ירושלים")</f>
        <v>ירושלים</v>
      </c>
      <c r="E290" s="5" t="str">
        <f>IFERROR(__xludf.DUMMYFUNCTION("""COMPUTED_VALUE"""),"גבר")</f>
        <v>גבר</v>
      </c>
      <c r="F290" s="5" t="str">
        <f>IFERROR(__xludf.DUMMYFUNCTION("""COMPUTED_VALUE"""),"צה""ל")</f>
        <v>צה"ל</v>
      </c>
      <c r="G290" s="3" t="str">
        <f>IFERROR(__xludf.DUMMYFUNCTION("""COMPUTED_VALUE"""),"סמ״ר")</f>
        <v>סמ״ר</v>
      </c>
      <c r="H290" s="3" t="str">
        <f>IFERROR(__xludf.DUMMYFUNCTION("""COMPUTED_VALUE"""),"07.10.2023")</f>
        <v>07.10.2023</v>
      </c>
      <c r="I290" s="4" t="str">
        <f>IFERROR(__xludf.DUMMYFUNCTION("""COMPUTED_VALUE"""),"מיגונית בצומת גמה (דרום)")</f>
        <v>מיגונית בצומת גמה (דרום)</v>
      </c>
      <c r="J290" s="4" t="str">
        <f>IFERROR(__xludf.DUMMYFUNCTION("""COMPUTED_VALUE"""),"אזרחים וכיתות כוננות")</f>
        <v>אזרחים וכיתות כוננות</v>
      </c>
      <c r="K290" s="5" t="str">
        <f>IFERROR(__xludf.DUMMYFUNCTION("""COMPUTED_VALUE"""),"פסטיבל נובה")</f>
        <v>פסטיבל נובה</v>
      </c>
      <c r="L290" s="3" t="str">
        <f>IFERROR(__xludf.DUMMYFUNCTION("""COMPUTED_VALUE"""),"Avraham Neriya Cohen")</f>
        <v>Avraham Neriya Cohen</v>
      </c>
      <c r="M290" s="5"/>
    </row>
    <row r="291">
      <c r="A291" s="3">
        <f>IFERROR(__xludf.DUMMYFUNCTION("""COMPUTED_VALUE"""),917.0)</f>
        <v>917</v>
      </c>
      <c r="B291" s="4" t="str">
        <f>IFERROR(__xludf.DUMMYFUNCTION("""COMPUTED_VALUE"""),"כהן בן בנימין")</f>
        <v>כהן בן בנימין</v>
      </c>
      <c r="C291" s="3">
        <f>IFERROR(__xludf.DUMMYFUNCTION("""COMPUTED_VALUE"""),27.0)</f>
        <v>27</v>
      </c>
      <c r="D291" s="5" t="str">
        <f>IFERROR(__xludf.DUMMYFUNCTION("""COMPUTED_VALUE"""),"בית חשמונאי")</f>
        <v>בית חשמונאי</v>
      </c>
      <c r="E291" s="5" t="str">
        <f>IFERROR(__xludf.DUMMYFUNCTION("""COMPUTED_VALUE"""),"גבר")</f>
        <v>גבר</v>
      </c>
      <c r="F291" s="5" t="str">
        <f>IFERROR(__xludf.DUMMYFUNCTION("""COMPUTED_VALUE"""),"אזרחים")</f>
        <v>אזרחים</v>
      </c>
      <c r="G291" s="5"/>
      <c r="H291" s="3" t="str">
        <f>IFERROR(__xludf.DUMMYFUNCTION("""COMPUTED_VALUE"""),"07.10.2023")</f>
        <v>07.10.2023</v>
      </c>
      <c r="I291" s="4" t="str">
        <f>IFERROR(__xludf.DUMMYFUNCTION("""COMPUTED_VALUE"""),"פסטיבל נובה; גשר נחל גרר")</f>
        <v>פסטיבל נובה; גשר נחל גרר</v>
      </c>
      <c r="J291" s="4" t="str">
        <f>IFERROR(__xludf.DUMMYFUNCTION("""COMPUTED_VALUE"""),"אזרחים וכיתות כוננות")</f>
        <v>אזרחים וכיתות כוננות</v>
      </c>
      <c r="K291" s="5" t="str">
        <f>IFERROR(__xludf.DUMMYFUNCTION("""COMPUTED_VALUE"""),"פסטיבל נובה")</f>
        <v>פסטיבל נובה</v>
      </c>
      <c r="L291" s="3" t="str">
        <f>IFERROR(__xludf.DUMMYFUNCTION("""COMPUTED_VALUE"""),"Ben Binyamin Cohen")</f>
        <v>Ben Binyamin Cohen</v>
      </c>
      <c r="M291" s="5"/>
    </row>
    <row r="292">
      <c r="A292" s="3">
        <f>IFERROR(__xludf.DUMMYFUNCTION("""COMPUTED_VALUE"""),721.0)</f>
        <v>721</v>
      </c>
      <c r="B292" s="4" t="str">
        <f>IFERROR(__xludf.DUMMYFUNCTION("""COMPUTED_VALUE"""),"כהן דניאל")</f>
        <v>כהן דניאל</v>
      </c>
      <c r="C292" s="3">
        <f>IFERROR(__xludf.DUMMYFUNCTION("""COMPUTED_VALUE"""),23.0)</f>
        <v>23</v>
      </c>
      <c r="D292" s="5" t="str">
        <f>IFERROR(__xludf.DUMMYFUNCTION("""COMPUTED_VALUE"""),"נתניה")</f>
        <v>נתניה</v>
      </c>
      <c r="E292" s="5" t="str">
        <f>IFERROR(__xludf.DUMMYFUNCTION("""COMPUTED_VALUE"""),"אישה")</f>
        <v>אישה</v>
      </c>
      <c r="F292" s="5" t="str">
        <f>IFERROR(__xludf.DUMMYFUNCTION("""COMPUTED_VALUE"""),"אזרחים")</f>
        <v>אזרחים</v>
      </c>
      <c r="G292" s="5"/>
      <c r="H292" s="3" t="str">
        <f>IFERROR(__xludf.DUMMYFUNCTION("""COMPUTED_VALUE"""),"07.10.2023")</f>
        <v>07.10.2023</v>
      </c>
      <c r="I292" s="4" t="str">
        <f>IFERROR(__xludf.DUMMYFUNCTION("""COMPUTED_VALUE"""),"פסטיבל נובה")</f>
        <v>פסטיבל נובה</v>
      </c>
      <c r="J292" s="4" t="str">
        <f>IFERROR(__xludf.DUMMYFUNCTION("""COMPUTED_VALUE"""),"אזרחים וכיתות כוננות")</f>
        <v>אזרחים וכיתות כוננות</v>
      </c>
      <c r="K292" s="5" t="str">
        <f>IFERROR(__xludf.DUMMYFUNCTION("""COMPUTED_VALUE"""),"פסטיבל נובה")</f>
        <v>פסטיבל נובה</v>
      </c>
      <c r="L292" s="3" t="str">
        <f>IFERROR(__xludf.DUMMYFUNCTION("""COMPUTED_VALUE"""),"Daniel Cohen")</f>
        <v>Daniel Cohen</v>
      </c>
      <c r="M292" s="5"/>
    </row>
    <row r="293">
      <c r="A293" s="3">
        <f>IFERROR(__xludf.DUMMYFUNCTION("""COMPUTED_VALUE"""),903.0)</f>
        <v>903</v>
      </c>
      <c r="B293" s="4" t="str">
        <f>IFERROR(__xludf.DUMMYFUNCTION("""COMPUTED_VALUE"""),"כהן מגורי ליבי")</f>
        <v>כהן מגורי ליבי</v>
      </c>
      <c r="C293" s="3">
        <f>IFERROR(__xludf.DUMMYFUNCTION("""COMPUTED_VALUE"""),22.0)</f>
        <v>22</v>
      </c>
      <c r="D293" s="5" t="str">
        <f>IFERROR(__xludf.DUMMYFUNCTION("""COMPUTED_VALUE"""),"תל אביב")</f>
        <v>תל אביב</v>
      </c>
      <c r="E293" s="5" t="str">
        <f>IFERROR(__xludf.DUMMYFUNCTION("""COMPUTED_VALUE"""),"אישה")</f>
        <v>אישה</v>
      </c>
      <c r="F293" s="5" t="str">
        <f>IFERROR(__xludf.DUMMYFUNCTION("""COMPUTED_VALUE"""),"אזרחים")</f>
        <v>אזרחים</v>
      </c>
      <c r="G293" s="3"/>
      <c r="H293" s="3" t="str">
        <f>IFERROR(__xludf.DUMMYFUNCTION("""COMPUTED_VALUE"""),"07.10.2023")</f>
        <v>07.10.2023</v>
      </c>
      <c r="I293" s="4" t="str">
        <f>IFERROR(__xludf.DUMMYFUNCTION("""COMPUTED_VALUE"""),"מזרחית לכניסה לרעים")</f>
        <v>מזרחית לכניסה לרעים</v>
      </c>
      <c r="J293" s="4" t="str">
        <f>IFERROR(__xludf.DUMMYFUNCTION("""COMPUTED_VALUE"""),"אזרחים וכיתות כוננות")</f>
        <v>אזרחים וכיתות כוננות</v>
      </c>
      <c r="K293" s="5" t="str">
        <f>IFERROR(__xludf.DUMMYFUNCTION("""COMPUTED_VALUE"""),"פסטיבל נובה")</f>
        <v>פסטיבל נובה</v>
      </c>
      <c r="L293" s="3" t="str">
        <f>IFERROR(__xludf.DUMMYFUNCTION("""COMPUTED_VALUE"""),"Libby Cohen Maguri")</f>
        <v>Libby Cohen Maguri</v>
      </c>
      <c r="M293" s="5"/>
    </row>
    <row r="294">
      <c r="A294" s="3">
        <f>IFERROR(__xludf.DUMMYFUNCTION("""COMPUTED_VALUE"""),1483.0)</f>
        <v>1483</v>
      </c>
      <c r="B294" s="4" t="str">
        <f>IFERROR(__xludf.DUMMYFUNCTION("""COMPUTED_VALUE"""),"כהן מור")</f>
        <v>כהן מור</v>
      </c>
      <c r="C294" s="3">
        <f>IFERROR(__xludf.DUMMYFUNCTION("""COMPUTED_VALUE"""),24.0)</f>
        <v>24</v>
      </c>
      <c r="D294" s="5" t="str">
        <f>IFERROR(__xludf.DUMMYFUNCTION("""COMPUTED_VALUE"""),"אזור")</f>
        <v>אזור</v>
      </c>
      <c r="E294" s="5" t="str">
        <f>IFERROR(__xludf.DUMMYFUNCTION("""COMPUTED_VALUE"""),"גבר")</f>
        <v>גבר</v>
      </c>
      <c r="F294" s="5" t="str">
        <f>IFERROR(__xludf.DUMMYFUNCTION("""COMPUTED_VALUE"""),"אזרחים")</f>
        <v>אזרחים</v>
      </c>
      <c r="G294" s="3"/>
      <c r="H294" s="3" t="str">
        <f>IFERROR(__xludf.DUMMYFUNCTION("""COMPUTED_VALUE"""),"07.10.2023")</f>
        <v>07.10.2023</v>
      </c>
      <c r="I294" s="4" t="str">
        <f>IFERROR(__xludf.DUMMYFUNCTION("""COMPUTED_VALUE"""),"כביש שער הנגב מפלסים")</f>
        <v>כביש שער הנגב מפלסים</v>
      </c>
      <c r="J294" s="4" t="str">
        <f>IFERROR(__xludf.DUMMYFUNCTION("""COMPUTED_VALUE"""),"אזרחים וכיתות כוננות")</f>
        <v>אזרחים וכיתות כוננות</v>
      </c>
      <c r="K294" s="5" t="str">
        <f>IFERROR(__xludf.DUMMYFUNCTION("""COMPUTED_VALUE"""),"פסטיבל נובה")</f>
        <v>פסטיבל נובה</v>
      </c>
      <c r="L294" s="3" t="str">
        <f>IFERROR(__xludf.DUMMYFUNCTION("""COMPUTED_VALUE"""),"Mor Cohen")</f>
        <v>Mor Cohen</v>
      </c>
      <c r="M294" s="5"/>
    </row>
    <row r="295">
      <c r="A295" s="3">
        <f>IFERROR(__xludf.DUMMYFUNCTION("""COMPUTED_VALUE"""),1730.0)</f>
        <v>1730</v>
      </c>
      <c r="B295" s="4" t="str">
        <f>IFERROR(__xludf.DUMMYFUNCTION("""COMPUTED_VALUE"""),"כהן עמית חיים")</f>
        <v>כהן עמית חיים</v>
      </c>
      <c r="C295" s="3">
        <f>IFERROR(__xludf.DUMMYFUNCTION("""COMPUTED_VALUE"""),24.0)</f>
        <v>24</v>
      </c>
      <c r="D295" s="5" t="str">
        <f>IFERROR(__xludf.DUMMYFUNCTION("""COMPUTED_VALUE"""),"מיתר")</f>
        <v>מיתר</v>
      </c>
      <c r="E295" s="5" t="str">
        <f>IFERROR(__xludf.DUMMYFUNCTION("""COMPUTED_VALUE"""),"גבר")</f>
        <v>גבר</v>
      </c>
      <c r="F295" s="5" t="str">
        <f>IFERROR(__xludf.DUMMYFUNCTION("""COMPUTED_VALUE"""),"אזרחים")</f>
        <v>אזרחים</v>
      </c>
      <c r="G295" s="3"/>
      <c r="H295" s="3" t="str">
        <f>IFERROR(__xludf.DUMMYFUNCTION("""COMPUTED_VALUE"""),"07.10.2023")</f>
        <v>07.10.2023</v>
      </c>
      <c r="I295" s="4" t="str">
        <f>IFERROR(__xludf.DUMMYFUNCTION("""COMPUTED_VALUE"""),"מזרחית לרעים")</f>
        <v>מזרחית לרעים</v>
      </c>
      <c r="J295" s="4" t="str">
        <f>IFERROR(__xludf.DUMMYFUNCTION("""COMPUTED_VALUE"""),"אזרחים וכיתות כוננות")</f>
        <v>אזרחים וכיתות כוננות</v>
      </c>
      <c r="K295" s="5" t="str">
        <f>IFERROR(__xludf.DUMMYFUNCTION("""COMPUTED_VALUE"""),"פסטיבל נובה")</f>
        <v>פסטיבל נובה</v>
      </c>
      <c r="L295" s="3" t="str">
        <f>IFERROR(__xludf.DUMMYFUNCTION("""COMPUTED_VALUE"""),"Amit Cohen")</f>
        <v>Amit Cohen</v>
      </c>
      <c r="M295" s="5"/>
    </row>
    <row r="296">
      <c r="A296" s="3">
        <f>IFERROR(__xludf.DUMMYFUNCTION("""COMPUTED_VALUE"""),508.0)</f>
        <v>508</v>
      </c>
      <c r="B296" s="4" t="str">
        <f>IFERROR(__xludf.DUMMYFUNCTION("""COMPUTED_VALUE"""),"כפיר גלעד")</f>
        <v>כפיר גלעד</v>
      </c>
      <c r="C296" s="3">
        <f>IFERROR(__xludf.DUMMYFUNCTION("""COMPUTED_VALUE"""),48.0)</f>
        <v>48</v>
      </c>
      <c r="D296" s="5" t="str">
        <f>IFERROR(__xludf.DUMMYFUNCTION("""COMPUTED_VALUE"""),"נתיב העשרה")</f>
        <v>נתיב העשרה</v>
      </c>
      <c r="E296" s="5" t="str">
        <f>IFERROR(__xludf.DUMMYFUNCTION("""COMPUTED_VALUE"""),"גבר")</f>
        <v>גבר</v>
      </c>
      <c r="F296" s="5" t="str">
        <f>IFERROR(__xludf.DUMMYFUNCTION("""COMPUTED_VALUE"""),"אזרחים")</f>
        <v>אזרחים</v>
      </c>
      <c r="G296" s="3"/>
      <c r="H296" s="3" t="str">
        <f>IFERROR(__xludf.DUMMYFUNCTION("""COMPUTED_VALUE"""),"07.10.2023")</f>
        <v>07.10.2023</v>
      </c>
      <c r="I296" s="4" t="str">
        <f>IFERROR(__xludf.DUMMYFUNCTION("""COMPUTED_VALUE"""),"נתיב העשרה")</f>
        <v>נתיב העשרה</v>
      </c>
      <c r="J296" s="4" t="str">
        <f>IFERROR(__xludf.DUMMYFUNCTION("""COMPUTED_VALUE"""),"אזרחים וכיתות כוננות")</f>
        <v>אזרחים וכיתות כוננות</v>
      </c>
      <c r="K296" s="5"/>
      <c r="L296" s="3" t="str">
        <f>IFERROR(__xludf.DUMMYFUNCTION("""COMPUTED_VALUE"""),"Gilad Kfir")</f>
        <v>Gilad Kfir</v>
      </c>
      <c r="M296" s="5"/>
    </row>
    <row r="297">
      <c r="A297" s="3">
        <f>IFERROR(__xludf.DUMMYFUNCTION("""COMPUTED_VALUE"""),1624.0)</f>
        <v>1624</v>
      </c>
      <c r="B297" s="4" t="str">
        <f>IFERROR(__xludf.DUMMYFUNCTION("""COMPUTED_VALUE"""),"כץ טל")</f>
        <v>כץ טל</v>
      </c>
      <c r="C297" s="3">
        <f>IFERROR(__xludf.DUMMYFUNCTION("""COMPUTED_VALUE"""),37.0)</f>
        <v>37</v>
      </c>
      <c r="D297" s="5" t="str">
        <f>IFERROR(__xludf.DUMMYFUNCTION("""COMPUTED_VALUE"""),"מעלות תרשיחא")</f>
        <v>מעלות תרשיחא</v>
      </c>
      <c r="E297" s="5" t="str">
        <f>IFERROR(__xludf.DUMMYFUNCTION("""COMPUTED_VALUE"""),"גבר")</f>
        <v>גבר</v>
      </c>
      <c r="F297" s="5" t="str">
        <f>IFERROR(__xludf.DUMMYFUNCTION("""COMPUTED_VALUE"""),"אזרחים")</f>
        <v>אזרחים</v>
      </c>
      <c r="G297" s="3"/>
      <c r="H297" s="3" t="str">
        <f>IFERROR(__xludf.DUMMYFUNCTION("""COMPUTED_VALUE"""),"07.10.2023")</f>
        <v>07.10.2023</v>
      </c>
      <c r="I297" s="4" t="str">
        <f>IFERROR(__xludf.DUMMYFUNCTION("""COMPUTED_VALUE"""),"בארי; ארוע בני ערובה")</f>
        <v>בארי; ארוע בני ערובה</v>
      </c>
      <c r="J297" s="4" t="str">
        <f>IFERROR(__xludf.DUMMYFUNCTION("""COMPUTED_VALUE"""),"אזרחים וכיתות כוננות")</f>
        <v>אזרחים וכיתות כוננות</v>
      </c>
      <c r="K297" s="5" t="str">
        <f>IFERROR(__xludf.DUMMYFUNCTION("""COMPUTED_VALUE"""),"פסטיבל נובה")</f>
        <v>פסטיבל נובה</v>
      </c>
      <c r="L297" s="3" t="str">
        <f>IFERROR(__xludf.DUMMYFUNCTION("""COMPUTED_VALUE"""),"Tal Katz")</f>
        <v>Tal Katz</v>
      </c>
      <c r="M297" s="5"/>
    </row>
    <row r="298">
      <c r="A298" s="3">
        <f>IFERROR(__xludf.DUMMYFUNCTION("""COMPUTED_VALUE"""),1520.0)</f>
        <v>1520</v>
      </c>
      <c r="B298" s="4" t="str">
        <f>IFERROR(__xludf.DUMMYFUNCTION("""COMPUTED_VALUE"""),"לביא עומרי יעקב")</f>
        <v>לביא עומרי יעקב</v>
      </c>
      <c r="C298" s="3">
        <f>IFERROR(__xludf.DUMMYFUNCTION("""COMPUTED_VALUE"""),25.0)</f>
        <v>25</v>
      </c>
      <c r="D298" s="5" t="str">
        <f>IFERROR(__xludf.DUMMYFUNCTION("""COMPUTED_VALUE"""),"רמת גן")</f>
        <v>רמת גן</v>
      </c>
      <c r="E298" s="5" t="str">
        <f>IFERROR(__xludf.DUMMYFUNCTION("""COMPUTED_VALUE"""),"גבר")</f>
        <v>גבר</v>
      </c>
      <c r="F298" s="5" t="str">
        <f>IFERROR(__xludf.DUMMYFUNCTION("""COMPUTED_VALUE"""),"אזרחים")</f>
        <v>אזרחים</v>
      </c>
      <c r="G298" s="3"/>
      <c r="H298" s="3" t="str">
        <f>IFERROR(__xludf.DUMMYFUNCTION("""COMPUTED_VALUE"""),"07.10.2023")</f>
        <v>07.10.2023</v>
      </c>
      <c r="I298" s="4" t="str">
        <f>IFERROR(__xludf.DUMMYFUNCTION("""COMPUTED_VALUE"""),"סמוך למיגונית בצומת גמה (דרום)")</f>
        <v>סמוך למיגונית בצומת גמה (דרום)</v>
      </c>
      <c r="J298" s="4" t="str">
        <f>IFERROR(__xludf.DUMMYFUNCTION("""COMPUTED_VALUE"""),"אזרחים וכיתות כוננות")</f>
        <v>אזרחים וכיתות כוננות</v>
      </c>
      <c r="K298" s="5" t="str">
        <f>IFERROR(__xludf.DUMMYFUNCTION("""COMPUTED_VALUE"""),"פסטיבל נובה")</f>
        <v>פסטיבל נובה</v>
      </c>
      <c r="L298" s="3" t="str">
        <f>IFERROR(__xludf.DUMMYFUNCTION("""COMPUTED_VALUE"""),"Omri Lavi")</f>
        <v>Omri Lavi</v>
      </c>
      <c r="M298" s="5"/>
    </row>
    <row r="299">
      <c r="A299" s="3">
        <f>IFERROR(__xludf.DUMMYFUNCTION("""COMPUTED_VALUE"""),788.0)</f>
        <v>788</v>
      </c>
      <c r="B299" s="4" t="str">
        <f>IFERROR(__xludf.DUMMYFUNCTION("""COMPUTED_VALUE"""),"להב עמית")</f>
        <v>להב עמית</v>
      </c>
      <c r="C299" s="3">
        <f>IFERROR(__xludf.DUMMYFUNCTION("""COMPUTED_VALUE"""),23.0)</f>
        <v>23</v>
      </c>
      <c r="D299" s="5" t="str">
        <f>IFERROR(__xludf.DUMMYFUNCTION("""COMPUTED_VALUE"""),"ראשון לציון")</f>
        <v>ראשון לציון</v>
      </c>
      <c r="E299" s="5" t="str">
        <f>IFERROR(__xludf.DUMMYFUNCTION("""COMPUTED_VALUE"""),"אישה")</f>
        <v>אישה</v>
      </c>
      <c r="F299" s="5" t="str">
        <f>IFERROR(__xludf.DUMMYFUNCTION("""COMPUTED_VALUE"""),"אזרחים")</f>
        <v>אזרחים</v>
      </c>
      <c r="G299" s="3"/>
      <c r="H299" s="3" t="str">
        <f>IFERROR(__xludf.DUMMYFUNCTION("""COMPUTED_VALUE"""),"07.10.2023")</f>
        <v>07.10.2023</v>
      </c>
      <c r="I299" s="4" t="str">
        <f>IFERROR(__xludf.DUMMYFUNCTION("""COMPUTED_VALUE"""),"פסטיבל נובה")</f>
        <v>פסטיבל נובה</v>
      </c>
      <c r="J299" s="4" t="str">
        <f>IFERROR(__xludf.DUMMYFUNCTION("""COMPUTED_VALUE"""),"אזרחים וכיתות כוננות")</f>
        <v>אזרחים וכיתות כוננות</v>
      </c>
      <c r="K299" s="5" t="str">
        <f>IFERROR(__xludf.DUMMYFUNCTION("""COMPUTED_VALUE"""),"פסטיבל נובה")</f>
        <v>פסטיבל נובה</v>
      </c>
      <c r="L299" s="3" t="str">
        <f>IFERROR(__xludf.DUMMYFUNCTION("""COMPUTED_VALUE"""),"Amit Lahav")</f>
        <v>Amit Lahav</v>
      </c>
      <c r="M299" s="5"/>
    </row>
    <row r="300">
      <c r="A300" s="3">
        <f>IFERROR(__xludf.DUMMYFUNCTION("""COMPUTED_VALUE"""),791.0)</f>
        <v>791</v>
      </c>
      <c r="B300" s="4" t="str">
        <f>IFERROR(__xludf.DUMMYFUNCTION("""COMPUTED_VALUE"""),"לוי גיא גבריאל")</f>
        <v>לוי גיא גבריאל</v>
      </c>
      <c r="C300" s="3">
        <f>IFERROR(__xludf.DUMMYFUNCTION("""COMPUTED_VALUE"""),24.0)</f>
        <v>24</v>
      </c>
      <c r="D300" s="5" t="str">
        <f>IFERROR(__xludf.DUMMYFUNCTION("""COMPUTED_VALUE"""),"נווה ימין")</f>
        <v>נווה ימין</v>
      </c>
      <c r="E300" s="5" t="str">
        <f>IFERROR(__xludf.DUMMYFUNCTION("""COMPUTED_VALUE"""),"גבר")</f>
        <v>גבר</v>
      </c>
      <c r="F300" s="5" t="str">
        <f>IFERROR(__xludf.DUMMYFUNCTION("""COMPUTED_VALUE"""),"אזרחים")</f>
        <v>אזרחים</v>
      </c>
      <c r="G300" s="3"/>
      <c r="H300" s="3" t="str">
        <f>IFERROR(__xludf.DUMMYFUNCTION("""COMPUTED_VALUE"""),"07.10.2023")</f>
        <v>07.10.2023</v>
      </c>
      <c r="I300" s="4" t="str">
        <f>IFERROR(__xludf.DUMMYFUNCTION("""COMPUTED_VALUE"""),"צומת ניר יצחק")</f>
        <v>צומת ניר יצחק</v>
      </c>
      <c r="J300" s="4" t="str">
        <f>IFERROR(__xludf.DUMMYFUNCTION("""COMPUTED_VALUE"""),"אזרחים וכיתות כוננות")</f>
        <v>אזרחים וכיתות כוננות</v>
      </c>
      <c r="K300" s="5" t="str">
        <f>IFERROR(__xludf.DUMMYFUNCTION("""COMPUTED_VALUE"""),"פסטיבל נובה")</f>
        <v>פסטיבל נובה</v>
      </c>
      <c r="L300" s="3" t="str">
        <f>IFERROR(__xludf.DUMMYFUNCTION("""COMPUTED_VALUE"""),"Guy Gabriel Levy")</f>
        <v>Guy Gabriel Levy</v>
      </c>
      <c r="M300" s="5"/>
    </row>
    <row r="301">
      <c r="A301" s="3">
        <f>IFERROR(__xludf.DUMMYFUNCTION("""COMPUTED_VALUE"""),792.0)</f>
        <v>792</v>
      </c>
      <c r="B301" s="4" t="str">
        <f>IFERROR(__xludf.DUMMYFUNCTION("""COMPUTED_VALUE"""),"לוי יצחק")</f>
        <v>לוי יצחק</v>
      </c>
      <c r="C301" s="3">
        <f>IFERROR(__xludf.DUMMYFUNCTION("""COMPUTED_VALUE"""),27.0)</f>
        <v>27</v>
      </c>
      <c r="D301" s="5" t="str">
        <f>IFERROR(__xludf.DUMMYFUNCTION("""COMPUTED_VALUE"""),"בית שמש")</f>
        <v>בית שמש</v>
      </c>
      <c r="E301" s="5" t="str">
        <f>IFERROR(__xludf.DUMMYFUNCTION("""COMPUTED_VALUE"""),"גבר")</f>
        <v>גבר</v>
      </c>
      <c r="F301" s="5" t="str">
        <f>IFERROR(__xludf.DUMMYFUNCTION("""COMPUTED_VALUE"""),"אזרחים")</f>
        <v>אזרחים</v>
      </c>
      <c r="G301" s="3"/>
      <c r="H301" s="3" t="str">
        <f>IFERROR(__xludf.DUMMYFUNCTION("""COMPUTED_VALUE"""),"07.10.2023")</f>
        <v>07.10.2023</v>
      </c>
      <c r="I301" s="4" t="str">
        <f>IFERROR(__xludf.DUMMYFUNCTION("""COMPUTED_VALUE"""),"בין נובה לרעים")</f>
        <v>בין נובה לרעים</v>
      </c>
      <c r="J301" s="4" t="str">
        <f>IFERROR(__xludf.DUMMYFUNCTION("""COMPUTED_VALUE"""),"אזרחים וכיתות כוננות")</f>
        <v>אזרחים וכיתות כוננות</v>
      </c>
      <c r="K301" s="5" t="str">
        <f>IFERROR(__xludf.DUMMYFUNCTION("""COMPUTED_VALUE"""),"פסטיבל נובה")</f>
        <v>פסטיבל נובה</v>
      </c>
      <c r="L301" s="3" t="str">
        <f>IFERROR(__xludf.DUMMYFUNCTION("""COMPUTED_VALUE"""),"Itzhak Levy")</f>
        <v>Itzhak Levy</v>
      </c>
      <c r="M301" s="5"/>
    </row>
    <row r="302">
      <c r="A302" s="3">
        <f>IFERROR(__xludf.DUMMYFUNCTION("""COMPUTED_VALUE"""),1301.0)</f>
        <v>1301</v>
      </c>
      <c r="B302" s="4" t="str">
        <f>IFERROR(__xludf.DUMMYFUNCTION("""COMPUTED_VALUE"""),"לוי ליבנת")</f>
        <v>לוי ליבנת</v>
      </c>
      <c r="C302" s="3">
        <f>IFERROR(__xludf.DUMMYFUNCTION("""COMPUTED_VALUE"""),27.0)</f>
        <v>27</v>
      </c>
      <c r="D302" s="5" t="str">
        <f>IFERROR(__xludf.DUMMYFUNCTION("""COMPUTED_VALUE"""),"קריית אונו")</f>
        <v>קריית אונו</v>
      </c>
      <c r="E302" s="5" t="str">
        <f>IFERROR(__xludf.DUMMYFUNCTION("""COMPUTED_VALUE"""),"אישה")</f>
        <v>אישה</v>
      </c>
      <c r="F302" s="5" t="str">
        <f>IFERROR(__xludf.DUMMYFUNCTION("""COMPUTED_VALUE"""),"אזרחים")</f>
        <v>אזרחים</v>
      </c>
      <c r="G302" s="3"/>
      <c r="H302" s="3" t="str">
        <f>IFERROR(__xludf.DUMMYFUNCTION("""COMPUTED_VALUE"""),"07.10.2023")</f>
        <v>07.10.2023</v>
      </c>
      <c r="I302" s="4" t="str">
        <f>IFERROR(__xludf.DUMMYFUNCTION("""COMPUTED_VALUE"""),"מיגונית בכניסה לרעים (מזרח)")</f>
        <v>מיגונית בכניסה לרעים (מזרח)</v>
      </c>
      <c r="J302" s="4" t="str">
        <f>IFERROR(__xludf.DUMMYFUNCTION("""COMPUTED_VALUE"""),"אזרחים וכיתות כוננות")</f>
        <v>אזרחים וכיתות כוננות</v>
      </c>
      <c r="K302" s="5" t="str">
        <f>IFERROR(__xludf.DUMMYFUNCTION("""COMPUTED_VALUE"""),"פסטיבל נובה")</f>
        <v>פסטיבל נובה</v>
      </c>
      <c r="L302" s="3" t="str">
        <f>IFERROR(__xludf.DUMMYFUNCTION("""COMPUTED_VALUE"""),"Livnat Levy")</f>
        <v>Livnat Levy</v>
      </c>
      <c r="M302" s="5"/>
    </row>
    <row r="303">
      <c r="A303" s="3">
        <f>IFERROR(__xludf.DUMMYFUNCTION("""COMPUTED_VALUE"""),793.0)</f>
        <v>793</v>
      </c>
      <c r="B303" s="4" t="str">
        <f>IFERROR(__xludf.DUMMYFUNCTION("""COMPUTED_VALUE"""),"לוי לידור יוסף")</f>
        <v>לוי לידור יוסף</v>
      </c>
      <c r="C303" s="3">
        <f>IFERROR(__xludf.DUMMYFUNCTION("""COMPUTED_VALUE"""),28.0)</f>
        <v>28</v>
      </c>
      <c r="D303" s="5" t="str">
        <f>IFERROR(__xludf.DUMMYFUNCTION("""COMPUTED_VALUE"""),"פרדסיה")</f>
        <v>פרדסיה</v>
      </c>
      <c r="E303" s="5" t="str">
        <f>IFERROR(__xludf.DUMMYFUNCTION("""COMPUTED_VALUE"""),"גבר")</f>
        <v>גבר</v>
      </c>
      <c r="F303" s="5" t="str">
        <f>IFERROR(__xludf.DUMMYFUNCTION("""COMPUTED_VALUE"""),"אזרחים")</f>
        <v>אזרחים</v>
      </c>
      <c r="G303" s="3"/>
      <c r="H303" s="3" t="str">
        <f>IFERROR(__xludf.DUMMYFUNCTION("""COMPUTED_VALUE"""),"07.10.2023")</f>
        <v>07.10.2023</v>
      </c>
      <c r="I303" s="4" t="str">
        <f>IFERROR(__xludf.DUMMYFUNCTION("""COMPUTED_VALUE"""),"מיגונית בכניסה לרעים (מערב)")</f>
        <v>מיגונית בכניסה לרעים (מערב)</v>
      </c>
      <c r="J303" s="2" t="str">
        <f>IFERROR(__xludf.DUMMYFUNCTION("""COMPUTED_VALUE"""),"אזרחים וכיתות כוננות")</f>
        <v>אזרחים וכיתות כוננות</v>
      </c>
      <c r="K303" s="5" t="str">
        <f>IFERROR(__xludf.DUMMYFUNCTION("""COMPUTED_VALUE"""),"פסטיבל נובה")</f>
        <v>פסטיבל נובה</v>
      </c>
      <c r="L303" s="3" t="str">
        <f>IFERROR(__xludf.DUMMYFUNCTION("""COMPUTED_VALUE"""),"Lidor Levy")</f>
        <v>Lidor Levy</v>
      </c>
      <c r="M303" s="5"/>
    </row>
    <row r="304">
      <c r="A304" s="3">
        <f>IFERROR(__xludf.DUMMYFUNCTION("""COMPUTED_VALUE"""),794.0)</f>
        <v>794</v>
      </c>
      <c r="B304" s="4" t="str">
        <f>IFERROR(__xludf.DUMMYFUNCTION("""COMPUTED_VALUE"""),"לוי נאור")</f>
        <v>לוי נאור</v>
      </c>
      <c r="C304" s="3">
        <f>IFERROR(__xludf.DUMMYFUNCTION("""COMPUTED_VALUE"""),24.0)</f>
        <v>24</v>
      </c>
      <c r="D304" s="5" t="str">
        <f>IFERROR(__xludf.DUMMYFUNCTION("""COMPUTED_VALUE"""),"חולון")</f>
        <v>חולון</v>
      </c>
      <c r="E304" s="5" t="str">
        <f>IFERROR(__xludf.DUMMYFUNCTION("""COMPUTED_VALUE"""),"גבר")</f>
        <v>גבר</v>
      </c>
      <c r="F304" s="5" t="str">
        <f>IFERROR(__xludf.DUMMYFUNCTION("""COMPUTED_VALUE"""),"אזרחים")</f>
        <v>אזרחים</v>
      </c>
      <c r="G304" s="3"/>
      <c r="H304" s="3" t="str">
        <f>IFERROR(__xludf.DUMMYFUNCTION("""COMPUTED_VALUE"""),"07.10.2023")</f>
        <v>07.10.2023</v>
      </c>
      <c r="I304" s="4" t="str">
        <f>IFERROR(__xludf.DUMMYFUNCTION("""COMPUTED_VALUE"""),"כביש שער הנגב מפלסים")</f>
        <v>כביש שער הנגב מפלסים</v>
      </c>
      <c r="J304" s="4" t="str">
        <f>IFERROR(__xludf.DUMMYFUNCTION("""COMPUTED_VALUE"""),"אזרחים וכיתות כוננות")</f>
        <v>אזרחים וכיתות כוננות</v>
      </c>
      <c r="K304" s="5" t="str">
        <f>IFERROR(__xludf.DUMMYFUNCTION("""COMPUTED_VALUE"""),"פסטיבל נובה")</f>
        <v>פסטיבל נובה</v>
      </c>
      <c r="L304" s="3" t="str">
        <f>IFERROR(__xludf.DUMMYFUNCTION("""COMPUTED_VALUE"""),"Naor Levy")</f>
        <v>Naor Levy</v>
      </c>
      <c r="M304" s="5"/>
    </row>
    <row r="305">
      <c r="A305" s="3">
        <f>IFERROR(__xludf.DUMMYFUNCTION("""COMPUTED_VALUE"""),795.0)</f>
        <v>795</v>
      </c>
      <c r="B305" s="4" t="str">
        <f>IFERROR(__xludf.DUMMYFUNCTION("""COMPUTED_VALUE"""),"לוי ניסים (מעיין)")</f>
        <v>לוי ניסים (מעיין)</v>
      </c>
      <c r="C305" s="3">
        <f>IFERROR(__xludf.DUMMYFUNCTION("""COMPUTED_VALUE"""),30.0)</f>
        <v>30</v>
      </c>
      <c r="D305" s="5" t="str">
        <f>IFERROR(__xludf.DUMMYFUNCTION("""COMPUTED_VALUE"""),"רחובות")</f>
        <v>רחובות</v>
      </c>
      <c r="E305" s="5" t="str">
        <f>IFERROR(__xludf.DUMMYFUNCTION("""COMPUTED_VALUE"""),"גבר")</f>
        <v>גבר</v>
      </c>
      <c r="F305" s="5" t="str">
        <f>IFERROR(__xludf.DUMMYFUNCTION("""COMPUTED_VALUE"""),"אזרחים")</f>
        <v>אזרחים</v>
      </c>
      <c r="G305" s="3"/>
      <c r="H305" s="3" t="str">
        <f>IFERROR(__xludf.DUMMYFUNCTION("""COMPUTED_VALUE"""),"07.10.2023")</f>
        <v>07.10.2023</v>
      </c>
      <c r="I305" s="4" t="str">
        <f>IFERROR(__xludf.DUMMYFUNCTION("""COMPUTED_VALUE"""),"סמוך למפלסים")</f>
        <v>סמוך למפלסים</v>
      </c>
      <c r="J305" s="4" t="str">
        <f>IFERROR(__xludf.DUMMYFUNCTION("""COMPUTED_VALUE"""),"אזרחים וכיתות כוננות")</f>
        <v>אזרחים וכיתות כוננות</v>
      </c>
      <c r="K305" s="5" t="str">
        <f>IFERROR(__xludf.DUMMYFUNCTION("""COMPUTED_VALUE"""),"פסטיבל נובה")</f>
        <v>פסטיבל נובה</v>
      </c>
      <c r="L305" s="3" t="str">
        <f>IFERROR(__xludf.DUMMYFUNCTION("""COMPUTED_VALUE"""),"Nissim Levy")</f>
        <v>Nissim Levy</v>
      </c>
      <c r="M305" s="5"/>
    </row>
    <row r="306">
      <c r="A306" s="3">
        <f>IFERROR(__xludf.DUMMYFUNCTION("""COMPUTED_VALUE"""),797.0)</f>
        <v>797</v>
      </c>
      <c r="B306" s="4" t="str">
        <f>IFERROR(__xludf.DUMMYFUNCTION("""COMPUTED_VALUE"""),"לוי סיגל")</f>
        <v>לוי סיגל</v>
      </c>
      <c r="C306" s="3">
        <f>IFERROR(__xludf.DUMMYFUNCTION("""COMPUTED_VALUE"""),31.0)</f>
        <v>31</v>
      </c>
      <c r="D306" s="5" t="str">
        <f>IFERROR(__xludf.DUMMYFUNCTION("""COMPUTED_VALUE"""),"נתניה")</f>
        <v>נתניה</v>
      </c>
      <c r="E306" s="5" t="str">
        <f>IFERROR(__xludf.DUMMYFUNCTION("""COMPUTED_VALUE"""),"אישה")</f>
        <v>אישה</v>
      </c>
      <c r="F306" s="5" t="str">
        <f>IFERROR(__xludf.DUMMYFUNCTION("""COMPUTED_VALUE"""),"אזרחים")</f>
        <v>אזרחים</v>
      </c>
      <c r="G306" s="3"/>
      <c r="H306" s="3" t="str">
        <f>IFERROR(__xludf.DUMMYFUNCTION("""COMPUTED_VALUE"""),"07.10.2023")</f>
        <v>07.10.2023</v>
      </c>
      <c r="I306" s="4" t="str">
        <f>IFERROR(__xludf.DUMMYFUNCTION("""COMPUTED_VALUE"""),"פסטיבל נובה")</f>
        <v>פסטיבל נובה</v>
      </c>
      <c r="J306" s="4" t="str">
        <f>IFERROR(__xludf.DUMMYFUNCTION("""COMPUTED_VALUE"""),"אזרחים וכיתות כוננות")</f>
        <v>אזרחים וכיתות כוננות</v>
      </c>
      <c r="K306" s="5" t="str">
        <f>IFERROR(__xludf.DUMMYFUNCTION("""COMPUTED_VALUE"""),"פסטיבל נובה")</f>
        <v>פסטיבל נובה</v>
      </c>
      <c r="L306" s="3" t="str">
        <f>IFERROR(__xludf.DUMMYFUNCTION("""COMPUTED_VALUE"""),"Sigal Levy")</f>
        <v>Sigal Levy</v>
      </c>
      <c r="M306" s="5"/>
    </row>
    <row r="307">
      <c r="A307" s="3">
        <f>IFERROR(__xludf.DUMMYFUNCTION("""COMPUTED_VALUE"""),905.0)</f>
        <v>905</v>
      </c>
      <c r="B307" s="4" t="str">
        <f>IFERROR(__xludf.DUMMYFUNCTION("""COMPUTED_VALUE"""),"לוי עמית")</f>
        <v>לוי עמית</v>
      </c>
      <c r="C307" s="3">
        <f>IFERROR(__xludf.DUMMYFUNCTION("""COMPUTED_VALUE"""),22.0)</f>
        <v>22</v>
      </c>
      <c r="D307" s="5" t="str">
        <f>IFERROR(__xludf.DUMMYFUNCTION("""COMPUTED_VALUE"""),"חולון")</f>
        <v>חולון</v>
      </c>
      <c r="E307" s="5" t="str">
        <f>IFERROR(__xludf.DUMMYFUNCTION("""COMPUTED_VALUE"""),"אישה")</f>
        <v>אישה</v>
      </c>
      <c r="F307" s="5" t="str">
        <f>IFERROR(__xludf.DUMMYFUNCTION("""COMPUTED_VALUE"""),"אזרחים")</f>
        <v>אזרחים</v>
      </c>
      <c r="G307" s="3"/>
      <c r="H307" s="3" t="str">
        <f>IFERROR(__xludf.DUMMYFUNCTION("""COMPUTED_VALUE"""),"07.10.2023")</f>
        <v>07.10.2023</v>
      </c>
      <c r="I307" s="4" t="str">
        <f>IFERROR(__xludf.DUMMYFUNCTION("""COMPUTED_VALUE"""),"פסטיבל נובה; מכולות צהובות")</f>
        <v>פסטיבל נובה; מכולות צהובות</v>
      </c>
      <c r="J307" s="4" t="str">
        <f>IFERROR(__xludf.DUMMYFUNCTION("""COMPUTED_VALUE"""),"אזרחים וכיתות כוננות")</f>
        <v>אזרחים וכיתות כוננות</v>
      </c>
      <c r="K307" s="5" t="str">
        <f>IFERROR(__xludf.DUMMYFUNCTION("""COMPUTED_VALUE"""),"פסטיבל נובה")</f>
        <v>פסטיבל נובה</v>
      </c>
      <c r="L307" s="3" t="str">
        <f>IFERROR(__xludf.DUMMYFUNCTION("""COMPUTED_VALUE"""),"Amit Levi")</f>
        <v>Amit Levi</v>
      </c>
      <c r="M307" s="5"/>
    </row>
    <row r="308">
      <c r="A308" s="3">
        <f>IFERROR(__xludf.DUMMYFUNCTION("""COMPUTED_VALUE"""),911.0)</f>
        <v>911</v>
      </c>
      <c r="B308" s="4" t="str">
        <f>IFERROR(__xludf.DUMMYFUNCTION("""COMPUTED_VALUE"""),"לוי רותם רחל")</f>
        <v>לוי רותם רחל</v>
      </c>
      <c r="C308" s="3">
        <f>IFERROR(__xludf.DUMMYFUNCTION("""COMPUTED_VALUE"""),22.0)</f>
        <v>22</v>
      </c>
      <c r="D308" s="5" t="str">
        <f>IFERROR(__xludf.DUMMYFUNCTION("""COMPUTED_VALUE"""),"יקנעם עילית")</f>
        <v>יקנעם עילית</v>
      </c>
      <c r="E308" s="5" t="str">
        <f>IFERROR(__xludf.DUMMYFUNCTION("""COMPUTED_VALUE"""),"אישה")</f>
        <v>אישה</v>
      </c>
      <c r="F308" s="5" t="str">
        <f>IFERROR(__xludf.DUMMYFUNCTION("""COMPUTED_VALUE"""),"אזרחים")</f>
        <v>אזרחים</v>
      </c>
      <c r="G308" s="3"/>
      <c r="H308" s="3" t="str">
        <f>IFERROR(__xludf.DUMMYFUNCTION("""COMPUTED_VALUE"""),"07.10.2023")</f>
        <v>07.10.2023</v>
      </c>
      <c r="I308" s="4" t="str">
        <f>IFERROR(__xludf.DUMMYFUNCTION("""COMPUTED_VALUE"""),"פסטיבל נובה")</f>
        <v>פסטיבל נובה</v>
      </c>
      <c r="J308" s="4" t="str">
        <f>IFERROR(__xludf.DUMMYFUNCTION("""COMPUTED_VALUE"""),"אזרחים וכיתות כוננות")</f>
        <v>אזרחים וכיתות כוננות</v>
      </c>
      <c r="K308" s="5" t="str">
        <f>IFERROR(__xludf.DUMMYFUNCTION("""COMPUTED_VALUE"""),"פסטיבל נובה")</f>
        <v>פסטיבל נובה</v>
      </c>
      <c r="L308" s="3" t="str">
        <f>IFERROR(__xludf.DUMMYFUNCTION("""COMPUTED_VALUE"""),"Rotem Rachel Levi")</f>
        <v>Rotem Rachel Levi</v>
      </c>
      <c r="M308" s="5"/>
    </row>
    <row r="309">
      <c r="A309" s="3">
        <f>IFERROR(__xludf.DUMMYFUNCTION("""COMPUTED_VALUE"""),790.0)</f>
        <v>790</v>
      </c>
      <c r="B309" s="4" t="str">
        <f>IFERROR(__xludf.DUMMYFUNCTION("""COMPUTED_VALUE"""),"לוין אליסיה")</f>
        <v>לוין אליסיה</v>
      </c>
      <c r="C309" s="3">
        <f>IFERROR(__xludf.DUMMYFUNCTION("""COMPUTED_VALUE"""),34.0)</f>
        <v>34</v>
      </c>
      <c r="D309" s="5" t="str">
        <f>IFERROR(__xludf.DUMMYFUNCTION("""COMPUTED_VALUE"""),"כרמיאל")</f>
        <v>כרמיאל</v>
      </c>
      <c r="E309" s="5" t="str">
        <f>IFERROR(__xludf.DUMMYFUNCTION("""COMPUTED_VALUE"""),"אישה")</f>
        <v>אישה</v>
      </c>
      <c r="F309" s="5" t="str">
        <f>IFERROR(__xludf.DUMMYFUNCTION("""COMPUTED_VALUE"""),"אזרחים")</f>
        <v>אזרחים</v>
      </c>
      <c r="G309" s="3"/>
      <c r="H309" s="3" t="str">
        <f>IFERROR(__xludf.DUMMYFUNCTION("""COMPUTED_VALUE"""),"07.10.2023")</f>
        <v>07.10.2023</v>
      </c>
      <c r="I309" s="4" t="str">
        <f>IFERROR(__xludf.DUMMYFUNCTION("""COMPUTED_VALUE"""),"סמוך למפלסים")</f>
        <v>סמוך למפלסים</v>
      </c>
      <c r="J309" s="2" t="str">
        <f>IFERROR(__xludf.DUMMYFUNCTION("""COMPUTED_VALUE"""),"אזרחים וכיתות כוננות")</f>
        <v>אזרחים וכיתות כוננות</v>
      </c>
      <c r="K309" s="5" t="str">
        <f>IFERROR(__xludf.DUMMYFUNCTION("""COMPUTED_VALUE"""),"פסטיבל נובה")</f>
        <v>פסטיבל נובה</v>
      </c>
      <c r="L309" s="3" t="str">
        <f>IFERROR(__xludf.DUMMYFUNCTION("""COMPUTED_VALUE"""),"Alisia Levin")</f>
        <v>Alisia Levin</v>
      </c>
      <c r="M309" s="5"/>
    </row>
    <row r="310">
      <c r="A310" s="3">
        <f>IFERROR(__xludf.DUMMYFUNCTION("""COMPUTED_VALUE"""),1505.0)</f>
        <v>1505</v>
      </c>
      <c r="B310" s="4" t="str">
        <f>IFERROR(__xludf.DUMMYFUNCTION("""COMPUTED_VALUE"""),"ליאור מתן מרדכי")</f>
        <v>ליאור מתן מרדכי</v>
      </c>
      <c r="C310" s="3">
        <f>IFERROR(__xludf.DUMMYFUNCTION("""COMPUTED_VALUE"""),35.0)</f>
        <v>35</v>
      </c>
      <c r="D310" s="5" t="str">
        <f>IFERROR(__xludf.DUMMYFUNCTION("""COMPUTED_VALUE"""),"שדי חמד")</f>
        <v>שדי חמד</v>
      </c>
      <c r="E310" s="5" t="str">
        <f>IFERROR(__xludf.DUMMYFUNCTION("""COMPUTED_VALUE"""),"גבר")</f>
        <v>גבר</v>
      </c>
      <c r="F310" s="5" t="str">
        <f>IFERROR(__xludf.DUMMYFUNCTION("""COMPUTED_VALUE"""),"אזרחים")</f>
        <v>אזרחים</v>
      </c>
      <c r="G310" s="3"/>
      <c r="H310" s="3" t="str">
        <f>IFERROR(__xludf.DUMMYFUNCTION("""COMPUTED_VALUE"""),"07.10.2023")</f>
        <v>07.10.2023</v>
      </c>
      <c r="I310" s="4" t="str">
        <f>IFERROR(__xludf.DUMMYFUNCTION("""COMPUTED_VALUE"""),"פסטיבל נובה")</f>
        <v>פסטיבל נובה</v>
      </c>
      <c r="J310" s="4" t="str">
        <f>IFERROR(__xludf.DUMMYFUNCTION("""COMPUTED_VALUE"""),"אזרחים וכיתות כוננות")</f>
        <v>אזרחים וכיתות כוננות</v>
      </c>
      <c r="K310" s="5" t="str">
        <f>IFERROR(__xludf.DUMMYFUNCTION("""COMPUTED_VALUE"""),"פסטיבל נובה")</f>
        <v>פסטיבל נובה</v>
      </c>
      <c r="L310" s="3" t="str">
        <f>IFERROR(__xludf.DUMMYFUNCTION("""COMPUTED_VALUE"""),"Matan Mordechai Lior")</f>
        <v>Matan Mordechai Lior</v>
      </c>
      <c r="M310" s="5"/>
    </row>
    <row r="311">
      <c r="A311" s="3">
        <f>IFERROR(__xludf.DUMMYFUNCTION("""COMPUTED_VALUE"""),838.0)</f>
        <v>838</v>
      </c>
      <c r="B311" s="4" t="str">
        <f>IFERROR(__xludf.DUMMYFUNCTION("""COMPUTED_VALUE"""),"ליטמן אוריה ריקרדו")</f>
        <v>ליטמן אוריה ריקרדו</v>
      </c>
      <c r="C311" s="3">
        <f>IFERROR(__xludf.DUMMYFUNCTION("""COMPUTED_VALUE"""),26.0)</f>
        <v>26</v>
      </c>
      <c r="D311" s="5" t="str">
        <f>IFERROR(__xludf.DUMMYFUNCTION("""COMPUTED_VALUE"""),"קיסריה")</f>
        <v>קיסריה</v>
      </c>
      <c r="E311" s="5" t="str">
        <f>IFERROR(__xludf.DUMMYFUNCTION("""COMPUTED_VALUE"""),"אישה")</f>
        <v>אישה</v>
      </c>
      <c r="F311" s="5" t="str">
        <f>IFERROR(__xludf.DUMMYFUNCTION("""COMPUTED_VALUE"""),"אזרחים")</f>
        <v>אזרחים</v>
      </c>
      <c r="G311" s="3"/>
      <c r="H311" s="3" t="str">
        <f>IFERROR(__xludf.DUMMYFUNCTION("""COMPUTED_VALUE"""),"07.10.2023")</f>
        <v>07.10.2023</v>
      </c>
      <c r="I311" s="4" t="str">
        <f>IFERROR(__xludf.DUMMYFUNCTION("""COMPUTED_VALUE"""),"סמוך למפלסים")</f>
        <v>סמוך למפלסים</v>
      </c>
      <c r="J311" s="4" t="str">
        <f>IFERROR(__xludf.DUMMYFUNCTION("""COMPUTED_VALUE"""),"אזרחים וכיתות כוננות")</f>
        <v>אזרחים וכיתות כוננות</v>
      </c>
      <c r="K311" s="5" t="str">
        <f>IFERROR(__xludf.DUMMYFUNCTION("""COMPUTED_VALUE"""),"פסטיבל נובה")</f>
        <v>פסטיבל נובה</v>
      </c>
      <c r="L311" s="3" t="str">
        <f>IFERROR(__xludf.DUMMYFUNCTION("""COMPUTED_VALUE"""),"Oriya Litman Ricardo")</f>
        <v>Oriya Litman Ricardo</v>
      </c>
      <c r="M311" s="5"/>
    </row>
    <row r="312">
      <c r="A312" s="3">
        <f>IFERROR(__xludf.DUMMYFUNCTION("""COMPUTED_VALUE"""),800.0)</f>
        <v>800</v>
      </c>
      <c r="B312" s="4" t="str">
        <f>IFERROR(__xludf.DUMMYFUNCTION("""COMPUTED_VALUE"""),"ליסמן אניטה")</f>
        <v>ליסמן אניטה</v>
      </c>
      <c r="C312" s="3">
        <f>IFERROR(__xludf.DUMMYFUNCTION("""COMPUTED_VALUE"""),25.0)</f>
        <v>25</v>
      </c>
      <c r="D312" s="5" t="str">
        <f>IFERROR(__xludf.DUMMYFUNCTION("""COMPUTED_VALUE"""),"מודיעין מכבים רעות")</f>
        <v>מודיעין מכבים רעות</v>
      </c>
      <c r="E312" s="5" t="str">
        <f>IFERROR(__xludf.DUMMYFUNCTION("""COMPUTED_VALUE"""),"אישה")</f>
        <v>אישה</v>
      </c>
      <c r="F312" s="5" t="str">
        <f>IFERROR(__xludf.DUMMYFUNCTION("""COMPUTED_VALUE"""),"אזרחים")</f>
        <v>אזרחים</v>
      </c>
      <c r="G312" s="3"/>
      <c r="H312" s="3" t="str">
        <f>IFERROR(__xludf.DUMMYFUNCTION("""COMPUTED_VALUE"""),"07.10.2023")</f>
        <v>07.10.2023</v>
      </c>
      <c r="I312" s="4" t="str">
        <f>IFERROR(__xludf.DUMMYFUNCTION("""COMPUTED_VALUE"""),"סמוך למיגונית בצומת גמה (צפון)")</f>
        <v>סמוך למיגונית בצומת גמה (צפון)</v>
      </c>
      <c r="J312" s="4" t="str">
        <f>IFERROR(__xludf.DUMMYFUNCTION("""COMPUTED_VALUE"""),"אזרחים וכיתות כוננות")</f>
        <v>אזרחים וכיתות כוננות</v>
      </c>
      <c r="K312" s="5" t="str">
        <f>IFERROR(__xludf.DUMMYFUNCTION("""COMPUTED_VALUE"""),"פסטיבל נובה")</f>
        <v>פסטיבל נובה</v>
      </c>
      <c r="L312" s="3" t="str">
        <f>IFERROR(__xludf.DUMMYFUNCTION("""COMPUTED_VALUE"""),"Anita Lisman")</f>
        <v>Anita Lisman</v>
      </c>
      <c r="M312" s="5"/>
    </row>
    <row r="313">
      <c r="A313" s="3">
        <f>IFERROR(__xludf.DUMMYFUNCTION("""COMPUTED_VALUE"""),895.0)</f>
        <v>895</v>
      </c>
      <c r="B313" s="4" t="str">
        <f>IFERROR(__xludf.DUMMYFUNCTION("""COMPUTED_VALUE"""),"ליסצ'וב דוד")</f>
        <v>ליסצ'וב דוד</v>
      </c>
      <c r="C313" s="3">
        <f>IFERROR(__xludf.DUMMYFUNCTION("""COMPUTED_VALUE"""),35.0)</f>
        <v>35</v>
      </c>
      <c r="D313" s="5" t="str">
        <f>IFERROR(__xludf.DUMMYFUNCTION("""COMPUTED_VALUE"""),"קריית ים")</f>
        <v>קריית ים</v>
      </c>
      <c r="E313" s="5" t="str">
        <f>IFERROR(__xludf.DUMMYFUNCTION("""COMPUTED_VALUE"""),"גבר")</f>
        <v>גבר</v>
      </c>
      <c r="F313" s="5" t="str">
        <f>IFERROR(__xludf.DUMMYFUNCTION("""COMPUTED_VALUE"""),"אזרחים")</f>
        <v>אזרחים</v>
      </c>
      <c r="G313" s="3"/>
      <c r="H313" s="3" t="str">
        <f>IFERROR(__xludf.DUMMYFUNCTION("""COMPUTED_VALUE"""),"07.10.2023")</f>
        <v>07.10.2023</v>
      </c>
      <c r="I313" s="4" t="str">
        <f>IFERROR(__xludf.DUMMYFUNCTION("""COMPUTED_VALUE"""),"מצפון לתל גמה")</f>
        <v>מצפון לתל גמה</v>
      </c>
      <c r="J313" s="4" t="str">
        <f>IFERROR(__xludf.DUMMYFUNCTION("""COMPUTED_VALUE"""),"אזרחים וכיתות כוננות")</f>
        <v>אזרחים וכיתות כוננות</v>
      </c>
      <c r="K313" s="5" t="str">
        <f>IFERROR(__xludf.DUMMYFUNCTION("""COMPUTED_VALUE"""),"פסטיבל נובה")</f>
        <v>פסטיבל נובה</v>
      </c>
      <c r="L313" s="3" t="str">
        <f>IFERROR(__xludf.DUMMYFUNCTION("""COMPUTED_VALUE"""),"David Lischov")</f>
        <v>David Lischov</v>
      </c>
      <c r="M313" s="5"/>
    </row>
    <row r="314">
      <c r="A314" s="3">
        <f>IFERROR(__xludf.DUMMYFUNCTION("""COMPUTED_VALUE"""),799.0)</f>
        <v>799</v>
      </c>
      <c r="B314" s="4" t="str">
        <f>IFERROR(__xludf.DUMMYFUNCTION("""COMPUTED_VALUE"""),"ליפובסקי אילן")</f>
        <v>ליפובסקי אילן</v>
      </c>
      <c r="C314" s="3">
        <f>IFERROR(__xludf.DUMMYFUNCTION("""COMPUTED_VALUE"""),30.0)</f>
        <v>30</v>
      </c>
      <c r="D314" s="5" t="str">
        <f>IFERROR(__xludf.DUMMYFUNCTION("""COMPUTED_VALUE"""),"ראשון לציון")</f>
        <v>ראשון לציון</v>
      </c>
      <c r="E314" s="5" t="str">
        <f>IFERROR(__xludf.DUMMYFUNCTION("""COMPUTED_VALUE"""),"גבר")</f>
        <v>גבר</v>
      </c>
      <c r="F314" s="5" t="str">
        <f>IFERROR(__xludf.DUMMYFUNCTION("""COMPUTED_VALUE"""),"אזרחים")</f>
        <v>אזרחים</v>
      </c>
      <c r="G314" s="3"/>
      <c r="H314" s="3" t="str">
        <f>IFERROR(__xludf.DUMMYFUNCTION("""COMPUTED_VALUE"""),"07.10.2023")</f>
        <v>07.10.2023</v>
      </c>
      <c r="I314" s="4" t="str">
        <f>IFERROR(__xludf.DUMMYFUNCTION("""COMPUTED_VALUE"""),"פסטיבל נובה")</f>
        <v>פסטיבל נובה</v>
      </c>
      <c r="J314" s="4" t="str">
        <f>IFERROR(__xludf.DUMMYFUNCTION("""COMPUTED_VALUE"""),"אזרחים וכיתות כוננות")</f>
        <v>אזרחים וכיתות כוננות</v>
      </c>
      <c r="K314" s="5" t="str">
        <f>IFERROR(__xludf.DUMMYFUNCTION("""COMPUTED_VALUE"""),"פסטיבל נובה")</f>
        <v>פסטיבל נובה</v>
      </c>
      <c r="L314" s="3" t="str">
        <f>IFERROR(__xludf.DUMMYFUNCTION("""COMPUTED_VALUE"""),"Ilan Lipovsky")</f>
        <v>Ilan Lipovsky</v>
      </c>
      <c r="M314" s="5"/>
    </row>
    <row r="315">
      <c r="A315" s="3">
        <f>IFERROR(__xludf.DUMMYFUNCTION("""COMPUTED_VALUE"""),732.0)</f>
        <v>732</v>
      </c>
      <c r="B315" s="4" t="str">
        <f>IFERROR(__xludf.DUMMYFUNCTION("""COMPUTED_VALUE"""),"למאי דידנקו יוליה")</f>
        <v>למאי דידנקו יוליה</v>
      </c>
      <c r="C315" s="3">
        <f>IFERROR(__xludf.DUMMYFUNCTION("""COMPUTED_VALUE"""),29.0)</f>
        <v>29</v>
      </c>
      <c r="D315" s="5" t="str">
        <f>IFERROR(__xludf.DUMMYFUNCTION("""COMPUTED_VALUE"""),"ראשון לציון")</f>
        <v>ראשון לציון</v>
      </c>
      <c r="E315" s="5" t="str">
        <f>IFERROR(__xludf.DUMMYFUNCTION("""COMPUTED_VALUE"""),"אישה")</f>
        <v>אישה</v>
      </c>
      <c r="F315" s="5" t="str">
        <f>IFERROR(__xludf.DUMMYFUNCTION("""COMPUTED_VALUE"""),"אזרחים")</f>
        <v>אזרחים</v>
      </c>
      <c r="G315" s="3"/>
      <c r="H315" s="3" t="str">
        <f>IFERROR(__xludf.DUMMYFUNCTION("""COMPUTED_VALUE"""),"07.10.2023")</f>
        <v>07.10.2023</v>
      </c>
      <c r="I315" s="4" t="str">
        <f>IFERROR(__xludf.DUMMYFUNCTION("""COMPUTED_VALUE"""),"צפונית לצומת גמה")</f>
        <v>צפונית לצומת גמה</v>
      </c>
      <c r="J315" s="4" t="str">
        <f>IFERROR(__xludf.DUMMYFUNCTION("""COMPUTED_VALUE"""),"אזרחים וכיתות כוננות")</f>
        <v>אזרחים וכיתות כוננות</v>
      </c>
      <c r="K315" s="5" t="str">
        <f>IFERROR(__xludf.DUMMYFUNCTION("""COMPUTED_VALUE"""),"פסטיבל נובה")</f>
        <v>פסטיבל נובה</v>
      </c>
      <c r="L315" s="3" t="str">
        <f>IFERROR(__xludf.DUMMYFUNCTION("""COMPUTED_VALUE"""),"Yulia Didenko Lamai")</f>
        <v>Yulia Didenko Lamai</v>
      </c>
      <c r="M315" s="5"/>
    </row>
    <row r="316">
      <c r="A316" s="3">
        <f>IFERROR(__xludf.DUMMYFUNCTION("""COMPUTED_VALUE"""),789.0)</f>
        <v>789</v>
      </c>
      <c r="B316" s="4" t="str">
        <f>IFERROR(__xludf.DUMMYFUNCTION("""COMPUTED_VALUE"""),"לפידות תפארת")</f>
        <v>לפידות תפארת</v>
      </c>
      <c r="C316" s="3">
        <f>IFERROR(__xludf.DUMMYFUNCTION("""COMPUTED_VALUE"""),23.0)</f>
        <v>23</v>
      </c>
      <c r="D316" s="5" t="str">
        <f>IFERROR(__xludf.DUMMYFUNCTION("""COMPUTED_VALUE"""),"חריש")</f>
        <v>חריש</v>
      </c>
      <c r="E316" s="5" t="str">
        <f>IFERROR(__xludf.DUMMYFUNCTION("""COMPUTED_VALUE"""),"אישה")</f>
        <v>אישה</v>
      </c>
      <c r="F316" s="5" t="str">
        <f>IFERROR(__xludf.DUMMYFUNCTION("""COMPUTED_VALUE"""),"אזרחים")</f>
        <v>אזרחים</v>
      </c>
      <c r="G316" s="3"/>
      <c r="H316" s="3" t="str">
        <f>IFERROR(__xludf.DUMMYFUNCTION("""COMPUTED_VALUE"""),"07.10.2023")</f>
        <v>07.10.2023</v>
      </c>
      <c r="I316" s="4" t="str">
        <f>IFERROR(__xludf.DUMMYFUNCTION("""COMPUTED_VALUE"""),"פסטיבל נובה; בר צפוני")</f>
        <v>פסטיבל נובה; בר צפוני</v>
      </c>
      <c r="J316" s="4" t="str">
        <f>IFERROR(__xludf.DUMMYFUNCTION("""COMPUTED_VALUE"""),"אזרחים וכיתות כוננות")</f>
        <v>אזרחים וכיתות כוננות</v>
      </c>
      <c r="K316" s="5" t="str">
        <f>IFERROR(__xludf.DUMMYFUNCTION("""COMPUTED_VALUE"""),"פסטיבל נובה")</f>
        <v>פסטיבל נובה</v>
      </c>
      <c r="L316" s="3" t="str">
        <f>IFERROR(__xludf.DUMMYFUNCTION("""COMPUTED_VALUE"""),"Tiferet Lapidot")</f>
        <v>Tiferet Lapidot</v>
      </c>
      <c r="M316" s="5"/>
    </row>
    <row r="317">
      <c r="A317" s="3">
        <f>IFERROR(__xludf.DUMMYFUNCTION("""COMPUTED_VALUE"""),1592.0)</f>
        <v>1592</v>
      </c>
      <c r="B317" s="4" t="str">
        <f>IFERROR(__xludf.DUMMYFUNCTION("""COMPUTED_VALUE"""),"מגנזי עמית")</f>
        <v>מגנזי עמית</v>
      </c>
      <c r="C317" s="3">
        <f>IFERROR(__xludf.DUMMYFUNCTION("""COMPUTED_VALUE"""),23.0)</f>
        <v>23</v>
      </c>
      <c r="D317" s="5" t="str">
        <f>IFERROR(__xludf.DUMMYFUNCTION("""COMPUTED_VALUE"""),"נס ציונה")</f>
        <v>נס ציונה</v>
      </c>
      <c r="E317" s="5" t="str">
        <f>IFERROR(__xludf.DUMMYFUNCTION("""COMPUTED_VALUE"""),"גבר")</f>
        <v>גבר</v>
      </c>
      <c r="F317" s="5" t="str">
        <f>IFERROR(__xludf.DUMMYFUNCTION("""COMPUTED_VALUE"""),"אזרחים")</f>
        <v>אזרחים</v>
      </c>
      <c r="G317" s="3"/>
      <c r="H317" s="3" t="str">
        <f>IFERROR(__xludf.DUMMYFUNCTION("""COMPUTED_VALUE"""),"07.10.2023")</f>
        <v>07.10.2023</v>
      </c>
      <c r="I317" s="4" t="str">
        <f>IFERROR(__xludf.DUMMYFUNCTION("""COMPUTED_VALUE"""),"פסטיבל נובה")</f>
        <v>פסטיבל נובה</v>
      </c>
      <c r="J317" s="2" t="str">
        <f>IFERROR(__xludf.DUMMYFUNCTION("""COMPUTED_VALUE"""),"אזרחים וכיתות כוננות")</f>
        <v>אזרחים וכיתות כוננות</v>
      </c>
      <c r="K317" s="5" t="str">
        <f>IFERROR(__xludf.DUMMYFUNCTION("""COMPUTED_VALUE"""),"פסטיבל נובה")</f>
        <v>פסטיבל נובה</v>
      </c>
      <c r="L317" s="3" t="str">
        <f>IFERROR(__xludf.DUMMYFUNCTION("""COMPUTED_VALUE"""),"Amit Magnezi")</f>
        <v>Amit Magnezi</v>
      </c>
      <c r="M317" s="5"/>
    </row>
    <row r="318">
      <c r="A318" s="3">
        <f>IFERROR(__xludf.DUMMYFUNCTION("""COMPUTED_VALUE"""),1626.0)</f>
        <v>1626</v>
      </c>
      <c r="B318" s="4" t="str">
        <f>IFERROR(__xludf.DUMMYFUNCTION("""COMPUTED_VALUE"""),"מדמון ניר")</f>
        <v>מדמון ניר</v>
      </c>
      <c r="C318" s="3">
        <f>IFERROR(__xludf.DUMMYFUNCTION("""COMPUTED_VALUE"""),23.0)</f>
        <v>23</v>
      </c>
      <c r="D318" s="5" t="str">
        <f>IFERROR(__xludf.DUMMYFUNCTION("""COMPUTED_VALUE"""),"פדויים")</f>
        <v>פדויים</v>
      </c>
      <c r="E318" s="5" t="str">
        <f>IFERROR(__xludf.DUMMYFUNCTION("""COMPUTED_VALUE"""),"גבר")</f>
        <v>גבר</v>
      </c>
      <c r="F318" s="5" t="str">
        <f>IFERROR(__xludf.DUMMYFUNCTION("""COMPUTED_VALUE"""),"אזרחים")</f>
        <v>אזרחים</v>
      </c>
      <c r="G318" s="3"/>
      <c r="H318" s="3" t="str">
        <f>IFERROR(__xludf.DUMMYFUNCTION("""COMPUTED_VALUE"""),"07.10.2023")</f>
        <v>07.10.2023</v>
      </c>
      <c r="I318" s="4" t="str">
        <f>IFERROR(__xludf.DUMMYFUNCTION("""COMPUTED_VALUE"""),"פסטיבל נובה; פקק ביציאה")</f>
        <v>פסטיבל נובה; פקק ביציאה</v>
      </c>
      <c r="J318" s="2" t="str">
        <f>IFERROR(__xludf.DUMMYFUNCTION("""COMPUTED_VALUE"""),"אזרחים וכיתות כוננות")</f>
        <v>אזרחים וכיתות כוננות</v>
      </c>
      <c r="K318" s="5" t="str">
        <f>IFERROR(__xludf.DUMMYFUNCTION("""COMPUTED_VALUE"""),"פסטיבל נובה")</f>
        <v>פסטיבל נובה</v>
      </c>
      <c r="L318" s="3" t="str">
        <f>IFERROR(__xludf.DUMMYFUNCTION("""COMPUTED_VALUE"""),"Nir Madmon")</f>
        <v>Nir Madmon</v>
      </c>
      <c r="M318" s="5"/>
    </row>
    <row r="319">
      <c r="A319" s="3">
        <f>IFERROR(__xludf.DUMMYFUNCTION("""COMPUTED_VALUE"""),802.0)</f>
        <v>802</v>
      </c>
      <c r="B319" s="4" t="str">
        <f>IFERROR(__xludf.DUMMYFUNCTION("""COMPUTED_VALUE"""),"מדמוני שליו")</f>
        <v>מדמוני שליו</v>
      </c>
      <c r="C319" s="3">
        <f>IFERROR(__xludf.DUMMYFUNCTION("""COMPUTED_VALUE"""),24.0)</f>
        <v>24</v>
      </c>
      <c r="D319" s="5" t="str">
        <f>IFERROR(__xludf.DUMMYFUNCTION("""COMPUTED_VALUE"""),"ראש העין")</f>
        <v>ראש העין</v>
      </c>
      <c r="E319" s="5" t="str">
        <f>IFERROR(__xludf.DUMMYFUNCTION("""COMPUTED_VALUE"""),"אישה")</f>
        <v>אישה</v>
      </c>
      <c r="F319" s="5" t="str">
        <f>IFERROR(__xludf.DUMMYFUNCTION("""COMPUTED_VALUE"""),"אזרחים")</f>
        <v>אזרחים</v>
      </c>
      <c r="G319" s="3"/>
      <c r="H319" s="3" t="str">
        <f>IFERROR(__xludf.DUMMYFUNCTION("""COMPUTED_VALUE"""),"07.10.2023")</f>
        <v>07.10.2023</v>
      </c>
      <c r="I319" s="4" t="str">
        <f>IFERROR(__xludf.DUMMYFUNCTION("""COMPUTED_VALUE"""),"צומת ניר יצחק")</f>
        <v>צומת ניר יצחק</v>
      </c>
      <c r="J319" s="4" t="str">
        <f>IFERROR(__xludf.DUMMYFUNCTION("""COMPUTED_VALUE"""),"אזרחים וכיתות כוננות")</f>
        <v>אזרחים וכיתות כוננות</v>
      </c>
      <c r="K319" s="5" t="str">
        <f>IFERROR(__xludf.DUMMYFUNCTION("""COMPUTED_VALUE"""),"פסטיבל נובה")</f>
        <v>פסטיבל נובה</v>
      </c>
      <c r="L319" s="3" t="str">
        <f>IFERROR(__xludf.DUMMYFUNCTION("""COMPUTED_VALUE"""),"Shalev Madmoni")</f>
        <v>Shalev Madmoni</v>
      </c>
      <c r="M319" s="5"/>
    </row>
    <row r="320">
      <c r="A320" s="3">
        <f>IFERROR(__xludf.DUMMYFUNCTION("""COMPUTED_VALUE"""),1388.0)</f>
        <v>1388</v>
      </c>
      <c r="B320" s="4" t="str">
        <f>IFERROR(__xludf.DUMMYFUNCTION("""COMPUTED_VALUE"""),"מדר שחק יוסף")</f>
        <v>מדר שחק יוסף</v>
      </c>
      <c r="C320" s="3">
        <f>IFERROR(__xludf.DUMMYFUNCTION("""COMPUTED_VALUE"""),26.0)</f>
        <v>26</v>
      </c>
      <c r="D320" s="5" t="str">
        <f>IFERROR(__xludf.DUMMYFUNCTION("""COMPUTED_VALUE"""),"דימונה")</f>
        <v>דימונה</v>
      </c>
      <c r="E320" s="5" t="str">
        <f>IFERROR(__xludf.DUMMYFUNCTION("""COMPUTED_VALUE"""),"גבר")</f>
        <v>גבר</v>
      </c>
      <c r="F320" s="5" t="str">
        <f>IFERROR(__xludf.DUMMYFUNCTION("""COMPUTED_VALUE"""),"אזרחים")</f>
        <v>אזרחים</v>
      </c>
      <c r="G320" s="3"/>
      <c r="H320" s="3" t="str">
        <f>IFERROR(__xludf.DUMMYFUNCTION("""COMPUTED_VALUE"""),"07.10.2023")</f>
        <v>07.10.2023</v>
      </c>
      <c r="I320" s="4" t="str">
        <f>IFERROR(__xludf.DUMMYFUNCTION("""COMPUTED_VALUE"""),"עיקול נחל בוהו")</f>
        <v>עיקול נחל בוהו</v>
      </c>
      <c r="J320" s="4" t="str">
        <f>IFERROR(__xludf.DUMMYFUNCTION("""COMPUTED_VALUE"""),"אזרחים וכיתות כוננות")</f>
        <v>אזרחים וכיתות כוננות</v>
      </c>
      <c r="K320" s="5" t="str">
        <f>IFERROR(__xludf.DUMMYFUNCTION("""COMPUTED_VALUE"""),"פסטיבל נובה")</f>
        <v>פסטיבל נובה</v>
      </c>
      <c r="L320" s="3" t="str">
        <f>IFERROR(__xludf.DUMMYFUNCTION("""COMPUTED_VALUE"""),"Shahak Madar")</f>
        <v>Shahak Madar</v>
      </c>
      <c r="M320" s="5"/>
    </row>
    <row r="321">
      <c r="A321" s="3">
        <f>IFERROR(__xludf.DUMMYFUNCTION("""COMPUTED_VALUE"""),1506.0)</f>
        <v>1506</v>
      </c>
      <c r="B321" s="4" t="str">
        <f>IFERROR(__xludf.DUMMYFUNCTION("""COMPUTED_VALUE"""),"מועלם נעמה")</f>
        <v>מועלם נעמה</v>
      </c>
      <c r="C321" s="3">
        <f>IFERROR(__xludf.DUMMYFUNCTION("""COMPUTED_VALUE"""),28.0)</f>
        <v>28</v>
      </c>
      <c r="D321" s="5" t="str">
        <f>IFERROR(__xludf.DUMMYFUNCTION("""COMPUTED_VALUE"""),"שדה נחום")</f>
        <v>שדה נחום</v>
      </c>
      <c r="E321" s="5" t="str">
        <f>IFERROR(__xludf.DUMMYFUNCTION("""COMPUTED_VALUE"""),"אישה")</f>
        <v>אישה</v>
      </c>
      <c r="F321" s="5" t="str">
        <f>IFERROR(__xludf.DUMMYFUNCTION("""COMPUTED_VALUE"""),"אזרחים")</f>
        <v>אזרחים</v>
      </c>
      <c r="G321" s="3"/>
      <c r="H321" s="3" t="str">
        <f>IFERROR(__xludf.DUMMYFUNCTION("""COMPUTED_VALUE"""),"07.10.2023")</f>
        <v>07.10.2023</v>
      </c>
      <c r="I321" s="4" t="str">
        <f>IFERROR(__xludf.DUMMYFUNCTION("""COMPUTED_VALUE"""),"כביש יכיני יושיביה")</f>
        <v>כביש יכיני יושיביה</v>
      </c>
      <c r="J321" s="4" t="str">
        <f>IFERROR(__xludf.DUMMYFUNCTION("""COMPUTED_VALUE"""),"אזרחים וכיתות כוננות")</f>
        <v>אזרחים וכיתות כוננות</v>
      </c>
      <c r="K321" s="5" t="str">
        <f>IFERROR(__xludf.DUMMYFUNCTION("""COMPUTED_VALUE"""),"פסטיבל נובה")</f>
        <v>פסטיבל נובה</v>
      </c>
      <c r="L321" s="3" t="str">
        <f>IFERROR(__xludf.DUMMYFUNCTION("""COMPUTED_VALUE"""),"Naama Moalem")</f>
        <v>Naama Moalem</v>
      </c>
      <c r="M321" s="5"/>
    </row>
    <row r="322">
      <c r="A322" s="3">
        <f>IFERROR(__xludf.DUMMYFUNCTION("""COMPUTED_VALUE"""),855.0)</f>
        <v>855</v>
      </c>
      <c r="B322" s="4" t="str">
        <f>IFERROR(__xludf.DUMMYFUNCTION("""COMPUTED_VALUE"""),"מוצפי שי שלום אליאור")</f>
        <v>מוצפי שי שלום אליאור</v>
      </c>
      <c r="C322" s="3">
        <f>IFERROR(__xludf.DUMMYFUNCTION("""COMPUTED_VALUE"""),37.0)</f>
        <v>37</v>
      </c>
      <c r="D322" s="5" t="str">
        <f>IFERROR(__xludf.DUMMYFUNCTION("""COMPUTED_VALUE"""),"בת ים")</f>
        <v>בת ים</v>
      </c>
      <c r="E322" s="5" t="str">
        <f>IFERROR(__xludf.DUMMYFUNCTION("""COMPUTED_VALUE"""),"גבר")</f>
        <v>גבר</v>
      </c>
      <c r="F322" s="5" t="str">
        <f>IFERROR(__xludf.DUMMYFUNCTION("""COMPUTED_VALUE"""),"אזרחים")</f>
        <v>אזרחים</v>
      </c>
      <c r="G322" s="3"/>
      <c r="H322" s="3" t="str">
        <f>IFERROR(__xludf.DUMMYFUNCTION("""COMPUTED_VALUE"""),"07.10.2023")</f>
        <v>07.10.2023</v>
      </c>
      <c r="I322" s="4" t="str">
        <f>IFERROR(__xludf.DUMMYFUNCTION("""COMPUTED_VALUE"""),"פסטיבל נובה; בר צפוני")</f>
        <v>פסטיבל נובה; בר צפוני</v>
      </c>
      <c r="J322" s="4" t="str">
        <f>IFERROR(__xludf.DUMMYFUNCTION("""COMPUTED_VALUE"""),"אזרחים וכיתות כוננות")</f>
        <v>אזרחים וכיתות כוננות</v>
      </c>
      <c r="K322" s="5" t="str">
        <f>IFERROR(__xludf.DUMMYFUNCTION("""COMPUTED_VALUE"""),"פסטיבל נובה")</f>
        <v>פסטיבל נובה</v>
      </c>
      <c r="L322" s="3" t="str">
        <f>IFERROR(__xludf.DUMMYFUNCTION("""COMPUTED_VALUE"""),"Shai Shalom Elior Musafi")</f>
        <v>Shai Shalom Elior Musafi</v>
      </c>
      <c r="M322" s="5"/>
    </row>
    <row r="323">
      <c r="A323" s="3">
        <f>IFERROR(__xludf.DUMMYFUNCTION("""COMPUTED_VALUE"""),1527.0)</f>
        <v>1527</v>
      </c>
      <c r="B323" s="4" t="str">
        <f>IFERROR(__xludf.DUMMYFUNCTION("""COMPUTED_VALUE"""),"מזרחי אלירן")</f>
        <v>מזרחי אלירן</v>
      </c>
      <c r="C323" s="3">
        <f>IFERROR(__xludf.DUMMYFUNCTION("""COMPUTED_VALUE"""),24.0)</f>
        <v>24</v>
      </c>
      <c r="D323" s="5" t="str">
        <f>IFERROR(__xludf.DUMMYFUNCTION("""COMPUTED_VALUE"""),"פתח תקווה")</f>
        <v>פתח תקווה</v>
      </c>
      <c r="E323" s="5" t="str">
        <f>IFERROR(__xludf.DUMMYFUNCTION("""COMPUTED_VALUE"""),"גבר")</f>
        <v>גבר</v>
      </c>
      <c r="F323" s="5" t="str">
        <f>IFERROR(__xludf.DUMMYFUNCTION("""COMPUTED_VALUE"""),"אזרחים")</f>
        <v>אזרחים</v>
      </c>
      <c r="G323" s="3"/>
      <c r="H323" s="3" t="str">
        <f>IFERROR(__xludf.DUMMYFUNCTION("""COMPUTED_VALUE"""),"07.10.2023")</f>
        <v>07.10.2023</v>
      </c>
      <c r="I323" s="4" t="str">
        <f>IFERROR(__xludf.DUMMYFUNCTION("""COMPUTED_VALUE"""),"פסטיבל נובה; מכולות צהובות")</f>
        <v>פסטיבל נובה; מכולות צהובות</v>
      </c>
      <c r="J323" s="4" t="str">
        <f>IFERROR(__xludf.DUMMYFUNCTION("""COMPUTED_VALUE"""),"אזרחים וכיתות כוננות")</f>
        <v>אזרחים וכיתות כוננות</v>
      </c>
      <c r="K323" s="5" t="str">
        <f>IFERROR(__xludf.DUMMYFUNCTION("""COMPUTED_VALUE"""),"פסטיבל נובה")</f>
        <v>פסטיבל נובה</v>
      </c>
      <c r="L323" s="3" t="str">
        <f>IFERROR(__xludf.DUMMYFUNCTION("""COMPUTED_VALUE"""),"Eliran Mizrahi")</f>
        <v>Eliran Mizrahi</v>
      </c>
      <c r="M323" s="5"/>
    </row>
    <row r="324">
      <c r="A324" s="3">
        <f>IFERROR(__xludf.DUMMYFUNCTION("""COMPUTED_VALUE"""),1627.0)</f>
        <v>1627</v>
      </c>
      <c r="B324" s="4" t="str">
        <f>IFERROR(__xludf.DUMMYFUNCTION("""COMPUTED_VALUE"""),"מזרחי בן מנשה")</f>
        <v>מזרחי בן מנשה</v>
      </c>
      <c r="C324" s="3">
        <f>IFERROR(__xludf.DUMMYFUNCTION("""COMPUTED_VALUE"""),22.0)</f>
        <v>22</v>
      </c>
      <c r="D324" s="5" t="str">
        <f>IFERROR(__xludf.DUMMYFUNCTION("""COMPUTED_VALUE"""),"קבוצת יבנה")</f>
        <v>קבוצת יבנה</v>
      </c>
      <c r="E324" s="5" t="str">
        <f>IFERROR(__xludf.DUMMYFUNCTION("""COMPUTED_VALUE"""),"גבר")</f>
        <v>גבר</v>
      </c>
      <c r="F324" s="5" t="str">
        <f>IFERROR(__xludf.DUMMYFUNCTION("""COMPUTED_VALUE"""),"אזרחים")</f>
        <v>אזרחים</v>
      </c>
      <c r="G324" s="3"/>
      <c r="H324" s="3" t="str">
        <f>IFERROR(__xludf.DUMMYFUNCTION("""COMPUTED_VALUE"""),"07.10.2023")</f>
        <v>07.10.2023</v>
      </c>
      <c r="I324" s="4" t="str">
        <f>IFERROR(__xludf.DUMMYFUNCTION("""COMPUTED_VALUE"""),"פסטיבל נובה")</f>
        <v>פסטיבל נובה</v>
      </c>
      <c r="J324" s="2" t="str">
        <f>IFERROR(__xludf.DUMMYFUNCTION("""COMPUTED_VALUE"""),"אזרחים וכיתות כוננות")</f>
        <v>אזרחים וכיתות כוננות</v>
      </c>
      <c r="K324" s="5" t="str">
        <f>IFERROR(__xludf.DUMMYFUNCTION("""COMPUTED_VALUE"""),"פסטיבל נובה")</f>
        <v>פסטיבל נובה</v>
      </c>
      <c r="L324" s="3" t="str">
        <f>IFERROR(__xludf.DUMMYFUNCTION("""COMPUTED_VALUE"""),"Ben Menashe Mizrahi")</f>
        <v>Ben Menashe Mizrahi</v>
      </c>
      <c r="M324" s="5"/>
    </row>
    <row r="325">
      <c r="A325" s="3">
        <f>IFERROR(__xludf.DUMMYFUNCTION("""COMPUTED_VALUE"""),1454.0)</f>
        <v>1454</v>
      </c>
      <c r="B325" s="4" t="str">
        <f>IFERROR(__xludf.DUMMYFUNCTION("""COMPUTED_VALUE"""),"מזרחי רז")</f>
        <v>מזרחי רז</v>
      </c>
      <c r="C325" s="3">
        <f>IFERROR(__xludf.DUMMYFUNCTION("""COMPUTED_VALUE"""),22.0)</f>
        <v>22</v>
      </c>
      <c r="D325" s="5" t="str">
        <f>IFERROR(__xludf.DUMMYFUNCTION("""COMPUTED_VALUE"""),"גדרה")</f>
        <v>גדרה</v>
      </c>
      <c r="E325" s="5" t="str">
        <f>IFERROR(__xludf.DUMMYFUNCTION("""COMPUTED_VALUE"""),"אישה")</f>
        <v>אישה</v>
      </c>
      <c r="F325" s="5" t="str">
        <f>IFERROR(__xludf.DUMMYFUNCTION("""COMPUTED_VALUE"""),"אזרחים")</f>
        <v>אזרחים</v>
      </c>
      <c r="G325" s="3"/>
      <c r="H325" s="3" t="str">
        <f>IFERROR(__xludf.DUMMYFUNCTION("""COMPUTED_VALUE"""),"07.10.2023")</f>
        <v>07.10.2023</v>
      </c>
      <c r="I325" s="4" t="str">
        <f>IFERROR(__xludf.DUMMYFUNCTION("""COMPUTED_VALUE"""),"מיגונית בצומת בארי")</f>
        <v>מיגונית בצומת בארי</v>
      </c>
      <c r="J325" s="4" t="str">
        <f>IFERROR(__xludf.DUMMYFUNCTION("""COMPUTED_VALUE"""),"אזרחים וכיתות כוננות")</f>
        <v>אזרחים וכיתות כוננות</v>
      </c>
      <c r="K325" s="5" t="str">
        <f>IFERROR(__xludf.DUMMYFUNCTION("""COMPUTED_VALUE"""),"פסטיבל נובה")</f>
        <v>פסטיבל נובה</v>
      </c>
      <c r="L325" s="3" t="str">
        <f>IFERROR(__xludf.DUMMYFUNCTION("""COMPUTED_VALUE"""),"Raz Mizrahi")</f>
        <v>Raz Mizrahi</v>
      </c>
      <c r="M325" s="5"/>
    </row>
    <row r="326">
      <c r="A326" s="3">
        <f>IFERROR(__xludf.DUMMYFUNCTION("""COMPUTED_VALUE"""),889.0)</f>
        <v>889</v>
      </c>
      <c r="B326" s="4" t="str">
        <f>IFERROR(__xludf.DUMMYFUNCTION("""COMPUTED_VALUE"""),"מייזל עדי רבקה")</f>
        <v>מייזל עדי רבקה</v>
      </c>
      <c r="C326" s="3">
        <f>IFERROR(__xludf.DUMMYFUNCTION("""COMPUTED_VALUE"""),21.0)</f>
        <v>21</v>
      </c>
      <c r="D326" s="5" t="str">
        <f>IFERROR(__xludf.DUMMYFUNCTION("""COMPUTED_VALUE"""),"קרני שומרון")</f>
        <v>קרני שומרון</v>
      </c>
      <c r="E326" s="5" t="str">
        <f>IFERROR(__xludf.DUMMYFUNCTION("""COMPUTED_VALUE"""),"אישה")</f>
        <v>אישה</v>
      </c>
      <c r="F326" s="5" t="str">
        <f>IFERROR(__xludf.DUMMYFUNCTION("""COMPUTED_VALUE"""),"אזרחים")</f>
        <v>אזרחים</v>
      </c>
      <c r="G326" s="3"/>
      <c r="H326" s="3" t="str">
        <f>IFERROR(__xludf.DUMMYFUNCTION("""COMPUTED_VALUE"""),"07.10.2023")</f>
        <v>07.10.2023</v>
      </c>
      <c r="I326" s="4" t="str">
        <f>IFERROR(__xludf.DUMMYFUNCTION("""COMPUTED_VALUE"""),"מזרחית לכניסה לרעים")</f>
        <v>מזרחית לכניסה לרעים</v>
      </c>
      <c r="J326" s="4" t="str">
        <f>IFERROR(__xludf.DUMMYFUNCTION("""COMPUTED_VALUE"""),"אזרחים וכיתות כוננות")</f>
        <v>אזרחים וכיתות כוננות</v>
      </c>
      <c r="K326" s="5" t="str">
        <f>IFERROR(__xludf.DUMMYFUNCTION("""COMPUTED_VALUE"""),"פסטיבל נובה")</f>
        <v>פסטיבל נובה</v>
      </c>
      <c r="L326" s="3" t="str">
        <f>IFERROR(__xludf.DUMMYFUNCTION("""COMPUTED_VALUE"""),"Adi Rivka Mayzel")</f>
        <v>Adi Rivka Mayzel</v>
      </c>
      <c r="M326" s="5"/>
    </row>
    <row r="327">
      <c r="A327" s="3">
        <f>IFERROR(__xludf.DUMMYFUNCTION("""COMPUTED_VALUE"""),803.0)</f>
        <v>803</v>
      </c>
      <c r="B327" s="4" t="str">
        <f>IFERROR(__xludf.DUMMYFUNCTION("""COMPUTED_VALUE"""),"מימון ליאור")</f>
        <v>מימון ליאור</v>
      </c>
      <c r="C327" s="3">
        <f>IFERROR(__xludf.DUMMYFUNCTION("""COMPUTED_VALUE"""),22.0)</f>
        <v>22</v>
      </c>
      <c r="D327" s="5" t="str">
        <f>IFERROR(__xludf.DUMMYFUNCTION("""COMPUTED_VALUE"""),"רמת גן")</f>
        <v>רמת גן</v>
      </c>
      <c r="E327" s="5" t="str">
        <f>IFERROR(__xludf.DUMMYFUNCTION("""COMPUTED_VALUE"""),"אישה")</f>
        <v>אישה</v>
      </c>
      <c r="F327" s="5" t="str">
        <f>IFERROR(__xludf.DUMMYFUNCTION("""COMPUTED_VALUE"""),"אזרחים")</f>
        <v>אזרחים</v>
      </c>
      <c r="G327" s="3"/>
      <c r="H327" s="3" t="str">
        <f>IFERROR(__xludf.DUMMYFUNCTION("""COMPUTED_VALUE"""),"07.10.2023")</f>
        <v>07.10.2023</v>
      </c>
      <c r="I327" s="4" t="str">
        <f>IFERROR(__xludf.DUMMYFUNCTION("""COMPUTED_VALUE"""),"סמוך לתל גמה")</f>
        <v>סמוך לתל גמה</v>
      </c>
      <c r="J327" s="4" t="str">
        <f>IFERROR(__xludf.DUMMYFUNCTION("""COMPUTED_VALUE"""),"אזרחים וכיתות כוננות")</f>
        <v>אזרחים וכיתות כוננות</v>
      </c>
      <c r="K327" s="5" t="str">
        <f>IFERROR(__xludf.DUMMYFUNCTION("""COMPUTED_VALUE"""),"פסטיבל נובה")</f>
        <v>פסטיבל נובה</v>
      </c>
      <c r="L327" s="3" t="str">
        <f>IFERROR(__xludf.DUMMYFUNCTION("""COMPUTED_VALUE"""),"Lior Maimon")</f>
        <v>Lior Maimon</v>
      </c>
      <c r="M327" s="5"/>
    </row>
    <row r="328">
      <c r="A328" s="3">
        <f>IFERROR(__xludf.DUMMYFUNCTION("""COMPUTED_VALUE"""),1502.0)</f>
        <v>1502</v>
      </c>
      <c r="B328" s="4" t="str">
        <f>IFERROR(__xludf.DUMMYFUNCTION("""COMPUTED_VALUE"""),"מליחי אמיתי")</f>
        <v>מליחי אמיתי</v>
      </c>
      <c r="C328" s="3">
        <f>IFERROR(__xludf.DUMMYFUNCTION("""COMPUTED_VALUE"""),20.0)</f>
        <v>20</v>
      </c>
      <c r="D328" s="5" t="str">
        <f>IFERROR(__xludf.DUMMYFUNCTION("""COMPUTED_VALUE"""),"ראש העין")</f>
        <v>ראש העין</v>
      </c>
      <c r="E328" s="5" t="str">
        <f>IFERROR(__xludf.DUMMYFUNCTION("""COMPUTED_VALUE"""),"גבר")</f>
        <v>גבר</v>
      </c>
      <c r="F328" s="5" t="str">
        <f>IFERROR(__xludf.DUMMYFUNCTION("""COMPUTED_VALUE"""),"אזרחים")</f>
        <v>אזרחים</v>
      </c>
      <c r="G328" s="3"/>
      <c r="H328" s="3" t="str">
        <f>IFERROR(__xludf.DUMMYFUNCTION("""COMPUTED_VALUE"""),"07.10.2023")</f>
        <v>07.10.2023</v>
      </c>
      <c r="I328" s="4" t="str">
        <f>IFERROR(__xludf.DUMMYFUNCTION("""COMPUTED_VALUE"""),"פסטיבל נובה")</f>
        <v>פסטיבל נובה</v>
      </c>
      <c r="J328" s="4" t="str">
        <f>IFERROR(__xludf.DUMMYFUNCTION("""COMPUTED_VALUE"""),"אזרחים וכיתות כוננות")</f>
        <v>אזרחים וכיתות כוננות</v>
      </c>
      <c r="K328" s="5" t="str">
        <f>IFERROR(__xludf.DUMMYFUNCTION("""COMPUTED_VALUE"""),"פסטיבל נובה")</f>
        <v>פסטיבל נובה</v>
      </c>
      <c r="L328" s="3" t="str">
        <f>IFERROR(__xludf.DUMMYFUNCTION("""COMPUTED_VALUE"""),"Amitay Malihi")</f>
        <v>Amitay Malihi</v>
      </c>
      <c r="M328" s="5"/>
    </row>
    <row r="329">
      <c r="A329" s="3">
        <f>IFERROR(__xludf.DUMMYFUNCTION("""COMPUTED_VALUE"""),804.0)</f>
        <v>804</v>
      </c>
      <c r="B329" s="4" t="str">
        <f>IFERROR(__xludf.DUMMYFUNCTION("""COMPUTED_VALUE"""),"מלכה דור")</f>
        <v>מלכה דור</v>
      </c>
      <c r="C329" s="3">
        <f>IFERROR(__xludf.DUMMYFUNCTION("""COMPUTED_VALUE"""),29.0)</f>
        <v>29</v>
      </c>
      <c r="D329" s="5" t="str">
        <f>IFERROR(__xludf.DUMMYFUNCTION("""COMPUTED_VALUE"""),"אילת")</f>
        <v>אילת</v>
      </c>
      <c r="E329" s="5" t="str">
        <f>IFERROR(__xludf.DUMMYFUNCTION("""COMPUTED_VALUE"""),"גבר")</f>
        <v>גבר</v>
      </c>
      <c r="F329" s="5" t="str">
        <f>IFERROR(__xludf.DUMMYFUNCTION("""COMPUTED_VALUE"""),"אזרחים")</f>
        <v>אזרחים</v>
      </c>
      <c r="G329" s="3"/>
      <c r="H329" s="3" t="str">
        <f>IFERROR(__xludf.DUMMYFUNCTION("""COMPUTED_VALUE"""),"07.10.2023")</f>
        <v>07.10.2023</v>
      </c>
      <c r="I329" s="4" t="str">
        <f>IFERROR(__xludf.DUMMYFUNCTION("""COMPUTED_VALUE"""),"פסטיבל נובה; סמוך למכולות הצהובות")</f>
        <v>פסטיבל נובה; סמוך למכולות הצהובות</v>
      </c>
      <c r="J329" s="4" t="str">
        <f>IFERROR(__xludf.DUMMYFUNCTION("""COMPUTED_VALUE"""),"אזרחים וכיתות כוננות")</f>
        <v>אזרחים וכיתות כוננות</v>
      </c>
      <c r="K329" s="5" t="str">
        <f>IFERROR(__xludf.DUMMYFUNCTION("""COMPUTED_VALUE"""),"פסטיבל נובה")</f>
        <v>פסטיבל נובה</v>
      </c>
      <c r="L329" s="3" t="str">
        <f>IFERROR(__xludf.DUMMYFUNCTION("""COMPUTED_VALUE"""),"Dor Malka")</f>
        <v>Dor Malka</v>
      </c>
      <c r="M329" s="5"/>
    </row>
    <row r="330">
      <c r="A330" s="3">
        <f>IFERROR(__xludf.DUMMYFUNCTION("""COMPUTED_VALUE"""),805.0)</f>
        <v>805</v>
      </c>
      <c r="B330" s="4" t="str">
        <f>IFERROR(__xludf.DUMMYFUNCTION("""COMPUTED_VALUE"""),"מנצור שחר")</f>
        <v>מנצור שחר</v>
      </c>
      <c r="C330" s="3">
        <f>IFERROR(__xludf.DUMMYFUNCTION("""COMPUTED_VALUE"""),28.0)</f>
        <v>28</v>
      </c>
      <c r="D330" s="5" t="str">
        <f>IFERROR(__xludf.DUMMYFUNCTION("""COMPUTED_VALUE"""),"שוהם")</f>
        <v>שוהם</v>
      </c>
      <c r="E330" s="5" t="str">
        <f>IFERROR(__xludf.DUMMYFUNCTION("""COMPUTED_VALUE"""),"גבר")</f>
        <v>גבר</v>
      </c>
      <c r="F330" s="5" t="str">
        <f>IFERROR(__xludf.DUMMYFUNCTION("""COMPUTED_VALUE"""),"אזרחים")</f>
        <v>אזרחים</v>
      </c>
      <c r="G330" s="3"/>
      <c r="H330" s="3" t="str">
        <f>IFERROR(__xludf.DUMMYFUNCTION("""COMPUTED_VALUE"""),"07.10.2023")</f>
        <v>07.10.2023</v>
      </c>
      <c r="I330" s="4" t="str">
        <f>IFERROR(__xludf.DUMMYFUNCTION("""COMPUTED_VALUE"""),"סמוך למפלסים")</f>
        <v>סמוך למפלסים</v>
      </c>
      <c r="J330" s="4" t="str">
        <f>IFERROR(__xludf.DUMMYFUNCTION("""COMPUTED_VALUE"""),"אזרחים וכיתות כוננות")</f>
        <v>אזרחים וכיתות כוננות</v>
      </c>
      <c r="K330" s="5" t="str">
        <f>IFERROR(__xludf.DUMMYFUNCTION("""COMPUTED_VALUE"""),"פסטיבל נובה")</f>
        <v>פסטיבל נובה</v>
      </c>
      <c r="L330" s="3" t="str">
        <f>IFERROR(__xludf.DUMMYFUNCTION("""COMPUTED_VALUE"""),"Shahar Mantzur")</f>
        <v>Shahar Mantzur</v>
      </c>
      <c r="M330" s="5"/>
    </row>
    <row r="331">
      <c r="A331" s="3">
        <f>IFERROR(__xludf.DUMMYFUNCTION("""COMPUTED_VALUE"""),806.0)</f>
        <v>806</v>
      </c>
      <c r="B331" s="4" t="str">
        <f>IFERROR(__xludf.DUMMYFUNCTION("""COMPUTED_VALUE"""),"מנצורי נורל")</f>
        <v>מנצורי נורל</v>
      </c>
      <c r="C331" s="3">
        <f>IFERROR(__xludf.DUMMYFUNCTION("""COMPUTED_VALUE"""),25.0)</f>
        <v>25</v>
      </c>
      <c r="D331" s="5" t="str">
        <f>IFERROR(__xludf.DUMMYFUNCTION("""COMPUTED_VALUE"""),"רמת השרון")</f>
        <v>רמת השרון</v>
      </c>
      <c r="E331" s="5" t="str">
        <f>IFERROR(__xludf.DUMMYFUNCTION("""COMPUTED_VALUE"""),"אישה")</f>
        <v>אישה</v>
      </c>
      <c r="F331" s="5" t="str">
        <f>IFERROR(__xludf.DUMMYFUNCTION("""COMPUTED_VALUE"""),"אזרחים")</f>
        <v>אזרחים</v>
      </c>
      <c r="G331" s="3"/>
      <c r="H331" s="3" t="str">
        <f>IFERROR(__xludf.DUMMYFUNCTION("""COMPUTED_VALUE"""),"07.10.2023")</f>
        <v>07.10.2023</v>
      </c>
      <c r="I331" s="4" t="str">
        <f>IFERROR(__xludf.DUMMYFUNCTION("""COMPUTED_VALUE"""),"מיגונית בכניסה לרעים (מזרח)")</f>
        <v>מיגונית בכניסה לרעים (מזרח)</v>
      </c>
      <c r="J331" s="4" t="str">
        <f>IFERROR(__xludf.DUMMYFUNCTION("""COMPUTED_VALUE"""),"אזרחים וכיתות כוננות")</f>
        <v>אזרחים וכיתות כוננות</v>
      </c>
      <c r="K331" s="5" t="str">
        <f>IFERROR(__xludf.DUMMYFUNCTION("""COMPUTED_VALUE"""),"פסטיבל נובה")</f>
        <v>פסטיבל נובה</v>
      </c>
      <c r="L331" s="3" t="str">
        <f>IFERROR(__xludf.DUMMYFUNCTION("""COMPUTED_VALUE"""),"Norel Manzouri")</f>
        <v>Norel Manzouri</v>
      </c>
      <c r="M331" s="5"/>
    </row>
    <row r="332">
      <c r="A332" s="3">
        <f>IFERROR(__xludf.DUMMYFUNCTION("""COMPUTED_VALUE"""),807.0)</f>
        <v>807</v>
      </c>
      <c r="B332" s="4" t="str">
        <f>IFERROR(__xludf.DUMMYFUNCTION("""COMPUTED_VALUE"""),"מנצורי רויה")</f>
        <v>מנצורי רויה</v>
      </c>
      <c r="C332" s="3">
        <f>IFERROR(__xludf.DUMMYFUNCTION("""COMPUTED_VALUE"""),22.0)</f>
        <v>22</v>
      </c>
      <c r="D332" s="5" t="str">
        <f>IFERROR(__xludf.DUMMYFUNCTION("""COMPUTED_VALUE"""),"רמת השרון")</f>
        <v>רמת השרון</v>
      </c>
      <c r="E332" s="5" t="str">
        <f>IFERROR(__xludf.DUMMYFUNCTION("""COMPUTED_VALUE"""),"אישה")</f>
        <v>אישה</v>
      </c>
      <c r="F332" s="5" t="str">
        <f>IFERROR(__xludf.DUMMYFUNCTION("""COMPUTED_VALUE"""),"אזרחים")</f>
        <v>אזרחים</v>
      </c>
      <c r="G332" s="3"/>
      <c r="H332" s="3" t="str">
        <f>IFERROR(__xludf.DUMMYFUNCTION("""COMPUTED_VALUE"""),"07.10.2023")</f>
        <v>07.10.2023</v>
      </c>
      <c r="I332" s="4" t="str">
        <f>IFERROR(__xludf.DUMMYFUNCTION("""COMPUTED_VALUE"""),"מיגונית בכניסה לרעים (מזרח)")</f>
        <v>מיגונית בכניסה לרעים (מזרח)</v>
      </c>
      <c r="J332" s="4" t="str">
        <f>IFERROR(__xludf.DUMMYFUNCTION("""COMPUTED_VALUE"""),"אזרחים וכיתות כוננות")</f>
        <v>אזרחים וכיתות כוננות</v>
      </c>
      <c r="K332" s="5" t="str">
        <f>IFERROR(__xludf.DUMMYFUNCTION("""COMPUTED_VALUE"""),"פסטיבל נובה")</f>
        <v>פסטיבל נובה</v>
      </c>
      <c r="L332" s="3" t="str">
        <f>IFERROR(__xludf.DUMMYFUNCTION("""COMPUTED_VALUE"""),"Roya Manzouri")</f>
        <v>Roya Manzouri</v>
      </c>
      <c r="M332" s="5"/>
    </row>
    <row r="333">
      <c r="A333" s="3">
        <f>IFERROR(__xludf.DUMMYFUNCTION("""COMPUTED_VALUE"""),677.0)</f>
        <v>677</v>
      </c>
      <c r="B333" s="4" t="str">
        <f>IFERROR(__xludf.DUMMYFUNCTION("""COMPUTED_VALUE"""),"מסיאס מונטנו אנטוניו יניב")</f>
        <v>מסיאס מונטנו אנטוניו יניב</v>
      </c>
      <c r="C333" s="3">
        <f>IFERROR(__xludf.DUMMYFUNCTION("""COMPUTED_VALUE"""),28.0)</f>
        <v>28</v>
      </c>
      <c r="D333" s="5" t="str">
        <f>IFERROR(__xludf.DUMMYFUNCTION("""COMPUTED_VALUE"""),"כפר סבא")</f>
        <v>כפר סבא</v>
      </c>
      <c r="E333" s="5" t="str">
        <f>IFERROR(__xludf.DUMMYFUNCTION("""COMPUTED_VALUE"""),"גבר")</f>
        <v>גבר</v>
      </c>
      <c r="F333" s="5" t="str">
        <f>IFERROR(__xludf.DUMMYFUNCTION("""COMPUTED_VALUE"""),"אזרחים")</f>
        <v>אזרחים</v>
      </c>
      <c r="G333" s="3"/>
      <c r="H333" s="3" t="str">
        <f>IFERROR(__xludf.DUMMYFUNCTION("""COMPUTED_VALUE"""),"07.10.2023")</f>
        <v>07.10.2023</v>
      </c>
      <c r="I333" s="4" t="str">
        <f>IFERROR(__xludf.DUMMYFUNCTION("""COMPUTED_VALUE"""),"מיגונית בכניסה לרעים (מערב)")</f>
        <v>מיגונית בכניסה לרעים (מערב)</v>
      </c>
      <c r="J333" s="4" t="str">
        <f>IFERROR(__xludf.DUMMYFUNCTION("""COMPUTED_VALUE"""),"אזרחים וכיתות כוננות")</f>
        <v>אזרחים וכיתות כוננות</v>
      </c>
      <c r="K333" s="5" t="str">
        <f>IFERROR(__xludf.DUMMYFUNCTION("""COMPUTED_VALUE"""),"פסטיבל נובה")</f>
        <v>פסטיבל נובה</v>
      </c>
      <c r="L333" s="3" t="str">
        <f>IFERROR(__xludf.DUMMYFUNCTION("""COMPUTED_VALUE"""),"Yaniv Macias Montano Antonio")</f>
        <v>Yaniv Macias Montano Antonio</v>
      </c>
      <c r="M333" s="5"/>
    </row>
    <row r="334">
      <c r="A334" s="3">
        <f>IFERROR(__xludf.DUMMYFUNCTION("""COMPUTED_VALUE"""),1476.0)</f>
        <v>1476</v>
      </c>
      <c r="B334" s="4" t="str">
        <f>IFERROR(__xludf.DUMMYFUNCTION("""COMPUTED_VALUE"""),"מסיקה אדיר")</f>
        <v>מסיקה אדיר</v>
      </c>
      <c r="C334" s="3">
        <f>IFERROR(__xludf.DUMMYFUNCTION("""COMPUTED_VALUE"""),23.0)</f>
        <v>23</v>
      </c>
      <c r="D334" s="5" t="str">
        <f>IFERROR(__xludf.DUMMYFUNCTION("""COMPUTED_VALUE"""),"אבן יהודה")</f>
        <v>אבן יהודה</v>
      </c>
      <c r="E334" s="5" t="str">
        <f>IFERROR(__xludf.DUMMYFUNCTION("""COMPUTED_VALUE"""),"גבר")</f>
        <v>גבר</v>
      </c>
      <c r="F334" s="5" t="str">
        <f>IFERROR(__xludf.DUMMYFUNCTION("""COMPUTED_VALUE"""),"אזרחים")</f>
        <v>אזרחים</v>
      </c>
      <c r="G334" s="3"/>
      <c r="H334" s="3" t="str">
        <f>IFERROR(__xludf.DUMMYFUNCTION("""COMPUTED_VALUE"""),"07.10.2023")</f>
        <v>07.10.2023</v>
      </c>
      <c r="I334" s="4" t="str">
        <f>IFERROR(__xludf.DUMMYFUNCTION("""COMPUTED_VALUE"""),"מיגונית בצומת גמה (צפון)")</f>
        <v>מיגונית בצומת גמה (צפון)</v>
      </c>
      <c r="J334" s="4" t="str">
        <f>IFERROR(__xludf.DUMMYFUNCTION("""COMPUTED_VALUE"""),"אזרחים וכיתות כוננות")</f>
        <v>אזרחים וכיתות כוננות</v>
      </c>
      <c r="K334" s="5" t="str">
        <f>IFERROR(__xludf.DUMMYFUNCTION("""COMPUTED_VALUE"""),"פסטיבל נובה")</f>
        <v>פסטיבל נובה</v>
      </c>
      <c r="L334" s="3" t="str">
        <f>IFERROR(__xludf.DUMMYFUNCTION("""COMPUTED_VALUE"""),"Addir Mesika")</f>
        <v>Addir Mesika</v>
      </c>
      <c r="M334" s="5"/>
    </row>
    <row r="335">
      <c r="A335" s="3">
        <f>IFERROR(__xludf.DUMMYFUNCTION("""COMPUTED_VALUE"""),1552.0)</f>
        <v>1552</v>
      </c>
      <c r="B335" s="4" t="str">
        <f>IFERROR(__xludf.DUMMYFUNCTION("""COMPUTED_VALUE"""),"מקרצ'נקו סטיבן")</f>
        <v>מקרצ'נקו סטיבן</v>
      </c>
      <c r="C335" s="3">
        <f>IFERROR(__xludf.DUMMYFUNCTION("""COMPUTED_VALUE"""),24.0)</f>
        <v>24</v>
      </c>
      <c r="D335" s="5" t="str">
        <f>IFERROR(__xludf.DUMMYFUNCTION("""COMPUTED_VALUE"""),"כרמיאל")</f>
        <v>כרמיאל</v>
      </c>
      <c r="E335" s="5" t="str">
        <f>IFERROR(__xludf.DUMMYFUNCTION("""COMPUTED_VALUE"""),"גבר")</f>
        <v>גבר</v>
      </c>
      <c r="F335" s="5" t="str">
        <f>IFERROR(__xludf.DUMMYFUNCTION("""COMPUTED_VALUE"""),"אזרחים")</f>
        <v>אזרחים</v>
      </c>
      <c r="G335" s="3"/>
      <c r="H335" s="3" t="str">
        <f>IFERROR(__xludf.DUMMYFUNCTION("""COMPUTED_VALUE"""),"07.10.2023")</f>
        <v>07.10.2023</v>
      </c>
      <c r="I335" s="4" t="str">
        <f>IFERROR(__xludf.DUMMYFUNCTION("""COMPUTED_VALUE"""),"סמוך למפלסים")</f>
        <v>סמוך למפלסים</v>
      </c>
      <c r="J335" s="4" t="str">
        <f>IFERROR(__xludf.DUMMYFUNCTION("""COMPUTED_VALUE"""),"אזרחים וכיתות כוננות")</f>
        <v>אזרחים וכיתות כוננות</v>
      </c>
      <c r="K335" s="5" t="str">
        <f>IFERROR(__xludf.DUMMYFUNCTION("""COMPUTED_VALUE"""),"פסטיבל נובה")</f>
        <v>פסטיבל נובה</v>
      </c>
      <c r="L335" s="3" t="str">
        <f>IFERROR(__xludf.DUMMYFUNCTION("""COMPUTED_VALUE"""),"Steven Makarchenko")</f>
        <v>Steven Makarchenko</v>
      </c>
      <c r="M335" s="5"/>
    </row>
    <row r="336">
      <c r="A336" s="3">
        <f>IFERROR(__xludf.DUMMYFUNCTION("""COMPUTED_VALUE"""),1548.0)</f>
        <v>1548</v>
      </c>
      <c r="B336" s="4" t="str">
        <f>IFERROR(__xludf.DUMMYFUNCTION("""COMPUTED_VALUE"""),"מרגלית עדי")</f>
        <v>מרגלית עדי</v>
      </c>
      <c r="C336" s="3">
        <f>IFERROR(__xludf.DUMMYFUNCTION("""COMPUTED_VALUE"""),24.0)</f>
        <v>24</v>
      </c>
      <c r="D336" s="5" t="str">
        <f>IFERROR(__xludf.DUMMYFUNCTION("""COMPUTED_VALUE"""),"חניאל")</f>
        <v>חניאל</v>
      </c>
      <c r="E336" s="5" t="str">
        <f>IFERROR(__xludf.DUMMYFUNCTION("""COMPUTED_VALUE"""),"אישה")</f>
        <v>אישה</v>
      </c>
      <c r="F336" s="5" t="str">
        <f>IFERROR(__xludf.DUMMYFUNCTION("""COMPUTED_VALUE"""),"אזרחים")</f>
        <v>אזרחים</v>
      </c>
      <c r="G336" s="3"/>
      <c r="H336" s="3" t="str">
        <f>IFERROR(__xludf.DUMMYFUNCTION("""COMPUTED_VALUE"""),"07.10.2023")</f>
        <v>07.10.2023</v>
      </c>
      <c r="I336" s="4" t="str">
        <f>IFERROR(__xludf.DUMMYFUNCTION("""COMPUTED_VALUE"""),"מיגונית בצומת בארי")</f>
        <v>מיגונית בצומת בארי</v>
      </c>
      <c r="J336" s="4" t="str">
        <f>IFERROR(__xludf.DUMMYFUNCTION("""COMPUTED_VALUE"""),"אזרחים וכיתות כוננות")</f>
        <v>אזרחים וכיתות כוננות</v>
      </c>
      <c r="K336" s="5" t="str">
        <f>IFERROR(__xludf.DUMMYFUNCTION("""COMPUTED_VALUE"""),"פסטיבל נובה")</f>
        <v>פסטיבל נובה</v>
      </c>
      <c r="L336" s="3" t="str">
        <f>IFERROR(__xludf.DUMMYFUNCTION("""COMPUTED_VALUE"""),"Adi Margalit")</f>
        <v>Adi Margalit</v>
      </c>
      <c r="M336" s="5"/>
    </row>
    <row r="337">
      <c r="A337" s="3">
        <f>IFERROR(__xludf.DUMMYFUNCTION("""COMPUTED_VALUE"""),1356.0)</f>
        <v>1356</v>
      </c>
      <c r="B337" s="4" t="str">
        <f>IFERROR(__xludf.DUMMYFUNCTION("""COMPUTED_VALUE"""),"משה עדן דוד")</f>
        <v>משה עדן דוד</v>
      </c>
      <c r="C337" s="3">
        <f>IFERROR(__xludf.DUMMYFUNCTION("""COMPUTED_VALUE"""),27.0)</f>
        <v>27</v>
      </c>
      <c r="D337" s="5" t="str">
        <f>IFERROR(__xludf.DUMMYFUNCTION("""COMPUTED_VALUE"""),"בית חשמונאי")</f>
        <v>בית חשמונאי</v>
      </c>
      <c r="E337" s="5" t="str">
        <f>IFERROR(__xludf.DUMMYFUNCTION("""COMPUTED_VALUE"""),"גבר")</f>
        <v>גבר</v>
      </c>
      <c r="F337" s="5" t="str">
        <f>IFERROR(__xludf.DUMMYFUNCTION("""COMPUTED_VALUE"""),"אזרחים")</f>
        <v>אזרחים</v>
      </c>
      <c r="G337" s="3"/>
      <c r="H337" s="3" t="str">
        <f>IFERROR(__xludf.DUMMYFUNCTION("""COMPUTED_VALUE"""),"07.10.2023")</f>
        <v>07.10.2023</v>
      </c>
      <c r="I337" s="4" t="str">
        <f>IFERROR(__xludf.DUMMYFUNCTION("""COMPUTED_VALUE"""),"פסטיבל נובה; גשר נחל גרר")</f>
        <v>פסטיבל נובה; גשר נחל גרר</v>
      </c>
      <c r="J337" s="4" t="str">
        <f>IFERROR(__xludf.DUMMYFUNCTION("""COMPUTED_VALUE"""),"אזרחים וכיתות כוננות")</f>
        <v>אזרחים וכיתות כוננות</v>
      </c>
      <c r="K337" s="5" t="str">
        <f>IFERROR(__xludf.DUMMYFUNCTION("""COMPUTED_VALUE"""),"פסטיבל נובה")</f>
        <v>פסטיבל נובה</v>
      </c>
      <c r="L337" s="3" t="str">
        <f>IFERROR(__xludf.DUMMYFUNCTION("""COMPUTED_VALUE"""),"Eden David Moshe")</f>
        <v>Eden David Moshe</v>
      </c>
      <c r="M337" s="5"/>
    </row>
    <row r="338">
      <c r="A338" s="3">
        <f>IFERROR(__xludf.DUMMYFUNCTION("""COMPUTED_VALUE"""),963.0)</f>
        <v>963</v>
      </c>
      <c r="B338" s="4" t="str">
        <f>IFERROR(__xludf.DUMMYFUNCTION("""COMPUTED_VALUE"""),"נאמן דוד יאיר שלום")</f>
        <v>נאמן דוד יאיר שלום</v>
      </c>
      <c r="C338" s="3">
        <f>IFERROR(__xludf.DUMMYFUNCTION("""COMPUTED_VALUE"""),25.0)</f>
        <v>25</v>
      </c>
      <c r="D338" s="5" t="str">
        <f>IFERROR(__xludf.DUMMYFUNCTION("""COMPUTED_VALUE"""),"ירושלים")</f>
        <v>ירושלים</v>
      </c>
      <c r="E338" s="5" t="str">
        <f>IFERROR(__xludf.DUMMYFUNCTION("""COMPUTED_VALUE"""),"גבר")</f>
        <v>גבר</v>
      </c>
      <c r="F338" s="5" t="str">
        <f>IFERROR(__xludf.DUMMYFUNCTION("""COMPUTED_VALUE"""),"אזרחים")</f>
        <v>אזרחים</v>
      </c>
      <c r="G338" s="3"/>
      <c r="H338" s="3" t="str">
        <f>IFERROR(__xludf.DUMMYFUNCTION("""COMPUTED_VALUE"""),"07.10.2023")</f>
        <v>07.10.2023</v>
      </c>
      <c r="I338" s="4" t="str">
        <f>IFERROR(__xludf.DUMMYFUNCTION("""COMPUTED_VALUE"""),"פסטיבל נובה; מכולות צהובות")</f>
        <v>פסטיבל נובה; מכולות צהובות</v>
      </c>
      <c r="J338" s="4" t="str">
        <f>IFERROR(__xludf.DUMMYFUNCTION("""COMPUTED_VALUE"""),"אזרחים וכיתות כוננות")</f>
        <v>אזרחים וכיתות כוננות</v>
      </c>
      <c r="K338" s="5" t="str">
        <f>IFERROR(__xludf.DUMMYFUNCTION("""COMPUTED_VALUE"""),"פסטיבל נובה")</f>
        <v>פסטיבל נובה</v>
      </c>
      <c r="L338" s="3" t="str">
        <f>IFERROR(__xludf.DUMMYFUNCTION("""COMPUTED_VALUE"""),"David Yair Shalom Newman")</f>
        <v>David Yair Shalom Newman</v>
      </c>
      <c r="M338" s="5"/>
    </row>
    <row r="339">
      <c r="A339" s="3">
        <f>IFERROR(__xludf.DUMMYFUNCTION("""COMPUTED_VALUE"""),1441.0)</f>
        <v>1441</v>
      </c>
      <c r="B339" s="4" t="str">
        <f>IFERROR(__xludf.DUMMYFUNCTION("""COMPUTED_VALUE"""),"נבון גל")</f>
        <v>נבון גל</v>
      </c>
      <c r="C339" s="3">
        <f>IFERROR(__xludf.DUMMYFUNCTION("""COMPUTED_VALUE"""),30.0)</f>
        <v>30</v>
      </c>
      <c r="D339" s="5" t="str">
        <f>IFERROR(__xludf.DUMMYFUNCTION("""COMPUTED_VALUE"""),"רמת גן")</f>
        <v>רמת גן</v>
      </c>
      <c r="E339" s="5" t="str">
        <f>IFERROR(__xludf.DUMMYFUNCTION("""COMPUTED_VALUE"""),"גבר")</f>
        <v>גבר</v>
      </c>
      <c r="F339" s="5" t="str">
        <f>IFERROR(__xludf.DUMMYFUNCTION("""COMPUTED_VALUE"""),"אזרחים")</f>
        <v>אזרחים</v>
      </c>
      <c r="G339" s="3"/>
      <c r="H339" s="3" t="str">
        <f>IFERROR(__xludf.DUMMYFUNCTION("""COMPUTED_VALUE"""),"07.10.2023")</f>
        <v>07.10.2023</v>
      </c>
      <c r="I339" s="4" t="str">
        <f>IFERROR(__xludf.DUMMYFUNCTION("""COMPUTED_VALUE"""),"מיגונית בצומת גמה (דרום)")</f>
        <v>מיגונית בצומת גמה (דרום)</v>
      </c>
      <c r="J339" s="4" t="str">
        <f>IFERROR(__xludf.DUMMYFUNCTION("""COMPUTED_VALUE"""),"אזרחים וכיתות כוננות")</f>
        <v>אזרחים וכיתות כוננות</v>
      </c>
      <c r="K339" s="5" t="str">
        <f>IFERROR(__xludf.DUMMYFUNCTION("""COMPUTED_VALUE"""),"פסטיבל נובה")</f>
        <v>פסטיבל נובה</v>
      </c>
      <c r="L339" s="3" t="str">
        <f>IFERROR(__xludf.DUMMYFUNCTION("""COMPUTED_VALUE"""),"Gal Navon")</f>
        <v>Gal Navon</v>
      </c>
      <c r="M339" s="5"/>
    </row>
    <row r="340">
      <c r="A340" s="3">
        <f>IFERROR(__xludf.DUMMYFUNCTION("""COMPUTED_VALUE"""),900.0)</f>
        <v>900</v>
      </c>
      <c r="B340" s="4" t="str">
        <f>IFERROR(__xludf.DUMMYFUNCTION("""COMPUTED_VALUE"""),"נזרוב אילקין")</f>
        <v>נזרוב אילקין</v>
      </c>
      <c r="C340" s="3">
        <f>IFERROR(__xludf.DUMMYFUNCTION("""COMPUTED_VALUE"""),29.0)</f>
        <v>29</v>
      </c>
      <c r="D340" s="5" t="str">
        <f>IFERROR(__xludf.DUMMYFUNCTION("""COMPUTED_VALUE"""),"קריית ים")</f>
        <v>קריית ים</v>
      </c>
      <c r="E340" s="5" t="str">
        <f>IFERROR(__xludf.DUMMYFUNCTION("""COMPUTED_VALUE"""),"גבר")</f>
        <v>גבר</v>
      </c>
      <c r="F340" s="5" t="str">
        <f>IFERROR(__xludf.DUMMYFUNCTION("""COMPUTED_VALUE"""),"אזרחים")</f>
        <v>אזרחים</v>
      </c>
      <c r="G340" s="3"/>
      <c r="H340" s="3" t="str">
        <f>IFERROR(__xludf.DUMMYFUNCTION("""COMPUTED_VALUE"""),"07.10.2023")</f>
        <v>07.10.2023</v>
      </c>
      <c r="I340" s="4" t="str">
        <f>IFERROR(__xludf.DUMMYFUNCTION("""COMPUTED_VALUE"""),"פסטיבל נובה; מכולות צהובות")</f>
        <v>פסטיבל נובה; מכולות צהובות</v>
      </c>
      <c r="J340" s="4" t="str">
        <f>IFERROR(__xludf.DUMMYFUNCTION("""COMPUTED_VALUE"""),"אזרחים וכיתות כוננות")</f>
        <v>אזרחים וכיתות כוננות</v>
      </c>
      <c r="K340" s="5" t="str">
        <f>IFERROR(__xludf.DUMMYFUNCTION("""COMPUTED_VALUE"""),"פסטיבל נובה")</f>
        <v>פסטיבל נובה</v>
      </c>
      <c r="L340" s="3" t="str">
        <f>IFERROR(__xludf.DUMMYFUNCTION("""COMPUTED_VALUE"""),"Ilkin Nazarov")</f>
        <v>Ilkin Nazarov</v>
      </c>
      <c r="M340" s="5"/>
    </row>
    <row r="341">
      <c r="A341" s="3">
        <f>IFERROR(__xludf.DUMMYFUNCTION("""COMPUTED_VALUE"""),887.0)</f>
        <v>887</v>
      </c>
      <c r="B341" s="4" t="str">
        <f>IFERROR(__xludf.DUMMYFUNCTION("""COMPUTED_VALUE"""),"נחום דור")</f>
        <v>נחום דור</v>
      </c>
      <c r="C341" s="3">
        <f>IFERROR(__xludf.DUMMYFUNCTION("""COMPUTED_VALUE"""),24.0)</f>
        <v>24</v>
      </c>
      <c r="D341" s="5" t="str">
        <f>IFERROR(__xludf.DUMMYFUNCTION("""COMPUTED_VALUE"""),"מבטחים")</f>
        <v>מבטחים</v>
      </c>
      <c r="E341" s="5" t="str">
        <f>IFERROR(__xludf.DUMMYFUNCTION("""COMPUTED_VALUE"""),"גבר")</f>
        <v>גבר</v>
      </c>
      <c r="F341" s="5" t="str">
        <f>IFERROR(__xludf.DUMMYFUNCTION("""COMPUTED_VALUE"""),"אזרחים")</f>
        <v>אזרחים</v>
      </c>
      <c r="G341" s="3"/>
      <c r="H341" s="3" t="str">
        <f>IFERROR(__xludf.DUMMYFUNCTION("""COMPUTED_VALUE"""),"07.10.2023")</f>
        <v>07.10.2023</v>
      </c>
      <c r="I341" s="4" t="str">
        <f>IFERROR(__xludf.DUMMYFUNCTION("""COMPUTED_VALUE"""),"צומת מבטחים")</f>
        <v>צומת מבטחים</v>
      </c>
      <c r="J341" s="4" t="str">
        <f>IFERROR(__xludf.DUMMYFUNCTION("""COMPUTED_VALUE"""),"אזרחים וכיתות כוננות")</f>
        <v>אזרחים וכיתות כוננות</v>
      </c>
      <c r="K341" s="5" t="str">
        <f>IFERROR(__xludf.DUMMYFUNCTION("""COMPUTED_VALUE"""),"פסטיבל נובה")</f>
        <v>פסטיבל נובה</v>
      </c>
      <c r="L341" s="3" t="str">
        <f>IFERROR(__xludf.DUMMYFUNCTION("""COMPUTED_VALUE"""),"Dor Nahum")</f>
        <v>Dor Nahum</v>
      </c>
      <c r="M341" s="5"/>
    </row>
    <row r="342">
      <c r="A342" s="3">
        <f>IFERROR(__xludf.DUMMYFUNCTION("""COMPUTED_VALUE"""),813.0)</f>
        <v>813</v>
      </c>
      <c r="B342" s="4" t="str">
        <f>IFERROR(__xludf.DUMMYFUNCTION("""COMPUTED_VALUE"""),"נידג'לסקי גלזר חנני")</f>
        <v>נידג'לסקי גלזר חנני</v>
      </c>
      <c r="C342" s="3">
        <f>IFERROR(__xludf.DUMMYFUNCTION("""COMPUTED_VALUE"""),23.0)</f>
        <v>23</v>
      </c>
      <c r="D342" s="5" t="str">
        <f>IFERROR(__xludf.DUMMYFUNCTION("""COMPUTED_VALUE"""),"פתח תקווה")</f>
        <v>פתח תקווה</v>
      </c>
      <c r="E342" s="5" t="str">
        <f>IFERROR(__xludf.DUMMYFUNCTION("""COMPUTED_VALUE"""),"גבר")</f>
        <v>גבר</v>
      </c>
      <c r="F342" s="5" t="str">
        <f>IFERROR(__xludf.DUMMYFUNCTION("""COMPUTED_VALUE"""),"אזרחים")</f>
        <v>אזרחים</v>
      </c>
      <c r="G342" s="3"/>
      <c r="H342" s="3" t="str">
        <f>IFERROR(__xludf.DUMMYFUNCTION("""COMPUTED_VALUE"""),"07.10.2023")</f>
        <v>07.10.2023</v>
      </c>
      <c r="I342" s="4" t="str">
        <f>IFERROR(__xludf.DUMMYFUNCTION("""COMPUTED_VALUE"""),"מיגונית בכניסה לרעים (מזרח)")</f>
        <v>מיגונית בכניסה לרעים (מזרח)</v>
      </c>
      <c r="J342" s="4" t="str">
        <f>IFERROR(__xludf.DUMMYFUNCTION("""COMPUTED_VALUE"""),"אזרחים וכיתות כוננות")</f>
        <v>אזרחים וכיתות כוננות</v>
      </c>
      <c r="K342" s="5" t="str">
        <f>IFERROR(__xludf.DUMMYFUNCTION("""COMPUTED_VALUE"""),"פסטיבל נובה")</f>
        <v>פסטיבל נובה</v>
      </c>
      <c r="L342" s="3" t="str">
        <f>IFERROR(__xludf.DUMMYFUNCTION("""COMPUTED_VALUE"""),"Ranani Glazer")</f>
        <v>Ranani Glazer</v>
      </c>
      <c r="M342" s="5"/>
    </row>
    <row r="343">
      <c r="A343" s="3">
        <f>IFERROR(__xludf.DUMMYFUNCTION("""COMPUTED_VALUE"""),1471.0)</f>
        <v>1471</v>
      </c>
      <c r="B343" s="4" t="str">
        <f>IFERROR(__xludf.DUMMYFUNCTION("""COMPUTED_VALUE"""),"ניימן רותם")</f>
        <v>ניימן רותם</v>
      </c>
      <c r="C343" s="3">
        <f>IFERROR(__xludf.DUMMYFUNCTION("""COMPUTED_VALUE"""),25.0)</f>
        <v>25</v>
      </c>
      <c r="D343" s="5" t="str">
        <f>IFERROR(__xludf.DUMMYFUNCTION("""COMPUTED_VALUE"""),"כפר הס")</f>
        <v>כפר הס</v>
      </c>
      <c r="E343" s="5" t="str">
        <f>IFERROR(__xludf.DUMMYFUNCTION("""COMPUTED_VALUE"""),"אישה")</f>
        <v>אישה</v>
      </c>
      <c r="F343" s="5" t="str">
        <f>IFERROR(__xludf.DUMMYFUNCTION("""COMPUTED_VALUE"""),"אזרחים")</f>
        <v>אזרחים</v>
      </c>
      <c r="G343" s="3"/>
      <c r="H343" s="3" t="str">
        <f>IFERROR(__xludf.DUMMYFUNCTION("""COMPUTED_VALUE"""),"07.10.2023")</f>
        <v>07.10.2023</v>
      </c>
      <c r="I343" s="4" t="str">
        <f>IFERROR(__xludf.DUMMYFUNCTION("""COMPUTED_VALUE"""),"מיגונית בכניסה לרעים (מזרח)")</f>
        <v>מיגונית בכניסה לרעים (מזרח)</v>
      </c>
      <c r="J343" s="4" t="str">
        <f>IFERROR(__xludf.DUMMYFUNCTION("""COMPUTED_VALUE"""),"אזרחים וכיתות כוננות")</f>
        <v>אזרחים וכיתות כוננות</v>
      </c>
      <c r="K343" s="5" t="str">
        <f>IFERROR(__xludf.DUMMYFUNCTION("""COMPUTED_VALUE"""),"פסטיבל נובה")</f>
        <v>פסטיבל נובה</v>
      </c>
      <c r="L343" s="3" t="str">
        <f>IFERROR(__xludf.DUMMYFUNCTION("""COMPUTED_VALUE"""),"Rotem Neumann")</f>
        <v>Rotem Neumann</v>
      </c>
      <c r="M343" s="5"/>
    </row>
    <row r="344">
      <c r="A344" s="3">
        <f>IFERROR(__xludf.DUMMYFUNCTION("""COMPUTED_VALUE"""),815.0)</f>
        <v>815</v>
      </c>
      <c r="B344" s="4" t="str">
        <f>IFERROR(__xludf.DUMMYFUNCTION("""COMPUTED_VALUE"""),"ניסימבוים (כרמלי) ג'ני")</f>
        <v>ניסימבוים (כרמלי) ג'ני</v>
      </c>
      <c r="C344" s="3">
        <f>IFERROR(__xludf.DUMMYFUNCTION("""COMPUTED_VALUE"""),32.0)</f>
        <v>32</v>
      </c>
      <c r="D344" s="5" t="str">
        <f>IFERROR(__xludf.DUMMYFUNCTION("""COMPUTED_VALUE"""),"בת ים")</f>
        <v>בת ים</v>
      </c>
      <c r="E344" s="5" t="str">
        <f>IFERROR(__xludf.DUMMYFUNCTION("""COMPUTED_VALUE"""),"אישה")</f>
        <v>אישה</v>
      </c>
      <c r="F344" s="5" t="str">
        <f>IFERROR(__xludf.DUMMYFUNCTION("""COMPUTED_VALUE"""),"אזרחים")</f>
        <v>אזרחים</v>
      </c>
      <c r="G344" s="3"/>
      <c r="H344" s="3" t="str">
        <f>IFERROR(__xludf.DUMMYFUNCTION("""COMPUTED_VALUE"""),"07.10.2023")</f>
        <v>07.10.2023</v>
      </c>
      <c r="I344" s="4" t="str">
        <f>IFERROR(__xludf.DUMMYFUNCTION("""COMPUTED_VALUE"""),"פסטיבל נובה; בר צפוני")</f>
        <v>פסטיבל נובה; בר צפוני</v>
      </c>
      <c r="J344" s="4" t="str">
        <f>IFERROR(__xludf.DUMMYFUNCTION("""COMPUTED_VALUE"""),"אזרחים וכיתות כוננות")</f>
        <v>אזרחים וכיתות כוננות</v>
      </c>
      <c r="K344" s="5" t="str">
        <f>IFERROR(__xludf.DUMMYFUNCTION("""COMPUTED_VALUE"""),"פסטיבל נובה")</f>
        <v>פסטיבל נובה</v>
      </c>
      <c r="L344" s="3" t="str">
        <f>IFERROR(__xludf.DUMMYFUNCTION("""COMPUTED_VALUE"""),"Jenny Nisimboim Carmeli")</f>
        <v>Jenny Nisimboim Carmeli</v>
      </c>
      <c r="M344" s="5"/>
    </row>
    <row r="345">
      <c r="A345" s="3">
        <f>IFERROR(__xludf.DUMMYFUNCTION("""COMPUTED_VALUE"""),814.0)</f>
        <v>814</v>
      </c>
      <c r="B345" s="4" t="str">
        <f>IFERROR(__xludf.DUMMYFUNCTION("""COMPUTED_VALUE"""),"ניסן לירז")</f>
        <v>ניסן לירז</v>
      </c>
      <c r="C345" s="3">
        <f>IFERROR(__xludf.DUMMYFUNCTION("""COMPUTED_VALUE"""),20.0)</f>
        <v>20</v>
      </c>
      <c r="D345" s="5" t="str">
        <f>IFERROR(__xludf.DUMMYFUNCTION("""COMPUTED_VALUE"""),"כרמיאל")</f>
        <v>כרמיאל</v>
      </c>
      <c r="E345" s="5" t="str">
        <f>IFERROR(__xludf.DUMMYFUNCTION("""COMPUTED_VALUE"""),"אישה")</f>
        <v>אישה</v>
      </c>
      <c r="F345" s="5" t="str">
        <f>IFERROR(__xludf.DUMMYFUNCTION("""COMPUTED_VALUE"""),"אזרחים")</f>
        <v>אזרחים</v>
      </c>
      <c r="G345" s="3"/>
      <c r="H345" s="3" t="str">
        <f>IFERROR(__xludf.DUMMYFUNCTION("""COMPUTED_VALUE"""),"07.10.2023")</f>
        <v>07.10.2023</v>
      </c>
      <c r="I345" s="4" t="str">
        <f>IFERROR(__xludf.DUMMYFUNCTION("""COMPUTED_VALUE"""),"מיגונית בצומת בארי")</f>
        <v>מיגונית בצומת בארי</v>
      </c>
      <c r="J345" s="4" t="str">
        <f>IFERROR(__xludf.DUMMYFUNCTION("""COMPUTED_VALUE"""),"אזרחים וכיתות כוננות")</f>
        <v>אזרחים וכיתות כוננות</v>
      </c>
      <c r="K345" s="5" t="str">
        <f>IFERROR(__xludf.DUMMYFUNCTION("""COMPUTED_VALUE"""),"פסטיבל נובה")</f>
        <v>פסטיבל נובה</v>
      </c>
      <c r="L345" s="3" t="str">
        <f>IFERROR(__xludf.DUMMYFUNCTION("""COMPUTED_VALUE"""),"Liraz Nissan")</f>
        <v>Liraz Nissan</v>
      </c>
      <c r="M345" s="5"/>
    </row>
    <row r="346">
      <c r="A346" s="3">
        <f>IFERROR(__xludf.DUMMYFUNCTION("""COMPUTED_VALUE"""),812.0)</f>
        <v>812</v>
      </c>
      <c r="B346" s="4" t="str">
        <f>IFERROR(__xludf.DUMMYFUNCTION("""COMPUTED_VALUE"""),"נעים מאי")</f>
        <v>נעים מאי</v>
      </c>
      <c r="C346" s="3">
        <f>IFERROR(__xludf.DUMMYFUNCTION("""COMPUTED_VALUE"""),24.0)</f>
        <v>24</v>
      </c>
      <c r="D346" s="5" t="str">
        <f>IFERROR(__xludf.DUMMYFUNCTION("""COMPUTED_VALUE"""),"גן חיים")</f>
        <v>גן חיים</v>
      </c>
      <c r="E346" s="5" t="str">
        <f>IFERROR(__xludf.DUMMYFUNCTION("""COMPUTED_VALUE"""),"אישה")</f>
        <v>אישה</v>
      </c>
      <c r="F346" s="5" t="str">
        <f>IFERROR(__xludf.DUMMYFUNCTION("""COMPUTED_VALUE"""),"אזרחים")</f>
        <v>אזרחים</v>
      </c>
      <c r="G346" s="3"/>
      <c r="H346" s="3" t="str">
        <f>IFERROR(__xludf.DUMMYFUNCTION("""COMPUTED_VALUE"""),"07.10.2023")</f>
        <v>07.10.2023</v>
      </c>
      <c r="I346" s="4" t="str">
        <f>IFERROR(__xludf.DUMMYFUNCTION("""COMPUTED_VALUE"""),"מיגונית בצומת בארי")</f>
        <v>מיגונית בצומת בארי</v>
      </c>
      <c r="J346" s="4" t="str">
        <f>IFERROR(__xludf.DUMMYFUNCTION("""COMPUTED_VALUE"""),"אזרחים וכיתות כוננות")</f>
        <v>אזרחים וכיתות כוננות</v>
      </c>
      <c r="K346" s="5" t="str">
        <f>IFERROR(__xludf.DUMMYFUNCTION("""COMPUTED_VALUE"""),"פסטיבל נובה")</f>
        <v>פסטיבל נובה</v>
      </c>
      <c r="L346" s="3" t="str">
        <f>IFERROR(__xludf.DUMMYFUNCTION("""COMPUTED_VALUE"""),"May Naim")</f>
        <v>May Naim</v>
      </c>
      <c r="M346" s="5"/>
    </row>
    <row r="347">
      <c r="A347" s="3">
        <f>IFERROR(__xludf.DUMMYFUNCTION("""COMPUTED_VALUE"""),811.0)</f>
        <v>811</v>
      </c>
      <c r="B347" s="4" t="str">
        <f>IFERROR(__xludf.DUMMYFUNCTION("""COMPUTED_VALUE"""),"נפתלי עדן")</f>
        <v>נפתלי עדן</v>
      </c>
      <c r="C347" s="3">
        <f>IFERROR(__xludf.DUMMYFUNCTION("""COMPUTED_VALUE"""),23.0)</f>
        <v>23</v>
      </c>
      <c r="D347" s="5" t="str">
        <f>IFERROR(__xludf.DUMMYFUNCTION("""COMPUTED_VALUE"""),"ראשון לציון")</f>
        <v>ראשון לציון</v>
      </c>
      <c r="E347" s="5" t="str">
        <f>IFERROR(__xludf.DUMMYFUNCTION("""COMPUTED_VALUE"""),"אישה")</f>
        <v>אישה</v>
      </c>
      <c r="F347" s="5" t="str">
        <f>IFERROR(__xludf.DUMMYFUNCTION("""COMPUTED_VALUE"""),"אזרחים")</f>
        <v>אזרחים</v>
      </c>
      <c r="G347" s="3"/>
      <c r="H347" s="3" t="str">
        <f>IFERROR(__xludf.DUMMYFUNCTION("""COMPUTED_VALUE"""),"07.10.2023")</f>
        <v>07.10.2023</v>
      </c>
      <c r="I347" s="4" t="str">
        <f>IFERROR(__xludf.DUMMYFUNCTION("""COMPUTED_VALUE"""),"מיגונית בכניסה לרעים (מזרח)")</f>
        <v>מיגונית בכניסה לרעים (מזרח)</v>
      </c>
      <c r="J347" s="4" t="str">
        <f>IFERROR(__xludf.DUMMYFUNCTION("""COMPUTED_VALUE"""),"אזרחים וכיתות כוננות")</f>
        <v>אזרחים וכיתות כוננות</v>
      </c>
      <c r="K347" s="5" t="str">
        <f>IFERROR(__xludf.DUMMYFUNCTION("""COMPUTED_VALUE"""),"פסטיבל נובה")</f>
        <v>פסטיבל נובה</v>
      </c>
      <c r="L347" s="3" t="str">
        <f>IFERROR(__xludf.DUMMYFUNCTION("""COMPUTED_VALUE"""),"Eden Naftali")</f>
        <v>Eden Naftali</v>
      </c>
      <c r="M347" s="5"/>
    </row>
    <row r="348">
      <c r="A348" s="3">
        <f>IFERROR(__xludf.DUMMYFUNCTION("""COMPUTED_VALUE"""),918.0)</f>
        <v>918</v>
      </c>
      <c r="B348" s="4" t="str">
        <f>IFERROR(__xludf.DUMMYFUNCTION("""COMPUTED_VALUE"""),"נקמולי בר ליאור (ברלי)")</f>
        <v>נקמולי בר ליאור (ברלי)</v>
      </c>
      <c r="C348" s="3">
        <f>IFERROR(__xludf.DUMMYFUNCTION("""COMPUTED_VALUE"""),27.0)</f>
        <v>27</v>
      </c>
      <c r="D348" s="5" t="str">
        <f>IFERROR(__xludf.DUMMYFUNCTION("""COMPUTED_VALUE"""),"רחובות")</f>
        <v>רחובות</v>
      </c>
      <c r="E348" s="5" t="str">
        <f>IFERROR(__xludf.DUMMYFUNCTION("""COMPUTED_VALUE"""),"גבר")</f>
        <v>גבר</v>
      </c>
      <c r="F348" s="5" t="str">
        <f>IFERROR(__xludf.DUMMYFUNCTION("""COMPUTED_VALUE"""),"אזרחים")</f>
        <v>אזרחים</v>
      </c>
      <c r="G348" s="3"/>
      <c r="H348" s="3" t="str">
        <f>IFERROR(__xludf.DUMMYFUNCTION("""COMPUTED_VALUE"""),"07.10.2023")</f>
        <v>07.10.2023</v>
      </c>
      <c r="I348" s="4" t="str">
        <f>IFERROR(__xludf.DUMMYFUNCTION("""COMPUTED_VALUE"""),"צפונית לצומת גמה")</f>
        <v>צפונית לצומת גמה</v>
      </c>
      <c r="J348" s="4" t="str">
        <f>IFERROR(__xludf.DUMMYFUNCTION("""COMPUTED_VALUE"""),"אזרחים וכיתות כוננות")</f>
        <v>אזרחים וכיתות כוננות</v>
      </c>
      <c r="K348" s="5" t="str">
        <f>IFERROR(__xludf.DUMMYFUNCTION("""COMPUTED_VALUE"""),"פסטיבל נובה")</f>
        <v>פסטיבל נובה</v>
      </c>
      <c r="L348" s="3" t="str">
        <f>IFERROR(__xludf.DUMMYFUNCTION("""COMPUTED_VALUE"""),"Bar Lior Nakmoli")</f>
        <v>Bar Lior Nakmoli</v>
      </c>
      <c r="M348" s="5"/>
    </row>
    <row r="349">
      <c r="A349" s="3">
        <f>IFERROR(__xludf.DUMMYFUNCTION("""COMPUTED_VALUE"""),871.0)</f>
        <v>871</v>
      </c>
      <c r="B349" s="4" t="str">
        <f>IFERROR(__xludf.DUMMYFUNCTION("""COMPUTED_VALUE"""),"סבידיה שלומי")</f>
        <v>סבידיה שלומי</v>
      </c>
      <c r="C349" s="3">
        <f>IFERROR(__xludf.DUMMYFUNCTION("""COMPUTED_VALUE"""),37.0)</f>
        <v>37</v>
      </c>
      <c r="D349" s="5" t="str">
        <f>IFERROR(__xludf.DUMMYFUNCTION("""COMPUTED_VALUE"""),"גני תקווה")</f>
        <v>גני תקווה</v>
      </c>
      <c r="E349" s="5" t="str">
        <f>IFERROR(__xludf.DUMMYFUNCTION("""COMPUTED_VALUE"""),"גבר")</f>
        <v>גבר</v>
      </c>
      <c r="F349" s="5" t="str">
        <f>IFERROR(__xludf.DUMMYFUNCTION("""COMPUTED_VALUE"""),"אזרחים")</f>
        <v>אזרחים</v>
      </c>
      <c r="G349" s="3"/>
      <c r="H349" s="3" t="str">
        <f>IFERROR(__xludf.DUMMYFUNCTION("""COMPUTED_VALUE"""),"07.10.2023")</f>
        <v>07.10.2023</v>
      </c>
      <c r="I349" s="4" t="str">
        <f>IFERROR(__xludf.DUMMYFUNCTION("""COMPUTED_VALUE"""),"כביש רעים - צומת מעון")</f>
        <v>כביש רעים - צומת מעון</v>
      </c>
      <c r="J349" s="4" t="str">
        <f>IFERROR(__xludf.DUMMYFUNCTION("""COMPUTED_VALUE"""),"אזרחים וכיתות כוננות")</f>
        <v>אזרחים וכיתות כוננות</v>
      </c>
      <c r="K349" s="5" t="str">
        <f>IFERROR(__xludf.DUMMYFUNCTION("""COMPUTED_VALUE"""),"פסטיבל נובה")</f>
        <v>פסטיבל נובה</v>
      </c>
      <c r="L349" s="3" t="str">
        <f>IFERROR(__xludf.DUMMYFUNCTION("""COMPUTED_VALUE"""),"Shlomi Svidia")</f>
        <v>Shlomi Svidia</v>
      </c>
      <c r="M349" s="5"/>
    </row>
    <row r="350">
      <c r="A350" s="3">
        <f>IFERROR(__xludf.DUMMYFUNCTION("""COMPUTED_VALUE"""),872.0)</f>
        <v>872</v>
      </c>
      <c r="B350" s="4" t="str">
        <f>IFERROR(__xludf.DUMMYFUNCTION("""COMPUTED_VALUE"""),"סוויסה מוריה אור")</f>
        <v>סוויסה מוריה אור</v>
      </c>
      <c r="C350" s="3">
        <f>IFERROR(__xludf.DUMMYFUNCTION("""COMPUTED_VALUE"""),23.0)</f>
        <v>23</v>
      </c>
      <c r="D350" s="5" t="str">
        <f>IFERROR(__xludf.DUMMYFUNCTION("""COMPUTED_VALUE"""),"גבעת זאב")</f>
        <v>גבעת זאב</v>
      </c>
      <c r="E350" s="5" t="str">
        <f>IFERROR(__xludf.DUMMYFUNCTION("""COMPUTED_VALUE"""),"אישה")</f>
        <v>אישה</v>
      </c>
      <c r="F350" s="5" t="str">
        <f>IFERROR(__xludf.DUMMYFUNCTION("""COMPUTED_VALUE"""),"אזרחים")</f>
        <v>אזרחים</v>
      </c>
      <c r="G350" s="3"/>
      <c r="H350" s="3" t="str">
        <f>IFERROR(__xludf.DUMMYFUNCTION("""COMPUTED_VALUE"""),"07.10.2023")</f>
        <v>07.10.2023</v>
      </c>
      <c r="I350" s="4" t="str">
        <f>IFERROR(__xludf.DUMMYFUNCTION("""COMPUTED_VALUE"""),"פסטיבל נובה; אמבולנס")</f>
        <v>פסטיבל נובה; אמבולנס</v>
      </c>
      <c r="J350" s="4" t="str">
        <f>IFERROR(__xludf.DUMMYFUNCTION("""COMPUTED_VALUE"""),"אזרחים וכיתות כוננות")</f>
        <v>אזרחים וכיתות כוננות</v>
      </c>
      <c r="K350" s="5" t="str">
        <f>IFERROR(__xludf.DUMMYFUNCTION("""COMPUTED_VALUE"""),"פסטיבל נובה")</f>
        <v>פסטיבל נובה</v>
      </c>
      <c r="L350" s="3" t="str">
        <f>IFERROR(__xludf.DUMMYFUNCTION("""COMPUTED_VALUE"""),"Moriya Or Swisa")</f>
        <v>Moriya Or Swisa</v>
      </c>
      <c r="M350" s="5"/>
    </row>
    <row r="351">
      <c r="A351" s="3">
        <f>IFERROR(__xludf.DUMMYFUNCTION("""COMPUTED_VALUE"""),897.0)</f>
        <v>897</v>
      </c>
      <c r="B351" s="4" t="str">
        <f>IFERROR(__xludf.DUMMYFUNCTION("""COMPUTED_VALUE"""),"סולומון הילי")</f>
        <v>סולומון הילי</v>
      </c>
      <c r="C351" s="3">
        <f>IFERROR(__xludf.DUMMYFUNCTION("""COMPUTED_VALUE"""),27.0)</f>
        <v>27</v>
      </c>
      <c r="D351" s="5" t="str">
        <f>IFERROR(__xludf.DUMMYFUNCTION("""COMPUTED_VALUE"""),"כפר יונה")</f>
        <v>כפר יונה</v>
      </c>
      <c r="E351" s="5" t="str">
        <f>IFERROR(__xludf.DUMMYFUNCTION("""COMPUTED_VALUE"""),"אישה")</f>
        <v>אישה</v>
      </c>
      <c r="F351" s="5" t="str">
        <f>IFERROR(__xludf.DUMMYFUNCTION("""COMPUTED_VALUE"""),"אזרחים")</f>
        <v>אזרחים</v>
      </c>
      <c r="G351" s="3"/>
      <c r="H351" s="3" t="str">
        <f>IFERROR(__xludf.DUMMYFUNCTION("""COMPUTED_VALUE"""),"07.10.2023")</f>
        <v>07.10.2023</v>
      </c>
      <c r="I351" s="4" t="str">
        <f>IFERROR(__xludf.DUMMYFUNCTION("""COMPUTED_VALUE"""),"פסטיבל נובה")</f>
        <v>פסטיבל נובה</v>
      </c>
      <c r="J351" s="4" t="str">
        <f>IFERROR(__xludf.DUMMYFUNCTION("""COMPUTED_VALUE"""),"אזרחים וכיתות כוננות")</f>
        <v>אזרחים וכיתות כוננות</v>
      </c>
      <c r="K351" s="5" t="str">
        <f>IFERROR(__xludf.DUMMYFUNCTION("""COMPUTED_VALUE"""),"פסטיבל נובה")</f>
        <v>פסטיבל נובה</v>
      </c>
      <c r="L351" s="3" t="str">
        <f>IFERROR(__xludf.DUMMYFUNCTION("""COMPUTED_VALUE"""),"Hilly Solomon")</f>
        <v>Hilly Solomon</v>
      </c>
      <c r="M351" s="5"/>
    </row>
    <row r="352">
      <c r="A352" s="3">
        <f>IFERROR(__xludf.DUMMYFUNCTION("""COMPUTED_VALUE"""),1523.0)</f>
        <v>1523</v>
      </c>
      <c r="B352" s="4" t="str">
        <f>IFERROR(__xludf.DUMMYFUNCTION("""COMPUTED_VALUE"""),"סטלזר מנדס קרלה")</f>
        <v>סטלזר מנדס קרלה</v>
      </c>
      <c r="C352" s="3">
        <f>IFERROR(__xludf.DUMMYFUNCTION("""COMPUTED_VALUE"""),42.0)</f>
        <v>42</v>
      </c>
      <c r="D352" s="5" t="str">
        <f>IFERROR(__xludf.DUMMYFUNCTION("""COMPUTED_VALUE"""),"קריית מלאכי")</f>
        <v>קריית מלאכי</v>
      </c>
      <c r="E352" s="5" t="str">
        <f>IFERROR(__xludf.DUMMYFUNCTION("""COMPUTED_VALUE"""),"אישה")</f>
        <v>אישה</v>
      </c>
      <c r="F352" s="5" t="str">
        <f>IFERROR(__xludf.DUMMYFUNCTION("""COMPUTED_VALUE"""),"אזרחים")</f>
        <v>אזרחים</v>
      </c>
      <c r="G352" s="3"/>
      <c r="H352" s="3" t="str">
        <f>IFERROR(__xludf.DUMMYFUNCTION("""COMPUTED_VALUE"""),"07.10.2023")</f>
        <v>07.10.2023</v>
      </c>
      <c r="I352" s="4" t="str">
        <f>IFERROR(__xludf.DUMMYFUNCTION("""COMPUTED_VALUE"""),"כביש עלומים - בארי")</f>
        <v>כביש עלומים - בארי</v>
      </c>
      <c r="J352" s="4" t="str">
        <f>IFERROR(__xludf.DUMMYFUNCTION("""COMPUTED_VALUE"""),"אזרחים וכיתות כוננות")</f>
        <v>אזרחים וכיתות כוננות</v>
      </c>
      <c r="K352" s="5" t="str">
        <f>IFERROR(__xludf.DUMMYFUNCTION("""COMPUTED_VALUE"""),"פסטיבל נובה")</f>
        <v>פסטיבל נובה</v>
      </c>
      <c r="L352" s="3" t="str">
        <f>IFERROR(__xludf.DUMMYFUNCTION("""COMPUTED_VALUE"""),"Karla Stelzer")</f>
        <v>Karla Stelzer</v>
      </c>
      <c r="M352" s="5"/>
    </row>
    <row r="353">
      <c r="A353" s="3">
        <f>IFERROR(__xludf.DUMMYFUNCTION("""COMPUTED_VALUE"""),870.0)</f>
        <v>870</v>
      </c>
      <c r="B353" s="4" t="str">
        <f>IFERROR(__xludf.DUMMYFUNCTION("""COMPUTED_VALUE"""),"סטרוסטה תומר")</f>
        <v>סטרוסטה תומר</v>
      </c>
      <c r="C353" s="3">
        <f>IFERROR(__xludf.DUMMYFUNCTION("""COMPUTED_VALUE"""),23.0)</f>
        <v>23</v>
      </c>
      <c r="D353" s="5" t="str">
        <f>IFERROR(__xludf.DUMMYFUNCTION("""COMPUTED_VALUE"""),"חולון")</f>
        <v>חולון</v>
      </c>
      <c r="E353" s="5" t="str">
        <f>IFERROR(__xludf.DUMMYFUNCTION("""COMPUTED_VALUE"""),"גבר")</f>
        <v>גבר</v>
      </c>
      <c r="F353" s="5" t="str">
        <f>IFERROR(__xludf.DUMMYFUNCTION("""COMPUTED_VALUE"""),"אזרחים")</f>
        <v>אזרחים</v>
      </c>
      <c r="G353" s="3"/>
      <c r="H353" s="3" t="str">
        <f>IFERROR(__xludf.DUMMYFUNCTION("""COMPUTED_VALUE"""),"07.10.2023")</f>
        <v>07.10.2023</v>
      </c>
      <c r="I353" s="4" t="str">
        <f>IFERROR(__xludf.DUMMYFUNCTION("""COMPUTED_VALUE"""),"פסטיבל נובה; חסימה בכביש 232")</f>
        <v>פסטיבל נובה; חסימה בכביש 232</v>
      </c>
      <c r="J353" s="4" t="str">
        <f>IFERROR(__xludf.DUMMYFUNCTION("""COMPUTED_VALUE"""),"אזרחים וכיתות כוננות")</f>
        <v>אזרחים וכיתות כוננות</v>
      </c>
      <c r="K353" s="5" t="str">
        <f>IFERROR(__xludf.DUMMYFUNCTION("""COMPUTED_VALUE"""),"פסטיבל נובה")</f>
        <v>פסטיבל נובה</v>
      </c>
      <c r="L353" s="3" t="str">
        <f>IFERROR(__xludf.DUMMYFUNCTION("""COMPUTED_VALUE"""),"Tomer Strosta")</f>
        <v>Tomer Strosta</v>
      </c>
      <c r="M353" s="5"/>
    </row>
    <row r="354">
      <c r="A354" s="3">
        <f>IFERROR(__xludf.DUMMYFUNCTION("""COMPUTED_VALUE"""),2003.0)</f>
        <v>2003</v>
      </c>
      <c r="B354" s="4" t="str">
        <f>IFERROR(__xludf.DUMMYFUNCTION("""COMPUTED_VALUE"""),"סלומון יעקב")</f>
        <v>סלומון יעקב</v>
      </c>
      <c r="C354" s="3">
        <f>IFERROR(__xludf.DUMMYFUNCTION("""COMPUTED_VALUE"""),60.0)</f>
        <v>60</v>
      </c>
      <c r="D354" s="5" t="str">
        <f>IFERROR(__xludf.DUMMYFUNCTION("""COMPUTED_VALUE"""),"גבעתי")</f>
        <v>גבעתי</v>
      </c>
      <c r="E354" s="5" t="str">
        <f>IFERROR(__xludf.DUMMYFUNCTION("""COMPUTED_VALUE"""),"גבר")</f>
        <v>גבר</v>
      </c>
      <c r="F354" s="5" t="str">
        <f>IFERROR(__xludf.DUMMYFUNCTION("""COMPUTED_VALUE"""),"אזרחים")</f>
        <v>אזרחים</v>
      </c>
      <c r="G354" s="3"/>
      <c r="H354" s="3" t="str">
        <f>IFERROR(__xludf.DUMMYFUNCTION("""COMPUTED_VALUE"""),"07.10.2023")</f>
        <v>07.10.2023</v>
      </c>
      <c r="I354" s="4" t="str">
        <f>IFERROR(__xludf.DUMMYFUNCTION("""COMPUTED_VALUE"""),"פסטיבל נובה")</f>
        <v>פסטיבל נובה</v>
      </c>
      <c r="J354" s="4" t="str">
        <f>IFERROR(__xludf.DUMMYFUNCTION("""COMPUTED_VALUE"""),"אזרחים וכיתות כוננות")</f>
        <v>אזרחים וכיתות כוננות</v>
      </c>
      <c r="K354" s="5" t="str">
        <f>IFERROR(__xludf.DUMMYFUNCTION("""COMPUTED_VALUE"""),"פסטיבל נובה")</f>
        <v>פסטיבל נובה</v>
      </c>
      <c r="L354" s="3" t="str">
        <f>IFERROR(__xludf.DUMMYFUNCTION("""COMPUTED_VALUE"""),"Yaakov Salomon")</f>
        <v>Yaakov Salomon</v>
      </c>
      <c r="M354" s="5"/>
    </row>
    <row r="355">
      <c r="A355" s="3">
        <f>IFERROR(__xludf.DUMMYFUNCTION("""COMPUTED_VALUE"""),1533.0)</f>
        <v>1533</v>
      </c>
      <c r="B355" s="4" t="str">
        <f>IFERROR(__xludf.DUMMYFUNCTION("""COMPUTED_VALUE"""),"סלע רם")</f>
        <v>סלע רם</v>
      </c>
      <c r="C355" s="3">
        <f>IFERROR(__xludf.DUMMYFUNCTION("""COMPUTED_VALUE"""),33.0)</f>
        <v>33</v>
      </c>
      <c r="D355" s="5" t="str">
        <f>IFERROR(__xludf.DUMMYFUNCTION("""COMPUTED_VALUE"""),"נווה אור")</f>
        <v>נווה אור</v>
      </c>
      <c r="E355" s="5" t="str">
        <f>IFERROR(__xludf.DUMMYFUNCTION("""COMPUTED_VALUE"""),"גבר")</f>
        <v>גבר</v>
      </c>
      <c r="F355" s="5" t="str">
        <f>IFERROR(__xludf.DUMMYFUNCTION("""COMPUTED_VALUE"""),"אזרחים")</f>
        <v>אזרחים</v>
      </c>
      <c r="G355" s="3"/>
      <c r="H355" s="3" t="str">
        <f>IFERROR(__xludf.DUMMYFUNCTION("""COMPUTED_VALUE"""),"07.10.2023")</f>
        <v>07.10.2023</v>
      </c>
      <c r="I355" s="4" t="str">
        <f>IFERROR(__xludf.DUMMYFUNCTION("""COMPUTED_VALUE"""),"פסטיבל נובה")</f>
        <v>פסטיבל נובה</v>
      </c>
      <c r="J355" s="4" t="str">
        <f>IFERROR(__xludf.DUMMYFUNCTION("""COMPUTED_VALUE"""),"אזרחים וכיתות כוננות")</f>
        <v>אזרחים וכיתות כוננות</v>
      </c>
      <c r="K355" s="5" t="str">
        <f>IFERROR(__xludf.DUMMYFUNCTION("""COMPUTED_VALUE"""),"פסטיבל נובה")</f>
        <v>פסטיבל נובה</v>
      </c>
      <c r="L355" s="3" t="str">
        <f>IFERROR(__xludf.DUMMYFUNCTION("""COMPUTED_VALUE"""),"Ram (Nesher) Sela")</f>
        <v>Ram (Nesher) Sela</v>
      </c>
      <c r="M355" s="5"/>
    </row>
    <row r="356">
      <c r="A356" s="3">
        <f>IFERROR(__xludf.DUMMYFUNCTION("""COMPUTED_VALUE"""),909.0)</f>
        <v>909</v>
      </c>
      <c r="B356" s="4" t="str">
        <f>IFERROR(__xludf.DUMMYFUNCTION("""COMPUTED_VALUE"""),"סמואלוב אלעזר")</f>
        <v>סמואלוב אלעזר</v>
      </c>
      <c r="C356" s="3">
        <f>IFERROR(__xludf.DUMMYFUNCTION("""COMPUTED_VALUE"""),21.0)</f>
        <v>21</v>
      </c>
      <c r="D356" s="5" t="str">
        <f>IFERROR(__xludf.DUMMYFUNCTION("""COMPUTED_VALUE"""),"אשדוד")</f>
        <v>אשדוד</v>
      </c>
      <c r="E356" s="5" t="str">
        <f>IFERROR(__xludf.DUMMYFUNCTION("""COMPUTED_VALUE"""),"גבר")</f>
        <v>גבר</v>
      </c>
      <c r="F356" s="5" t="str">
        <f>IFERROR(__xludf.DUMMYFUNCTION("""COMPUTED_VALUE"""),"אזרחים")</f>
        <v>אזרחים</v>
      </c>
      <c r="G356" s="3"/>
      <c r="H356" s="3" t="str">
        <f>IFERROR(__xludf.DUMMYFUNCTION("""COMPUTED_VALUE"""),"07.10.2023")</f>
        <v>07.10.2023</v>
      </c>
      <c r="I356" s="4" t="str">
        <f>IFERROR(__xludf.DUMMYFUNCTION("""COMPUTED_VALUE"""),"צומת שער הנגב")</f>
        <v>צומת שער הנגב</v>
      </c>
      <c r="J356" s="2" t="str">
        <f>IFERROR(__xludf.DUMMYFUNCTION("""COMPUTED_VALUE"""),"אזרחים וכיתות כוננות")</f>
        <v>אזרחים וכיתות כוננות</v>
      </c>
      <c r="K356" s="5" t="str">
        <f>IFERROR(__xludf.DUMMYFUNCTION("""COMPUTED_VALUE"""),"פסטיבל נובה")</f>
        <v>פסטיבל נובה</v>
      </c>
      <c r="L356" s="3" t="str">
        <f>IFERROR(__xludf.DUMMYFUNCTION("""COMPUTED_VALUE"""),"Elazar Samuelov")</f>
        <v>Elazar Samuelov</v>
      </c>
      <c r="M356" s="5"/>
    </row>
    <row r="357">
      <c r="A357" s="3">
        <f>IFERROR(__xludf.DUMMYFUNCTION("""COMPUTED_VALUE"""),845.0)</f>
        <v>845</v>
      </c>
      <c r="B357" s="4" t="str">
        <f>IFERROR(__xludf.DUMMYFUNCTION("""COMPUTED_VALUE"""),"סמוילוב אלכסנדר")</f>
        <v>סמוילוב אלכסנדר</v>
      </c>
      <c r="C357" s="3">
        <f>IFERROR(__xludf.DUMMYFUNCTION("""COMPUTED_VALUE"""),28.0)</f>
        <v>28</v>
      </c>
      <c r="D357" s="5" t="str">
        <f>IFERROR(__xludf.DUMMYFUNCTION("""COMPUTED_VALUE"""),"ראשון לציון")</f>
        <v>ראשון לציון</v>
      </c>
      <c r="E357" s="5" t="str">
        <f>IFERROR(__xludf.DUMMYFUNCTION("""COMPUTED_VALUE"""),"גבר")</f>
        <v>גבר</v>
      </c>
      <c r="F357" s="5" t="str">
        <f>IFERROR(__xludf.DUMMYFUNCTION("""COMPUTED_VALUE"""),"אזרחים")</f>
        <v>אזרחים</v>
      </c>
      <c r="G357" s="3"/>
      <c r="H357" s="3" t="str">
        <f>IFERROR(__xludf.DUMMYFUNCTION("""COMPUTED_VALUE"""),"07.10.2023")</f>
        <v>07.10.2023</v>
      </c>
      <c r="I357" s="4" t="str">
        <f>IFERROR(__xludf.DUMMYFUNCTION("""COMPUTED_VALUE"""),"פסטיבל נובה; אמבולנס")</f>
        <v>פסטיבל נובה; אמבולנס</v>
      </c>
      <c r="J357" s="4" t="str">
        <f>IFERROR(__xludf.DUMMYFUNCTION("""COMPUTED_VALUE"""),"אזרחים וכיתות כוננות")</f>
        <v>אזרחים וכיתות כוננות</v>
      </c>
      <c r="K357" s="5" t="str">
        <f>IFERROR(__xludf.DUMMYFUNCTION("""COMPUTED_VALUE"""),"פסטיבל נובה")</f>
        <v>פסטיבל נובה</v>
      </c>
      <c r="L357" s="3" t="str">
        <f>IFERROR(__xludf.DUMMYFUNCTION("""COMPUTED_VALUE"""),"Alexander Samoilov")</f>
        <v>Alexander Samoilov</v>
      </c>
      <c r="M357" s="5"/>
    </row>
    <row r="358">
      <c r="A358" s="3">
        <f>IFERROR(__xludf.DUMMYFUNCTION("""COMPUTED_VALUE"""),844.0)</f>
        <v>844</v>
      </c>
      <c r="B358" s="4" t="str">
        <f>IFERROR(__xludf.DUMMYFUNCTION("""COMPUTED_VALUE"""),"סמט תמר")</f>
        <v>סמט תמר</v>
      </c>
      <c r="C358" s="3">
        <f>IFERROR(__xludf.DUMMYFUNCTION("""COMPUTED_VALUE"""),20.0)</f>
        <v>20</v>
      </c>
      <c r="D358" s="5" t="str">
        <f>IFERROR(__xludf.DUMMYFUNCTION("""COMPUTED_VALUE"""),"פרדס חנה-כרכור")</f>
        <v>פרדס חנה-כרכור</v>
      </c>
      <c r="E358" s="5" t="str">
        <f>IFERROR(__xludf.DUMMYFUNCTION("""COMPUTED_VALUE"""),"אישה")</f>
        <v>אישה</v>
      </c>
      <c r="F358" s="5" t="str">
        <f>IFERROR(__xludf.DUMMYFUNCTION("""COMPUTED_VALUE"""),"אזרחים")</f>
        <v>אזרחים</v>
      </c>
      <c r="G358" s="3"/>
      <c r="H358" s="3" t="str">
        <f>IFERROR(__xludf.DUMMYFUNCTION("""COMPUTED_VALUE"""),"07.10.2023")</f>
        <v>07.10.2023</v>
      </c>
      <c r="I358" s="4" t="str">
        <f>IFERROR(__xludf.DUMMYFUNCTION("""COMPUTED_VALUE"""),"מיגונית בכניסה לרעים (מערב)")</f>
        <v>מיגונית בכניסה לרעים (מערב)</v>
      </c>
      <c r="J358" s="4" t="str">
        <f>IFERROR(__xludf.DUMMYFUNCTION("""COMPUTED_VALUE"""),"אזרחים וכיתות כוננות")</f>
        <v>אזרחים וכיתות כוננות</v>
      </c>
      <c r="K358" s="5" t="str">
        <f>IFERROR(__xludf.DUMMYFUNCTION("""COMPUTED_VALUE"""),"פסטיבל נובה")</f>
        <v>פסטיבל נובה</v>
      </c>
      <c r="L358" s="3" t="str">
        <f>IFERROR(__xludf.DUMMYFUNCTION("""COMPUTED_VALUE"""),"Tamar Samet")</f>
        <v>Tamar Samet</v>
      </c>
      <c r="M358" s="5"/>
    </row>
    <row r="359">
      <c r="A359" s="3">
        <f>IFERROR(__xludf.DUMMYFUNCTION("""COMPUTED_VALUE"""),971.0)</f>
        <v>971</v>
      </c>
      <c r="B359" s="4" t="str">
        <f>IFERROR(__xludf.DUMMYFUNCTION("""COMPUTED_VALUE"""),"סעידי צור")</f>
        <v>סעידי צור</v>
      </c>
      <c r="C359" s="3">
        <f>IFERROR(__xludf.DUMMYFUNCTION("""COMPUTED_VALUE"""),29.0)</f>
        <v>29</v>
      </c>
      <c r="D359" s="5" t="str">
        <f>IFERROR(__xludf.DUMMYFUNCTION("""COMPUTED_VALUE"""),"גן הדרום")</f>
        <v>גן הדרום</v>
      </c>
      <c r="E359" s="5" t="str">
        <f>IFERROR(__xludf.DUMMYFUNCTION("""COMPUTED_VALUE"""),"גבר")</f>
        <v>גבר</v>
      </c>
      <c r="F359" s="5" t="str">
        <f>IFERROR(__xludf.DUMMYFUNCTION("""COMPUTED_VALUE"""),"אזרחים")</f>
        <v>אזרחים</v>
      </c>
      <c r="G359" s="3"/>
      <c r="H359" s="3" t="str">
        <f>IFERROR(__xludf.DUMMYFUNCTION("""COMPUTED_VALUE"""),"07.10.2023")</f>
        <v>07.10.2023</v>
      </c>
      <c r="I359" s="4" t="str">
        <f>IFERROR(__xludf.DUMMYFUNCTION("""COMPUTED_VALUE"""),"פסטיבל נובה")</f>
        <v>פסטיבל נובה</v>
      </c>
      <c r="J359" s="4" t="str">
        <f>IFERROR(__xludf.DUMMYFUNCTION("""COMPUTED_VALUE"""),"אזרחים וכיתות כוננות")</f>
        <v>אזרחים וכיתות כוננות</v>
      </c>
      <c r="K359" s="5" t="str">
        <f>IFERROR(__xludf.DUMMYFUNCTION("""COMPUTED_VALUE"""),"פסטיבל נובה")</f>
        <v>פסטיבל נובה</v>
      </c>
      <c r="L359" s="3" t="str">
        <f>IFERROR(__xludf.DUMMYFUNCTION("""COMPUTED_VALUE"""),"Zur Saidi")</f>
        <v>Zur Saidi</v>
      </c>
      <c r="M359" s="5"/>
    </row>
    <row r="360">
      <c r="A360" s="3">
        <f>IFERROR(__xludf.DUMMYFUNCTION("""COMPUTED_VALUE"""),920.0)</f>
        <v>920</v>
      </c>
      <c r="B360" s="4" t="str">
        <f>IFERROR(__xludf.DUMMYFUNCTION("""COMPUTED_VALUE"""),"סעידיאן משה (מושיקו)")</f>
        <v>סעידיאן משה (מושיקו)</v>
      </c>
      <c r="C360" s="3">
        <f>IFERROR(__xludf.DUMMYFUNCTION("""COMPUTED_VALUE"""),26.0)</f>
        <v>26</v>
      </c>
      <c r="D360" s="5" t="str">
        <f>IFERROR(__xludf.DUMMYFUNCTION("""COMPUTED_VALUE"""),"יבנה")</f>
        <v>יבנה</v>
      </c>
      <c r="E360" s="5" t="str">
        <f>IFERROR(__xludf.DUMMYFUNCTION("""COMPUTED_VALUE"""),"גבר")</f>
        <v>גבר</v>
      </c>
      <c r="F360" s="5" t="str">
        <f>IFERROR(__xludf.DUMMYFUNCTION("""COMPUTED_VALUE"""),"אזרחים")</f>
        <v>אזרחים</v>
      </c>
      <c r="G360" s="3"/>
      <c r="H360" s="3" t="str">
        <f>IFERROR(__xludf.DUMMYFUNCTION("""COMPUTED_VALUE"""),"07.10.2023")</f>
        <v>07.10.2023</v>
      </c>
      <c r="I360" s="4" t="str">
        <f>IFERROR(__xludf.DUMMYFUNCTION("""COMPUTED_VALUE"""),"פסטיבל נובה; חסימה בכביש 232")</f>
        <v>פסטיבל נובה; חסימה בכביש 232</v>
      </c>
      <c r="J360" s="4" t="str">
        <f>IFERROR(__xludf.DUMMYFUNCTION("""COMPUTED_VALUE"""),"אזרחים וכיתות כוננות")</f>
        <v>אזרחים וכיתות כוננות</v>
      </c>
      <c r="K360" s="5" t="str">
        <f>IFERROR(__xludf.DUMMYFUNCTION("""COMPUTED_VALUE"""),"פסטיבל נובה")</f>
        <v>פסטיבל נובה</v>
      </c>
      <c r="L360" s="3" t="str">
        <f>IFERROR(__xludf.DUMMYFUNCTION("""COMPUTED_VALUE"""),"Moshe (Moshiko) Saidian")</f>
        <v>Moshe (Moshiko) Saidian</v>
      </c>
      <c r="M360" s="5"/>
    </row>
    <row r="361">
      <c r="A361" s="3">
        <f>IFERROR(__xludf.DUMMYFUNCTION("""COMPUTED_VALUE"""),846.0)</f>
        <v>846</v>
      </c>
      <c r="B361" s="4" t="str">
        <f>IFERROR(__xludf.DUMMYFUNCTION("""COMPUTED_VALUE"""),"סרודי יניב")</f>
        <v>סרודי יניב</v>
      </c>
      <c r="C361" s="3">
        <f>IFERROR(__xludf.DUMMYFUNCTION("""COMPUTED_VALUE"""),26.0)</f>
        <v>26</v>
      </c>
      <c r="D361" s="5" t="str">
        <f>IFERROR(__xludf.DUMMYFUNCTION("""COMPUTED_VALUE"""),"אשדוד")</f>
        <v>אשדוד</v>
      </c>
      <c r="E361" s="5" t="str">
        <f>IFERROR(__xludf.DUMMYFUNCTION("""COMPUTED_VALUE"""),"גבר")</f>
        <v>גבר</v>
      </c>
      <c r="F361" s="5" t="str">
        <f>IFERROR(__xludf.DUMMYFUNCTION("""COMPUTED_VALUE"""),"אזרחים")</f>
        <v>אזרחים</v>
      </c>
      <c r="G361" s="3"/>
      <c r="H361" s="3" t="str">
        <f>IFERROR(__xludf.DUMMYFUNCTION("""COMPUTED_VALUE"""),"07.10.2023")</f>
        <v>07.10.2023</v>
      </c>
      <c r="I361" s="4" t="str">
        <f>IFERROR(__xludf.DUMMYFUNCTION("""COMPUTED_VALUE"""),"מזרחית לרעים")</f>
        <v>מזרחית לרעים</v>
      </c>
      <c r="J361" s="4" t="str">
        <f>IFERROR(__xludf.DUMMYFUNCTION("""COMPUTED_VALUE"""),"אזרחים וכיתות כוננות")</f>
        <v>אזרחים וכיתות כוננות</v>
      </c>
      <c r="K361" s="5" t="str">
        <f>IFERROR(__xludf.DUMMYFUNCTION("""COMPUTED_VALUE"""),"פסטיבל נובה")</f>
        <v>פסטיבל נובה</v>
      </c>
      <c r="L361" s="3" t="str">
        <f>IFERROR(__xludf.DUMMYFUNCTION("""COMPUTED_VALUE"""),"Yaniv Sarudi")</f>
        <v>Yaniv Sarudi</v>
      </c>
      <c r="M361" s="5"/>
    </row>
    <row r="362">
      <c r="A362" s="3">
        <f>IFERROR(__xludf.DUMMYFUNCTION("""COMPUTED_VALUE"""),670.0)</f>
        <v>670</v>
      </c>
      <c r="B362" s="4" t="str">
        <f>IFERROR(__xludf.DUMMYFUNCTION("""COMPUTED_VALUE"""),"עבדוש גל")</f>
        <v>עבדוש גל</v>
      </c>
      <c r="C362" s="3">
        <f>IFERROR(__xludf.DUMMYFUNCTION("""COMPUTED_VALUE"""),34.0)</f>
        <v>34</v>
      </c>
      <c r="D362" s="5" t="str">
        <f>IFERROR(__xludf.DUMMYFUNCTION("""COMPUTED_VALUE"""),"קריית עקרון")</f>
        <v>קריית עקרון</v>
      </c>
      <c r="E362" s="5" t="str">
        <f>IFERROR(__xludf.DUMMYFUNCTION("""COMPUTED_VALUE"""),"אישה")</f>
        <v>אישה</v>
      </c>
      <c r="F362" s="5" t="str">
        <f>IFERROR(__xludf.DUMMYFUNCTION("""COMPUTED_VALUE"""),"אזרחים")</f>
        <v>אזרחים</v>
      </c>
      <c r="G362" s="3"/>
      <c r="H362" s="3" t="str">
        <f>IFERROR(__xludf.DUMMYFUNCTION("""COMPUTED_VALUE"""),"07.10.2023")</f>
        <v>07.10.2023</v>
      </c>
      <c r="I362" s="4" t="str">
        <f>IFERROR(__xludf.DUMMYFUNCTION("""COMPUTED_VALUE"""),"סמוך למפלסים")</f>
        <v>סמוך למפלסים</v>
      </c>
      <c r="J362" s="4" t="str">
        <f>IFERROR(__xludf.DUMMYFUNCTION("""COMPUTED_VALUE"""),"אזרחים וכיתות כוננות")</f>
        <v>אזרחים וכיתות כוננות</v>
      </c>
      <c r="K362" s="5" t="str">
        <f>IFERROR(__xludf.DUMMYFUNCTION("""COMPUTED_VALUE"""),"פסטיבל נובה")</f>
        <v>פסטיבל נובה</v>
      </c>
      <c r="L362" s="3" t="str">
        <f>IFERROR(__xludf.DUMMYFUNCTION("""COMPUTED_VALUE"""),"Gal Abdush")</f>
        <v>Gal Abdush</v>
      </c>
      <c r="M362" s="5"/>
    </row>
    <row r="363">
      <c r="A363" s="3">
        <f>IFERROR(__xludf.DUMMYFUNCTION("""COMPUTED_VALUE"""),671.0)</f>
        <v>671</v>
      </c>
      <c r="B363" s="4" t="str">
        <f>IFERROR(__xludf.DUMMYFUNCTION("""COMPUTED_VALUE"""),"עבדוש נאג'י")</f>
        <v>עבדוש נאג'י</v>
      </c>
      <c r="C363" s="3">
        <f>IFERROR(__xludf.DUMMYFUNCTION("""COMPUTED_VALUE"""),35.0)</f>
        <v>35</v>
      </c>
      <c r="D363" s="5" t="str">
        <f>IFERROR(__xludf.DUMMYFUNCTION("""COMPUTED_VALUE"""),"קריית עקרון")</f>
        <v>קריית עקרון</v>
      </c>
      <c r="E363" s="5" t="str">
        <f>IFERROR(__xludf.DUMMYFUNCTION("""COMPUTED_VALUE"""),"גבר")</f>
        <v>גבר</v>
      </c>
      <c r="F363" s="5" t="str">
        <f>IFERROR(__xludf.DUMMYFUNCTION("""COMPUTED_VALUE"""),"אזרחים")</f>
        <v>אזרחים</v>
      </c>
      <c r="G363" s="3"/>
      <c r="H363" s="3" t="str">
        <f>IFERROR(__xludf.DUMMYFUNCTION("""COMPUTED_VALUE"""),"07.10.2023")</f>
        <v>07.10.2023</v>
      </c>
      <c r="I363" s="4" t="str">
        <f>IFERROR(__xludf.DUMMYFUNCTION("""COMPUTED_VALUE"""),"סמוך למפלסים")</f>
        <v>סמוך למפלסים</v>
      </c>
      <c r="J363" s="4" t="str">
        <f>IFERROR(__xludf.DUMMYFUNCTION("""COMPUTED_VALUE"""),"אזרחים וכיתות כוננות")</f>
        <v>אזרחים וכיתות כוננות</v>
      </c>
      <c r="K363" s="5" t="str">
        <f>IFERROR(__xludf.DUMMYFUNCTION("""COMPUTED_VALUE"""),"פסטיבל נובה")</f>
        <v>פסטיבל נובה</v>
      </c>
      <c r="L363" s="3" t="str">
        <f>IFERROR(__xludf.DUMMYFUNCTION("""COMPUTED_VALUE"""),"Nagi Abdush")</f>
        <v>Nagi Abdush</v>
      </c>
      <c r="M363" s="5"/>
    </row>
    <row r="364">
      <c r="A364" s="3">
        <f>IFERROR(__xludf.DUMMYFUNCTION("""COMPUTED_VALUE"""),736.0)</f>
        <v>736</v>
      </c>
      <c r="B364" s="4" t="str">
        <f>IFERROR(__xludf.DUMMYFUNCTION("""COMPUTED_VALUE"""),"עדרי עידן")</f>
        <v>עדרי עידן</v>
      </c>
      <c r="C364" s="3">
        <f>IFERROR(__xludf.DUMMYFUNCTION("""COMPUTED_VALUE"""),36.0)</f>
        <v>36</v>
      </c>
      <c r="D364" s="5" t="str">
        <f>IFERROR(__xludf.DUMMYFUNCTION("""COMPUTED_VALUE"""),"הסוללים")</f>
        <v>הסוללים</v>
      </c>
      <c r="E364" s="5" t="str">
        <f>IFERROR(__xludf.DUMMYFUNCTION("""COMPUTED_VALUE"""),"גבר")</f>
        <v>גבר</v>
      </c>
      <c r="F364" s="5" t="str">
        <f>IFERROR(__xludf.DUMMYFUNCTION("""COMPUTED_VALUE"""),"אזרחים")</f>
        <v>אזרחים</v>
      </c>
      <c r="G364" s="3"/>
      <c r="H364" s="3" t="str">
        <f>IFERROR(__xludf.DUMMYFUNCTION("""COMPUTED_VALUE"""),"07.10.2023")</f>
        <v>07.10.2023</v>
      </c>
      <c r="I364" s="4" t="str">
        <f>IFERROR(__xludf.DUMMYFUNCTION("""COMPUTED_VALUE"""),"פסטיבל נובה")</f>
        <v>פסטיבל נובה</v>
      </c>
      <c r="J364" s="4" t="str">
        <f>IFERROR(__xludf.DUMMYFUNCTION("""COMPUTED_VALUE"""),"אזרחים וכיתות כוננות")</f>
        <v>אזרחים וכיתות כוננות</v>
      </c>
      <c r="K364" s="5" t="str">
        <f>IFERROR(__xludf.DUMMYFUNCTION("""COMPUTED_VALUE"""),"פסטיבל נובה")</f>
        <v>פסטיבל נובה</v>
      </c>
      <c r="L364" s="3" t="str">
        <f>IFERROR(__xludf.DUMMYFUNCTION("""COMPUTED_VALUE"""),"Idan Edri")</f>
        <v>Idan Edri</v>
      </c>
      <c r="M364" s="5"/>
    </row>
    <row r="365">
      <c r="A365" s="3">
        <f>IFERROR(__xludf.DUMMYFUNCTION("""COMPUTED_VALUE"""),1309.0)</f>
        <v>1309</v>
      </c>
      <c r="B365" s="4" t="str">
        <f>IFERROR(__xludf.DUMMYFUNCTION("""COMPUTED_VALUE"""),"עודי עופר")</f>
        <v>עודי עופר</v>
      </c>
      <c r="C365" s="3">
        <f>IFERROR(__xludf.DUMMYFUNCTION("""COMPUTED_VALUE"""),41.0)</f>
        <v>41</v>
      </c>
      <c r="D365" s="5" t="str">
        <f>IFERROR(__xludf.DUMMYFUNCTION("""COMPUTED_VALUE"""),"בית שמש")</f>
        <v>בית שמש</v>
      </c>
      <c r="E365" s="5" t="str">
        <f>IFERROR(__xludf.DUMMYFUNCTION("""COMPUTED_VALUE"""),"גבר")</f>
        <v>גבר</v>
      </c>
      <c r="F365" s="5" t="str">
        <f>IFERROR(__xludf.DUMMYFUNCTION("""COMPUTED_VALUE"""),"אזרחים")</f>
        <v>אזרחים</v>
      </c>
      <c r="G365" s="3"/>
      <c r="H365" s="3" t="str">
        <f>IFERROR(__xludf.DUMMYFUNCTION("""COMPUTED_VALUE"""),"07.10.2023")</f>
        <v>07.10.2023</v>
      </c>
      <c r="I365" s="4" t="str">
        <f>IFERROR(__xludf.DUMMYFUNCTION("""COMPUTED_VALUE"""),"פסטיבל נובה")</f>
        <v>פסטיבל נובה</v>
      </c>
      <c r="J365" s="4" t="str">
        <f>IFERROR(__xludf.DUMMYFUNCTION("""COMPUTED_VALUE"""),"אזרחים וכיתות כוננות")</f>
        <v>אזרחים וכיתות כוננות</v>
      </c>
      <c r="K365" s="5" t="str">
        <f>IFERROR(__xludf.DUMMYFUNCTION("""COMPUTED_VALUE"""),"פסטיבל נובה")</f>
        <v>פסטיבל נובה</v>
      </c>
      <c r="L365" s="3" t="str">
        <f>IFERROR(__xludf.DUMMYFUNCTION("""COMPUTED_VALUE"""),"Ofer Udi")</f>
        <v>Ofer Udi</v>
      </c>
      <c r="M365" s="5"/>
    </row>
    <row r="366">
      <c r="A366" s="3">
        <f>IFERROR(__xludf.DUMMYFUNCTION("""COMPUTED_VALUE"""),688.0)</f>
        <v>688</v>
      </c>
      <c r="B366" s="4" t="str">
        <f>IFERROR(__xludf.DUMMYFUNCTION("""COMPUTED_VALUE"""),"עזר גיא")</f>
        <v>עזר גיא</v>
      </c>
      <c r="C366" s="3">
        <f>IFERROR(__xludf.DUMMYFUNCTION("""COMPUTED_VALUE"""),23.0)</f>
        <v>23</v>
      </c>
      <c r="D366" s="5" t="str">
        <f>IFERROR(__xludf.DUMMYFUNCTION("""COMPUTED_VALUE"""),"ראשון לציון")</f>
        <v>ראשון לציון</v>
      </c>
      <c r="E366" s="5" t="str">
        <f>IFERROR(__xludf.DUMMYFUNCTION("""COMPUTED_VALUE"""),"גבר")</f>
        <v>גבר</v>
      </c>
      <c r="F366" s="5" t="str">
        <f>IFERROR(__xludf.DUMMYFUNCTION("""COMPUTED_VALUE"""),"אזרחים")</f>
        <v>אזרחים</v>
      </c>
      <c r="G366" s="3"/>
      <c r="H366" s="3" t="str">
        <f>IFERROR(__xludf.DUMMYFUNCTION("""COMPUTED_VALUE"""),"07.10.2023")</f>
        <v>07.10.2023</v>
      </c>
      <c r="I366" s="4" t="str">
        <f>IFERROR(__xludf.DUMMYFUNCTION("""COMPUTED_VALUE"""),"פסטיבל נובה; חסימה בכביש 232")</f>
        <v>פסטיבל נובה; חסימה בכביש 232</v>
      </c>
      <c r="J366" s="4" t="str">
        <f>IFERROR(__xludf.DUMMYFUNCTION("""COMPUTED_VALUE"""),"אזרחים וכיתות כוננות")</f>
        <v>אזרחים וכיתות כוננות</v>
      </c>
      <c r="K366" s="5" t="str">
        <f>IFERROR(__xludf.DUMMYFUNCTION("""COMPUTED_VALUE"""),"פסטיבל נובה")</f>
        <v>פסטיבל נובה</v>
      </c>
      <c r="L366" s="3" t="str">
        <f>IFERROR(__xludf.DUMMYFUNCTION("""COMPUTED_VALUE"""),"Guy Azar")</f>
        <v>Guy Azar</v>
      </c>
      <c r="M366" s="5"/>
    </row>
    <row r="367">
      <c r="A367" s="3">
        <f>IFERROR(__xludf.DUMMYFUNCTION("""COMPUTED_VALUE"""),1628.0)</f>
        <v>1628</v>
      </c>
      <c r="B367" s="4" t="str">
        <f>IFERROR(__xludf.DUMMYFUNCTION("""COMPUTED_VALUE"""),"עזרא עוז משה")</f>
        <v>עזרא עוז משה</v>
      </c>
      <c r="C367" s="3">
        <f>IFERROR(__xludf.DUMMYFUNCTION("""COMPUTED_VALUE"""),23.0)</f>
        <v>23</v>
      </c>
      <c r="D367" s="5" t="str">
        <f>IFERROR(__xludf.DUMMYFUNCTION("""COMPUTED_VALUE"""),"חולון")</f>
        <v>חולון</v>
      </c>
      <c r="E367" s="5" t="str">
        <f>IFERROR(__xludf.DUMMYFUNCTION("""COMPUTED_VALUE"""),"גבר")</f>
        <v>גבר</v>
      </c>
      <c r="F367" s="5" t="str">
        <f>IFERROR(__xludf.DUMMYFUNCTION("""COMPUTED_VALUE"""),"אזרחים")</f>
        <v>אזרחים</v>
      </c>
      <c r="G367" s="3"/>
      <c r="H367" s="3" t="str">
        <f>IFERROR(__xludf.DUMMYFUNCTION("""COMPUTED_VALUE"""),"07.10.2023")</f>
        <v>07.10.2023</v>
      </c>
      <c r="I367" s="4" t="str">
        <f>IFERROR(__xludf.DUMMYFUNCTION("""COMPUTED_VALUE"""),"צומת שער הנגב")</f>
        <v>צומת שער הנגב</v>
      </c>
      <c r="J367" s="4" t="str">
        <f>IFERROR(__xludf.DUMMYFUNCTION("""COMPUTED_VALUE"""),"אזרחים וכיתות כוננות")</f>
        <v>אזרחים וכיתות כוננות</v>
      </c>
      <c r="K367" s="5" t="str">
        <f>IFERROR(__xludf.DUMMYFUNCTION("""COMPUTED_VALUE"""),"פסטיבל נובה")</f>
        <v>פסטיבל נובה</v>
      </c>
      <c r="L367" s="3" t="str">
        <f>IFERROR(__xludf.DUMMYFUNCTION("""COMPUTED_VALUE"""),"Oz Ezra")</f>
        <v>Oz Ezra</v>
      </c>
      <c r="M367" s="5"/>
    </row>
    <row r="368">
      <c r="A368" s="3">
        <f>IFERROR(__xludf.DUMMYFUNCTION("""COMPUTED_VALUE"""),908.0)</f>
        <v>908</v>
      </c>
      <c r="B368" s="4" t="str">
        <f>IFERROR(__xludf.DUMMYFUNCTION("""COMPUTED_VALUE"""),"עטון ליאור")</f>
        <v>עטון ליאור</v>
      </c>
      <c r="C368" s="3">
        <f>IFERROR(__xludf.DUMMYFUNCTION("""COMPUTED_VALUE"""),25.0)</f>
        <v>25</v>
      </c>
      <c r="D368" s="5" t="str">
        <f>IFERROR(__xludf.DUMMYFUNCTION("""COMPUTED_VALUE"""),"חדרה")</f>
        <v>חדרה</v>
      </c>
      <c r="E368" s="5" t="str">
        <f>IFERROR(__xludf.DUMMYFUNCTION("""COMPUTED_VALUE"""),"אישה")</f>
        <v>אישה</v>
      </c>
      <c r="F368" s="5" t="str">
        <f>IFERROR(__xludf.DUMMYFUNCTION("""COMPUTED_VALUE"""),"אזרחים")</f>
        <v>אזרחים</v>
      </c>
      <c r="G368" s="3"/>
      <c r="H368" s="3" t="str">
        <f>IFERROR(__xludf.DUMMYFUNCTION("""COMPUTED_VALUE"""),"07.10.2023")</f>
        <v>07.10.2023</v>
      </c>
      <c r="I368" s="4" t="str">
        <f>IFERROR(__xludf.DUMMYFUNCTION("""COMPUTED_VALUE"""),"פסטיבל נובה; אמבולנס")</f>
        <v>פסטיבל נובה; אמבולנס</v>
      </c>
      <c r="J368" s="4" t="str">
        <f>IFERROR(__xludf.DUMMYFUNCTION("""COMPUTED_VALUE"""),"אזרחים וכיתות כוננות")</f>
        <v>אזרחים וכיתות כוננות</v>
      </c>
      <c r="K368" s="5" t="str">
        <f>IFERROR(__xludf.DUMMYFUNCTION("""COMPUTED_VALUE"""),"פסטיבל נובה")</f>
        <v>פסטיבל נובה</v>
      </c>
      <c r="L368" s="3" t="str">
        <f>IFERROR(__xludf.DUMMYFUNCTION("""COMPUTED_VALUE"""),"Lior Atun")</f>
        <v>Lior Atun</v>
      </c>
      <c r="M368" s="5"/>
    </row>
    <row r="369">
      <c r="A369" s="3">
        <f>IFERROR(__xludf.DUMMYFUNCTION("""COMPUTED_VALUE"""),675.0)</f>
        <v>675</v>
      </c>
      <c r="B369" s="4" t="str">
        <f>IFERROR(__xludf.DUMMYFUNCTION("""COMPUTED_VALUE"""),"עמר חנן (חנניה)")</f>
        <v>עמר חנן (חנניה)</v>
      </c>
      <c r="C369" s="3">
        <f>IFERROR(__xludf.DUMMYFUNCTION("""COMPUTED_VALUE"""),37.0)</f>
        <v>37</v>
      </c>
      <c r="D369" s="5" t="str">
        <f>IFERROR(__xludf.DUMMYFUNCTION("""COMPUTED_VALUE"""),"אשקלון")</f>
        <v>אשקלון</v>
      </c>
      <c r="E369" s="5" t="str">
        <f>IFERROR(__xludf.DUMMYFUNCTION("""COMPUTED_VALUE"""),"גבר")</f>
        <v>גבר</v>
      </c>
      <c r="F369" s="5" t="str">
        <f>IFERROR(__xludf.DUMMYFUNCTION("""COMPUTED_VALUE"""),"אזרחים")</f>
        <v>אזרחים</v>
      </c>
      <c r="G369" s="3"/>
      <c r="H369" s="3" t="str">
        <f>IFERROR(__xludf.DUMMYFUNCTION("""COMPUTED_VALUE"""),"07.10.2023")</f>
        <v>07.10.2023</v>
      </c>
      <c r="I369" s="4" t="str">
        <f>IFERROR(__xludf.DUMMYFUNCTION("""COMPUTED_VALUE"""),"פסטיבל נובה; מיגונית חניון רעים")</f>
        <v>פסטיבל נובה; מיגונית חניון רעים</v>
      </c>
      <c r="J369" s="4" t="str">
        <f>IFERROR(__xludf.DUMMYFUNCTION("""COMPUTED_VALUE"""),"אזרחים וכיתות כוננות")</f>
        <v>אזרחים וכיתות כוננות</v>
      </c>
      <c r="K369" s="5" t="str">
        <f>IFERROR(__xludf.DUMMYFUNCTION("""COMPUTED_VALUE"""),"פסטיבל נובה")</f>
        <v>פסטיבל נובה</v>
      </c>
      <c r="L369" s="3" t="str">
        <f>IFERROR(__xludf.DUMMYFUNCTION("""COMPUTED_VALUE"""),"Hanan Amar")</f>
        <v>Hanan Amar</v>
      </c>
      <c r="M369" s="5"/>
    </row>
    <row r="370">
      <c r="A370" s="3">
        <f>IFERROR(__xludf.DUMMYFUNCTION("""COMPUTED_VALUE"""),1577.0)</f>
        <v>1577</v>
      </c>
      <c r="B370" s="4" t="str">
        <f>IFERROR(__xludf.DUMMYFUNCTION("""COMPUTED_VALUE"""),"עמר מרסדס אוריה")</f>
        <v>עמר מרסדס אוריה</v>
      </c>
      <c r="C370" s="3">
        <f>IFERROR(__xludf.DUMMYFUNCTION("""COMPUTED_VALUE"""),33.0)</f>
        <v>33</v>
      </c>
      <c r="D370" s="5" t="str">
        <f>IFERROR(__xludf.DUMMYFUNCTION("""COMPUTED_VALUE"""),"קריית עקרון")</f>
        <v>קריית עקרון</v>
      </c>
      <c r="E370" s="5" t="str">
        <f>IFERROR(__xludf.DUMMYFUNCTION("""COMPUTED_VALUE"""),"אישה")</f>
        <v>אישה</v>
      </c>
      <c r="F370" s="5" t="str">
        <f>IFERROR(__xludf.DUMMYFUNCTION("""COMPUTED_VALUE"""),"אזרחים")</f>
        <v>אזרחים</v>
      </c>
      <c r="G370" s="3"/>
      <c r="H370" s="3" t="str">
        <f>IFERROR(__xludf.DUMMYFUNCTION("""COMPUTED_VALUE"""),"07.10.2023")</f>
        <v>07.10.2023</v>
      </c>
      <c r="I370" s="4" t="str">
        <f>IFERROR(__xludf.DUMMYFUNCTION("""COMPUTED_VALUE"""),"כביש שער הנגב מפלסים")</f>
        <v>כביש שער הנגב מפלסים</v>
      </c>
      <c r="J370" s="4" t="str">
        <f>IFERROR(__xludf.DUMMYFUNCTION("""COMPUTED_VALUE"""),"אזרחים וכיתות כוננות")</f>
        <v>אזרחים וכיתות כוננות</v>
      </c>
      <c r="K370" s="5" t="str">
        <f>IFERROR(__xludf.DUMMYFUNCTION("""COMPUTED_VALUE"""),"פסטיבל נובה")</f>
        <v>פסטיבל נובה</v>
      </c>
      <c r="L370" s="3" t="str">
        <f>IFERROR(__xludf.DUMMYFUNCTION("""COMPUTED_VALUE"""),"Mercedes Amar")</f>
        <v>Mercedes Amar</v>
      </c>
      <c r="M370" s="5"/>
    </row>
    <row r="371">
      <c r="A371" s="3">
        <f>IFERROR(__xludf.DUMMYFUNCTION("""COMPUTED_VALUE"""),822.0)</f>
        <v>822</v>
      </c>
      <c r="B371" s="4" t="str">
        <f>IFERROR(__xludf.DUMMYFUNCTION("""COMPUTED_VALUE"""),"פאר יועד")</f>
        <v>פאר יועד</v>
      </c>
      <c r="C371" s="3">
        <f>IFERROR(__xludf.DUMMYFUNCTION("""COMPUTED_VALUE"""),21.0)</f>
        <v>21</v>
      </c>
      <c r="D371" s="5" t="str">
        <f>IFERROR(__xludf.DUMMYFUNCTION("""COMPUTED_VALUE"""),"ירושלים")</f>
        <v>ירושלים</v>
      </c>
      <c r="E371" s="5" t="str">
        <f>IFERROR(__xludf.DUMMYFUNCTION("""COMPUTED_VALUE"""),"גבר")</f>
        <v>גבר</v>
      </c>
      <c r="F371" s="5" t="str">
        <f>IFERROR(__xludf.DUMMYFUNCTION("""COMPUTED_VALUE"""),"אזרחים")</f>
        <v>אזרחים</v>
      </c>
      <c r="G371" s="3"/>
      <c r="H371" s="3" t="str">
        <f>IFERROR(__xludf.DUMMYFUNCTION("""COMPUTED_VALUE"""),"07.10.2023")</f>
        <v>07.10.2023</v>
      </c>
      <c r="I371" s="4" t="str">
        <f>IFERROR(__xludf.DUMMYFUNCTION("""COMPUTED_VALUE"""),"מיגונית בכניסה לרעים (מערב)")</f>
        <v>מיגונית בכניסה לרעים (מערב)</v>
      </c>
      <c r="J371" s="4" t="str">
        <f>IFERROR(__xludf.DUMMYFUNCTION("""COMPUTED_VALUE"""),"אזרחים וכיתות כוננות")</f>
        <v>אזרחים וכיתות כוננות</v>
      </c>
      <c r="K371" s="5" t="str">
        <f>IFERROR(__xludf.DUMMYFUNCTION("""COMPUTED_VALUE"""),"פסטיבל נובה")</f>
        <v>פסטיבל נובה</v>
      </c>
      <c r="L371" s="3" t="str">
        <f>IFERROR(__xludf.DUMMYFUNCTION("""COMPUTED_VALUE"""),"Yoad Peer")</f>
        <v>Yoad Peer</v>
      </c>
      <c r="M371" s="5"/>
    </row>
    <row r="372">
      <c r="A372" s="3">
        <f>IFERROR(__xludf.DUMMYFUNCTION("""COMPUTED_VALUE"""),808.0)</f>
        <v>808</v>
      </c>
      <c r="B372" s="4" t="str">
        <f>IFERROR(__xludf.DUMMYFUNCTION("""COMPUTED_VALUE"""),"פודר מאיה")</f>
        <v>פודר מאיה</v>
      </c>
      <c r="C372" s="3">
        <f>IFERROR(__xludf.DUMMYFUNCTION("""COMPUTED_VALUE"""),25.0)</f>
        <v>25</v>
      </c>
      <c r="D372" s="5" t="str">
        <f>IFERROR(__xludf.DUMMYFUNCTION("""COMPUTED_VALUE"""),"זכרון יעקב")</f>
        <v>זכרון יעקב</v>
      </c>
      <c r="E372" s="5" t="str">
        <f>IFERROR(__xludf.DUMMYFUNCTION("""COMPUTED_VALUE"""),"אישה")</f>
        <v>אישה</v>
      </c>
      <c r="F372" s="5" t="str">
        <f>IFERROR(__xludf.DUMMYFUNCTION("""COMPUTED_VALUE"""),"אזרחים")</f>
        <v>אזרחים</v>
      </c>
      <c r="G372" s="3"/>
      <c r="H372" s="3" t="str">
        <f>IFERROR(__xludf.DUMMYFUNCTION("""COMPUTED_VALUE"""),"07.10.2023")</f>
        <v>07.10.2023</v>
      </c>
      <c r="I372" s="4" t="str">
        <f>IFERROR(__xludf.DUMMYFUNCTION("""COMPUTED_VALUE"""),"מיגונית בכניסה לרעים (מזרח)")</f>
        <v>מיגונית בכניסה לרעים (מזרח)</v>
      </c>
      <c r="J372" s="4" t="str">
        <f>IFERROR(__xludf.DUMMYFUNCTION("""COMPUTED_VALUE"""),"אזרחים וכיתות כוננות")</f>
        <v>אזרחים וכיתות כוננות</v>
      </c>
      <c r="K372" s="5" t="str">
        <f>IFERROR(__xludf.DUMMYFUNCTION("""COMPUTED_VALUE"""),"פסטיבל נובה")</f>
        <v>פסטיבל נובה</v>
      </c>
      <c r="L372" s="3" t="str">
        <f>IFERROR(__xludf.DUMMYFUNCTION("""COMPUTED_VALUE"""),"Maya Puder")</f>
        <v>Maya Puder</v>
      </c>
      <c r="M372" s="5"/>
    </row>
    <row r="373">
      <c r="A373" s="3">
        <f>IFERROR(__xludf.DUMMYFUNCTION("""COMPUTED_VALUE"""),1305.0)</f>
        <v>1305</v>
      </c>
      <c r="B373" s="4" t="str">
        <f>IFERROR(__xludf.DUMMYFUNCTION("""COMPUTED_VALUE"""),"פולבנוב רוני")</f>
        <v>פולבנוב רוני</v>
      </c>
      <c r="C373" s="3">
        <f>IFERROR(__xludf.DUMMYFUNCTION("""COMPUTED_VALUE"""),23.0)</f>
        <v>23</v>
      </c>
      <c r="D373" s="5" t="str">
        <f>IFERROR(__xludf.DUMMYFUNCTION("""COMPUTED_VALUE"""),"רמלה")</f>
        <v>רמלה</v>
      </c>
      <c r="E373" s="5" t="str">
        <f>IFERROR(__xludf.DUMMYFUNCTION("""COMPUTED_VALUE"""),"גבר")</f>
        <v>גבר</v>
      </c>
      <c r="F373" s="5" t="str">
        <f>IFERROR(__xludf.DUMMYFUNCTION("""COMPUTED_VALUE"""),"אזרחים")</f>
        <v>אזרחים</v>
      </c>
      <c r="G373" s="3"/>
      <c r="H373" s="3" t="str">
        <f>IFERROR(__xludf.DUMMYFUNCTION("""COMPUTED_VALUE"""),"07.10.2023")</f>
        <v>07.10.2023</v>
      </c>
      <c r="I373" s="4" t="str">
        <f>IFERROR(__xludf.DUMMYFUNCTION("""COMPUTED_VALUE"""),"בכניסה לרעים")</f>
        <v>בכניסה לרעים</v>
      </c>
      <c r="J373" s="4" t="str">
        <f>IFERROR(__xludf.DUMMYFUNCTION("""COMPUTED_VALUE"""),"אזרחים וכיתות כוננות")</f>
        <v>אזרחים וכיתות כוננות</v>
      </c>
      <c r="K373" s="5" t="str">
        <f>IFERROR(__xludf.DUMMYFUNCTION("""COMPUTED_VALUE"""),"פסטיבל נובה")</f>
        <v>פסטיבל נובה</v>
      </c>
      <c r="L373" s="3" t="str">
        <f>IFERROR(__xludf.DUMMYFUNCTION("""COMPUTED_VALUE"""),"Roni Polanov")</f>
        <v>Roni Polanov</v>
      </c>
      <c r="M373" s="5"/>
    </row>
    <row r="374">
      <c r="A374" s="3">
        <f>IFERROR(__xludf.DUMMYFUNCTION("""COMPUTED_VALUE"""),828.0)</f>
        <v>828</v>
      </c>
      <c r="B374" s="4" t="str">
        <f>IFERROR(__xludf.DUMMYFUNCTION("""COMPUTED_VALUE"""),"פוסטל יבגני")</f>
        <v>פוסטל יבגני</v>
      </c>
      <c r="C374" s="3">
        <f>IFERROR(__xludf.DUMMYFUNCTION("""COMPUTED_VALUE"""),25.0)</f>
        <v>25</v>
      </c>
      <c r="D374" s="5" t="str">
        <f>IFERROR(__xludf.DUMMYFUNCTION("""COMPUTED_VALUE"""),"באר שבע")</f>
        <v>באר שבע</v>
      </c>
      <c r="E374" s="5" t="str">
        <f>IFERROR(__xludf.DUMMYFUNCTION("""COMPUTED_VALUE"""),"גבר")</f>
        <v>גבר</v>
      </c>
      <c r="F374" s="5" t="str">
        <f>IFERROR(__xludf.DUMMYFUNCTION("""COMPUTED_VALUE"""),"אזרחים")</f>
        <v>אזרחים</v>
      </c>
      <c r="G374" s="3"/>
      <c r="H374" s="3" t="str">
        <f>IFERROR(__xludf.DUMMYFUNCTION("""COMPUTED_VALUE"""),"07.10.2023")</f>
        <v>07.10.2023</v>
      </c>
      <c r="I374" s="4" t="str">
        <f>IFERROR(__xludf.DUMMYFUNCTION("""COMPUTED_VALUE"""),"בכניסה לרעים")</f>
        <v>בכניסה לרעים</v>
      </c>
      <c r="J374" s="4" t="str">
        <f>IFERROR(__xludf.DUMMYFUNCTION("""COMPUTED_VALUE"""),"אזרחים וכיתות כוננות")</f>
        <v>אזרחים וכיתות כוננות</v>
      </c>
      <c r="K374" s="5" t="str">
        <f>IFERROR(__xludf.DUMMYFUNCTION("""COMPUTED_VALUE"""),"פסטיבל נובה")</f>
        <v>פסטיבל נובה</v>
      </c>
      <c r="L374" s="3" t="str">
        <f>IFERROR(__xludf.DUMMYFUNCTION("""COMPUTED_VALUE"""),"Evgeni Postel")</f>
        <v>Evgeni Postel</v>
      </c>
      <c r="M374" s="5"/>
    </row>
    <row r="375">
      <c r="A375" s="3">
        <f>IFERROR(__xludf.DUMMYFUNCTION("""COMPUTED_VALUE"""),749.0)</f>
        <v>749</v>
      </c>
      <c r="B375" s="4" t="str">
        <f>IFERROR(__xludf.DUMMYFUNCTION("""COMPUTED_VALUE"""),"פורטי ניר")</f>
        <v>פורטי ניר</v>
      </c>
      <c r="C375" s="3">
        <f>IFERROR(__xludf.DUMMYFUNCTION("""COMPUTED_VALUE"""),30.0)</f>
        <v>30</v>
      </c>
      <c r="D375" s="5" t="str">
        <f>IFERROR(__xludf.DUMMYFUNCTION("""COMPUTED_VALUE"""),"עומר")</f>
        <v>עומר</v>
      </c>
      <c r="E375" s="5" t="str">
        <f>IFERROR(__xludf.DUMMYFUNCTION("""COMPUTED_VALUE"""),"גבר")</f>
        <v>גבר</v>
      </c>
      <c r="F375" s="5" t="str">
        <f>IFERROR(__xludf.DUMMYFUNCTION("""COMPUTED_VALUE"""),"אזרחים")</f>
        <v>אזרחים</v>
      </c>
      <c r="G375" s="3"/>
      <c r="H375" s="3" t="str">
        <f>IFERROR(__xludf.DUMMYFUNCTION("""COMPUTED_VALUE"""),"07.10.2023")</f>
        <v>07.10.2023</v>
      </c>
      <c r="I375" s="4" t="str">
        <f>IFERROR(__xludf.DUMMYFUNCTION("""COMPUTED_VALUE"""),"פסטיבל נובה")</f>
        <v>פסטיבל נובה</v>
      </c>
      <c r="J375" s="4" t="str">
        <f>IFERROR(__xludf.DUMMYFUNCTION("""COMPUTED_VALUE"""),"אזרחים וכיתות כוננות")</f>
        <v>אזרחים וכיתות כוננות</v>
      </c>
      <c r="K375" s="5" t="str">
        <f>IFERROR(__xludf.DUMMYFUNCTION("""COMPUTED_VALUE"""),"פסטיבל נובה")</f>
        <v>פסטיבל נובה</v>
      </c>
      <c r="L375" s="3" t="str">
        <f>IFERROR(__xludf.DUMMYFUNCTION("""COMPUTED_VALUE"""),"Nir Forti")</f>
        <v>Nir Forti</v>
      </c>
      <c r="M375" s="5"/>
    </row>
    <row r="376">
      <c r="A376" s="3">
        <f>IFERROR(__xludf.DUMMYFUNCTION("""COMPUTED_VALUE"""),1323.0)</f>
        <v>1323</v>
      </c>
      <c r="B376" s="4" t="str">
        <f>IFERROR(__xludf.DUMMYFUNCTION("""COMPUTED_VALUE"""),"פטרובסקי רוני")</f>
        <v>פטרובסקי רוני</v>
      </c>
      <c r="C376" s="3">
        <f>IFERROR(__xludf.DUMMYFUNCTION("""COMPUTED_VALUE"""),24.0)</f>
        <v>24</v>
      </c>
      <c r="D376" s="5" t="str">
        <f>IFERROR(__xludf.DUMMYFUNCTION("""COMPUTED_VALUE"""),"חולון")</f>
        <v>חולון</v>
      </c>
      <c r="E376" s="5" t="str">
        <f>IFERROR(__xludf.DUMMYFUNCTION("""COMPUTED_VALUE"""),"גבר")</f>
        <v>גבר</v>
      </c>
      <c r="F376" s="5" t="str">
        <f>IFERROR(__xludf.DUMMYFUNCTION("""COMPUTED_VALUE"""),"אזרחים")</f>
        <v>אזרחים</v>
      </c>
      <c r="G376" s="3"/>
      <c r="H376" s="3" t="str">
        <f>IFERROR(__xludf.DUMMYFUNCTION("""COMPUTED_VALUE"""),"07.10.2023")</f>
        <v>07.10.2023</v>
      </c>
      <c r="I376" s="4" t="str">
        <f>IFERROR(__xludf.DUMMYFUNCTION("""COMPUTED_VALUE"""),"סמוך למפלסים")</f>
        <v>סמוך למפלסים</v>
      </c>
      <c r="J376" s="4" t="str">
        <f>IFERROR(__xludf.DUMMYFUNCTION("""COMPUTED_VALUE"""),"אזרחים וכיתות כוננות")</f>
        <v>אזרחים וכיתות כוננות</v>
      </c>
      <c r="K376" s="5" t="str">
        <f>IFERROR(__xludf.DUMMYFUNCTION("""COMPUTED_VALUE"""),"פסטיבל נובה")</f>
        <v>פסטיבל נובה</v>
      </c>
      <c r="L376" s="3" t="str">
        <f>IFERROR(__xludf.DUMMYFUNCTION("""COMPUTED_VALUE"""),"Roni Petrovski")</f>
        <v>Roni Petrovski</v>
      </c>
      <c r="M376" s="5"/>
    </row>
    <row r="377">
      <c r="A377" s="3">
        <f>IFERROR(__xludf.DUMMYFUNCTION("""COMPUTED_VALUE"""),826.0)</f>
        <v>826</v>
      </c>
      <c r="B377" s="4" t="str">
        <f>IFERROR(__xludf.DUMMYFUNCTION("""COMPUTED_VALUE"""),"פטרנקו דניאלה (דנה)")</f>
        <v>פטרנקו דניאלה (דנה)</v>
      </c>
      <c r="C377" s="3">
        <f>IFERROR(__xludf.DUMMYFUNCTION("""COMPUTED_VALUE"""),23.0)</f>
        <v>23</v>
      </c>
      <c r="D377" s="5" t="str">
        <f>IFERROR(__xludf.DUMMYFUNCTION("""COMPUTED_VALUE"""),"חיפה")</f>
        <v>חיפה</v>
      </c>
      <c r="E377" s="5" t="str">
        <f>IFERROR(__xludf.DUMMYFUNCTION("""COMPUTED_VALUE"""),"אישה")</f>
        <v>אישה</v>
      </c>
      <c r="F377" s="5" t="str">
        <f>IFERROR(__xludf.DUMMYFUNCTION("""COMPUTED_VALUE"""),"אזרחים")</f>
        <v>אזרחים</v>
      </c>
      <c r="G377" s="3"/>
      <c r="H377" s="3" t="str">
        <f>IFERROR(__xludf.DUMMYFUNCTION("""COMPUTED_VALUE"""),"07.10.2023")</f>
        <v>07.10.2023</v>
      </c>
      <c r="I377" s="4" t="str">
        <f>IFERROR(__xludf.DUMMYFUNCTION("""COMPUTED_VALUE"""),"פסטיבל נובה; בר צפוני")</f>
        <v>פסטיבל נובה; בר צפוני</v>
      </c>
      <c r="J377" s="4" t="str">
        <f>IFERROR(__xludf.DUMMYFUNCTION("""COMPUTED_VALUE"""),"אזרחים וכיתות כוננות")</f>
        <v>אזרחים וכיתות כוננות</v>
      </c>
      <c r="K377" s="5" t="str">
        <f>IFERROR(__xludf.DUMMYFUNCTION("""COMPUTED_VALUE"""),"פסטיבל נובה")</f>
        <v>פסטיבל נובה</v>
      </c>
      <c r="L377" s="3" t="str">
        <f>IFERROR(__xludf.DUMMYFUNCTION("""COMPUTED_VALUE"""),"Daniela Petrenko")</f>
        <v>Daniela Petrenko</v>
      </c>
      <c r="M377" s="5"/>
    </row>
    <row r="378">
      <c r="A378" s="3">
        <f>IFERROR(__xludf.DUMMYFUNCTION("""COMPUTED_VALUE"""),748.0)</f>
        <v>748</v>
      </c>
      <c r="B378" s="4" t="str">
        <f>IFERROR(__xludf.DUMMYFUNCTION("""COMPUTED_VALUE"""),"פישמן בן")</f>
        <v>פישמן בן</v>
      </c>
      <c r="C378" s="3">
        <f>IFERROR(__xludf.DUMMYFUNCTION("""COMPUTED_VALUE"""),21.0)</f>
        <v>21</v>
      </c>
      <c r="D378" s="5" t="str">
        <f>IFERROR(__xludf.DUMMYFUNCTION("""COMPUTED_VALUE"""),"כפר סבא")</f>
        <v>כפר סבא</v>
      </c>
      <c r="E378" s="5" t="str">
        <f>IFERROR(__xludf.DUMMYFUNCTION("""COMPUTED_VALUE"""),"גבר")</f>
        <v>גבר</v>
      </c>
      <c r="F378" s="5" t="str">
        <f>IFERROR(__xludf.DUMMYFUNCTION("""COMPUTED_VALUE"""),"אזרחים")</f>
        <v>אזרחים</v>
      </c>
      <c r="G378" s="3"/>
      <c r="H378" s="3" t="str">
        <f>IFERROR(__xludf.DUMMYFUNCTION("""COMPUTED_VALUE"""),"07.10.2023")</f>
        <v>07.10.2023</v>
      </c>
      <c r="I378" s="4" t="str">
        <f>IFERROR(__xludf.DUMMYFUNCTION("""COMPUTED_VALUE"""),"פסטיבל נובה")</f>
        <v>פסטיבל נובה</v>
      </c>
      <c r="J378" s="4" t="str">
        <f>IFERROR(__xludf.DUMMYFUNCTION("""COMPUTED_VALUE"""),"אזרחים וכיתות כוננות")</f>
        <v>אזרחים וכיתות כוננות</v>
      </c>
      <c r="K378" s="5" t="str">
        <f>IFERROR(__xludf.DUMMYFUNCTION("""COMPUTED_VALUE"""),"פסטיבל נובה")</f>
        <v>פסטיבל נובה</v>
      </c>
      <c r="L378" s="3" t="str">
        <f>IFERROR(__xludf.DUMMYFUNCTION("""COMPUTED_VALUE"""),"Ben Fishman")</f>
        <v>Ben Fishman</v>
      </c>
      <c r="M378" s="5"/>
    </row>
    <row r="379">
      <c r="A379" s="3">
        <f>IFERROR(__xludf.DUMMYFUNCTION("""COMPUTED_VALUE"""),827.0)</f>
        <v>827</v>
      </c>
      <c r="B379" s="4" t="str">
        <f>IFERROR(__xludf.DUMMYFUNCTION("""COMPUTED_VALUE"""),"פלחטי אלינה")</f>
        <v>פלחטי אלינה</v>
      </c>
      <c r="C379" s="3">
        <f>IFERROR(__xludf.DUMMYFUNCTION("""COMPUTED_VALUE"""),21.0)</f>
        <v>21</v>
      </c>
      <c r="D379" s="5" t="str">
        <f>IFERROR(__xludf.DUMMYFUNCTION("""COMPUTED_VALUE"""),"בית שאן")</f>
        <v>בית שאן</v>
      </c>
      <c r="E379" s="5" t="str">
        <f>IFERROR(__xludf.DUMMYFUNCTION("""COMPUTED_VALUE"""),"אישה")</f>
        <v>אישה</v>
      </c>
      <c r="F379" s="5" t="str">
        <f>IFERROR(__xludf.DUMMYFUNCTION("""COMPUTED_VALUE"""),"אזרחים")</f>
        <v>אזרחים</v>
      </c>
      <c r="G379" s="3"/>
      <c r="H379" s="3" t="str">
        <f>IFERROR(__xludf.DUMMYFUNCTION("""COMPUTED_VALUE"""),"07.10.2023")</f>
        <v>07.10.2023</v>
      </c>
      <c r="I379" s="4" t="str">
        <f>IFERROR(__xludf.DUMMYFUNCTION("""COMPUTED_VALUE"""),"פסטיבל נובה; אמבולנס")</f>
        <v>פסטיבל נובה; אמבולנס</v>
      </c>
      <c r="J379" s="4" t="str">
        <f>IFERROR(__xludf.DUMMYFUNCTION("""COMPUTED_VALUE"""),"אזרחים וכיתות כוננות")</f>
        <v>אזרחים וכיתות כוננות</v>
      </c>
      <c r="K379" s="5" t="str">
        <f>IFERROR(__xludf.DUMMYFUNCTION("""COMPUTED_VALUE"""),"פסטיבל נובה")</f>
        <v>פסטיבל נובה</v>
      </c>
      <c r="L379" s="3" t="str">
        <f>IFERROR(__xludf.DUMMYFUNCTION("""COMPUTED_VALUE"""),"Alina Palhati")</f>
        <v>Alina Palhati</v>
      </c>
      <c r="M379" s="5"/>
    </row>
    <row r="380">
      <c r="A380" s="3">
        <f>IFERROR(__xludf.DUMMYFUNCTION("""COMPUTED_VALUE"""),1631.0)</f>
        <v>1631</v>
      </c>
      <c r="B380" s="4" t="str">
        <f>IFERROR(__xludf.DUMMYFUNCTION("""COMPUTED_VALUE"""),"פסו אוראל")</f>
        <v>פסו אוראל</v>
      </c>
      <c r="C380" s="3">
        <f>IFERROR(__xludf.DUMMYFUNCTION("""COMPUTED_VALUE"""),26.0)</f>
        <v>26</v>
      </c>
      <c r="D380" s="5" t="str">
        <f>IFERROR(__xludf.DUMMYFUNCTION("""COMPUTED_VALUE"""),"קריית ים")</f>
        <v>קריית ים</v>
      </c>
      <c r="E380" s="5" t="str">
        <f>IFERROR(__xludf.DUMMYFUNCTION("""COMPUTED_VALUE"""),"גבר")</f>
        <v>גבר</v>
      </c>
      <c r="F380" s="5" t="str">
        <f>IFERROR(__xludf.DUMMYFUNCTION("""COMPUTED_VALUE"""),"אזרחים")</f>
        <v>אזרחים</v>
      </c>
      <c r="G380" s="3"/>
      <c r="H380" s="3" t="str">
        <f>IFERROR(__xludf.DUMMYFUNCTION("""COMPUTED_VALUE"""),"07.10.2023")</f>
        <v>07.10.2023</v>
      </c>
      <c r="I380" s="4" t="str">
        <f>IFERROR(__xludf.DUMMYFUNCTION("""COMPUTED_VALUE"""),"מיגונית בכניסה לרעים (מזרח)")</f>
        <v>מיגונית בכניסה לרעים (מזרח)</v>
      </c>
      <c r="J380" s="4" t="str">
        <f>IFERROR(__xludf.DUMMYFUNCTION("""COMPUTED_VALUE"""),"אזרחים וכיתות כוננות")</f>
        <v>אזרחים וכיתות כוננות</v>
      </c>
      <c r="K380" s="5" t="str">
        <f>IFERROR(__xludf.DUMMYFUNCTION("""COMPUTED_VALUE"""),"פסטיבל נובה")</f>
        <v>פסטיבל נובה</v>
      </c>
      <c r="L380" s="3" t="str">
        <f>IFERROR(__xludf.DUMMYFUNCTION("""COMPUTED_VALUE"""),"Orel Pesso")</f>
        <v>Orel Pesso</v>
      </c>
      <c r="M380" s="5"/>
    </row>
    <row r="381">
      <c r="A381" s="3">
        <f>IFERROR(__xludf.DUMMYFUNCTION("""COMPUTED_VALUE"""),1455.0)</f>
        <v>1455</v>
      </c>
      <c r="B381" s="4" t="str">
        <f>IFERROR(__xludf.DUMMYFUNCTION("""COMPUTED_VALUE"""),"פרג' נועה")</f>
        <v>פרג' נועה</v>
      </c>
      <c r="C381" s="3">
        <f>IFERROR(__xludf.DUMMYFUNCTION("""COMPUTED_VALUE"""),22.0)</f>
        <v>22</v>
      </c>
      <c r="D381" s="5" t="str">
        <f>IFERROR(__xludf.DUMMYFUNCTION("""COMPUTED_VALUE"""),"תל מונד")</f>
        <v>תל מונד</v>
      </c>
      <c r="E381" s="5" t="str">
        <f>IFERROR(__xludf.DUMMYFUNCTION("""COMPUTED_VALUE"""),"אישה")</f>
        <v>אישה</v>
      </c>
      <c r="F381" s="5" t="str">
        <f>IFERROR(__xludf.DUMMYFUNCTION("""COMPUTED_VALUE"""),"אזרחים")</f>
        <v>אזרחים</v>
      </c>
      <c r="G381" s="3"/>
      <c r="H381" s="3" t="str">
        <f>IFERROR(__xludf.DUMMYFUNCTION("""COMPUTED_VALUE"""),"07.10.2023")</f>
        <v>07.10.2023</v>
      </c>
      <c r="I381" s="4" t="str">
        <f>IFERROR(__xludf.DUMMYFUNCTION("""COMPUTED_VALUE"""),"מיגונית בכניסה לרעים (מזרח)")</f>
        <v>מיגונית בכניסה לרעים (מזרח)</v>
      </c>
      <c r="J381" s="4" t="str">
        <f>IFERROR(__xludf.DUMMYFUNCTION("""COMPUTED_VALUE"""),"אזרחים וכיתות כוננות")</f>
        <v>אזרחים וכיתות כוננות</v>
      </c>
      <c r="K381" s="5" t="str">
        <f>IFERROR(__xludf.DUMMYFUNCTION("""COMPUTED_VALUE"""),"פסטיבל נובה")</f>
        <v>פסטיבל נובה</v>
      </c>
      <c r="L381" s="3" t="str">
        <f>IFERROR(__xludf.DUMMYFUNCTION("""COMPUTED_VALUE"""),"Noa Farage")</f>
        <v>Noa Farage</v>
      </c>
      <c r="M381" s="5"/>
    </row>
    <row r="382">
      <c r="A382" s="3">
        <f>IFERROR(__xludf.DUMMYFUNCTION("""COMPUTED_VALUE"""),821.0)</f>
        <v>821</v>
      </c>
      <c r="B382" s="4" t="str">
        <f>IFERROR(__xludf.DUMMYFUNCTION("""COMPUTED_VALUE"""),"פריטיקה קארינה")</f>
        <v>פריטיקה קארינה</v>
      </c>
      <c r="C382" s="3">
        <f>IFERROR(__xludf.DUMMYFUNCTION("""COMPUTED_VALUE"""),23.0)</f>
        <v>23</v>
      </c>
      <c r="D382" s="5" t="str">
        <f>IFERROR(__xludf.DUMMYFUNCTION("""COMPUTED_VALUE"""),"אריאל")</f>
        <v>אריאל</v>
      </c>
      <c r="E382" s="5" t="str">
        <f>IFERROR(__xludf.DUMMYFUNCTION("""COMPUTED_VALUE"""),"אישה")</f>
        <v>אישה</v>
      </c>
      <c r="F382" s="5" t="str">
        <f>IFERROR(__xludf.DUMMYFUNCTION("""COMPUTED_VALUE"""),"אזרחים")</f>
        <v>אזרחים</v>
      </c>
      <c r="G382" s="3"/>
      <c r="H382" s="3" t="str">
        <f>IFERROR(__xludf.DUMMYFUNCTION("""COMPUTED_VALUE"""),"07.10.2023")</f>
        <v>07.10.2023</v>
      </c>
      <c r="I382" s="4" t="str">
        <f>IFERROR(__xludf.DUMMYFUNCTION("""COMPUTED_VALUE"""),"מערבית לצומת גמה")</f>
        <v>מערבית לצומת גמה</v>
      </c>
      <c r="J382" s="4" t="str">
        <f>IFERROR(__xludf.DUMMYFUNCTION("""COMPUTED_VALUE"""),"אזרחים וכיתות כוננות")</f>
        <v>אזרחים וכיתות כוננות</v>
      </c>
      <c r="K382" s="5" t="str">
        <f>IFERROR(__xludf.DUMMYFUNCTION("""COMPUTED_VALUE"""),"פסטיבל נובה")</f>
        <v>פסטיבל נובה</v>
      </c>
      <c r="L382" s="3" t="str">
        <f>IFERROR(__xludf.DUMMYFUNCTION("""COMPUTED_VALUE"""),"Karina Pritika")</f>
        <v>Karina Pritika</v>
      </c>
      <c r="M382" s="5"/>
    </row>
    <row r="383">
      <c r="A383" s="3">
        <f>IFERROR(__xludf.DUMMYFUNCTION("""COMPUTED_VALUE"""),1430.0)</f>
        <v>1430</v>
      </c>
      <c r="B383" s="4" t="str">
        <f>IFERROR(__xludf.DUMMYFUNCTION("""COMPUTED_VALUE"""),"פרינץ הדר")</f>
        <v>פרינץ הדר</v>
      </c>
      <c r="C383" s="3">
        <f>IFERROR(__xludf.DUMMYFUNCTION("""COMPUTED_VALUE"""),21.0)</f>
        <v>21</v>
      </c>
      <c r="D383" s="5" t="str">
        <f>IFERROR(__xludf.DUMMYFUNCTION("""COMPUTED_VALUE"""),"גדרה")</f>
        <v>גדרה</v>
      </c>
      <c r="E383" s="5" t="str">
        <f>IFERROR(__xludf.DUMMYFUNCTION("""COMPUTED_VALUE"""),"אישה")</f>
        <v>אישה</v>
      </c>
      <c r="F383" s="5" t="str">
        <f>IFERROR(__xludf.DUMMYFUNCTION("""COMPUTED_VALUE"""),"אזרחים")</f>
        <v>אזרחים</v>
      </c>
      <c r="G383" s="3"/>
      <c r="H383" s="3" t="str">
        <f>IFERROR(__xludf.DUMMYFUNCTION("""COMPUTED_VALUE"""),"07.10.2023")</f>
        <v>07.10.2023</v>
      </c>
      <c r="I383" s="4" t="str">
        <f>IFERROR(__xludf.DUMMYFUNCTION("""COMPUTED_VALUE"""),"פסטיבל נובה; מכולות צהובות")</f>
        <v>פסטיבל נובה; מכולות צהובות</v>
      </c>
      <c r="J383" s="4" t="str">
        <f>IFERROR(__xludf.DUMMYFUNCTION("""COMPUTED_VALUE"""),"אזרחים וכיתות כוננות")</f>
        <v>אזרחים וכיתות כוננות</v>
      </c>
      <c r="K383" s="5" t="str">
        <f>IFERROR(__xludf.DUMMYFUNCTION("""COMPUTED_VALUE"""),"פסטיבל נובה")</f>
        <v>פסטיבל נובה</v>
      </c>
      <c r="L383" s="3" t="str">
        <f>IFERROR(__xludf.DUMMYFUNCTION("""COMPUTED_VALUE"""),"Hadar Prince")</f>
        <v>Hadar Prince</v>
      </c>
      <c r="M383" s="5"/>
    </row>
    <row r="384">
      <c r="A384" s="3">
        <f>IFERROR(__xludf.DUMMYFUNCTION("""COMPUTED_VALUE"""),750.0)</f>
        <v>750</v>
      </c>
      <c r="B384" s="4" t="str">
        <f>IFERROR(__xludf.DUMMYFUNCTION("""COMPUTED_VALUE"""),"פרנקל זיו")</f>
        <v>פרנקל זיו</v>
      </c>
      <c r="C384" s="3">
        <f>IFERROR(__xludf.DUMMYFUNCTION("""COMPUTED_VALUE"""),22.0)</f>
        <v>22</v>
      </c>
      <c r="D384" s="5" t="str">
        <f>IFERROR(__xludf.DUMMYFUNCTION("""COMPUTED_VALUE"""),"עין המפרץ")</f>
        <v>עין המפרץ</v>
      </c>
      <c r="E384" s="5" t="str">
        <f>IFERROR(__xludf.DUMMYFUNCTION("""COMPUTED_VALUE"""),"אישה")</f>
        <v>אישה</v>
      </c>
      <c r="F384" s="5" t="str">
        <f>IFERROR(__xludf.DUMMYFUNCTION("""COMPUTED_VALUE"""),"אזרחים")</f>
        <v>אזרחים</v>
      </c>
      <c r="G384" s="3"/>
      <c r="H384" s="3" t="str">
        <f>IFERROR(__xludf.DUMMYFUNCTION("""COMPUTED_VALUE"""),"07.10.2023")</f>
        <v>07.10.2023</v>
      </c>
      <c r="I384" s="4" t="str">
        <f>IFERROR(__xludf.DUMMYFUNCTION("""COMPUTED_VALUE"""),"פסטיבל נובה; אמבולנס")</f>
        <v>פסטיבל נובה; אמבולנס</v>
      </c>
      <c r="J384" s="4" t="str">
        <f>IFERROR(__xludf.DUMMYFUNCTION("""COMPUTED_VALUE"""),"אזרחים וכיתות כוננות")</f>
        <v>אזרחים וכיתות כוננות</v>
      </c>
      <c r="K384" s="5" t="str">
        <f>IFERROR(__xludf.DUMMYFUNCTION("""COMPUTED_VALUE"""),"פסטיבל נובה")</f>
        <v>פסטיבל נובה</v>
      </c>
      <c r="L384" s="3" t="str">
        <f>IFERROR(__xludf.DUMMYFUNCTION("""COMPUTED_VALUE"""),"Ziv Frenkel")</f>
        <v>Ziv Frenkel</v>
      </c>
      <c r="M384" s="5"/>
    </row>
    <row r="385">
      <c r="A385" s="3">
        <f>IFERROR(__xludf.DUMMYFUNCTION("""COMPUTED_VALUE"""),823.0)</f>
        <v>823</v>
      </c>
      <c r="B385" s="4" t="str">
        <f>IFERROR(__xludf.DUMMYFUNCTION("""COMPUTED_VALUE"""),"פרץ אריק (אריה)")</f>
        <v>פרץ אריק (אריה)</v>
      </c>
      <c r="C385" s="3">
        <f>IFERROR(__xludf.DUMMYFUNCTION("""COMPUTED_VALUE"""),58.0)</f>
        <v>58</v>
      </c>
      <c r="D385" s="5" t="str">
        <f>IFERROR(__xludf.DUMMYFUNCTION("""COMPUTED_VALUE"""),"קריית חיים")</f>
        <v>קריית חיים</v>
      </c>
      <c r="E385" s="5" t="str">
        <f>IFERROR(__xludf.DUMMYFUNCTION("""COMPUTED_VALUE"""),"גבר")</f>
        <v>גבר</v>
      </c>
      <c r="F385" s="5" t="str">
        <f>IFERROR(__xludf.DUMMYFUNCTION("""COMPUTED_VALUE"""),"אזרחים")</f>
        <v>אזרחים</v>
      </c>
      <c r="G385" s="3"/>
      <c r="H385" s="3" t="str">
        <f>IFERROR(__xludf.DUMMYFUNCTION("""COMPUTED_VALUE"""),"07.10.2023")</f>
        <v>07.10.2023</v>
      </c>
      <c r="I385" s="4" t="str">
        <f>IFERROR(__xludf.DUMMYFUNCTION("""COMPUTED_VALUE"""),"פסטיבל נובה; אמבולנס")</f>
        <v>פסטיבל נובה; אמבולנס</v>
      </c>
      <c r="J385" s="4" t="str">
        <f>IFERROR(__xludf.DUMMYFUNCTION("""COMPUTED_VALUE"""),"אזרחים וכיתות כוננות")</f>
        <v>אזרחים וכיתות כוננות</v>
      </c>
      <c r="K385" s="5" t="str">
        <f>IFERROR(__xludf.DUMMYFUNCTION("""COMPUTED_VALUE"""),"פסטיבל נובה")</f>
        <v>פסטיבל נובה</v>
      </c>
      <c r="L385" s="3" t="str">
        <f>IFERROR(__xludf.DUMMYFUNCTION("""COMPUTED_VALUE"""),"Eric Perez")</f>
        <v>Eric Perez</v>
      </c>
      <c r="M385" s="5"/>
    </row>
    <row r="386">
      <c r="A386" s="3">
        <f>IFERROR(__xludf.DUMMYFUNCTION("""COMPUTED_VALUE"""),824.0)</f>
        <v>824</v>
      </c>
      <c r="B386" s="4" t="str">
        <f>IFERROR(__xludf.DUMMYFUNCTION("""COMPUTED_VALUE"""),"פרץ עידו")</f>
        <v>פרץ עידו</v>
      </c>
      <c r="C386" s="3">
        <f>IFERROR(__xludf.DUMMYFUNCTION("""COMPUTED_VALUE"""),23.0)</f>
        <v>23</v>
      </c>
      <c r="D386" s="5" t="str">
        <f>IFERROR(__xludf.DUMMYFUNCTION("""COMPUTED_VALUE"""),"רמת גן")</f>
        <v>רמת גן</v>
      </c>
      <c r="E386" s="5" t="str">
        <f>IFERROR(__xludf.DUMMYFUNCTION("""COMPUTED_VALUE"""),"גבר")</f>
        <v>גבר</v>
      </c>
      <c r="F386" s="5" t="str">
        <f>IFERROR(__xludf.DUMMYFUNCTION("""COMPUTED_VALUE"""),"אזרחים")</f>
        <v>אזרחים</v>
      </c>
      <c r="G386" s="3"/>
      <c r="H386" s="3" t="str">
        <f>IFERROR(__xludf.DUMMYFUNCTION("""COMPUTED_VALUE"""),"07.10.2023")</f>
        <v>07.10.2023</v>
      </c>
      <c r="I386" s="4" t="str">
        <f>IFERROR(__xludf.DUMMYFUNCTION("""COMPUTED_VALUE"""),"צומת מבטחים")</f>
        <v>צומת מבטחים</v>
      </c>
      <c r="J386" s="4" t="str">
        <f>IFERROR(__xludf.DUMMYFUNCTION("""COMPUTED_VALUE"""),"אזרחים וכיתות כוננות")</f>
        <v>אזרחים וכיתות כוננות</v>
      </c>
      <c r="K386" s="5" t="str">
        <f>IFERROR(__xludf.DUMMYFUNCTION("""COMPUTED_VALUE"""),"פסטיבל נובה")</f>
        <v>פסטיבל נובה</v>
      </c>
      <c r="L386" s="3" t="str">
        <f>IFERROR(__xludf.DUMMYFUNCTION("""COMPUTED_VALUE"""),"Ido Perez")</f>
        <v>Ido Perez</v>
      </c>
      <c r="M386" s="5"/>
    </row>
    <row r="387">
      <c r="A387" s="3">
        <f>IFERROR(__xludf.DUMMYFUNCTION("""COMPUTED_VALUE"""),825.0)</f>
        <v>825</v>
      </c>
      <c r="B387" s="4" t="str">
        <f>IFERROR(__xludf.DUMMYFUNCTION("""COMPUTED_VALUE"""),"פרץ רות הודיה")</f>
        <v>פרץ רות הודיה</v>
      </c>
      <c r="C387" s="3">
        <f>IFERROR(__xludf.DUMMYFUNCTION("""COMPUTED_VALUE"""),17.0)</f>
        <v>17</v>
      </c>
      <c r="D387" s="5" t="str">
        <f>IFERROR(__xludf.DUMMYFUNCTION("""COMPUTED_VALUE"""),"קריית חיים")</f>
        <v>קריית חיים</v>
      </c>
      <c r="E387" s="5" t="str">
        <f>IFERROR(__xludf.DUMMYFUNCTION("""COMPUTED_VALUE"""),"ילדה")</f>
        <v>ילדה</v>
      </c>
      <c r="F387" s="5" t="str">
        <f>IFERROR(__xludf.DUMMYFUNCTION("""COMPUTED_VALUE"""),"אזרחים")</f>
        <v>אזרחים</v>
      </c>
      <c r="G387" s="3"/>
      <c r="H387" s="3" t="str">
        <f>IFERROR(__xludf.DUMMYFUNCTION("""COMPUTED_VALUE"""),"07.10.2023")</f>
        <v>07.10.2023</v>
      </c>
      <c r="I387" s="4" t="str">
        <f>IFERROR(__xludf.DUMMYFUNCTION("""COMPUTED_VALUE"""),"פסטיבל נובה; אמבולנס")</f>
        <v>פסטיבל נובה; אמבולנס</v>
      </c>
      <c r="J387" s="4" t="str">
        <f>IFERROR(__xludf.DUMMYFUNCTION("""COMPUTED_VALUE"""),"אזרחים וכיתות כוננות")</f>
        <v>אזרחים וכיתות כוננות</v>
      </c>
      <c r="K387" s="5" t="str">
        <f>IFERROR(__xludf.DUMMYFUNCTION("""COMPUTED_VALUE"""),"פסטיבל נובה")</f>
        <v>פסטיבל נובה</v>
      </c>
      <c r="L387" s="3" t="str">
        <f>IFERROR(__xludf.DUMMYFUNCTION("""COMPUTED_VALUE"""),"Ruth Perez")</f>
        <v>Ruth Perez</v>
      </c>
      <c r="M387" s="5"/>
    </row>
    <row r="388">
      <c r="A388" s="3">
        <f>IFERROR(__xludf.DUMMYFUNCTION("""COMPUTED_VALUE"""),1570.0)</f>
        <v>1570</v>
      </c>
      <c r="B388" s="4" t="str">
        <f>IFERROR(__xludf.DUMMYFUNCTION("""COMPUTED_VALUE"""),"צפתי חי חיים")</f>
        <v>צפתי חי חיים</v>
      </c>
      <c r="C388" s="3">
        <f>IFERROR(__xludf.DUMMYFUNCTION("""COMPUTED_VALUE"""),26.0)</f>
        <v>26</v>
      </c>
      <c r="D388" s="5" t="str">
        <f>IFERROR(__xludf.DUMMYFUNCTION("""COMPUTED_VALUE"""),"קריית אתא")</f>
        <v>קריית אתא</v>
      </c>
      <c r="E388" s="5" t="str">
        <f>IFERROR(__xludf.DUMMYFUNCTION("""COMPUTED_VALUE"""),"גבר")</f>
        <v>גבר</v>
      </c>
      <c r="F388" s="5" t="str">
        <f>IFERROR(__xludf.DUMMYFUNCTION("""COMPUTED_VALUE"""),"אזרחים")</f>
        <v>אזרחים</v>
      </c>
      <c r="G388" s="3"/>
      <c r="H388" s="3" t="str">
        <f>IFERROR(__xludf.DUMMYFUNCTION("""COMPUTED_VALUE"""),"07.10.2023")</f>
        <v>07.10.2023</v>
      </c>
      <c r="I388" s="4" t="str">
        <f>IFERROR(__xludf.DUMMYFUNCTION("""COMPUTED_VALUE"""),"מיגונית בכניסה לרעים (מזרח)")</f>
        <v>מיגונית בכניסה לרעים (מזרח)</v>
      </c>
      <c r="J388" s="4" t="str">
        <f>IFERROR(__xludf.DUMMYFUNCTION("""COMPUTED_VALUE"""),"אזרחים וכיתות כוננות")</f>
        <v>אזרחים וכיתות כוננות</v>
      </c>
      <c r="K388" s="5" t="str">
        <f>IFERROR(__xludf.DUMMYFUNCTION("""COMPUTED_VALUE"""),"פסטיבל נובה")</f>
        <v>פסטיבל נובה</v>
      </c>
      <c r="L388" s="3" t="str">
        <f>IFERROR(__xludf.DUMMYFUNCTION("""COMPUTED_VALUE"""),"Haim (Hai) Tzfati")</f>
        <v>Haim (Hai) Tzfati</v>
      </c>
      <c r="M388" s="5"/>
    </row>
    <row r="389">
      <c r="A389" s="3">
        <f>IFERROR(__xludf.DUMMYFUNCTION("""COMPUTED_VALUE"""),29.0)</f>
        <v>29</v>
      </c>
      <c r="B389" s="6" t="str">
        <f>IFERROR(__xludf.DUMMYFUNCTION("""COMPUTED_VALUE"""),"צרפתי אופיר")</f>
        <v>צרפתי אופיר</v>
      </c>
      <c r="C389" s="3">
        <f>IFERROR(__xludf.DUMMYFUNCTION("""COMPUTED_VALUE"""),27.0)</f>
        <v>27</v>
      </c>
      <c r="D389" s="5" t="str">
        <f>IFERROR(__xludf.DUMMYFUNCTION("""COMPUTED_VALUE"""),"קרית אתא")</f>
        <v>קרית אתא</v>
      </c>
      <c r="E389" s="5" t="str">
        <f>IFERROR(__xludf.DUMMYFUNCTION("""COMPUTED_VALUE"""),"גבר")</f>
        <v>גבר</v>
      </c>
      <c r="F389" s="5" t="str">
        <f>IFERROR(__xludf.DUMMYFUNCTION("""COMPUTED_VALUE"""),"אזרחים")</f>
        <v>אזרחים</v>
      </c>
      <c r="G389" s="3"/>
      <c r="H389" s="3">
        <f>IFERROR(__xludf.DUMMYFUNCTION("""COMPUTED_VALUE"""),2023.0)</f>
        <v>2023</v>
      </c>
      <c r="I389" s="4" t="str">
        <f>IFERROR(__xludf.DUMMYFUNCTION("""COMPUTED_VALUE"""),"עזה; מסגד סמוך לביה""ח שיפא")</f>
        <v>עזה; מסגד סמוך לביה"ח שיפא</v>
      </c>
      <c r="J389" s="4" t="str">
        <f>IFERROR(__xludf.DUMMYFUNCTION("""COMPUTED_VALUE"""),"אזרחים וכיתות כוננות")</f>
        <v>אזרחים וכיתות כוננות</v>
      </c>
      <c r="K389" s="5" t="str">
        <f>IFERROR(__xludf.DUMMYFUNCTION("""COMPUTED_VALUE"""),"פסטיבל נובה")</f>
        <v>פסטיבל נובה</v>
      </c>
      <c r="L389" s="3" t="str">
        <f>IFERROR(__xludf.DUMMYFUNCTION("""COMPUTED_VALUE"""),"Ofir Tzarfati")</f>
        <v>Ofir Tzarfati</v>
      </c>
      <c r="M389" s="5"/>
    </row>
    <row r="390">
      <c r="A390" s="3">
        <f>IFERROR(__xludf.DUMMYFUNCTION("""COMPUTED_VALUE"""),1296.0)</f>
        <v>1296</v>
      </c>
      <c r="B390" s="4" t="str">
        <f>IFERROR(__xludf.DUMMYFUNCTION("""COMPUTED_VALUE"""),"צרפתי רון")</f>
        <v>צרפתי רון</v>
      </c>
      <c r="C390" s="3">
        <f>IFERROR(__xludf.DUMMYFUNCTION("""COMPUTED_VALUE"""),22.0)</f>
        <v>22</v>
      </c>
      <c r="D390" s="5" t="str">
        <f>IFERROR(__xludf.DUMMYFUNCTION("""COMPUTED_VALUE"""),"חדרה")</f>
        <v>חדרה</v>
      </c>
      <c r="E390" s="5" t="str">
        <f>IFERROR(__xludf.DUMMYFUNCTION("""COMPUTED_VALUE"""),"אישה")</f>
        <v>אישה</v>
      </c>
      <c r="F390" s="5" t="str">
        <f>IFERROR(__xludf.DUMMYFUNCTION("""COMPUTED_VALUE"""),"צה""ל")</f>
        <v>צה"ל</v>
      </c>
      <c r="G390" s="3" t="str">
        <f>IFERROR(__xludf.DUMMYFUNCTION("""COMPUTED_VALUE"""),"סרן")</f>
        <v>סרן</v>
      </c>
      <c r="H390" s="3" t="str">
        <f>IFERROR(__xludf.DUMMYFUNCTION("""COMPUTED_VALUE"""),"07.10.2023")</f>
        <v>07.10.2023</v>
      </c>
      <c r="I390" s="4" t="str">
        <f>IFERROR(__xludf.DUMMYFUNCTION("""COMPUTED_VALUE"""),"בין נובה לרעים")</f>
        <v>בין נובה לרעים</v>
      </c>
      <c r="J390" s="4" t="str">
        <f>IFERROR(__xludf.DUMMYFUNCTION("""COMPUTED_VALUE"""),"אזרחים וכיתות כוננות")</f>
        <v>אזרחים וכיתות כוננות</v>
      </c>
      <c r="K390" s="5" t="str">
        <f>IFERROR(__xludf.DUMMYFUNCTION("""COMPUTED_VALUE"""),"פסטיבל נובה")</f>
        <v>פסטיבל נובה</v>
      </c>
      <c r="L390" s="3" t="str">
        <f>IFERROR(__xludf.DUMMYFUNCTION("""COMPUTED_VALUE"""),"Ron Zarfati")</f>
        <v>Ron Zarfati</v>
      </c>
      <c r="M390" s="5"/>
    </row>
    <row r="391">
      <c r="A391" s="3">
        <f>IFERROR(__xludf.DUMMYFUNCTION("""COMPUTED_VALUE"""),784.0)</f>
        <v>784</v>
      </c>
      <c r="B391" s="4" t="str">
        <f>IFERROR(__xludf.DUMMYFUNCTION("""COMPUTED_VALUE"""),"קונדרוב אירית")</f>
        <v>קונדרוב אירית</v>
      </c>
      <c r="C391" s="3">
        <f>IFERROR(__xludf.DUMMYFUNCTION("""COMPUTED_VALUE"""),27.0)</f>
        <v>27</v>
      </c>
      <c r="D391" s="5" t="str">
        <f>IFERROR(__xludf.DUMMYFUNCTION("""COMPUTED_VALUE"""),"אשקלון")</f>
        <v>אשקלון</v>
      </c>
      <c r="E391" s="5" t="str">
        <f>IFERROR(__xludf.DUMMYFUNCTION("""COMPUTED_VALUE"""),"אישה")</f>
        <v>אישה</v>
      </c>
      <c r="F391" s="5" t="str">
        <f>IFERROR(__xludf.DUMMYFUNCTION("""COMPUTED_VALUE"""),"אזרחים")</f>
        <v>אזרחים</v>
      </c>
      <c r="G391" s="5"/>
      <c r="H391" s="3" t="str">
        <f>IFERROR(__xludf.DUMMYFUNCTION("""COMPUTED_VALUE"""),"07.10.2023")</f>
        <v>07.10.2023</v>
      </c>
      <c r="I391" s="4" t="str">
        <f>IFERROR(__xludf.DUMMYFUNCTION("""COMPUTED_VALUE"""),"סמוך למפלסים")</f>
        <v>סמוך למפלסים</v>
      </c>
      <c r="J391" s="2" t="str">
        <f>IFERROR(__xludf.DUMMYFUNCTION("""COMPUTED_VALUE"""),"אזרחים וכיתות כוננות")</f>
        <v>אזרחים וכיתות כוננות</v>
      </c>
      <c r="K391" s="5" t="str">
        <f>IFERROR(__xludf.DUMMYFUNCTION("""COMPUTED_VALUE"""),"פסטיבל נובה")</f>
        <v>פסטיבל נובה</v>
      </c>
      <c r="L391" s="3" t="str">
        <f>IFERROR(__xludf.DUMMYFUNCTION("""COMPUTED_VALUE"""),"Irit Konderov")</f>
        <v>Irit Konderov</v>
      </c>
      <c r="M391" s="5"/>
    </row>
    <row r="392">
      <c r="A392" s="3">
        <f>IFERROR(__xludf.DUMMYFUNCTION("""COMPUTED_VALUE"""),787.0)</f>
        <v>787</v>
      </c>
      <c r="B392" s="4" t="str">
        <f>IFERROR(__xludf.DUMMYFUNCTION("""COMPUTED_VALUE"""),"קופרווסר שני")</f>
        <v>קופרווסר שני</v>
      </c>
      <c r="C392" s="3">
        <f>IFERROR(__xludf.DUMMYFUNCTION("""COMPUTED_VALUE"""),28.0)</f>
        <v>28</v>
      </c>
      <c r="D392" s="5" t="str">
        <f>IFERROR(__xludf.DUMMYFUNCTION("""COMPUTED_VALUE"""),"חיפה")</f>
        <v>חיפה</v>
      </c>
      <c r="E392" s="5" t="str">
        <f>IFERROR(__xludf.DUMMYFUNCTION("""COMPUTED_VALUE"""),"אישה")</f>
        <v>אישה</v>
      </c>
      <c r="F392" s="5" t="str">
        <f>IFERROR(__xludf.DUMMYFUNCTION("""COMPUTED_VALUE"""),"אזרחים")</f>
        <v>אזרחים</v>
      </c>
      <c r="G392" s="5"/>
      <c r="H392" s="3" t="str">
        <f>IFERROR(__xludf.DUMMYFUNCTION("""COMPUTED_VALUE"""),"07.10.2023")</f>
        <v>07.10.2023</v>
      </c>
      <c r="I392" s="4" t="str">
        <f>IFERROR(__xludf.DUMMYFUNCTION("""COMPUTED_VALUE"""),"מיגונית בכניסה לרעים (מערב)")</f>
        <v>מיגונית בכניסה לרעים (מערב)</v>
      </c>
      <c r="J392" s="4" t="str">
        <f>IFERROR(__xludf.DUMMYFUNCTION("""COMPUTED_VALUE"""),"אזרחים וכיתות כוננות")</f>
        <v>אזרחים וכיתות כוננות</v>
      </c>
      <c r="K392" s="5" t="str">
        <f>IFERROR(__xludf.DUMMYFUNCTION("""COMPUTED_VALUE"""),"פסטיבל נובה")</f>
        <v>פסטיבל נובה</v>
      </c>
      <c r="L392" s="3" t="str">
        <f>IFERROR(__xludf.DUMMYFUNCTION("""COMPUTED_VALUE"""),"Shani Kupervaser")</f>
        <v>Shani Kupervaser</v>
      </c>
      <c r="M392" s="5"/>
    </row>
    <row r="393">
      <c r="A393" s="3">
        <f>IFERROR(__xludf.DUMMYFUNCTION("""COMPUTED_VALUE"""),1535.0)</f>
        <v>1535</v>
      </c>
      <c r="B393" s="4" t="str">
        <f>IFERROR(__xludf.DUMMYFUNCTION("""COMPUTED_VALUE"""),"קיז'נר שגב ישראל")</f>
        <v>קיז'נר שגב ישראל</v>
      </c>
      <c r="C393" s="3">
        <f>IFERROR(__xludf.DUMMYFUNCTION("""COMPUTED_VALUE"""),22.0)</f>
        <v>22</v>
      </c>
      <c r="D393" s="5" t="str">
        <f>IFERROR(__xludf.DUMMYFUNCTION("""COMPUTED_VALUE"""),"עצמון")</f>
        <v>עצמון</v>
      </c>
      <c r="E393" s="5" t="str">
        <f>IFERROR(__xludf.DUMMYFUNCTION("""COMPUTED_VALUE"""),"גבר")</f>
        <v>גבר</v>
      </c>
      <c r="F393" s="5" t="str">
        <f>IFERROR(__xludf.DUMMYFUNCTION("""COMPUTED_VALUE"""),"אזרחים")</f>
        <v>אזרחים</v>
      </c>
      <c r="G393" s="3"/>
      <c r="H393" s="3" t="str">
        <f>IFERROR(__xludf.DUMMYFUNCTION("""COMPUTED_VALUE"""),"07.10.2023")</f>
        <v>07.10.2023</v>
      </c>
      <c r="I393" s="4" t="str">
        <f>IFERROR(__xludf.DUMMYFUNCTION("""COMPUTED_VALUE"""),"מיגונית בכניסה לרעים (מערב)")</f>
        <v>מיגונית בכניסה לרעים (מערב)</v>
      </c>
      <c r="J393" s="4" t="str">
        <f>IFERROR(__xludf.DUMMYFUNCTION("""COMPUTED_VALUE"""),"אזרחים וכיתות כוננות")</f>
        <v>אזרחים וכיתות כוננות</v>
      </c>
      <c r="K393" s="5" t="str">
        <f>IFERROR(__xludf.DUMMYFUNCTION("""COMPUTED_VALUE"""),"פסטיבל נובה")</f>
        <v>פסטיבל נובה</v>
      </c>
      <c r="L393" s="3" t="str">
        <f>IFERROR(__xludf.DUMMYFUNCTION("""COMPUTED_VALUE"""),"Segev Israel Kishner")</f>
        <v>Segev Israel Kishner</v>
      </c>
      <c r="M393" s="5"/>
    </row>
    <row r="394">
      <c r="A394" s="3">
        <f>IFERROR(__xludf.DUMMYFUNCTION("""COMPUTED_VALUE"""),1537.0)</f>
        <v>1537</v>
      </c>
      <c r="B394" s="4" t="str">
        <f>IFERROR(__xludf.DUMMYFUNCTION("""COMPUTED_VALUE"""),"קיילין הילה")</f>
        <v>קיילין הילה</v>
      </c>
      <c r="C394" s="3">
        <f>IFERROR(__xludf.DUMMYFUNCTION("""COMPUTED_VALUE"""),41.0)</f>
        <v>41</v>
      </c>
      <c r="D394" s="5" t="str">
        <f>IFERROR(__xludf.DUMMYFUNCTION("""COMPUTED_VALUE"""),"מזכרת בתיה")</f>
        <v>מזכרת בתיה</v>
      </c>
      <c r="E394" s="5" t="str">
        <f>IFERROR(__xludf.DUMMYFUNCTION("""COMPUTED_VALUE"""),"אישה")</f>
        <v>אישה</v>
      </c>
      <c r="F394" s="5" t="str">
        <f>IFERROR(__xludf.DUMMYFUNCTION("""COMPUTED_VALUE"""),"אזרחים")</f>
        <v>אזרחים</v>
      </c>
      <c r="G394" s="3"/>
      <c r="H394" s="3" t="str">
        <f>IFERROR(__xludf.DUMMYFUNCTION("""COMPUTED_VALUE"""),"07.10.2023")</f>
        <v>07.10.2023</v>
      </c>
      <c r="I394" s="4" t="str">
        <f>IFERROR(__xludf.DUMMYFUNCTION("""COMPUTED_VALUE"""),"כביש שער הנגב מפלסים")</f>
        <v>כביש שער הנגב מפלסים</v>
      </c>
      <c r="J394" s="4" t="str">
        <f>IFERROR(__xludf.DUMMYFUNCTION("""COMPUTED_VALUE"""),"אזרחים וכיתות כוננות")</f>
        <v>אזרחים וכיתות כוננות</v>
      </c>
      <c r="K394" s="5" t="str">
        <f>IFERROR(__xludf.DUMMYFUNCTION("""COMPUTED_VALUE"""),"פסטיבל נובה")</f>
        <v>פסטיבל נובה</v>
      </c>
      <c r="L394" s="3" t="str">
        <f>IFERROR(__xludf.DUMMYFUNCTION("""COMPUTED_VALUE"""),"Hila Keylin")</f>
        <v>Hila Keylin</v>
      </c>
      <c r="M394" s="5"/>
    </row>
    <row r="395">
      <c r="A395" s="3">
        <f>IFERROR(__xludf.DUMMYFUNCTION("""COMPUTED_VALUE"""),782.0)</f>
        <v>782</v>
      </c>
      <c r="B395" s="4" t="str">
        <f>IFERROR(__xludf.DUMMYFUNCTION("""COMPUTED_VALUE"""),"קינן לינור")</f>
        <v>קינן לינור</v>
      </c>
      <c r="C395" s="3">
        <f>IFERROR(__xludf.DUMMYFUNCTION("""COMPUTED_VALUE"""),23.0)</f>
        <v>23</v>
      </c>
      <c r="D395" s="5" t="str">
        <f>IFERROR(__xludf.DUMMYFUNCTION("""COMPUTED_VALUE"""),"מזכרת בתיה")</f>
        <v>מזכרת בתיה</v>
      </c>
      <c r="E395" s="5" t="str">
        <f>IFERROR(__xludf.DUMMYFUNCTION("""COMPUTED_VALUE"""),"אישה")</f>
        <v>אישה</v>
      </c>
      <c r="F395" s="5" t="str">
        <f>IFERROR(__xludf.DUMMYFUNCTION("""COMPUTED_VALUE"""),"אזרחים")</f>
        <v>אזרחים</v>
      </c>
      <c r="G395" s="3"/>
      <c r="H395" s="3" t="str">
        <f>IFERROR(__xludf.DUMMYFUNCTION("""COMPUTED_VALUE"""),"07.10.2023")</f>
        <v>07.10.2023</v>
      </c>
      <c r="I395" s="4" t="str">
        <f>IFERROR(__xludf.DUMMYFUNCTION("""COMPUTED_VALUE"""),"מיגונית בצומת בארי")</f>
        <v>מיגונית בצומת בארי</v>
      </c>
      <c r="J395" s="2" t="str">
        <f>IFERROR(__xludf.DUMMYFUNCTION("""COMPUTED_VALUE"""),"אזרחים וכיתות כוננות")</f>
        <v>אזרחים וכיתות כוננות</v>
      </c>
      <c r="K395" s="5" t="str">
        <f>IFERROR(__xludf.DUMMYFUNCTION("""COMPUTED_VALUE"""),"פסטיבל נובה")</f>
        <v>פסטיבל נובה</v>
      </c>
      <c r="L395" s="3" t="str">
        <f>IFERROR(__xludf.DUMMYFUNCTION("""COMPUTED_VALUE"""),"Linor Keinan")</f>
        <v>Linor Keinan</v>
      </c>
      <c r="M395" s="5"/>
    </row>
    <row r="396">
      <c r="A396" s="3">
        <f>IFERROR(__xludf.DUMMYFUNCTION("""COMPUTED_VALUE"""),1300.0)</f>
        <v>1300</v>
      </c>
      <c r="B396" s="4" t="str">
        <f>IFERROR(__xludf.DUMMYFUNCTION("""COMPUTED_VALUE"""),"קליכמן מעין")</f>
        <v>קליכמן מעין</v>
      </c>
      <c r="C396" s="3">
        <f>IFERROR(__xludf.DUMMYFUNCTION("""COMPUTED_VALUE"""),22.0)</f>
        <v>22</v>
      </c>
      <c r="D396" s="5" t="str">
        <f>IFERROR(__xludf.DUMMYFUNCTION("""COMPUTED_VALUE"""),"ניר בנים")</f>
        <v>ניר בנים</v>
      </c>
      <c r="E396" s="5" t="str">
        <f>IFERROR(__xludf.DUMMYFUNCTION("""COMPUTED_VALUE"""),"אישה")</f>
        <v>אישה</v>
      </c>
      <c r="F396" s="5" t="str">
        <f>IFERROR(__xludf.DUMMYFUNCTION("""COMPUTED_VALUE"""),"אזרחים")</f>
        <v>אזרחים</v>
      </c>
      <c r="G396" s="3"/>
      <c r="H396" s="3" t="str">
        <f>IFERROR(__xludf.DUMMYFUNCTION("""COMPUTED_VALUE"""),"07.10.2023")</f>
        <v>07.10.2023</v>
      </c>
      <c r="I396" s="4" t="str">
        <f>IFERROR(__xludf.DUMMYFUNCTION("""COMPUTED_VALUE"""),"פסטיבל נובה; פקק ביציאה")</f>
        <v>פסטיבל נובה; פקק ביציאה</v>
      </c>
      <c r="J396" s="2" t="str">
        <f>IFERROR(__xludf.DUMMYFUNCTION("""COMPUTED_VALUE"""),"אזרחים וכיתות כוננות")</f>
        <v>אזרחים וכיתות כוננות</v>
      </c>
      <c r="K396" s="5" t="str">
        <f>IFERROR(__xludf.DUMMYFUNCTION("""COMPUTED_VALUE"""),"פסטיבל נובה")</f>
        <v>פסטיבל נובה</v>
      </c>
      <c r="L396" s="3" t="str">
        <f>IFERROR(__xludf.DUMMYFUNCTION("""COMPUTED_VALUE"""),"Maayan Kalihman")</f>
        <v>Maayan Kalihman</v>
      </c>
      <c r="M396" s="5"/>
    </row>
    <row r="397">
      <c r="A397" s="3">
        <f>IFERROR(__xludf.DUMMYFUNCTION("""COMPUTED_VALUE"""),1429.0)</f>
        <v>1429</v>
      </c>
      <c r="B397" s="4" t="str">
        <f>IFERROR(__xludf.DUMMYFUNCTION("""COMPUTED_VALUE"""),"קמחי אופק")</f>
        <v>קמחי אופק</v>
      </c>
      <c r="C397" s="3">
        <f>IFERROR(__xludf.DUMMYFUNCTION("""COMPUTED_VALUE"""),23.0)</f>
        <v>23</v>
      </c>
      <c r="D397" s="5" t="str">
        <f>IFERROR(__xludf.DUMMYFUNCTION("""COMPUTED_VALUE"""),"ראשון לציון")</f>
        <v>ראשון לציון</v>
      </c>
      <c r="E397" s="5" t="str">
        <f>IFERROR(__xludf.DUMMYFUNCTION("""COMPUTED_VALUE"""),"גבר")</f>
        <v>גבר</v>
      </c>
      <c r="F397" s="5" t="str">
        <f>IFERROR(__xludf.DUMMYFUNCTION("""COMPUTED_VALUE"""),"אזרחים")</f>
        <v>אזרחים</v>
      </c>
      <c r="G397" s="3"/>
      <c r="H397" s="3" t="str">
        <f>IFERROR(__xludf.DUMMYFUNCTION("""COMPUTED_VALUE"""),"07.10.2023")</f>
        <v>07.10.2023</v>
      </c>
      <c r="I397" s="4" t="str">
        <f>IFERROR(__xludf.DUMMYFUNCTION("""COMPUTED_VALUE"""),"סמוך למפלסים")</f>
        <v>סמוך למפלסים</v>
      </c>
      <c r="J397" s="4" t="str">
        <f>IFERROR(__xludf.DUMMYFUNCTION("""COMPUTED_VALUE"""),"אזרחים וכיתות כוננות")</f>
        <v>אזרחים וכיתות כוננות</v>
      </c>
      <c r="K397" s="5" t="str">
        <f>IFERROR(__xludf.DUMMYFUNCTION("""COMPUTED_VALUE"""),"פסטיבל נובה")</f>
        <v>פסטיבל נובה</v>
      </c>
      <c r="L397" s="3" t="str">
        <f>IFERROR(__xludf.DUMMYFUNCTION("""COMPUTED_VALUE"""),"Ofek Kimchi")</f>
        <v>Ofek Kimchi</v>
      </c>
      <c r="M397" s="5"/>
    </row>
    <row r="398">
      <c r="A398" s="3">
        <f>IFERROR(__xludf.DUMMYFUNCTION("""COMPUTED_VALUE"""),1067.0)</f>
        <v>1067</v>
      </c>
      <c r="B398" s="4" t="str">
        <f>IFERROR(__xludf.DUMMYFUNCTION("""COMPUTED_VALUE"""),"קמחי סתיו")</f>
        <v>קמחי סתיו</v>
      </c>
      <c r="C398" s="3">
        <f>IFERROR(__xludf.DUMMYFUNCTION("""COMPUTED_VALUE"""),35.0)</f>
        <v>35</v>
      </c>
      <c r="D398" s="5" t="str">
        <f>IFERROR(__xludf.DUMMYFUNCTION("""COMPUTED_VALUE"""),"תלמי יוסף")</f>
        <v>תלמי יוסף</v>
      </c>
      <c r="E398" s="5" t="str">
        <f>IFERROR(__xludf.DUMMYFUNCTION("""COMPUTED_VALUE"""),"אישה")</f>
        <v>אישה</v>
      </c>
      <c r="F398" s="5" t="str">
        <f>IFERROR(__xludf.DUMMYFUNCTION("""COMPUTED_VALUE"""),"אזרחים")</f>
        <v>אזרחים</v>
      </c>
      <c r="G398" s="3"/>
      <c r="H398" s="3" t="str">
        <f>IFERROR(__xludf.DUMMYFUNCTION("""COMPUTED_VALUE"""),"07.10.2023")</f>
        <v>07.10.2023</v>
      </c>
      <c r="I398" s="4" t="str">
        <f>IFERROR(__xludf.DUMMYFUNCTION("""COMPUTED_VALUE"""),"רעים")</f>
        <v>רעים</v>
      </c>
      <c r="J398" s="4" t="str">
        <f>IFERROR(__xludf.DUMMYFUNCTION("""COMPUTED_VALUE"""),"אזרחים וכיתות כוננות")</f>
        <v>אזרחים וכיתות כוננות</v>
      </c>
      <c r="K398" s="5"/>
      <c r="L398" s="3" t="str">
        <f>IFERROR(__xludf.DUMMYFUNCTION("""COMPUTED_VALUE"""),"Stav Kimchi")</f>
        <v>Stav Kimchi</v>
      </c>
      <c r="M398" s="5"/>
    </row>
    <row r="399">
      <c r="A399" s="3">
        <f>IFERROR(__xludf.DUMMYFUNCTION("""COMPUTED_VALUE"""),783.0)</f>
        <v>783</v>
      </c>
      <c r="B399" s="4" t="str">
        <f>IFERROR(__xludf.DUMMYFUNCTION("""COMPUTED_VALUE"""),"קן דרור יהונתן (מאיר)")</f>
        <v>קן דרור יהונתן (מאיר)</v>
      </c>
      <c r="C399" s="3">
        <f>IFERROR(__xludf.DUMMYFUNCTION("""COMPUTED_VALUE"""),28.0)</f>
        <v>28</v>
      </c>
      <c r="D399" s="5" t="str">
        <f>IFERROR(__xludf.DUMMYFUNCTION("""COMPUTED_VALUE"""),"הוד השרון")</f>
        <v>הוד השרון</v>
      </c>
      <c r="E399" s="5" t="str">
        <f>IFERROR(__xludf.DUMMYFUNCTION("""COMPUTED_VALUE"""),"גבר")</f>
        <v>גבר</v>
      </c>
      <c r="F399" s="5" t="str">
        <f>IFERROR(__xludf.DUMMYFUNCTION("""COMPUTED_VALUE"""),"אזרחים")</f>
        <v>אזרחים</v>
      </c>
      <c r="G399" s="3"/>
      <c r="H399" s="3" t="str">
        <f>IFERROR(__xludf.DUMMYFUNCTION("""COMPUTED_VALUE"""),"07.10.2023")</f>
        <v>07.10.2023</v>
      </c>
      <c r="I399" s="4" t="str">
        <f>IFERROR(__xludf.DUMMYFUNCTION("""COMPUTED_VALUE"""),"מדרום לצומת גמה")</f>
        <v>מדרום לצומת גמה</v>
      </c>
      <c r="J399" s="4" t="str">
        <f>IFERROR(__xludf.DUMMYFUNCTION("""COMPUTED_VALUE"""),"אזרחים וכיתות כוננות")</f>
        <v>אזרחים וכיתות כוננות</v>
      </c>
      <c r="K399" s="5" t="str">
        <f>IFERROR(__xludf.DUMMYFUNCTION("""COMPUTED_VALUE"""),"פסטיבל נובה")</f>
        <v>פסטיבל נובה</v>
      </c>
      <c r="L399" s="3" t="str">
        <f>IFERROR(__xludf.DUMMYFUNCTION("""COMPUTED_VALUE"""),"Jonathan Ken-Dror")</f>
        <v>Jonathan Ken-Dror</v>
      </c>
      <c r="M399" s="5"/>
    </row>
    <row r="400">
      <c r="A400" s="3">
        <f>IFERROR(__xludf.DUMMYFUNCTION("""COMPUTED_VALUE"""),1140.0)</f>
        <v>1140</v>
      </c>
      <c r="B400" s="4" t="str">
        <f>IFERROR(__xludf.DUMMYFUNCTION("""COMPUTED_VALUE"""),"קסבצ'וק דניאל")</f>
        <v>קסבצ'וק דניאל</v>
      </c>
      <c r="C400" s="3">
        <f>IFERROR(__xludf.DUMMYFUNCTION("""COMPUTED_VALUE"""),21.0)</f>
        <v>21</v>
      </c>
      <c r="D400" s="5" t="str">
        <f>IFERROR(__xludf.DUMMYFUNCTION("""COMPUTED_VALUE"""),"שדרות")</f>
        <v>שדרות</v>
      </c>
      <c r="E400" s="5" t="str">
        <f>IFERROR(__xludf.DUMMYFUNCTION("""COMPUTED_VALUE"""),"גבר")</f>
        <v>גבר</v>
      </c>
      <c r="F400" s="5" t="str">
        <f>IFERROR(__xludf.DUMMYFUNCTION("""COMPUTED_VALUE"""),"צה""ל")</f>
        <v>צה"ל</v>
      </c>
      <c r="G400" s="3" t="str">
        <f>IFERROR(__xludf.DUMMYFUNCTION("""COMPUTED_VALUE"""),"סמ״ר")</f>
        <v>סמ״ר</v>
      </c>
      <c r="H400" s="3" t="str">
        <f>IFERROR(__xludf.DUMMYFUNCTION("""COMPUTED_VALUE"""),"07.10.2023")</f>
        <v>07.10.2023</v>
      </c>
      <c r="I400" s="4" t="str">
        <f>IFERROR(__xludf.DUMMYFUNCTION("""COMPUTED_VALUE"""),"עיקול נחל גרר")</f>
        <v>עיקול נחל גרר</v>
      </c>
      <c r="J400" s="4" t="str">
        <f>IFERROR(__xludf.DUMMYFUNCTION("""COMPUTED_VALUE"""),"אזרחים וכיתות כוננות")</f>
        <v>אזרחים וכיתות כוננות</v>
      </c>
      <c r="K400" s="5" t="str">
        <f>IFERROR(__xludf.DUMMYFUNCTION("""COMPUTED_VALUE"""),"פסטיבל נובה")</f>
        <v>פסטיבל נובה</v>
      </c>
      <c r="L400" s="3" t="str">
        <f>IFERROR(__xludf.DUMMYFUNCTION("""COMPUTED_VALUE"""),"Daniel Kasavchuck")</f>
        <v>Daniel Kasavchuck</v>
      </c>
      <c r="M400" s="5"/>
    </row>
    <row r="401">
      <c r="A401" s="3">
        <f>IFERROR(__xludf.DUMMYFUNCTION("""COMPUTED_VALUE"""),781.0)</f>
        <v>781</v>
      </c>
      <c r="B401" s="4" t="str">
        <f>IFERROR(__xludf.DUMMYFUNCTION("""COMPUTED_VALUE"""),"קסרוטי כלפה קשת")</f>
        <v>קסרוטי כלפה קשת</v>
      </c>
      <c r="C401" s="3">
        <f>IFERROR(__xludf.DUMMYFUNCTION("""COMPUTED_VALUE"""),21.0)</f>
        <v>21</v>
      </c>
      <c r="D401" s="5" t="str">
        <f>IFERROR(__xludf.DUMMYFUNCTION("""COMPUTED_VALUE"""),"סמר")</f>
        <v>סמר</v>
      </c>
      <c r="E401" s="5" t="str">
        <f>IFERROR(__xludf.DUMMYFUNCTION("""COMPUTED_VALUE"""),"גבר")</f>
        <v>גבר</v>
      </c>
      <c r="F401" s="5" t="str">
        <f>IFERROR(__xludf.DUMMYFUNCTION("""COMPUTED_VALUE"""),"אזרחים")</f>
        <v>אזרחים</v>
      </c>
      <c r="G401" s="5"/>
      <c r="H401" s="3" t="str">
        <f>IFERROR(__xludf.DUMMYFUNCTION("""COMPUTED_VALUE"""),"07.10.2023")</f>
        <v>07.10.2023</v>
      </c>
      <c r="I401" s="4" t="str">
        <f>IFERROR(__xludf.DUMMYFUNCTION("""COMPUTED_VALUE"""),"צומת שער הנגב")</f>
        <v>צומת שער הנגב</v>
      </c>
      <c r="J401" s="4" t="str">
        <f>IFERROR(__xludf.DUMMYFUNCTION("""COMPUTED_VALUE"""),"אזרחים וכיתות כוננות")</f>
        <v>אזרחים וכיתות כוננות</v>
      </c>
      <c r="K401" s="5" t="str">
        <f>IFERROR(__xludf.DUMMYFUNCTION("""COMPUTED_VALUE"""),"פסטיבל נובה")</f>
        <v>פסטיבל נובה</v>
      </c>
      <c r="L401" s="3" t="str">
        <f>IFERROR(__xludf.DUMMYFUNCTION("""COMPUTED_VALUE"""),"Keshet Kasroti-Kalfa")</f>
        <v>Keshet Kasroti-Kalfa</v>
      </c>
      <c r="M401" s="5"/>
    </row>
    <row r="402">
      <c r="A402" s="3">
        <f>IFERROR(__xludf.DUMMYFUNCTION("""COMPUTED_VALUE"""),832.0)</f>
        <v>832</v>
      </c>
      <c r="B402" s="4" t="str">
        <f>IFERROR(__xludf.DUMMYFUNCTION("""COMPUTED_VALUE"""),"רביב מוריה")</f>
        <v>רביב מוריה</v>
      </c>
      <c r="C402" s="3">
        <f>IFERROR(__xludf.DUMMYFUNCTION("""COMPUTED_VALUE"""),23.0)</f>
        <v>23</v>
      </c>
      <c r="D402" s="5" t="str">
        <f>IFERROR(__xludf.DUMMYFUNCTION("""COMPUTED_VALUE"""),"קריית מוצקין")</f>
        <v>קריית מוצקין</v>
      </c>
      <c r="E402" s="5" t="str">
        <f>IFERROR(__xludf.DUMMYFUNCTION("""COMPUTED_VALUE"""),"אישה")</f>
        <v>אישה</v>
      </c>
      <c r="F402" s="5" t="str">
        <f>IFERROR(__xludf.DUMMYFUNCTION("""COMPUTED_VALUE"""),"אזרחים")</f>
        <v>אזרחים</v>
      </c>
      <c r="G402" s="5"/>
      <c r="H402" s="3" t="str">
        <f>IFERROR(__xludf.DUMMYFUNCTION("""COMPUTED_VALUE"""),"07.10.2023")</f>
        <v>07.10.2023</v>
      </c>
      <c r="I402" s="4" t="str">
        <f>IFERROR(__xludf.DUMMYFUNCTION("""COMPUTED_VALUE"""),"פסטיבל נובה; סמוך למכולות הצהובות")</f>
        <v>פסטיבל נובה; סמוך למכולות הצהובות</v>
      </c>
      <c r="J402" s="4" t="str">
        <f>IFERROR(__xludf.DUMMYFUNCTION("""COMPUTED_VALUE"""),"אזרחים וכיתות כוננות")</f>
        <v>אזרחים וכיתות כוננות</v>
      </c>
      <c r="K402" s="5" t="str">
        <f>IFERROR(__xludf.DUMMYFUNCTION("""COMPUTED_VALUE"""),"פסטיבל נובה")</f>
        <v>פסטיבל נובה</v>
      </c>
      <c r="L402" s="3" t="str">
        <f>IFERROR(__xludf.DUMMYFUNCTION("""COMPUTED_VALUE"""),"Moriya Raviv")</f>
        <v>Moriya Raviv</v>
      </c>
      <c r="M402" s="5"/>
    </row>
    <row r="403">
      <c r="A403" s="3">
        <f>IFERROR(__xludf.DUMMYFUNCTION("""COMPUTED_VALUE"""),837.0)</f>
        <v>837</v>
      </c>
      <c r="B403" s="4" t="str">
        <f>IFERROR(__xludf.DUMMYFUNCTION("""COMPUTED_VALUE"""),"רביע אופק")</f>
        <v>רביע אופק</v>
      </c>
      <c r="C403" s="3">
        <f>IFERROR(__xludf.DUMMYFUNCTION("""COMPUTED_VALUE"""),23.0)</f>
        <v>23</v>
      </c>
      <c r="D403" s="5" t="str">
        <f>IFERROR(__xludf.DUMMYFUNCTION("""COMPUTED_VALUE"""),"בית אריה")</f>
        <v>בית אריה</v>
      </c>
      <c r="E403" s="5" t="str">
        <f>IFERROR(__xludf.DUMMYFUNCTION("""COMPUTED_VALUE"""),"גבר")</f>
        <v>גבר</v>
      </c>
      <c r="F403" s="5" t="str">
        <f>IFERROR(__xludf.DUMMYFUNCTION("""COMPUTED_VALUE"""),"אזרחים")</f>
        <v>אזרחים</v>
      </c>
      <c r="G403" s="3"/>
      <c r="H403" s="3" t="str">
        <f>IFERROR(__xludf.DUMMYFUNCTION("""COMPUTED_VALUE"""),"07.10.2023")</f>
        <v>07.10.2023</v>
      </c>
      <c r="I403" s="4" t="str">
        <f>IFERROR(__xludf.DUMMYFUNCTION("""COMPUTED_VALUE"""),"סמוך למפלסים")</f>
        <v>סמוך למפלסים</v>
      </c>
      <c r="J403" s="2" t="str">
        <f>IFERROR(__xludf.DUMMYFUNCTION("""COMPUTED_VALUE"""),"אזרחים וכיתות כוננות")</f>
        <v>אזרחים וכיתות כוננות</v>
      </c>
      <c r="K403" s="5" t="str">
        <f>IFERROR(__xludf.DUMMYFUNCTION("""COMPUTED_VALUE"""),"פסטיבל נובה")</f>
        <v>פסטיבל נובה</v>
      </c>
      <c r="L403" s="3" t="str">
        <f>IFERROR(__xludf.DUMMYFUNCTION("""COMPUTED_VALUE"""),"Ofek Revia")</f>
        <v>Ofek Revia</v>
      </c>
      <c r="M403" s="5"/>
    </row>
    <row r="404">
      <c r="A404" s="3">
        <f>IFERROR(__xludf.DUMMYFUNCTION("""COMPUTED_VALUE"""),836.0)</f>
        <v>836</v>
      </c>
      <c r="B404" s="4" t="str">
        <f>IFERROR(__xludf.DUMMYFUNCTION("""COMPUTED_VALUE"""),"רגב שי")</f>
        <v>רגב שי</v>
      </c>
      <c r="C404" s="3">
        <f>IFERROR(__xludf.DUMMYFUNCTION("""COMPUTED_VALUE"""),25.0)</f>
        <v>25</v>
      </c>
      <c r="D404" s="5" t="str">
        <f>IFERROR(__xludf.DUMMYFUNCTION("""COMPUTED_VALUE"""),"רמת ישי")</f>
        <v>רמת ישי</v>
      </c>
      <c r="E404" s="5" t="str">
        <f>IFERROR(__xludf.DUMMYFUNCTION("""COMPUTED_VALUE"""),"אישה")</f>
        <v>אישה</v>
      </c>
      <c r="F404" s="5" t="str">
        <f>IFERROR(__xludf.DUMMYFUNCTION("""COMPUTED_VALUE"""),"אזרחים")</f>
        <v>אזרחים</v>
      </c>
      <c r="G404" s="3"/>
      <c r="H404" s="3" t="str">
        <f>IFERROR(__xludf.DUMMYFUNCTION("""COMPUTED_VALUE"""),"07.10.2023")</f>
        <v>07.10.2023</v>
      </c>
      <c r="I404" s="4" t="str">
        <f>IFERROR(__xludf.DUMMYFUNCTION("""COMPUTED_VALUE"""),"פסטיבל נובה")</f>
        <v>פסטיבל נובה</v>
      </c>
      <c r="J404" s="4" t="str">
        <f>IFERROR(__xludf.DUMMYFUNCTION("""COMPUTED_VALUE"""),"אזרחים וכיתות כוננות")</f>
        <v>אזרחים וכיתות כוננות</v>
      </c>
      <c r="K404" s="5" t="str">
        <f>IFERROR(__xludf.DUMMYFUNCTION("""COMPUTED_VALUE"""),"פסטיבל נובה")</f>
        <v>פסטיבל נובה</v>
      </c>
      <c r="L404" s="3" t="str">
        <f>IFERROR(__xludf.DUMMYFUNCTION("""COMPUTED_VALUE"""),"Shai Regev")</f>
        <v>Shai Regev</v>
      </c>
      <c r="M404" s="5"/>
    </row>
    <row r="405">
      <c r="A405" s="3">
        <f>IFERROR(__xludf.DUMMYFUNCTION("""COMPUTED_VALUE"""),840.0)</f>
        <v>840</v>
      </c>
      <c r="B405" s="4" t="str">
        <f>IFERROR(__xludf.DUMMYFUNCTION("""COMPUTED_VALUE"""),"רואימי מיכל")</f>
        <v>רואימי מיכל</v>
      </c>
      <c r="C405" s="3">
        <f>IFERROR(__xludf.DUMMYFUNCTION("""COMPUTED_VALUE"""),22.0)</f>
        <v>22</v>
      </c>
      <c r="D405" s="5" t="str">
        <f>IFERROR(__xludf.DUMMYFUNCTION("""COMPUTED_VALUE"""),"נשר")</f>
        <v>נשר</v>
      </c>
      <c r="E405" s="5" t="str">
        <f>IFERROR(__xludf.DUMMYFUNCTION("""COMPUTED_VALUE"""),"אישה")</f>
        <v>אישה</v>
      </c>
      <c r="F405" s="5" t="str">
        <f>IFERROR(__xludf.DUMMYFUNCTION("""COMPUTED_VALUE"""),"אזרחים")</f>
        <v>אזרחים</v>
      </c>
      <c r="G405" s="3"/>
      <c r="H405" s="3" t="str">
        <f>IFERROR(__xludf.DUMMYFUNCTION("""COMPUTED_VALUE"""),"07.10.2023")</f>
        <v>07.10.2023</v>
      </c>
      <c r="I405" s="4" t="str">
        <f>IFERROR(__xludf.DUMMYFUNCTION("""COMPUTED_VALUE"""),"פסטיבל נובה")</f>
        <v>פסטיבל נובה</v>
      </c>
      <c r="J405" s="4" t="str">
        <f>IFERROR(__xludf.DUMMYFUNCTION("""COMPUTED_VALUE"""),"אזרחים וכיתות כוננות")</f>
        <v>אזרחים וכיתות כוננות</v>
      </c>
      <c r="K405" s="5" t="str">
        <f>IFERROR(__xludf.DUMMYFUNCTION("""COMPUTED_VALUE"""),"פסטיבל נובה")</f>
        <v>פסטיבל נובה</v>
      </c>
      <c r="L405" s="3" t="str">
        <f>IFERROR(__xludf.DUMMYFUNCTION("""COMPUTED_VALUE"""),"Michal Roimi")</f>
        <v>Michal Roimi</v>
      </c>
      <c r="M405" s="5"/>
    </row>
    <row r="406">
      <c r="A406" s="3">
        <f>IFERROR(__xludf.DUMMYFUNCTION("""COMPUTED_VALUE"""),778.0)</f>
        <v>778</v>
      </c>
      <c r="B406" s="4" t="str">
        <f>IFERROR(__xludf.DUMMYFUNCTION("""COMPUTED_VALUE"""),"רוביו ורגס איבון עדן פטריסיה")</f>
        <v>רוביו ורגס איבון עדן פטריסיה</v>
      </c>
      <c r="C406" s="3">
        <f>IFERROR(__xludf.DUMMYFUNCTION("""COMPUTED_VALUE"""),26.0)</f>
        <v>26</v>
      </c>
      <c r="D406" s="5" t="str">
        <f>IFERROR(__xludf.DUMMYFUNCTION("""COMPUTED_VALUE"""),"כפר סבא")</f>
        <v>כפר סבא</v>
      </c>
      <c r="E406" s="5" t="str">
        <f>IFERROR(__xludf.DUMMYFUNCTION("""COMPUTED_VALUE"""),"אישה")</f>
        <v>אישה</v>
      </c>
      <c r="F406" s="5" t="str">
        <f>IFERROR(__xludf.DUMMYFUNCTION("""COMPUTED_VALUE"""),"אזרחים")</f>
        <v>אזרחים</v>
      </c>
      <c r="G406" s="3"/>
      <c r="H406" s="3" t="str">
        <f>IFERROR(__xludf.DUMMYFUNCTION("""COMPUTED_VALUE"""),"07.10.2023")</f>
        <v>07.10.2023</v>
      </c>
      <c r="I406" s="4" t="str">
        <f>IFERROR(__xludf.DUMMYFUNCTION("""COMPUTED_VALUE"""),"מיגונית בכניסה לרעים (מערב)")</f>
        <v>מיגונית בכניסה לרעים (מערב)</v>
      </c>
      <c r="J406" s="4" t="str">
        <f>IFERROR(__xludf.DUMMYFUNCTION("""COMPUTED_VALUE"""),"אזרחים וכיתות כוננות")</f>
        <v>אזרחים וכיתות כוננות</v>
      </c>
      <c r="K406" s="5" t="str">
        <f>IFERROR(__xludf.DUMMYFUNCTION("""COMPUTED_VALUE"""),"פסטיבל נובה")</f>
        <v>פסטיבל נובה</v>
      </c>
      <c r="L406" s="3" t="str">
        <f>IFERROR(__xludf.DUMMYFUNCTION("""COMPUTED_VALUE"""),"Ivonne Patricia Rubio Vargas Eden")</f>
        <v>Ivonne Patricia Rubio Vargas Eden</v>
      </c>
      <c r="M406" s="5"/>
    </row>
    <row r="407">
      <c r="A407" s="3">
        <f>IFERROR(__xludf.DUMMYFUNCTION("""COMPUTED_VALUE"""),843.0)</f>
        <v>843</v>
      </c>
      <c r="B407" s="4" t="str">
        <f>IFERROR(__xludf.DUMMYFUNCTION("""COMPUTED_VALUE"""),"רוזמן יעל")</f>
        <v>רוזמן יעל</v>
      </c>
      <c r="C407" s="3">
        <f>IFERROR(__xludf.DUMMYFUNCTION("""COMPUTED_VALUE"""),26.0)</f>
        <v>26</v>
      </c>
      <c r="D407" s="5" t="str">
        <f>IFERROR(__xludf.DUMMYFUNCTION("""COMPUTED_VALUE"""),"כפר סבא")</f>
        <v>כפר סבא</v>
      </c>
      <c r="E407" s="5" t="str">
        <f>IFERROR(__xludf.DUMMYFUNCTION("""COMPUTED_VALUE"""),"אישה")</f>
        <v>אישה</v>
      </c>
      <c r="F407" s="5" t="str">
        <f>IFERROR(__xludf.DUMMYFUNCTION("""COMPUTED_VALUE"""),"אזרחים")</f>
        <v>אזרחים</v>
      </c>
      <c r="G407" s="3"/>
      <c r="H407" s="3" t="str">
        <f>IFERROR(__xludf.DUMMYFUNCTION("""COMPUTED_VALUE"""),"07.10.2023")</f>
        <v>07.10.2023</v>
      </c>
      <c r="I407" s="4" t="str">
        <f>IFERROR(__xludf.DUMMYFUNCTION("""COMPUTED_VALUE"""),"מדרום לצומת גמה")</f>
        <v>מדרום לצומת גמה</v>
      </c>
      <c r="J407" s="4" t="str">
        <f>IFERROR(__xludf.DUMMYFUNCTION("""COMPUTED_VALUE"""),"אזרחים וכיתות כוננות")</f>
        <v>אזרחים וכיתות כוננות</v>
      </c>
      <c r="K407" s="5" t="str">
        <f>IFERROR(__xludf.DUMMYFUNCTION("""COMPUTED_VALUE"""),"פסטיבל נובה")</f>
        <v>פסטיבל נובה</v>
      </c>
      <c r="L407" s="3" t="str">
        <f>IFERROR(__xludf.DUMMYFUNCTION("""COMPUTED_VALUE"""),"Yael Rozman")</f>
        <v>Yael Rozman</v>
      </c>
      <c r="M407" s="5"/>
    </row>
    <row r="408">
      <c r="A408" s="3">
        <f>IFERROR(__xludf.DUMMYFUNCTION("""COMPUTED_VALUE"""),841.0)</f>
        <v>841</v>
      </c>
      <c r="B408" s="4" t="str">
        <f>IFERROR(__xludf.DUMMYFUNCTION("""COMPUTED_VALUE"""),"רום יהונתן")</f>
        <v>רום יהונתן</v>
      </c>
      <c r="C408" s="3">
        <f>IFERROR(__xludf.DUMMYFUNCTION("""COMPUTED_VALUE"""),23.0)</f>
        <v>23</v>
      </c>
      <c r="D408" s="5" t="str">
        <f>IFERROR(__xludf.DUMMYFUNCTION("""COMPUTED_VALUE"""),"מבשרת")</f>
        <v>מבשרת</v>
      </c>
      <c r="E408" s="5" t="str">
        <f>IFERROR(__xludf.DUMMYFUNCTION("""COMPUTED_VALUE"""),"גבר")</f>
        <v>גבר</v>
      </c>
      <c r="F408" s="5" t="str">
        <f>IFERROR(__xludf.DUMMYFUNCTION("""COMPUTED_VALUE"""),"אזרחים")</f>
        <v>אזרחים</v>
      </c>
      <c r="G408" s="3"/>
      <c r="H408" s="3" t="str">
        <f>IFERROR(__xludf.DUMMYFUNCTION("""COMPUTED_VALUE"""),"07.10.2023")</f>
        <v>07.10.2023</v>
      </c>
      <c r="I408" s="4" t="str">
        <f>IFERROR(__xludf.DUMMYFUNCTION("""COMPUTED_VALUE"""),"פסטיבל נובה; פקק ביציאה")</f>
        <v>פסטיבל נובה; פקק ביציאה</v>
      </c>
      <c r="J408" s="4" t="str">
        <f>IFERROR(__xludf.DUMMYFUNCTION("""COMPUTED_VALUE"""),"אזרחים וכיתות כוננות")</f>
        <v>אזרחים וכיתות כוננות</v>
      </c>
      <c r="K408" s="5" t="str">
        <f>IFERROR(__xludf.DUMMYFUNCTION("""COMPUTED_VALUE"""),"פסטיבל נובה")</f>
        <v>פסטיבל נובה</v>
      </c>
      <c r="L408" s="3" t="str">
        <f>IFERROR(__xludf.DUMMYFUNCTION("""COMPUTED_VALUE"""),"Yonatan Rom")</f>
        <v>Yonatan Rom</v>
      </c>
      <c r="M408" s="5"/>
    </row>
    <row r="409">
      <c r="A409" s="3">
        <f>IFERROR(__xludf.DUMMYFUNCTION("""COMPUTED_VALUE"""),842.0)</f>
        <v>842</v>
      </c>
      <c r="B409" s="4" t="str">
        <f>IFERROR(__xludf.DUMMYFUNCTION("""COMPUTED_VALUE"""),"רומשקין אולגה נעמי")</f>
        <v>רומשקין אולגה נעמי</v>
      </c>
      <c r="C409" s="3">
        <f>IFERROR(__xludf.DUMMYFUNCTION("""COMPUTED_VALUE"""),28.0)</f>
        <v>28</v>
      </c>
      <c r="D409" s="5" t="str">
        <f>IFERROR(__xludf.DUMMYFUNCTION("""COMPUTED_VALUE"""),"רמת גן")</f>
        <v>רמת גן</v>
      </c>
      <c r="E409" s="5" t="str">
        <f>IFERROR(__xludf.DUMMYFUNCTION("""COMPUTED_VALUE"""),"אישה")</f>
        <v>אישה</v>
      </c>
      <c r="F409" s="5" t="str">
        <f>IFERROR(__xludf.DUMMYFUNCTION("""COMPUTED_VALUE"""),"אזרחים")</f>
        <v>אזרחים</v>
      </c>
      <c r="G409" s="3"/>
      <c r="H409" s="3" t="str">
        <f>IFERROR(__xludf.DUMMYFUNCTION("""COMPUTED_VALUE"""),"07.10.2023")</f>
        <v>07.10.2023</v>
      </c>
      <c r="I409" s="4" t="str">
        <f>IFERROR(__xludf.DUMMYFUNCTION("""COMPUTED_VALUE"""),"מזרחית לכניסה לרעים")</f>
        <v>מזרחית לכניסה לרעים</v>
      </c>
      <c r="J409" s="4" t="str">
        <f>IFERROR(__xludf.DUMMYFUNCTION("""COMPUTED_VALUE"""),"אזרחים וכיתות כוננות")</f>
        <v>אזרחים וכיתות כוננות</v>
      </c>
      <c r="K409" s="5" t="str">
        <f>IFERROR(__xludf.DUMMYFUNCTION("""COMPUTED_VALUE"""),"פסטיבל נובה")</f>
        <v>פסטיבל נובה</v>
      </c>
      <c r="L409" s="3" t="str">
        <f>IFERROR(__xludf.DUMMYFUNCTION("""COMPUTED_VALUE"""),"Olga Naomi Romashkin")</f>
        <v>Olga Naomi Romashkin</v>
      </c>
      <c r="M409" s="5"/>
    </row>
    <row r="410">
      <c r="A410" s="3">
        <f>IFERROR(__xludf.DUMMYFUNCTION("""COMPUTED_VALUE"""),830.0)</f>
        <v>830</v>
      </c>
      <c r="B410" s="4" t="str">
        <f>IFERROR(__xludf.DUMMYFUNCTION("""COMPUTED_VALUE"""),"רחום ניצן")</f>
        <v>רחום ניצן</v>
      </c>
      <c r="C410" s="3">
        <f>IFERROR(__xludf.DUMMYFUNCTION("""COMPUTED_VALUE"""),28.0)</f>
        <v>28</v>
      </c>
      <c r="D410" s="5" t="str">
        <f>IFERROR(__xludf.DUMMYFUNCTION("""COMPUTED_VALUE"""),"פרדסיה")</f>
        <v>פרדסיה</v>
      </c>
      <c r="E410" s="5" t="str">
        <f>IFERROR(__xludf.DUMMYFUNCTION("""COMPUTED_VALUE"""),"אישה")</f>
        <v>אישה</v>
      </c>
      <c r="F410" s="5" t="str">
        <f>IFERROR(__xludf.DUMMYFUNCTION("""COMPUTED_VALUE"""),"אזרחים")</f>
        <v>אזרחים</v>
      </c>
      <c r="G410" s="3"/>
      <c r="H410" s="3" t="str">
        <f>IFERROR(__xludf.DUMMYFUNCTION("""COMPUTED_VALUE"""),"07.10.2023")</f>
        <v>07.10.2023</v>
      </c>
      <c r="I410" s="4" t="str">
        <f>IFERROR(__xludf.DUMMYFUNCTION("""COMPUTED_VALUE"""),"מיגונית בכניסה לרעים (מערב)")</f>
        <v>מיגונית בכניסה לרעים (מערב)</v>
      </c>
      <c r="J410" s="4" t="str">
        <f>IFERROR(__xludf.DUMMYFUNCTION("""COMPUTED_VALUE"""),"אזרחים וכיתות כוננות")</f>
        <v>אזרחים וכיתות כוננות</v>
      </c>
      <c r="K410" s="5" t="str">
        <f>IFERROR(__xludf.DUMMYFUNCTION("""COMPUTED_VALUE"""),"פסטיבל נובה")</f>
        <v>פסטיבל נובה</v>
      </c>
      <c r="L410" s="3" t="str">
        <f>IFERROR(__xludf.DUMMYFUNCTION("""COMPUTED_VALUE"""),"Nitzan Rahum")</f>
        <v>Nitzan Rahum</v>
      </c>
      <c r="M410" s="5"/>
    </row>
    <row r="411">
      <c r="A411" s="3">
        <f>IFERROR(__xludf.DUMMYFUNCTION("""COMPUTED_VALUE"""),1530.0)</f>
        <v>1530</v>
      </c>
      <c r="B411" s="4" t="str">
        <f>IFERROR(__xludf.DUMMYFUNCTION("""COMPUTED_VALUE"""),"רחמים אביאל שלום")</f>
        <v>רחמים אביאל שלום</v>
      </c>
      <c r="C411" s="3">
        <f>IFERROR(__xludf.DUMMYFUNCTION("""COMPUTED_VALUE"""),27.0)</f>
        <v>27</v>
      </c>
      <c r="D411" s="5" t="str">
        <f>IFERROR(__xludf.DUMMYFUNCTION("""COMPUTED_VALUE"""),"שפיר")</f>
        <v>שפיר</v>
      </c>
      <c r="E411" s="5" t="str">
        <f>IFERROR(__xludf.DUMMYFUNCTION("""COMPUTED_VALUE"""),"גבר")</f>
        <v>גבר</v>
      </c>
      <c r="F411" s="5" t="str">
        <f>IFERROR(__xludf.DUMMYFUNCTION("""COMPUTED_VALUE"""),"אזרחים")</f>
        <v>אזרחים</v>
      </c>
      <c r="G411" s="3"/>
      <c r="H411" s="3" t="str">
        <f>IFERROR(__xludf.DUMMYFUNCTION("""COMPUTED_VALUE"""),"07.10.2023")</f>
        <v>07.10.2023</v>
      </c>
      <c r="I411" s="4" t="str">
        <f>IFERROR(__xludf.DUMMYFUNCTION("""COMPUTED_VALUE"""),"כביש רעים - אורים")</f>
        <v>כביש רעים - אורים</v>
      </c>
      <c r="J411" s="4" t="str">
        <f>IFERROR(__xludf.DUMMYFUNCTION("""COMPUTED_VALUE"""),"אזרחים וכיתות כוננות")</f>
        <v>אזרחים וכיתות כוננות</v>
      </c>
      <c r="K411" s="5" t="str">
        <f>IFERROR(__xludf.DUMMYFUNCTION("""COMPUTED_VALUE"""),"פסטיבל נובה")</f>
        <v>פסטיבל נובה</v>
      </c>
      <c r="L411" s="3" t="str">
        <f>IFERROR(__xludf.DUMMYFUNCTION("""COMPUTED_VALUE"""),"Aviel Shalom Rahamim")</f>
        <v>Aviel Shalom Rahamim</v>
      </c>
      <c r="M411" s="5"/>
    </row>
    <row r="412">
      <c r="A412" s="3">
        <f>IFERROR(__xludf.DUMMYFUNCTION("""COMPUTED_VALUE"""),829.0)</f>
        <v>829</v>
      </c>
      <c r="B412" s="4" t="str">
        <f>IFERROR(__xludf.DUMMYFUNCTION("""COMPUTED_VALUE"""),"רחמים דביר")</f>
        <v>רחמים דביר</v>
      </c>
      <c r="C412" s="3">
        <f>IFERROR(__xludf.DUMMYFUNCTION("""COMPUTED_VALUE"""),23.0)</f>
        <v>23</v>
      </c>
      <c r="D412" s="5" t="str">
        <f>IFERROR(__xludf.DUMMYFUNCTION("""COMPUTED_VALUE"""),"אשדוד")</f>
        <v>אשדוד</v>
      </c>
      <c r="E412" s="5" t="str">
        <f>IFERROR(__xludf.DUMMYFUNCTION("""COMPUTED_VALUE"""),"גבר")</f>
        <v>גבר</v>
      </c>
      <c r="F412" s="5" t="str">
        <f>IFERROR(__xludf.DUMMYFUNCTION("""COMPUTED_VALUE"""),"אזרחים")</f>
        <v>אזרחים</v>
      </c>
      <c r="G412" s="3"/>
      <c r="H412" s="3" t="str">
        <f>IFERROR(__xludf.DUMMYFUNCTION("""COMPUTED_VALUE"""),"07.10.2023")</f>
        <v>07.10.2023</v>
      </c>
      <c r="I412" s="4" t="str">
        <f>IFERROR(__xludf.DUMMYFUNCTION("""COMPUTED_VALUE"""),"פסטיבל נובה")</f>
        <v>פסטיבל נובה</v>
      </c>
      <c r="J412" s="4" t="str">
        <f>IFERROR(__xludf.DUMMYFUNCTION("""COMPUTED_VALUE"""),"אזרחים וכיתות כוננות")</f>
        <v>אזרחים וכיתות כוננות</v>
      </c>
      <c r="K412" s="5" t="str">
        <f>IFERROR(__xludf.DUMMYFUNCTION("""COMPUTED_VALUE"""),"פסטיבל נובה")</f>
        <v>פסטיבל נובה</v>
      </c>
      <c r="L412" s="3" t="str">
        <f>IFERROR(__xludf.DUMMYFUNCTION("""COMPUTED_VALUE"""),"Dvir Rahamim")</f>
        <v>Dvir Rahamim</v>
      </c>
      <c r="M412" s="5"/>
    </row>
    <row r="413">
      <c r="A413" s="3">
        <f>IFERROR(__xludf.DUMMYFUNCTION("""COMPUTED_VALUE"""),1593.0)</f>
        <v>1593</v>
      </c>
      <c r="B413" s="4" t="str">
        <f>IFERROR(__xludf.DUMMYFUNCTION("""COMPUTED_VALUE"""),"רפאל (רפאי) אלי")</f>
        <v>רפאל (רפאי) אלי</v>
      </c>
      <c r="C413" s="3">
        <f>IFERROR(__xludf.DUMMYFUNCTION("""COMPUTED_VALUE"""),42.0)</f>
        <v>42</v>
      </c>
      <c r="D413" s="5" t="str">
        <f>IFERROR(__xludf.DUMMYFUNCTION("""COMPUTED_VALUE"""),"יבנה")</f>
        <v>יבנה</v>
      </c>
      <c r="E413" s="5" t="str">
        <f>IFERROR(__xludf.DUMMYFUNCTION("""COMPUTED_VALUE"""),"גבר")</f>
        <v>גבר</v>
      </c>
      <c r="F413" s="5" t="str">
        <f>IFERROR(__xludf.DUMMYFUNCTION("""COMPUTED_VALUE"""),"אזרחים")</f>
        <v>אזרחים</v>
      </c>
      <c r="G413" s="3"/>
      <c r="H413" s="3" t="str">
        <f>IFERROR(__xludf.DUMMYFUNCTION("""COMPUTED_VALUE"""),"07.10.2023")</f>
        <v>07.10.2023</v>
      </c>
      <c r="I413" s="4" t="str">
        <f>IFERROR(__xludf.DUMMYFUNCTION("""COMPUTED_VALUE"""),"צומת שער הנגב")</f>
        <v>צומת שער הנגב</v>
      </c>
      <c r="J413" s="4" t="str">
        <f>IFERROR(__xludf.DUMMYFUNCTION("""COMPUTED_VALUE"""),"אזרחים וכיתות כוננות")</f>
        <v>אזרחים וכיתות כוננות</v>
      </c>
      <c r="K413" s="5" t="str">
        <f>IFERROR(__xludf.DUMMYFUNCTION("""COMPUTED_VALUE"""),"פסטיבל נובה")</f>
        <v>פסטיבל נובה</v>
      </c>
      <c r="L413" s="3" t="str">
        <f>IFERROR(__xludf.DUMMYFUNCTION("""COMPUTED_VALUE"""),"Eli Refai")</f>
        <v>Eli Refai</v>
      </c>
      <c r="M413" s="5"/>
    </row>
    <row r="414">
      <c r="A414" s="3">
        <f>IFERROR(__xludf.DUMMYFUNCTION("""COMPUTED_VALUE"""),833.0)</f>
        <v>833</v>
      </c>
      <c r="B414" s="4" t="str">
        <f>IFERROR(__xludf.DUMMYFUNCTION("""COMPUTED_VALUE"""),"רפאי שרון")</f>
        <v>רפאי שרון</v>
      </c>
      <c r="C414" s="3">
        <f>IFERROR(__xludf.DUMMYFUNCTION("""COMPUTED_VALUE"""),28.0)</f>
        <v>28</v>
      </c>
      <c r="D414" s="5" t="str">
        <f>IFERROR(__xludf.DUMMYFUNCTION("""COMPUTED_VALUE"""),"יבנה")</f>
        <v>יבנה</v>
      </c>
      <c r="E414" s="5" t="str">
        <f>IFERROR(__xludf.DUMMYFUNCTION("""COMPUTED_VALUE"""),"אישה")</f>
        <v>אישה</v>
      </c>
      <c r="F414" s="5" t="str">
        <f>IFERROR(__xludf.DUMMYFUNCTION("""COMPUTED_VALUE"""),"אזרחים")</f>
        <v>אזרחים</v>
      </c>
      <c r="G414" s="3"/>
      <c r="H414" s="3" t="str">
        <f>IFERROR(__xludf.DUMMYFUNCTION("""COMPUTED_VALUE"""),"07.10.2023")</f>
        <v>07.10.2023</v>
      </c>
      <c r="I414" s="4" t="str">
        <f>IFERROR(__xludf.DUMMYFUNCTION("""COMPUTED_VALUE"""),"סמוך למפלסים")</f>
        <v>סמוך למפלסים</v>
      </c>
      <c r="J414" s="4" t="str">
        <f>IFERROR(__xludf.DUMMYFUNCTION("""COMPUTED_VALUE"""),"אזרחים וכיתות כוננות")</f>
        <v>אזרחים וכיתות כוננות</v>
      </c>
      <c r="K414" s="5" t="str">
        <f>IFERROR(__xludf.DUMMYFUNCTION("""COMPUTED_VALUE"""),"פסטיבל נובה")</f>
        <v>פסטיבל נובה</v>
      </c>
      <c r="L414" s="3" t="str">
        <f>IFERROR(__xludf.DUMMYFUNCTION("""COMPUTED_VALUE"""),"Sharon Refai")</f>
        <v>Sharon Refai</v>
      </c>
      <c r="M414" s="5"/>
    </row>
    <row r="415">
      <c r="A415" s="3">
        <f>IFERROR(__xludf.DUMMYFUNCTION("""COMPUTED_VALUE"""),858.0)</f>
        <v>858</v>
      </c>
      <c r="B415" s="4" t="str">
        <f>IFERROR(__xludf.DUMMYFUNCTION("""COMPUTED_VALUE"""),"שאמץ איליה")</f>
        <v>שאמץ איליה</v>
      </c>
      <c r="C415" s="3">
        <f>IFERROR(__xludf.DUMMYFUNCTION("""COMPUTED_VALUE"""),35.0)</f>
        <v>35</v>
      </c>
      <c r="D415" s="5" t="str">
        <f>IFERROR(__xludf.DUMMYFUNCTION("""COMPUTED_VALUE"""),"חיפה")</f>
        <v>חיפה</v>
      </c>
      <c r="E415" s="5" t="str">
        <f>IFERROR(__xludf.DUMMYFUNCTION("""COMPUTED_VALUE"""),"גבר")</f>
        <v>גבר</v>
      </c>
      <c r="F415" s="5" t="str">
        <f>IFERROR(__xludf.DUMMYFUNCTION("""COMPUTED_VALUE"""),"אזרחים")</f>
        <v>אזרחים</v>
      </c>
      <c r="G415" s="3"/>
      <c r="H415" s="3" t="str">
        <f>IFERROR(__xludf.DUMMYFUNCTION("""COMPUTED_VALUE"""),"07.10.2023")</f>
        <v>07.10.2023</v>
      </c>
      <c r="I415" s="4" t="str">
        <f>IFERROR(__xludf.DUMMYFUNCTION("""COMPUTED_VALUE"""),"פסטיבל נובה; בר צפוני")</f>
        <v>פסטיבל נובה; בר צפוני</v>
      </c>
      <c r="J415" s="4" t="str">
        <f>IFERROR(__xludf.DUMMYFUNCTION("""COMPUTED_VALUE"""),"אזרחים וכיתות כוננות")</f>
        <v>אזרחים וכיתות כוננות</v>
      </c>
      <c r="K415" s="5" t="str">
        <f>IFERROR(__xludf.DUMMYFUNCTION("""COMPUTED_VALUE"""),"פסטיבל נובה")</f>
        <v>פסטיבל נובה</v>
      </c>
      <c r="L415" s="3" t="str">
        <f>IFERROR(__xludf.DUMMYFUNCTION("""COMPUTED_VALUE"""),"Eliya Shamatz")</f>
        <v>Eliya Shamatz</v>
      </c>
      <c r="M415" s="5"/>
    </row>
    <row r="416">
      <c r="A416" s="3">
        <f>IFERROR(__xludf.DUMMYFUNCTION("""COMPUTED_VALUE"""),867.0)</f>
        <v>867</v>
      </c>
      <c r="B416" s="4" t="str">
        <f>IFERROR(__xludf.DUMMYFUNCTION("""COMPUTED_VALUE"""),"שגב שושן")</f>
        <v>שגב שושן</v>
      </c>
      <c r="C416" s="3">
        <f>IFERROR(__xludf.DUMMYFUNCTION("""COMPUTED_VALUE"""),28.0)</f>
        <v>28</v>
      </c>
      <c r="D416" s="5" t="str">
        <f>IFERROR(__xludf.DUMMYFUNCTION("""COMPUTED_VALUE"""),"מודיעין מכבים רעות")</f>
        <v>מודיעין מכבים רעות</v>
      </c>
      <c r="E416" s="5" t="str">
        <f>IFERROR(__xludf.DUMMYFUNCTION("""COMPUTED_VALUE"""),"גבר")</f>
        <v>גבר</v>
      </c>
      <c r="F416" s="5" t="str">
        <f>IFERROR(__xludf.DUMMYFUNCTION("""COMPUTED_VALUE"""),"אזרחים")</f>
        <v>אזרחים</v>
      </c>
      <c r="G416" s="3"/>
      <c r="H416" s="3" t="str">
        <f>IFERROR(__xludf.DUMMYFUNCTION("""COMPUTED_VALUE"""),"07.10.2023")</f>
        <v>07.10.2023</v>
      </c>
      <c r="I416" s="4" t="str">
        <f>IFERROR(__xludf.DUMMYFUNCTION("""COMPUTED_VALUE"""),"סמוך למיגונית בצומת גמה (צפון)")</f>
        <v>סמוך למיגונית בצומת גמה (צפון)</v>
      </c>
      <c r="J416" s="4" t="str">
        <f>IFERROR(__xludf.DUMMYFUNCTION("""COMPUTED_VALUE"""),"אזרחים וכיתות כוננות")</f>
        <v>אזרחים וכיתות כוננות</v>
      </c>
      <c r="K416" s="5" t="str">
        <f>IFERROR(__xludf.DUMMYFUNCTION("""COMPUTED_VALUE"""),"פסטיבל נובה")</f>
        <v>פסטיבל נובה</v>
      </c>
      <c r="L416" s="3" t="str">
        <f>IFERROR(__xludf.DUMMYFUNCTION("""COMPUTED_VALUE"""),"Segev Shushan")</f>
        <v>Segev Shushan</v>
      </c>
      <c r="M416" s="5"/>
    </row>
    <row r="417">
      <c r="A417" s="3">
        <f>IFERROR(__xludf.DUMMYFUNCTION("""COMPUTED_VALUE"""),851.0)</f>
        <v>851</v>
      </c>
      <c r="B417" s="4" t="str">
        <f>IFERROR(__xludf.DUMMYFUNCTION("""COMPUTED_VALUE"""),"שגב תומר")</f>
        <v>שגב תומר</v>
      </c>
      <c r="C417" s="3">
        <f>IFERROR(__xludf.DUMMYFUNCTION("""COMPUTED_VALUE"""),30.0)</f>
        <v>30</v>
      </c>
      <c r="D417" s="5" t="str">
        <f>IFERROR(__xludf.DUMMYFUNCTION("""COMPUTED_VALUE"""),"הרצליה")</f>
        <v>הרצליה</v>
      </c>
      <c r="E417" s="5" t="str">
        <f>IFERROR(__xludf.DUMMYFUNCTION("""COMPUTED_VALUE"""),"גבר")</f>
        <v>גבר</v>
      </c>
      <c r="F417" s="5" t="str">
        <f>IFERROR(__xludf.DUMMYFUNCTION("""COMPUTED_VALUE"""),"אזרחים")</f>
        <v>אזרחים</v>
      </c>
      <c r="G417" s="3"/>
      <c r="H417" s="3" t="str">
        <f>IFERROR(__xludf.DUMMYFUNCTION("""COMPUTED_VALUE"""),"07.10.2023")</f>
        <v>07.10.2023</v>
      </c>
      <c r="I417" s="4" t="str">
        <f>IFERROR(__xludf.DUMMYFUNCTION("""COMPUTED_VALUE"""),"פסטיבל נובה")</f>
        <v>פסטיבל נובה</v>
      </c>
      <c r="J417" s="4" t="str">
        <f>IFERROR(__xludf.DUMMYFUNCTION("""COMPUTED_VALUE"""),"אזרחים וכיתות כוננות")</f>
        <v>אזרחים וכיתות כוננות</v>
      </c>
      <c r="K417" s="5" t="str">
        <f>IFERROR(__xludf.DUMMYFUNCTION("""COMPUTED_VALUE"""),"פסטיבל נובה")</f>
        <v>פסטיבל נובה</v>
      </c>
      <c r="L417" s="3" t="str">
        <f>IFERROR(__xludf.DUMMYFUNCTION("""COMPUTED_VALUE"""),"Tomer Segev")</f>
        <v>Tomer Segev</v>
      </c>
      <c r="M417" s="5"/>
    </row>
    <row r="418">
      <c r="A418" s="3">
        <f>IFERROR(__xludf.DUMMYFUNCTION("""COMPUTED_VALUE"""),1431.0)</f>
        <v>1431</v>
      </c>
      <c r="B418" s="4" t="str">
        <f>IFERROR(__xludf.DUMMYFUNCTION("""COMPUTED_VALUE"""),"שהרבני סיון")</f>
        <v>שהרבני סיון</v>
      </c>
      <c r="C418" s="3">
        <f>IFERROR(__xludf.DUMMYFUNCTION("""COMPUTED_VALUE"""),21.0)</f>
        <v>21</v>
      </c>
      <c r="D418" s="5" t="str">
        <f>IFERROR(__xludf.DUMMYFUNCTION("""COMPUTED_VALUE"""),"רמת גן")</f>
        <v>רמת גן</v>
      </c>
      <c r="E418" s="5" t="str">
        <f>IFERROR(__xludf.DUMMYFUNCTION("""COMPUTED_VALUE"""),"אישה")</f>
        <v>אישה</v>
      </c>
      <c r="F418" s="5" t="str">
        <f>IFERROR(__xludf.DUMMYFUNCTION("""COMPUTED_VALUE"""),"אזרחים")</f>
        <v>אזרחים</v>
      </c>
      <c r="G418" s="3"/>
      <c r="H418" s="3" t="str">
        <f>IFERROR(__xludf.DUMMYFUNCTION("""COMPUTED_VALUE"""),"07.10.2023")</f>
        <v>07.10.2023</v>
      </c>
      <c r="I418" s="4" t="str">
        <f>IFERROR(__xludf.DUMMYFUNCTION("""COMPUTED_VALUE"""),"פסטיבל נובה")</f>
        <v>פסטיבל נובה</v>
      </c>
      <c r="J418" s="4" t="str">
        <f>IFERROR(__xludf.DUMMYFUNCTION("""COMPUTED_VALUE"""),"אזרחים וכיתות כוננות")</f>
        <v>אזרחים וכיתות כוננות</v>
      </c>
      <c r="K418" s="5" t="str">
        <f>IFERROR(__xludf.DUMMYFUNCTION("""COMPUTED_VALUE"""),"פסטיבל נובה")</f>
        <v>פסטיבל נובה</v>
      </c>
      <c r="L418" s="3" t="str">
        <f>IFERROR(__xludf.DUMMYFUNCTION("""COMPUTED_VALUE"""),"Sivan Shaharbani")</f>
        <v>Sivan Shaharbani</v>
      </c>
      <c r="M418" s="5"/>
    </row>
    <row r="419">
      <c r="A419" s="3">
        <f>IFERROR(__xludf.DUMMYFUNCTION("""COMPUTED_VALUE"""),868.0)</f>
        <v>868</v>
      </c>
      <c r="B419" s="4" t="str">
        <f>IFERROR(__xludf.DUMMYFUNCTION("""COMPUTED_VALUE"""),"שובה משה")</f>
        <v>שובה משה</v>
      </c>
      <c r="C419" s="3">
        <f>IFERROR(__xludf.DUMMYFUNCTION("""COMPUTED_VALUE"""),33.0)</f>
        <v>33</v>
      </c>
      <c r="D419" s="5" t="str">
        <f>IFERROR(__xludf.DUMMYFUNCTION("""COMPUTED_VALUE"""),"כפר יונה")</f>
        <v>כפר יונה</v>
      </c>
      <c r="E419" s="5" t="str">
        <f>IFERROR(__xludf.DUMMYFUNCTION("""COMPUTED_VALUE"""),"גבר")</f>
        <v>גבר</v>
      </c>
      <c r="F419" s="5" t="str">
        <f>IFERROR(__xludf.DUMMYFUNCTION("""COMPUTED_VALUE"""),"אזרחים")</f>
        <v>אזרחים</v>
      </c>
      <c r="G419" s="3"/>
      <c r="H419" s="3" t="str">
        <f>IFERROR(__xludf.DUMMYFUNCTION("""COMPUTED_VALUE"""),"07.10.2023")</f>
        <v>07.10.2023</v>
      </c>
      <c r="I419" s="4" t="str">
        <f>IFERROR(__xludf.DUMMYFUNCTION("""COMPUTED_VALUE"""),"סמוך למיגונית בצומת גמה (דרום)")</f>
        <v>סמוך למיגונית בצומת גמה (דרום)</v>
      </c>
      <c r="J419" s="4" t="str">
        <f>IFERROR(__xludf.DUMMYFUNCTION("""COMPUTED_VALUE"""),"אזרחים וכיתות כוננות")</f>
        <v>אזרחים וכיתות כוננות</v>
      </c>
      <c r="K419" s="5" t="str">
        <f>IFERROR(__xludf.DUMMYFUNCTION("""COMPUTED_VALUE"""),"פסטיבל נובה")</f>
        <v>פסטיבל נובה</v>
      </c>
      <c r="L419" s="3" t="str">
        <f>IFERROR(__xludf.DUMMYFUNCTION("""COMPUTED_VALUE"""),"Moshe Shuva")</f>
        <v>Moshe Shuva</v>
      </c>
      <c r="M419" s="5"/>
    </row>
    <row r="420">
      <c r="A420" s="3">
        <f>IFERROR(__xludf.DUMMYFUNCTION("""COMPUTED_VALUE"""),850.0)</f>
        <v>850</v>
      </c>
      <c r="B420" s="4" t="str">
        <f>IFERROR(__xludf.DUMMYFUNCTION("""COMPUTED_VALUE"""),"שוורצמן קארין")</f>
        <v>שוורצמן קארין</v>
      </c>
      <c r="C420" s="3">
        <f>IFERROR(__xludf.DUMMYFUNCTION("""COMPUTED_VALUE"""),20.0)</f>
        <v>20</v>
      </c>
      <c r="D420" s="5" t="str">
        <f>IFERROR(__xludf.DUMMYFUNCTION("""COMPUTED_VALUE"""),"חולון")</f>
        <v>חולון</v>
      </c>
      <c r="E420" s="5" t="str">
        <f>IFERROR(__xludf.DUMMYFUNCTION("""COMPUTED_VALUE"""),"אישה")</f>
        <v>אישה</v>
      </c>
      <c r="F420" s="5" t="str">
        <f>IFERROR(__xludf.DUMMYFUNCTION("""COMPUTED_VALUE"""),"צה""ל")</f>
        <v>צה"ל</v>
      </c>
      <c r="G420" s="3" t="str">
        <f>IFERROR(__xludf.DUMMYFUNCTION("""COMPUTED_VALUE"""),"סמל")</f>
        <v>סמל</v>
      </c>
      <c r="H420" s="3" t="str">
        <f>IFERROR(__xludf.DUMMYFUNCTION("""COMPUTED_VALUE"""),"07.10.2023")</f>
        <v>07.10.2023</v>
      </c>
      <c r="I420" s="4" t="str">
        <f>IFERROR(__xludf.DUMMYFUNCTION("""COMPUTED_VALUE"""),"מיגונית בכניסה לרעים (מערב)")</f>
        <v>מיגונית בכניסה לרעים (מערב)</v>
      </c>
      <c r="J420" s="4" t="str">
        <f>IFERROR(__xludf.DUMMYFUNCTION("""COMPUTED_VALUE"""),"אזרחים וכיתות כוננות")</f>
        <v>אזרחים וכיתות כוננות</v>
      </c>
      <c r="K420" s="5" t="str">
        <f>IFERROR(__xludf.DUMMYFUNCTION("""COMPUTED_VALUE"""),"פסטיבל נובה")</f>
        <v>פסטיבל נובה</v>
      </c>
      <c r="L420" s="3" t="str">
        <f>IFERROR(__xludf.DUMMYFUNCTION("""COMPUTED_VALUE"""),"Karin Schwartzman")</f>
        <v>Karin Schwartzman</v>
      </c>
      <c r="M420" s="5"/>
    </row>
    <row r="421">
      <c r="A421" s="3">
        <f>IFERROR(__xludf.DUMMYFUNCTION("""COMPUTED_VALUE"""),124.0)</f>
        <v>124</v>
      </c>
      <c r="B421" s="4" t="str">
        <f>IFERROR(__xludf.DUMMYFUNCTION("""COMPUTED_VALUE"""),"שופן זיו")</f>
        <v>שופן זיו</v>
      </c>
      <c r="C421" s="3">
        <f>IFERROR(__xludf.DUMMYFUNCTION("""COMPUTED_VALUE"""),56.0)</f>
        <v>56</v>
      </c>
      <c r="D421" s="5" t="str">
        <f>IFERROR(__xludf.DUMMYFUNCTION("""COMPUTED_VALUE"""),"בארי")</f>
        <v>בארי</v>
      </c>
      <c r="E421" s="5" t="str">
        <f>IFERROR(__xludf.DUMMYFUNCTION("""COMPUTED_VALUE"""),"גבר")</f>
        <v>גבר</v>
      </c>
      <c r="F421" s="5" t="str">
        <f>IFERROR(__xludf.DUMMYFUNCTION("""COMPUTED_VALUE"""),"אזרחים")</f>
        <v>אזרחים</v>
      </c>
      <c r="G421" s="5"/>
      <c r="H421" s="3" t="str">
        <f>IFERROR(__xludf.DUMMYFUNCTION("""COMPUTED_VALUE"""),"07.10.2023")</f>
        <v>07.10.2023</v>
      </c>
      <c r="I421" s="4" t="str">
        <f>IFERROR(__xludf.DUMMYFUNCTION("""COMPUTED_VALUE"""),"בארי")</f>
        <v>בארי</v>
      </c>
      <c r="J421" s="4" t="str">
        <f>IFERROR(__xludf.DUMMYFUNCTION("""COMPUTED_VALUE"""),"אזרחים וכיתות כוננות")</f>
        <v>אזרחים וכיתות כוננות</v>
      </c>
      <c r="K421" s="5"/>
      <c r="L421" s="3" t="str">
        <f>IFERROR(__xludf.DUMMYFUNCTION("""COMPUTED_VALUE"""),"Ziv Shoffen")</f>
        <v>Ziv Shoffen</v>
      </c>
      <c r="M421" s="5"/>
    </row>
    <row r="422">
      <c r="A422" s="3">
        <f>IFERROR(__xludf.DUMMYFUNCTION("""COMPUTED_VALUE"""),863.0)</f>
        <v>863</v>
      </c>
      <c r="B422" s="4" t="str">
        <f>IFERROR(__xludf.DUMMYFUNCTION("""COMPUTED_VALUE"""),"שטרית רוני")</f>
        <v>שטרית רוני</v>
      </c>
      <c r="C422" s="3">
        <f>IFERROR(__xludf.DUMMYFUNCTION("""COMPUTED_VALUE"""),24.0)</f>
        <v>24</v>
      </c>
      <c r="D422" s="5" t="str">
        <f>IFERROR(__xludf.DUMMYFUNCTION("""COMPUTED_VALUE"""),"בית יצחק")</f>
        <v>בית יצחק</v>
      </c>
      <c r="E422" s="5" t="str">
        <f>IFERROR(__xludf.DUMMYFUNCTION("""COMPUTED_VALUE"""),"אישה")</f>
        <v>אישה</v>
      </c>
      <c r="F422" s="5" t="str">
        <f>IFERROR(__xludf.DUMMYFUNCTION("""COMPUTED_VALUE"""),"אזרחים")</f>
        <v>אזרחים</v>
      </c>
      <c r="G422" s="5"/>
      <c r="H422" s="3" t="str">
        <f>IFERROR(__xludf.DUMMYFUNCTION("""COMPUTED_VALUE"""),"07.10.2023")</f>
        <v>07.10.2023</v>
      </c>
      <c r="I422" s="4" t="str">
        <f>IFERROR(__xludf.DUMMYFUNCTION("""COMPUTED_VALUE"""),"מיגונית בצומת בארי")</f>
        <v>מיגונית בצומת בארי</v>
      </c>
      <c r="J422" s="4" t="str">
        <f>IFERROR(__xludf.DUMMYFUNCTION("""COMPUTED_VALUE"""),"אזרחים וכיתות כוננות")</f>
        <v>אזרחים וכיתות כוננות</v>
      </c>
      <c r="K422" s="5" t="str">
        <f>IFERROR(__xludf.DUMMYFUNCTION("""COMPUTED_VALUE"""),"פסטיבל נובה")</f>
        <v>פסטיבל נובה</v>
      </c>
      <c r="L422" s="3" t="str">
        <f>IFERROR(__xludf.DUMMYFUNCTION("""COMPUTED_VALUE"""),"Roni Shitrit")</f>
        <v>Roni Shitrit</v>
      </c>
      <c r="M422" s="5"/>
    </row>
    <row r="423">
      <c r="A423" s="3">
        <f>IFERROR(__xludf.DUMMYFUNCTION("""COMPUTED_VALUE"""),853.0)</f>
        <v>853</v>
      </c>
      <c r="B423" s="4" t="str">
        <f>IFERROR(__xludf.DUMMYFUNCTION("""COMPUTED_VALUE"""),"שי נעם")</f>
        <v>שי נעם</v>
      </c>
      <c r="C423" s="3">
        <f>IFERROR(__xludf.DUMMYFUNCTION("""COMPUTED_VALUE"""),26.0)</f>
        <v>26</v>
      </c>
      <c r="D423" s="5" t="str">
        <f>IFERROR(__xludf.DUMMYFUNCTION("""COMPUTED_VALUE"""),"כפר תבור")</f>
        <v>כפר תבור</v>
      </c>
      <c r="E423" s="5" t="str">
        <f>IFERROR(__xludf.DUMMYFUNCTION("""COMPUTED_VALUE"""),"גבר")</f>
        <v>גבר</v>
      </c>
      <c r="F423" s="5" t="str">
        <f>IFERROR(__xludf.DUMMYFUNCTION("""COMPUTED_VALUE"""),"אזרחים")</f>
        <v>אזרחים</v>
      </c>
      <c r="G423" s="3"/>
      <c r="H423" s="3" t="str">
        <f>IFERROR(__xludf.DUMMYFUNCTION("""COMPUTED_VALUE"""),"07.10.2023")</f>
        <v>07.10.2023</v>
      </c>
      <c r="I423" s="4" t="str">
        <f>IFERROR(__xludf.DUMMYFUNCTION("""COMPUTED_VALUE"""),"סמוך לצומת גמה")</f>
        <v>סמוך לצומת גמה</v>
      </c>
      <c r="J423" s="4" t="str">
        <f>IFERROR(__xludf.DUMMYFUNCTION("""COMPUTED_VALUE"""),"אזרחים וכיתות כוננות")</f>
        <v>אזרחים וכיתות כוננות</v>
      </c>
      <c r="K423" s="5" t="str">
        <f>IFERROR(__xludf.DUMMYFUNCTION("""COMPUTED_VALUE"""),"פסטיבל נובה")</f>
        <v>פסטיבל נובה</v>
      </c>
      <c r="L423" s="3" t="str">
        <f>IFERROR(__xludf.DUMMYFUNCTION("""COMPUTED_VALUE"""),"Noam Shay")</f>
        <v>Noam Shay</v>
      </c>
      <c r="M423" s="5"/>
    </row>
    <row r="424">
      <c r="A424" s="3">
        <f>IFERROR(__xludf.DUMMYFUNCTION("""COMPUTED_VALUE"""),860.0)</f>
        <v>860</v>
      </c>
      <c r="B424" s="4" t="str">
        <f>IFERROR(__xludf.DUMMYFUNCTION("""COMPUTED_VALUE"""),"שיינקרמן דניאל")</f>
        <v>שיינקרמן דניאל</v>
      </c>
      <c r="C424" s="3">
        <f>IFERROR(__xludf.DUMMYFUNCTION("""COMPUTED_VALUE"""),25.0)</f>
        <v>25</v>
      </c>
      <c r="D424" s="5" t="str">
        <f>IFERROR(__xludf.DUMMYFUNCTION("""COMPUTED_VALUE"""),"חולון")</f>
        <v>חולון</v>
      </c>
      <c r="E424" s="5" t="str">
        <f>IFERROR(__xludf.DUMMYFUNCTION("""COMPUTED_VALUE"""),"גבר")</f>
        <v>גבר</v>
      </c>
      <c r="F424" s="5" t="str">
        <f>IFERROR(__xludf.DUMMYFUNCTION("""COMPUTED_VALUE"""),"אזרחים")</f>
        <v>אזרחים</v>
      </c>
      <c r="G424" s="3"/>
      <c r="H424" s="3" t="str">
        <f>IFERROR(__xludf.DUMMYFUNCTION("""COMPUTED_VALUE"""),"07.10.2023")</f>
        <v>07.10.2023</v>
      </c>
      <c r="I424" s="4" t="str">
        <f>IFERROR(__xludf.DUMMYFUNCTION("""COMPUTED_VALUE"""),"פסטיבל נובה; סמוך למכולות הצהובות")</f>
        <v>פסטיבל נובה; סמוך למכולות הצהובות</v>
      </c>
      <c r="J424" s="4" t="str">
        <f>IFERROR(__xludf.DUMMYFUNCTION("""COMPUTED_VALUE"""),"אזרחים וכיתות כוננות")</f>
        <v>אזרחים וכיתות כוננות</v>
      </c>
      <c r="K424" s="5" t="str">
        <f>IFERROR(__xludf.DUMMYFUNCTION("""COMPUTED_VALUE"""),"פסטיבל נובה")</f>
        <v>פסטיבל נובה</v>
      </c>
      <c r="L424" s="3" t="str">
        <f>IFERROR(__xludf.DUMMYFUNCTION("""COMPUTED_VALUE"""),"Daniel Sheinkerman")</f>
        <v>Daniel Sheinkerman</v>
      </c>
      <c r="M424" s="5"/>
    </row>
    <row r="425">
      <c r="A425" s="3">
        <f>IFERROR(__xludf.DUMMYFUNCTION("""COMPUTED_VALUE"""),849.0)</f>
        <v>849</v>
      </c>
      <c r="B425" s="4" t="str">
        <f>IFERROR(__xludf.DUMMYFUNCTION("""COMPUTED_VALUE"""),"שינדל מארק")</f>
        <v>שינדל מארק</v>
      </c>
      <c r="C425" s="3">
        <f>IFERROR(__xludf.DUMMYFUNCTION("""COMPUTED_VALUE"""),23.0)</f>
        <v>23</v>
      </c>
      <c r="D425" s="5" t="str">
        <f>IFERROR(__xludf.DUMMYFUNCTION("""COMPUTED_VALUE"""),"כפר יונה")</f>
        <v>כפר יונה</v>
      </c>
      <c r="E425" s="5" t="str">
        <f>IFERROR(__xludf.DUMMYFUNCTION("""COMPUTED_VALUE"""),"גבר")</f>
        <v>גבר</v>
      </c>
      <c r="F425" s="5" t="str">
        <f>IFERROR(__xludf.DUMMYFUNCTION("""COMPUTED_VALUE"""),"אזרחים")</f>
        <v>אזרחים</v>
      </c>
      <c r="G425" s="3"/>
      <c r="H425" s="3" t="str">
        <f>IFERROR(__xludf.DUMMYFUNCTION("""COMPUTED_VALUE"""),"07.10.2023")</f>
        <v>07.10.2023</v>
      </c>
      <c r="I425" s="4" t="str">
        <f>IFERROR(__xludf.DUMMYFUNCTION("""COMPUTED_VALUE"""),"פסטיבל נובה")</f>
        <v>פסטיבל נובה</v>
      </c>
      <c r="J425" s="4" t="str">
        <f>IFERROR(__xludf.DUMMYFUNCTION("""COMPUTED_VALUE"""),"אזרחים וכיתות כוננות")</f>
        <v>אזרחים וכיתות כוננות</v>
      </c>
      <c r="K425" s="5" t="str">
        <f>IFERROR(__xludf.DUMMYFUNCTION("""COMPUTED_VALUE"""),"פסטיבל נובה")</f>
        <v>פסטיבל נובה</v>
      </c>
      <c r="L425" s="3" t="str">
        <f>IFERROR(__xludf.DUMMYFUNCTION("""COMPUTED_VALUE"""),"Mark Schindel")</f>
        <v>Mark Schindel</v>
      </c>
      <c r="M425" s="5"/>
    </row>
    <row r="426">
      <c r="A426" s="3">
        <f>IFERROR(__xludf.DUMMYFUNCTION("""COMPUTED_VALUE"""),1480.0)</f>
        <v>1480</v>
      </c>
      <c r="B426" s="4" t="str">
        <f>IFERROR(__xludf.DUMMYFUNCTION("""COMPUTED_VALUE"""),"שכטר בר")</f>
        <v>שכטר בר</v>
      </c>
      <c r="C426" s="3">
        <f>IFERROR(__xludf.DUMMYFUNCTION("""COMPUTED_VALUE"""),32.0)</f>
        <v>32</v>
      </c>
      <c r="D426" s="5" t="str">
        <f>IFERROR(__xludf.DUMMYFUNCTION("""COMPUTED_VALUE"""),"קציר")</f>
        <v>קציר</v>
      </c>
      <c r="E426" s="5" t="str">
        <f>IFERROR(__xludf.DUMMYFUNCTION("""COMPUTED_VALUE"""),"גבר")</f>
        <v>גבר</v>
      </c>
      <c r="F426" s="5" t="str">
        <f>IFERROR(__xludf.DUMMYFUNCTION("""COMPUTED_VALUE"""),"אזרחים")</f>
        <v>אזרחים</v>
      </c>
      <c r="G426" s="3"/>
      <c r="H426" s="3" t="str">
        <f>IFERROR(__xludf.DUMMYFUNCTION("""COMPUTED_VALUE"""),"07.10.2023")</f>
        <v>07.10.2023</v>
      </c>
      <c r="I426" s="4" t="str">
        <f>IFERROR(__xludf.DUMMYFUNCTION("""COMPUTED_VALUE"""),"סמוך למפלסים")</f>
        <v>סמוך למפלסים</v>
      </c>
      <c r="J426" s="4" t="str">
        <f>IFERROR(__xludf.DUMMYFUNCTION("""COMPUTED_VALUE"""),"אזרחים וכיתות כוננות")</f>
        <v>אזרחים וכיתות כוננות</v>
      </c>
      <c r="K426" s="5" t="str">
        <f>IFERROR(__xludf.DUMMYFUNCTION("""COMPUTED_VALUE"""),"פסטיבל נובה")</f>
        <v>פסטיבל נובה</v>
      </c>
      <c r="L426" s="3" t="str">
        <f>IFERROR(__xludf.DUMMYFUNCTION("""COMPUTED_VALUE"""),"Bar Shechter")</f>
        <v>Bar Shechter</v>
      </c>
      <c r="M426" s="5"/>
    </row>
    <row r="427">
      <c r="A427" s="3">
        <f>IFERROR(__xludf.DUMMYFUNCTION("""COMPUTED_VALUE"""),854.0)</f>
        <v>854</v>
      </c>
      <c r="B427" s="4" t="str">
        <f>IFERROR(__xludf.DUMMYFUNCTION("""COMPUTED_VALUE"""),"שלו שי")</f>
        <v>שלו שי</v>
      </c>
      <c r="C427" s="3">
        <f>IFERROR(__xludf.DUMMYFUNCTION("""COMPUTED_VALUE"""),50.0)</f>
        <v>50</v>
      </c>
      <c r="D427" s="5" t="str">
        <f>IFERROR(__xludf.DUMMYFUNCTION("""COMPUTED_VALUE"""),"אחוזת ברק")</f>
        <v>אחוזת ברק</v>
      </c>
      <c r="E427" s="5" t="str">
        <f>IFERROR(__xludf.DUMMYFUNCTION("""COMPUTED_VALUE"""),"גבר")</f>
        <v>גבר</v>
      </c>
      <c r="F427" s="5" t="str">
        <f>IFERROR(__xludf.DUMMYFUNCTION("""COMPUTED_VALUE"""),"אזרחים")</f>
        <v>אזרחים</v>
      </c>
      <c r="G427" s="3"/>
      <c r="H427" s="3" t="str">
        <f>IFERROR(__xludf.DUMMYFUNCTION("""COMPUTED_VALUE"""),"07.10.2023")</f>
        <v>07.10.2023</v>
      </c>
      <c r="I427" s="4" t="str">
        <f>IFERROR(__xludf.DUMMYFUNCTION("""COMPUTED_VALUE"""),"פסטיבל נובה")</f>
        <v>פסטיבל נובה</v>
      </c>
      <c r="J427" s="4" t="str">
        <f>IFERROR(__xludf.DUMMYFUNCTION("""COMPUTED_VALUE"""),"אזרחים וכיתות כוננות")</f>
        <v>אזרחים וכיתות כוננות</v>
      </c>
      <c r="K427" s="5" t="str">
        <f>IFERROR(__xludf.DUMMYFUNCTION("""COMPUTED_VALUE"""),"פסטיבל נובה")</f>
        <v>פסטיבל נובה</v>
      </c>
      <c r="L427" s="3" t="str">
        <f>IFERROR(__xludf.DUMMYFUNCTION("""COMPUTED_VALUE"""),"Shai Shalev")</f>
        <v>Shai Shalev</v>
      </c>
      <c r="M427" s="5"/>
    </row>
    <row r="428">
      <c r="A428" s="3">
        <f>IFERROR(__xludf.DUMMYFUNCTION("""COMPUTED_VALUE"""),857.0)</f>
        <v>857</v>
      </c>
      <c r="B428" s="4" t="str">
        <f>IFERROR(__xludf.DUMMYFUNCTION("""COMPUTED_VALUE"""),"שלום נעם")</f>
        <v>שלום נעם</v>
      </c>
      <c r="C428" s="3">
        <f>IFERROR(__xludf.DUMMYFUNCTION("""COMPUTED_VALUE"""),25.0)</f>
        <v>25</v>
      </c>
      <c r="D428" s="5" t="str">
        <f>IFERROR(__xludf.DUMMYFUNCTION("""COMPUTED_VALUE"""),"פרדס חנה-כרכור")</f>
        <v>פרדס חנה-כרכור</v>
      </c>
      <c r="E428" s="5" t="str">
        <f>IFERROR(__xludf.DUMMYFUNCTION("""COMPUTED_VALUE"""),"אישה")</f>
        <v>אישה</v>
      </c>
      <c r="F428" s="5" t="str">
        <f>IFERROR(__xludf.DUMMYFUNCTION("""COMPUTED_VALUE"""),"אזרחים")</f>
        <v>אזרחים</v>
      </c>
      <c r="G428" s="3"/>
      <c r="H428" s="3" t="str">
        <f>IFERROR(__xludf.DUMMYFUNCTION("""COMPUTED_VALUE"""),"07.10.2023")</f>
        <v>07.10.2023</v>
      </c>
      <c r="I428" s="4" t="str">
        <f>IFERROR(__xludf.DUMMYFUNCTION("""COMPUTED_VALUE"""),"פסטיבל נובה; אמבולנס")</f>
        <v>פסטיבל נובה; אמבולנס</v>
      </c>
      <c r="J428" s="4" t="str">
        <f>IFERROR(__xludf.DUMMYFUNCTION("""COMPUTED_VALUE"""),"אזרחים וכיתות כוננות")</f>
        <v>אזרחים וכיתות כוננות</v>
      </c>
      <c r="K428" s="5" t="str">
        <f>IFERROR(__xludf.DUMMYFUNCTION("""COMPUTED_VALUE"""),"פסטיבל נובה")</f>
        <v>פסטיבל נובה</v>
      </c>
      <c r="L428" s="3" t="str">
        <f>IFERROR(__xludf.DUMMYFUNCTION("""COMPUTED_VALUE"""),"Noam Shalom")</f>
        <v>Noam Shalom</v>
      </c>
      <c r="M428" s="5"/>
    </row>
    <row r="429">
      <c r="A429" s="3">
        <f>IFERROR(__xludf.DUMMYFUNCTION("""COMPUTED_VALUE"""),1528.0)</f>
        <v>1528</v>
      </c>
      <c r="B429" s="4" t="str">
        <f>IFERROR(__xludf.DUMMYFUNCTION("""COMPUTED_VALUE"""),"שלום רם")</f>
        <v>שלום רם</v>
      </c>
      <c r="C429" s="3">
        <f>IFERROR(__xludf.DUMMYFUNCTION("""COMPUTED_VALUE"""),25.0)</f>
        <v>25</v>
      </c>
      <c r="D429" s="5" t="str">
        <f>IFERROR(__xludf.DUMMYFUNCTION("""COMPUTED_VALUE"""),"גבעת זאב")</f>
        <v>גבעת זאב</v>
      </c>
      <c r="E429" s="5" t="str">
        <f>IFERROR(__xludf.DUMMYFUNCTION("""COMPUTED_VALUE"""),"גבר")</f>
        <v>גבר</v>
      </c>
      <c r="F429" s="5" t="str">
        <f>IFERROR(__xludf.DUMMYFUNCTION("""COMPUTED_VALUE"""),"אזרחים")</f>
        <v>אזרחים</v>
      </c>
      <c r="G429" s="3"/>
      <c r="H429" s="3" t="str">
        <f>IFERROR(__xludf.DUMMYFUNCTION("""COMPUTED_VALUE"""),"07.10.2023")</f>
        <v>07.10.2023</v>
      </c>
      <c r="I429" s="4" t="str">
        <f>IFERROR(__xludf.DUMMYFUNCTION("""COMPUTED_VALUE"""),"פסטיבל נובה")</f>
        <v>פסטיבל נובה</v>
      </c>
      <c r="J429" s="4" t="str">
        <f>IFERROR(__xludf.DUMMYFUNCTION("""COMPUTED_VALUE"""),"אזרחים וכיתות כוננות")</f>
        <v>אזרחים וכיתות כוננות</v>
      </c>
      <c r="K429" s="5" t="str">
        <f>IFERROR(__xludf.DUMMYFUNCTION("""COMPUTED_VALUE"""),"פסטיבל נובה")</f>
        <v>פסטיבל נובה</v>
      </c>
      <c r="L429" s="3" t="str">
        <f>IFERROR(__xludf.DUMMYFUNCTION("""COMPUTED_VALUE"""),"Ram Shalom")</f>
        <v>Ram Shalom</v>
      </c>
      <c r="M429" s="5"/>
    </row>
    <row r="430">
      <c r="A430" s="3">
        <f>IFERROR(__xludf.DUMMYFUNCTION("""COMPUTED_VALUE"""),864.0)</f>
        <v>864</v>
      </c>
      <c r="B430" s="4" t="str">
        <f>IFERROR(__xludf.DUMMYFUNCTION("""COMPUTED_VALUE"""),"שלזינגר אסף")</f>
        <v>שלזינגר אסף</v>
      </c>
      <c r="C430" s="3">
        <f>IFERROR(__xludf.DUMMYFUNCTION("""COMPUTED_VALUE"""),57.0)</f>
        <v>57</v>
      </c>
      <c r="D430" s="5" t="str">
        <f>IFERROR(__xludf.DUMMYFUNCTION("""COMPUTED_VALUE"""),"ראש העין")</f>
        <v>ראש העין</v>
      </c>
      <c r="E430" s="5" t="str">
        <f>IFERROR(__xludf.DUMMYFUNCTION("""COMPUTED_VALUE"""),"גבר")</f>
        <v>גבר</v>
      </c>
      <c r="F430" s="5" t="str">
        <f>IFERROR(__xludf.DUMMYFUNCTION("""COMPUTED_VALUE"""),"מגן דוד אדום")</f>
        <v>מגן דוד אדום</v>
      </c>
      <c r="G430" s="3"/>
      <c r="H430" s="3" t="str">
        <f>IFERROR(__xludf.DUMMYFUNCTION("""COMPUTED_VALUE"""),"07.10.2023")</f>
        <v>07.10.2023</v>
      </c>
      <c r="I430" s="4" t="str">
        <f>IFERROR(__xludf.DUMMYFUNCTION("""COMPUTED_VALUE"""),"פסטיבל נובה; קמפינג")</f>
        <v>פסטיבל נובה; קמפינג</v>
      </c>
      <c r="J430" s="4" t="str">
        <f>IFERROR(__xludf.DUMMYFUNCTION("""COMPUTED_VALUE"""),"שוטרים וכוחות הצלה")</f>
        <v>שוטרים וכוחות הצלה</v>
      </c>
      <c r="K430" s="5" t="str">
        <f>IFERROR(__xludf.DUMMYFUNCTION("""COMPUTED_VALUE"""),"פסטיבל נובה")</f>
        <v>פסטיבל נובה</v>
      </c>
      <c r="L430" s="3" t="str">
        <f>IFERROR(__xludf.DUMMYFUNCTION("""COMPUTED_VALUE"""),"Asaf Shlezinger")</f>
        <v>Asaf Shlezinger</v>
      </c>
      <c r="M430" s="5"/>
    </row>
    <row r="431">
      <c r="A431" s="3">
        <f>IFERROR(__xludf.DUMMYFUNCTION("""COMPUTED_VALUE"""),861.0)</f>
        <v>861</v>
      </c>
      <c r="B431" s="4" t="str">
        <f>IFERROR(__xludf.DUMMYFUNCTION("""COMPUTED_VALUE"""),"שם טוב עינבר")</f>
        <v>שם טוב עינבר</v>
      </c>
      <c r="C431" s="3">
        <f>IFERROR(__xludf.DUMMYFUNCTION("""COMPUTED_VALUE"""),22.0)</f>
        <v>22</v>
      </c>
      <c r="D431" s="5" t="str">
        <f>IFERROR(__xludf.DUMMYFUNCTION("""COMPUTED_VALUE"""),"חולון")</f>
        <v>חולון</v>
      </c>
      <c r="E431" s="5" t="str">
        <f>IFERROR(__xludf.DUMMYFUNCTION("""COMPUTED_VALUE"""),"אישה")</f>
        <v>אישה</v>
      </c>
      <c r="F431" s="5" t="str">
        <f>IFERROR(__xludf.DUMMYFUNCTION("""COMPUTED_VALUE"""),"אזרחים")</f>
        <v>אזרחים</v>
      </c>
      <c r="G431" s="3"/>
      <c r="H431" s="3" t="str">
        <f>IFERROR(__xludf.DUMMYFUNCTION("""COMPUTED_VALUE"""),"07.10.2023")</f>
        <v>07.10.2023</v>
      </c>
      <c r="I431" s="4" t="str">
        <f>IFERROR(__xludf.DUMMYFUNCTION("""COMPUTED_VALUE"""),"פסטיבל נובה; מכולות צהובות")</f>
        <v>פסטיבל נובה; מכולות צהובות</v>
      </c>
      <c r="J431" s="4" t="str">
        <f>IFERROR(__xludf.DUMMYFUNCTION("""COMPUTED_VALUE"""),"אזרחים וכיתות כוננות")</f>
        <v>אזרחים וכיתות כוננות</v>
      </c>
      <c r="K431" s="5" t="str">
        <f>IFERROR(__xludf.DUMMYFUNCTION("""COMPUTED_VALUE"""),"פסטיבל נובה")</f>
        <v>פסטיבל נובה</v>
      </c>
      <c r="L431" s="3" t="str">
        <f>IFERROR(__xludf.DUMMYFUNCTION("""COMPUTED_VALUE"""),"Inbar Shem-Tov")</f>
        <v>Inbar Shem-Tov</v>
      </c>
      <c r="M431" s="5"/>
    </row>
    <row r="432">
      <c r="A432" s="3">
        <f>IFERROR(__xludf.DUMMYFUNCTION("""COMPUTED_VALUE"""),865.0)</f>
        <v>865</v>
      </c>
      <c r="B432" s="4" t="str">
        <f>IFERROR(__xludf.DUMMYFUNCTION("""COMPUTED_VALUE"""),"שמוניס הראל שרונה")</f>
        <v>שמוניס הראל שרונה</v>
      </c>
      <c r="C432" s="3">
        <f>IFERROR(__xludf.DUMMYFUNCTION("""COMPUTED_VALUE"""),40.0)</f>
        <v>40</v>
      </c>
      <c r="D432" s="5" t="str">
        <f>IFERROR(__xludf.DUMMYFUNCTION("""COMPUTED_VALUE"""),"ראשון לציון")</f>
        <v>ראשון לציון</v>
      </c>
      <c r="E432" s="5" t="str">
        <f>IFERROR(__xludf.DUMMYFUNCTION("""COMPUTED_VALUE"""),"אישה")</f>
        <v>אישה</v>
      </c>
      <c r="F432" s="5" t="str">
        <f>IFERROR(__xludf.DUMMYFUNCTION("""COMPUTED_VALUE"""),"אזרחים")</f>
        <v>אזרחים</v>
      </c>
      <c r="G432" s="3"/>
      <c r="H432" s="3" t="str">
        <f>IFERROR(__xludf.DUMMYFUNCTION("""COMPUTED_VALUE"""),"07.10.2023")</f>
        <v>07.10.2023</v>
      </c>
      <c r="I432" s="4" t="str">
        <f>IFERROR(__xludf.DUMMYFUNCTION("""COMPUTED_VALUE"""),"פסטיבל נובה; אמבולנס")</f>
        <v>פסטיבל נובה; אמבולנס</v>
      </c>
      <c r="J432" s="4" t="str">
        <f>IFERROR(__xludf.DUMMYFUNCTION("""COMPUTED_VALUE"""),"אזרחים וכיתות כוננות")</f>
        <v>אזרחים וכיתות כוננות</v>
      </c>
      <c r="K432" s="5" t="str">
        <f>IFERROR(__xludf.DUMMYFUNCTION("""COMPUTED_VALUE"""),"פסטיבל נובה")</f>
        <v>פסטיבל נובה</v>
      </c>
      <c r="L432" s="3" t="str">
        <f>IFERROR(__xludf.DUMMYFUNCTION("""COMPUTED_VALUE"""),"Sharona Shmunis Harel")</f>
        <v>Sharona Shmunis Harel</v>
      </c>
      <c r="M432" s="5"/>
    </row>
    <row r="433">
      <c r="A433" s="3">
        <f>IFERROR(__xludf.DUMMYFUNCTION("""COMPUTED_VALUE"""),862.0)</f>
        <v>862</v>
      </c>
      <c r="B433" s="4" t="str">
        <f>IFERROR(__xludf.DUMMYFUNCTION("""COMPUTED_VALUE"""),"שמעוני בנימין (בן)")</f>
        <v>שמעוני בנימין (בן)</v>
      </c>
      <c r="C433" s="3">
        <f>IFERROR(__xludf.DUMMYFUNCTION("""COMPUTED_VALUE"""),31.0)</f>
        <v>31</v>
      </c>
      <c r="D433" s="5" t="str">
        <f>IFERROR(__xludf.DUMMYFUNCTION("""COMPUTED_VALUE"""),"אשקלון")</f>
        <v>אשקלון</v>
      </c>
      <c r="E433" s="5" t="str">
        <f>IFERROR(__xludf.DUMMYFUNCTION("""COMPUTED_VALUE"""),"גבר")</f>
        <v>גבר</v>
      </c>
      <c r="F433" s="5" t="str">
        <f>IFERROR(__xludf.DUMMYFUNCTION("""COMPUTED_VALUE"""),"אזרחים")</f>
        <v>אזרחים</v>
      </c>
      <c r="G433" s="3"/>
      <c r="H433" s="3" t="str">
        <f>IFERROR(__xludf.DUMMYFUNCTION("""COMPUTED_VALUE"""),"07.10.2023")</f>
        <v>07.10.2023</v>
      </c>
      <c r="I433" s="4" t="str">
        <f>IFERROR(__xludf.DUMMYFUNCTION("""COMPUTED_VALUE"""),"בכניסה לעלומים")</f>
        <v>בכניסה לעלומים</v>
      </c>
      <c r="J433" s="4" t="str">
        <f>IFERROR(__xludf.DUMMYFUNCTION("""COMPUTED_VALUE"""),"אזרחים וכיתות כוננות")</f>
        <v>אזרחים וכיתות כוננות</v>
      </c>
      <c r="K433" s="5" t="str">
        <f>IFERROR(__xludf.DUMMYFUNCTION("""COMPUTED_VALUE"""),"פסטיבל נובה")</f>
        <v>פסטיבל נובה</v>
      </c>
      <c r="L433" s="3" t="str">
        <f>IFERROR(__xludf.DUMMYFUNCTION("""COMPUTED_VALUE"""),"Ben Shimoni")</f>
        <v>Ben Shimoni</v>
      </c>
      <c r="M433" s="5"/>
    </row>
    <row r="434">
      <c r="A434" s="3">
        <f>IFERROR(__xludf.DUMMYFUNCTION("""COMPUTED_VALUE"""),907.0)</f>
        <v>907</v>
      </c>
      <c r="B434" s="4" t="str">
        <f>IFERROR(__xludf.DUMMYFUNCTION("""COMPUTED_VALUE"""),"שמר רון")</f>
        <v>שמר רון</v>
      </c>
      <c r="C434" s="3">
        <f>IFERROR(__xludf.DUMMYFUNCTION("""COMPUTED_VALUE"""),23.0)</f>
        <v>23</v>
      </c>
      <c r="D434" s="5" t="str">
        <f>IFERROR(__xludf.DUMMYFUNCTION("""COMPUTED_VALUE"""),"לוד")</f>
        <v>לוד</v>
      </c>
      <c r="E434" s="5" t="str">
        <f>IFERROR(__xludf.DUMMYFUNCTION("""COMPUTED_VALUE"""),"גבר")</f>
        <v>גבר</v>
      </c>
      <c r="F434" s="5" t="str">
        <f>IFERROR(__xludf.DUMMYFUNCTION("""COMPUTED_VALUE"""),"אזרחים")</f>
        <v>אזרחים</v>
      </c>
      <c r="G434" s="3"/>
      <c r="H434" s="3" t="str">
        <f>IFERROR(__xludf.DUMMYFUNCTION("""COMPUTED_VALUE"""),"07.10.2023")</f>
        <v>07.10.2023</v>
      </c>
      <c r="I434" s="4" t="str">
        <f>IFERROR(__xludf.DUMMYFUNCTION("""COMPUTED_VALUE"""),"מיגונית בצומת גמה (מערב)")</f>
        <v>מיגונית בצומת גמה (מערב)</v>
      </c>
      <c r="J434" s="4" t="str">
        <f>IFERROR(__xludf.DUMMYFUNCTION("""COMPUTED_VALUE"""),"אזרחים וכיתות כוננות")</f>
        <v>אזרחים וכיתות כוננות</v>
      </c>
      <c r="K434" s="5" t="str">
        <f>IFERROR(__xludf.DUMMYFUNCTION("""COMPUTED_VALUE"""),"פסטיבל נובה")</f>
        <v>פסטיבל נובה</v>
      </c>
      <c r="L434" s="3" t="str">
        <f>IFERROR(__xludf.DUMMYFUNCTION("""COMPUTED_VALUE"""),"Ron Shemer")</f>
        <v>Ron Shemer</v>
      </c>
      <c r="M434" s="5"/>
    </row>
    <row r="435">
      <c r="A435" s="3">
        <f>IFERROR(__xludf.DUMMYFUNCTION("""COMPUTED_VALUE"""),869.0)</f>
        <v>869</v>
      </c>
      <c r="B435" s="4" t="str">
        <f>IFERROR(__xludf.DUMMYFUNCTION("""COMPUTED_VALUE"""),"שניר איתן רפאל")</f>
        <v>שניר איתן רפאל</v>
      </c>
      <c r="C435" s="3">
        <f>IFERROR(__xludf.DUMMYFUNCTION("""COMPUTED_VALUE"""),21.0)</f>
        <v>21</v>
      </c>
      <c r="D435" s="5" t="str">
        <f>IFERROR(__xludf.DUMMYFUNCTION("""COMPUTED_VALUE"""),"אחוזת ברק")</f>
        <v>אחוזת ברק</v>
      </c>
      <c r="E435" s="5" t="str">
        <f>IFERROR(__xludf.DUMMYFUNCTION("""COMPUTED_VALUE"""),"גבר")</f>
        <v>גבר</v>
      </c>
      <c r="F435" s="5" t="str">
        <f>IFERROR(__xludf.DUMMYFUNCTION("""COMPUTED_VALUE"""),"אזרחים")</f>
        <v>אזרחים</v>
      </c>
      <c r="G435" s="3"/>
      <c r="H435" s="3" t="str">
        <f>IFERROR(__xludf.DUMMYFUNCTION("""COMPUTED_VALUE"""),"07.10.2023")</f>
        <v>07.10.2023</v>
      </c>
      <c r="I435" s="4" t="str">
        <f>IFERROR(__xludf.DUMMYFUNCTION("""COMPUTED_VALUE"""),"מיגונית בכניסה לרעים (מזרח)")</f>
        <v>מיגונית בכניסה לרעים (מזרח)</v>
      </c>
      <c r="J435" s="4" t="str">
        <f>IFERROR(__xludf.DUMMYFUNCTION("""COMPUTED_VALUE"""),"אזרחים וכיתות כוננות")</f>
        <v>אזרחים וכיתות כוננות</v>
      </c>
      <c r="K435" s="5" t="str">
        <f>IFERROR(__xludf.DUMMYFUNCTION("""COMPUTED_VALUE"""),"פסטיבל נובה")</f>
        <v>פסטיבל נובה</v>
      </c>
      <c r="L435" s="3" t="str">
        <f>IFERROR(__xludf.DUMMYFUNCTION("""COMPUTED_VALUE"""),"Eitan Snir")</f>
        <v>Eitan Snir</v>
      </c>
      <c r="M435" s="5"/>
    </row>
    <row r="436">
      <c r="A436" s="3">
        <f>IFERROR(__xludf.DUMMYFUNCTION("""COMPUTED_VALUE"""),859.0)</f>
        <v>859</v>
      </c>
      <c r="B436" s="4" t="str">
        <f>IFERROR(__xludf.DUMMYFUNCTION("""COMPUTED_VALUE"""),"שפירא זיו פפה")</f>
        <v>שפירא זיו פפה</v>
      </c>
      <c r="C436" s="3">
        <f>IFERROR(__xludf.DUMMYFUNCTION("""COMPUTED_VALUE"""),26.0)</f>
        <v>26</v>
      </c>
      <c r="D436" s="5" t="str">
        <f>IFERROR(__xludf.DUMMYFUNCTION("""COMPUTED_VALUE"""),"ניר עם")</f>
        <v>ניר עם</v>
      </c>
      <c r="E436" s="5" t="str">
        <f>IFERROR(__xludf.DUMMYFUNCTION("""COMPUTED_VALUE"""),"גבר")</f>
        <v>גבר</v>
      </c>
      <c r="F436" s="5" t="str">
        <f>IFERROR(__xludf.DUMMYFUNCTION("""COMPUTED_VALUE"""),"אזרחים")</f>
        <v>אזרחים</v>
      </c>
      <c r="G436" s="3"/>
      <c r="H436" s="3" t="str">
        <f>IFERROR(__xludf.DUMMYFUNCTION("""COMPUTED_VALUE"""),"07.10.2023")</f>
        <v>07.10.2023</v>
      </c>
      <c r="I436" s="4" t="str">
        <f>IFERROR(__xludf.DUMMYFUNCTION("""COMPUTED_VALUE"""),"פסטיבל נובה")</f>
        <v>פסטיבל נובה</v>
      </c>
      <c r="J436" s="4" t="str">
        <f>IFERROR(__xludf.DUMMYFUNCTION("""COMPUTED_VALUE"""),"אזרחים וכיתות כוננות")</f>
        <v>אזרחים וכיתות כוננות</v>
      </c>
      <c r="K436" s="5" t="str">
        <f>IFERROR(__xludf.DUMMYFUNCTION("""COMPUTED_VALUE"""),"פסטיבל נובה")</f>
        <v>פסטיבל נובה</v>
      </c>
      <c r="L436" s="3" t="str">
        <f>IFERROR(__xludf.DUMMYFUNCTION("""COMPUTED_VALUE"""),"Ziv pepe Shapira")</f>
        <v>Ziv pepe Shapira</v>
      </c>
      <c r="M436" s="5"/>
    </row>
    <row r="437">
      <c r="A437" s="3">
        <f>IFERROR(__xludf.DUMMYFUNCTION("""COMPUTED_VALUE"""),123.0)</f>
        <v>123</v>
      </c>
      <c r="B437" s="4" t="str">
        <f>IFERROR(__xludf.DUMMYFUNCTION("""COMPUTED_VALUE"""),"שפר רן")</f>
        <v>שפר רן</v>
      </c>
      <c r="C437" s="3">
        <f>IFERROR(__xludf.DUMMYFUNCTION("""COMPUTED_VALUE"""),48.0)</f>
        <v>48</v>
      </c>
      <c r="D437" s="5" t="str">
        <f>IFERROR(__xludf.DUMMYFUNCTION("""COMPUTED_VALUE"""),"בארי")</f>
        <v>בארי</v>
      </c>
      <c r="E437" s="5" t="str">
        <f>IFERROR(__xludf.DUMMYFUNCTION("""COMPUTED_VALUE"""),"גבר")</f>
        <v>גבר</v>
      </c>
      <c r="F437" s="5" t="str">
        <f>IFERROR(__xludf.DUMMYFUNCTION("""COMPUTED_VALUE"""),"אזרחים")</f>
        <v>אזרחים</v>
      </c>
      <c r="G437" s="3"/>
      <c r="H437" s="3" t="str">
        <f>IFERROR(__xludf.DUMMYFUNCTION("""COMPUTED_VALUE"""),"07.10.2023")</f>
        <v>07.10.2023</v>
      </c>
      <c r="I437" s="4" t="str">
        <f>IFERROR(__xludf.DUMMYFUNCTION("""COMPUTED_VALUE"""),"פסטיבל נובה")</f>
        <v>פסטיבל נובה</v>
      </c>
      <c r="J437" s="4" t="str">
        <f>IFERROR(__xludf.DUMMYFUNCTION("""COMPUTED_VALUE"""),"אזרחים וכיתות כוננות")</f>
        <v>אזרחים וכיתות כוננות</v>
      </c>
      <c r="K437" s="5" t="str">
        <f>IFERROR(__xludf.DUMMYFUNCTION("""COMPUTED_VALUE"""),"פסטיבל נובה")</f>
        <v>פסטיבל נובה</v>
      </c>
      <c r="L437" s="3" t="str">
        <f>IFERROR(__xludf.DUMMYFUNCTION("""COMPUTED_VALUE"""),"Ran Sheffer")</f>
        <v>Ran Sheffer</v>
      </c>
      <c r="M437" s="5"/>
    </row>
    <row r="438">
      <c r="A438" s="3">
        <f>IFERROR(__xludf.DUMMYFUNCTION("""COMPUTED_VALUE"""),866.0)</f>
        <v>866</v>
      </c>
      <c r="B438" s="4" t="str">
        <f>IFERROR(__xludf.DUMMYFUNCTION("""COMPUTED_VALUE"""),"שרם ליאם")</f>
        <v>שרם ליאם</v>
      </c>
      <c r="C438" s="3">
        <f>IFERROR(__xludf.DUMMYFUNCTION("""COMPUTED_VALUE"""),25.0)</f>
        <v>25</v>
      </c>
      <c r="D438" s="5" t="str">
        <f>IFERROR(__xludf.DUMMYFUNCTION("""COMPUTED_VALUE"""),"תל אביב")</f>
        <v>תל אביב</v>
      </c>
      <c r="E438" s="5" t="str">
        <f>IFERROR(__xludf.DUMMYFUNCTION("""COMPUTED_VALUE"""),"גבר")</f>
        <v>גבר</v>
      </c>
      <c r="F438" s="5" t="str">
        <f>IFERROR(__xludf.DUMMYFUNCTION("""COMPUTED_VALUE"""),"אזרחים")</f>
        <v>אזרחים</v>
      </c>
      <c r="G438" s="3"/>
      <c r="H438" s="3" t="str">
        <f>IFERROR(__xludf.DUMMYFUNCTION("""COMPUTED_VALUE"""),"07.10.2023")</f>
        <v>07.10.2023</v>
      </c>
      <c r="I438" s="4" t="str">
        <f>IFERROR(__xludf.DUMMYFUNCTION("""COMPUTED_VALUE"""),"דרומית לגבים")</f>
        <v>דרומית לגבים</v>
      </c>
      <c r="J438" s="4" t="str">
        <f>IFERROR(__xludf.DUMMYFUNCTION("""COMPUTED_VALUE"""),"אזרחים וכיתות כוננות")</f>
        <v>אזרחים וכיתות כוננות</v>
      </c>
      <c r="K438" s="5" t="str">
        <f>IFERROR(__xludf.DUMMYFUNCTION("""COMPUTED_VALUE"""),"פסטיבל נובה")</f>
        <v>פסטיבל נובה</v>
      </c>
      <c r="L438" s="3" t="str">
        <f>IFERROR(__xludf.DUMMYFUNCTION("""COMPUTED_VALUE"""),"Liam Shrem")</f>
        <v>Liam Shrem</v>
      </c>
      <c r="M438" s="5"/>
    </row>
    <row r="439">
      <c r="A439" s="3">
        <f>IFERROR(__xludf.DUMMYFUNCTION("""COMPUTED_VALUE"""),1332.0)</f>
        <v>1332</v>
      </c>
      <c r="B439" s="4" t="str">
        <f>IFERROR(__xludf.DUMMYFUNCTION("""COMPUTED_VALUE"""),"תאר דור")</f>
        <v>תאר דור</v>
      </c>
      <c r="C439" s="3">
        <f>IFERROR(__xludf.DUMMYFUNCTION("""COMPUTED_VALUE"""),27.0)</f>
        <v>27</v>
      </c>
      <c r="D439" s="5" t="str">
        <f>IFERROR(__xludf.DUMMYFUNCTION("""COMPUTED_VALUE"""),"משמר איילון")</f>
        <v>משמר איילון</v>
      </c>
      <c r="E439" s="5" t="str">
        <f>IFERROR(__xludf.DUMMYFUNCTION("""COMPUTED_VALUE"""),"גבר")</f>
        <v>גבר</v>
      </c>
      <c r="F439" s="5" t="str">
        <f>IFERROR(__xludf.DUMMYFUNCTION("""COMPUTED_VALUE"""),"אזרחים")</f>
        <v>אזרחים</v>
      </c>
      <c r="G439" s="3"/>
      <c r="H439" s="3" t="str">
        <f>IFERROR(__xludf.DUMMYFUNCTION("""COMPUTED_VALUE"""),"07.10.2023")</f>
        <v>07.10.2023</v>
      </c>
      <c r="I439" s="4" t="str">
        <f>IFERROR(__xludf.DUMMYFUNCTION("""COMPUTED_VALUE"""),"פסטיבל נובה; גשר נחל גרר")</f>
        <v>פסטיבל נובה; גשר נחל גרר</v>
      </c>
      <c r="J439" s="4" t="str">
        <f>IFERROR(__xludf.DUMMYFUNCTION("""COMPUTED_VALUE"""),"אזרחים וכיתות כוננות")</f>
        <v>אזרחים וכיתות כוננות</v>
      </c>
      <c r="K439" s="5" t="str">
        <f>IFERROR(__xludf.DUMMYFUNCTION("""COMPUTED_VALUE"""),"פסטיבל נובה")</f>
        <v>פסטיבל נובה</v>
      </c>
      <c r="L439" s="3" t="str">
        <f>IFERROR(__xludf.DUMMYFUNCTION("""COMPUTED_VALUE"""),"Dor Toar")</f>
        <v>Dor Toar</v>
      </c>
      <c r="M439" s="5"/>
    </row>
    <row r="440">
      <c r="A440" s="3">
        <f>IFERROR(__xludf.DUMMYFUNCTION("""COMPUTED_VALUE"""),879.0)</f>
        <v>879</v>
      </c>
      <c r="B440" s="4" t="str">
        <f>IFERROR(__xludf.DUMMYFUNCTION("""COMPUTED_VALUE"""),"תומר בר")</f>
        <v>תומר בר</v>
      </c>
      <c r="C440" s="3">
        <f>IFERROR(__xludf.DUMMYFUNCTION("""COMPUTED_VALUE"""),25.0)</f>
        <v>25</v>
      </c>
      <c r="D440" s="5" t="str">
        <f>IFERROR(__xludf.DUMMYFUNCTION("""COMPUTED_VALUE"""),"עין שמר")</f>
        <v>עין שמר</v>
      </c>
      <c r="E440" s="5" t="str">
        <f>IFERROR(__xludf.DUMMYFUNCTION("""COMPUTED_VALUE"""),"אישה")</f>
        <v>אישה</v>
      </c>
      <c r="F440" s="5" t="str">
        <f>IFERROR(__xludf.DUMMYFUNCTION("""COMPUTED_VALUE"""),"אזרחים")</f>
        <v>אזרחים</v>
      </c>
      <c r="G440" s="3"/>
      <c r="H440" s="3" t="str">
        <f>IFERROR(__xludf.DUMMYFUNCTION("""COMPUTED_VALUE"""),"07.10.2023")</f>
        <v>07.10.2023</v>
      </c>
      <c r="I440" s="4" t="str">
        <f>IFERROR(__xludf.DUMMYFUNCTION("""COMPUTED_VALUE"""),"פסטיבל נובה; אמבולנס")</f>
        <v>פסטיבל נובה; אמבולנס</v>
      </c>
      <c r="J440" s="4" t="str">
        <f>IFERROR(__xludf.DUMMYFUNCTION("""COMPUTED_VALUE"""),"אזרחים וכיתות כוננות")</f>
        <v>אזרחים וכיתות כוננות</v>
      </c>
      <c r="K440" s="5" t="str">
        <f>IFERROR(__xludf.DUMMYFUNCTION("""COMPUTED_VALUE"""),"פסטיבל נובה")</f>
        <v>פסטיבל נובה</v>
      </c>
      <c r="L440" s="3" t="str">
        <f>IFERROR(__xludf.DUMMYFUNCTION("""COMPUTED_VALUE"""),"Bar Tomer")</f>
        <v>Bar Tomer</v>
      </c>
      <c r="M440" s="5"/>
    </row>
    <row r="441">
      <c r="A441" s="3">
        <f>IFERROR(__xludf.DUMMYFUNCTION("""COMPUTED_VALUE"""),880.0)</f>
        <v>880</v>
      </c>
      <c r="B441" s="4" t="str">
        <f>IFERROR(__xludf.DUMMYFUNCTION("""COMPUTED_VALUE"""),"תורג'מן אבידן")</f>
        <v>תורג'מן אבידן</v>
      </c>
      <c r="C441" s="3">
        <f>IFERROR(__xludf.DUMMYFUNCTION("""COMPUTED_VALUE"""),26.0)</f>
        <v>26</v>
      </c>
      <c r="D441" s="5" t="str">
        <f>IFERROR(__xludf.DUMMYFUNCTION("""COMPUTED_VALUE"""),"משואות יצחק")</f>
        <v>משואות יצחק</v>
      </c>
      <c r="E441" s="5" t="str">
        <f>IFERROR(__xludf.DUMMYFUNCTION("""COMPUTED_VALUE"""),"גבר")</f>
        <v>גבר</v>
      </c>
      <c r="F441" s="5" t="str">
        <f>IFERROR(__xludf.DUMMYFUNCTION("""COMPUTED_VALUE"""),"אזרחים")</f>
        <v>אזרחים</v>
      </c>
      <c r="G441" s="3"/>
      <c r="H441" s="3" t="str">
        <f>IFERROR(__xludf.DUMMYFUNCTION("""COMPUTED_VALUE"""),"07.10.2023")</f>
        <v>07.10.2023</v>
      </c>
      <c r="I441" s="4" t="str">
        <f>IFERROR(__xludf.DUMMYFUNCTION("""COMPUTED_VALUE"""),"פסטיבל נובה; במה מרכזית")</f>
        <v>פסטיבל נובה; במה מרכזית</v>
      </c>
      <c r="J441" s="4" t="str">
        <f>IFERROR(__xludf.DUMMYFUNCTION("""COMPUTED_VALUE"""),"אזרחים וכיתות כוננות")</f>
        <v>אזרחים וכיתות כוננות</v>
      </c>
      <c r="K441" s="5" t="str">
        <f>IFERROR(__xludf.DUMMYFUNCTION("""COMPUTED_VALUE"""),"פסטיבל נובה")</f>
        <v>פסטיבל נובה</v>
      </c>
      <c r="L441" s="3" t="str">
        <f>IFERROR(__xludf.DUMMYFUNCTION("""COMPUTED_VALUE"""),"Avidan Turgeman")</f>
        <v>Avidan Turgeman</v>
      </c>
      <c r="M441" s="5"/>
    </row>
    <row r="442">
      <c r="A442" s="3">
        <f>IFERROR(__xludf.DUMMYFUNCTION("""COMPUTED_VALUE"""),1509.0)</f>
        <v>1509</v>
      </c>
      <c r="B442" s="4" t="str">
        <f>IFERROR(__xludf.DUMMYFUNCTION("""COMPUTED_VALUE"""),"תורג'מן שהם ליה")</f>
        <v>תורג'מן שהם ליה</v>
      </c>
      <c r="C442" s="3">
        <f>IFERROR(__xludf.DUMMYFUNCTION("""COMPUTED_VALUE"""),24.0)</f>
        <v>24</v>
      </c>
      <c r="D442" s="5" t="str">
        <f>IFERROR(__xludf.DUMMYFUNCTION("""COMPUTED_VALUE"""),"בית שאן")</f>
        <v>בית שאן</v>
      </c>
      <c r="E442" s="5" t="str">
        <f>IFERROR(__xludf.DUMMYFUNCTION("""COMPUTED_VALUE"""),"אישה")</f>
        <v>אישה</v>
      </c>
      <c r="F442" s="5" t="str">
        <f>IFERROR(__xludf.DUMMYFUNCTION("""COMPUTED_VALUE"""),"אזרחים")</f>
        <v>אזרחים</v>
      </c>
      <c r="G442" s="3"/>
      <c r="H442" s="3" t="str">
        <f>IFERROR(__xludf.DUMMYFUNCTION("""COMPUTED_VALUE"""),"07.10.2023")</f>
        <v>07.10.2023</v>
      </c>
      <c r="I442" s="4" t="str">
        <f>IFERROR(__xludf.DUMMYFUNCTION("""COMPUTED_VALUE"""),"פסטיבל נובה")</f>
        <v>פסטיבל נובה</v>
      </c>
      <c r="J442" s="4" t="str">
        <f>IFERROR(__xludf.DUMMYFUNCTION("""COMPUTED_VALUE"""),"אזרחים וכיתות כוננות")</f>
        <v>אזרחים וכיתות כוננות</v>
      </c>
      <c r="K442" s="5" t="str">
        <f>IFERROR(__xludf.DUMMYFUNCTION("""COMPUTED_VALUE"""),"פסטיבל נובה")</f>
        <v>פסטיבל נובה</v>
      </c>
      <c r="L442" s="3" t="str">
        <f>IFERROR(__xludf.DUMMYFUNCTION("""COMPUTED_VALUE"""),"Shoham Lia Turgeman")</f>
        <v>Shoham Lia Turgeman</v>
      </c>
      <c r="M442" s="5"/>
    </row>
    <row r="443">
      <c r="A443" s="3">
        <f>IFERROR(__xludf.DUMMYFUNCTION("""COMPUTED_VALUE"""),876.0)</f>
        <v>876</v>
      </c>
      <c r="B443" s="4" t="str">
        <f>IFERROR(__xludf.DUMMYFUNCTION("""COMPUTED_VALUE"""),"תל צור ניב")</f>
        <v>תל צור ניב</v>
      </c>
      <c r="C443" s="3">
        <f>IFERROR(__xludf.DUMMYFUNCTION("""COMPUTED_VALUE"""),22.0)</f>
        <v>22</v>
      </c>
      <c r="D443" s="5" t="str">
        <f>IFERROR(__xludf.DUMMYFUNCTION("""COMPUTED_VALUE"""),"רמת גן")</f>
        <v>רמת גן</v>
      </c>
      <c r="E443" s="5" t="str">
        <f>IFERROR(__xludf.DUMMYFUNCTION("""COMPUTED_VALUE"""),"גבר")</f>
        <v>גבר</v>
      </c>
      <c r="F443" s="5" t="str">
        <f>IFERROR(__xludf.DUMMYFUNCTION("""COMPUTED_VALUE"""),"אזרחים")</f>
        <v>אזרחים</v>
      </c>
      <c r="G443" s="3"/>
      <c r="H443" s="3" t="str">
        <f>IFERROR(__xludf.DUMMYFUNCTION("""COMPUTED_VALUE"""),"07.10.2023")</f>
        <v>07.10.2023</v>
      </c>
      <c r="I443" s="4" t="str">
        <f>IFERROR(__xludf.DUMMYFUNCTION("""COMPUTED_VALUE"""),"צומת מבטחים")</f>
        <v>צומת מבטחים</v>
      </c>
      <c r="J443" s="4" t="str">
        <f>IFERROR(__xludf.DUMMYFUNCTION("""COMPUTED_VALUE"""),"אזרחים וכיתות כוננות")</f>
        <v>אזרחים וכיתות כוננות</v>
      </c>
      <c r="K443" s="5" t="str">
        <f>IFERROR(__xludf.DUMMYFUNCTION("""COMPUTED_VALUE"""),"פסטיבל נובה")</f>
        <v>פסטיבל נובה</v>
      </c>
      <c r="L443" s="3" t="str">
        <f>IFERROR(__xludf.DUMMYFUNCTION("""COMPUTED_VALUE"""),"Niv Tel-Tzur")</f>
        <v>Niv Tel-Tzur</v>
      </c>
      <c r="M443" s="5"/>
    </row>
    <row r="444">
      <c r="A444" s="3">
        <f>IFERROR(__xludf.DUMMYFUNCTION("""COMPUTED_VALUE"""),1703.0)</f>
        <v>1703</v>
      </c>
      <c r="B444" s="4" t="str">
        <f>IFERROR(__xludf.DUMMYFUNCTION("""COMPUTED_VALUE"""),"זיו דדו")</f>
        <v>זיו דדו</v>
      </c>
      <c r="C444" s="3">
        <f>IFERROR(__xludf.DUMMYFUNCTION("""COMPUTED_VALUE"""),36.0)</f>
        <v>36</v>
      </c>
      <c r="D444" s="5" t="str">
        <f>IFERROR(__xludf.DUMMYFUNCTION("""COMPUTED_VALUE"""),"רחובות")</f>
        <v>רחובות</v>
      </c>
      <c r="E444" s="5" t="str">
        <f>IFERROR(__xludf.DUMMYFUNCTION("""COMPUTED_VALUE"""),"גבר")</f>
        <v>גבר</v>
      </c>
      <c r="F444" s="5" t="str">
        <f>IFERROR(__xludf.DUMMYFUNCTION("""COMPUTED_VALUE"""),"צה""ל")</f>
        <v>צה"ל</v>
      </c>
      <c r="G444" s="3" t="str">
        <f>IFERROR(__xludf.DUMMYFUNCTION("""COMPUTED_VALUE"""),"רס״ב")</f>
        <v>רס״ב</v>
      </c>
      <c r="H444" s="3" t="str">
        <f>IFERROR(__xludf.DUMMYFUNCTION("""COMPUTED_VALUE"""),"07.10.2023")</f>
        <v>07.10.2023</v>
      </c>
      <c r="I444" s="4" t="str">
        <f>IFERROR(__xludf.DUMMYFUNCTION("""COMPUTED_VALUE"""),"סמוך למפלסים")</f>
        <v>סמוך למפלסים</v>
      </c>
      <c r="J444" s="4" t="str">
        <f>IFERROR(__xludf.DUMMYFUNCTION("""COMPUTED_VALUE"""),"חיילים")</f>
        <v>חיילים</v>
      </c>
      <c r="K444" s="5"/>
      <c r="L444" s="3" t="str">
        <f>IFERROR(__xludf.DUMMYFUNCTION("""COMPUTED_VALUE"""),"Ziv Dedo")</f>
        <v>Ziv Dedo</v>
      </c>
      <c r="M444" s="5"/>
    </row>
    <row r="445">
      <c r="A445" s="3">
        <f>IFERROR(__xludf.DUMMYFUNCTION("""COMPUTED_VALUE"""),1368.0)</f>
        <v>1368</v>
      </c>
      <c r="B445" s="4" t="str">
        <f>IFERROR(__xludf.DUMMYFUNCTION("""COMPUTED_VALUE"""),"שפירר תומר")</f>
        <v>שפירר תומר</v>
      </c>
      <c r="C445" s="3">
        <f>IFERROR(__xludf.DUMMYFUNCTION("""COMPUTED_VALUE"""),37.0)</f>
        <v>37</v>
      </c>
      <c r="D445" s="5" t="str">
        <f>IFERROR(__xludf.DUMMYFUNCTION("""COMPUTED_VALUE"""),"גדרה")</f>
        <v>גדרה</v>
      </c>
      <c r="E445" s="5" t="str">
        <f>IFERROR(__xludf.DUMMYFUNCTION("""COMPUTED_VALUE"""),"גבר")</f>
        <v>גבר</v>
      </c>
      <c r="F445" s="5" t="str">
        <f>IFERROR(__xludf.DUMMYFUNCTION("""COMPUTED_VALUE"""),"אזרחים")</f>
        <v>אזרחים</v>
      </c>
      <c r="G445" s="5"/>
      <c r="H445" s="3" t="str">
        <f>IFERROR(__xludf.DUMMYFUNCTION("""COMPUTED_VALUE"""),"07.10.2023")</f>
        <v>07.10.2023</v>
      </c>
      <c r="I445" s="4" t="str">
        <f>IFERROR(__xludf.DUMMYFUNCTION("""COMPUTED_VALUE"""),"סמוך למפלסים")</f>
        <v>סמוך למפלסים</v>
      </c>
      <c r="J445" s="4" t="str">
        <f>IFERROR(__xludf.DUMMYFUNCTION("""COMPUTED_VALUE"""),"אזרחים וכיתות כוננות")</f>
        <v>אזרחים וכיתות כוננות</v>
      </c>
      <c r="K445" s="5"/>
      <c r="L445" s="3" t="str">
        <f>IFERROR(__xludf.DUMMYFUNCTION("""COMPUTED_VALUE"""),"Tomer Shpirer")</f>
        <v>Tomer Shpirer</v>
      </c>
      <c r="M445" s="5"/>
    </row>
    <row r="446">
      <c r="A446" s="3">
        <f>IFERROR(__xludf.DUMMYFUNCTION("""COMPUTED_VALUE"""),68.0)</f>
        <v>68</v>
      </c>
      <c r="B446" s="4" t="str">
        <f>IFERROR(__xludf.DUMMYFUNCTION("""COMPUTED_VALUE"""),"אבן אלון")</f>
        <v>אבן אלון</v>
      </c>
      <c r="C446" s="3">
        <f>IFERROR(__xludf.DUMMYFUNCTION("""COMPUTED_VALUE"""),16.0)</f>
        <v>16</v>
      </c>
      <c r="D446" s="5" t="str">
        <f>IFERROR(__xludf.DUMMYFUNCTION("""COMPUTED_VALUE"""),"בארי")</f>
        <v>בארי</v>
      </c>
      <c r="E446" s="5" t="str">
        <f>IFERROR(__xludf.DUMMYFUNCTION("""COMPUTED_VALUE"""),"ילד")</f>
        <v>ילד</v>
      </c>
      <c r="F446" s="5" t="str">
        <f>IFERROR(__xludf.DUMMYFUNCTION("""COMPUTED_VALUE"""),"אזרחים")</f>
        <v>אזרחים</v>
      </c>
      <c r="G446" s="5"/>
      <c r="H446" s="3" t="str">
        <f>IFERROR(__xludf.DUMMYFUNCTION("""COMPUTED_VALUE"""),"07.10.2023")</f>
        <v>07.10.2023</v>
      </c>
      <c r="I446" s="4" t="str">
        <f>IFERROR(__xludf.DUMMYFUNCTION("""COMPUTED_VALUE"""),"בארי")</f>
        <v>בארי</v>
      </c>
      <c r="J446" s="4" t="str">
        <f>IFERROR(__xludf.DUMMYFUNCTION("""COMPUTED_VALUE"""),"אזרחים וכיתות כוננות")</f>
        <v>אזרחים וכיתות כוננות</v>
      </c>
      <c r="K446" s="5"/>
      <c r="L446" s="3" t="str">
        <f>IFERROR(__xludf.DUMMYFUNCTION("""COMPUTED_VALUE"""),"Alon Even")</f>
        <v>Alon Even</v>
      </c>
      <c r="M446" s="5"/>
    </row>
    <row r="447">
      <c r="A447" s="3">
        <f>IFERROR(__xludf.DUMMYFUNCTION("""COMPUTED_VALUE"""),69.0)</f>
        <v>69</v>
      </c>
      <c r="B447" s="4" t="str">
        <f>IFERROR(__xludf.DUMMYFUNCTION("""COMPUTED_VALUE"""),"אבן חן")</f>
        <v>אבן חן</v>
      </c>
      <c r="C447" s="3">
        <f>IFERROR(__xludf.DUMMYFUNCTION("""COMPUTED_VALUE"""),45.0)</f>
        <v>45</v>
      </c>
      <c r="D447" s="5" t="str">
        <f>IFERROR(__xludf.DUMMYFUNCTION("""COMPUTED_VALUE"""),"בארי")</f>
        <v>בארי</v>
      </c>
      <c r="E447" s="5" t="str">
        <f>IFERROR(__xludf.DUMMYFUNCTION("""COMPUTED_VALUE"""),"גבר")</f>
        <v>גבר</v>
      </c>
      <c r="F447" s="5" t="str">
        <f>IFERROR(__xludf.DUMMYFUNCTION("""COMPUTED_VALUE"""),"אזרחים")</f>
        <v>אזרחים</v>
      </c>
      <c r="G447" s="3"/>
      <c r="H447" s="3" t="str">
        <f>IFERROR(__xludf.DUMMYFUNCTION("""COMPUTED_VALUE"""),"07.10.2023")</f>
        <v>07.10.2023</v>
      </c>
      <c r="I447" s="4" t="str">
        <f>IFERROR(__xludf.DUMMYFUNCTION("""COMPUTED_VALUE"""),"בארי")</f>
        <v>בארי</v>
      </c>
      <c r="J447" s="4" t="str">
        <f>IFERROR(__xludf.DUMMYFUNCTION("""COMPUTED_VALUE"""),"אזרחים וכיתות כוננות")</f>
        <v>אזרחים וכיתות כוננות</v>
      </c>
      <c r="K447" s="5"/>
      <c r="L447" s="3" t="str">
        <f>IFERROR(__xludf.DUMMYFUNCTION("""COMPUTED_VALUE"""),"Chen Even")</f>
        <v>Chen Even</v>
      </c>
      <c r="M447" s="5"/>
    </row>
    <row r="448">
      <c r="A448" s="3">
        <f>IFERROR(__xludf.DUMMYFUNCTION("""COMPUTED_VALUE"""),70.0)</f>
        <v>70</v>
      </c>
      <c r="B448" s="4" t="str">
        <f>IFERROR(__xludf.DUMMYFUNCTION("""COMPUTED_VALUE"""),"אבן עידו")</f>
        <v>אבן עידו</v>
      </c>
      <c r="C448" s="3">
        <f>IFERROR(__xludf.DUMMYFUNCTION("""COMPUTED_VALUE"""),14.0)</f>
        <v>14</v>
      </c>
      <c r="D448" s="5" t="str">
        <f>IFERROR(__xludf.DUMMYFUNCTION("""COMPUTED_VALUE"""),"בארי")</f>
        <v>בארי</v>
      </c>
      <c r="E448" s="5" t="str">
        <f>IFERROR(__xludf.DUMMYFUNCTION("""COMPUTED_VALUE"""),"ילד")</f>
        <v>ילד</v>
      </c>
      <c r="F448" s="5" t="str">
        <f>IFERROR(__xludf.DUMMYFUNCTION("""COMPUTED_VALUE"""),"אזרחים")</f>
        <v>אזרחים</v>
      </c>
      <c r="G448" s="3"/>
      <c r="H448" s="3" t="str">
        <f>IFERROR(__xludf.DUMMYFUNCTION("""COMPUTED_VALUE"""),"07.10.2023")</f>
        <v>07.10.2023</v>
      </c>
      <c r="I448" s="4" t="str">
        <f>IFERROR(__xludf.DUMMYFUNCTION("""COMPUTED_VALUE"""),"בארי")</f>
        <v>בארי</v>
      </c>
      <c r="J448" s="4" t="str">
        <f>IFERROR(__xludf.DUMMYFUNCTION("""COMPUTED_VALUE"""),"אזרחים וכיתות כוננות")</f>
        <v>אזרחים וכיתות כוננות</v>
      </c>
      <c r="K448" s="5"/>
      <c r="L448" s="3" t="str">
        <f>IFERROR(__xludf.DUMMYFUNCTION("""COMPUTED_VALUE"""),"Ido Even")</f>
        <v>Ido Even</v>
      </c>
      <c r="M448" s="5"/>
    </row>
    <row r="449">
      <c r="A449" s="3">
        <f>IFERROR(__xludf.DUMMYFUNCTION("""COMPUTED_VALUE"""),71.0)</f>
        <v>71</v>
      </c>
      <c r="B449" s="4" t="str">
        <f>IFERROR(__xludf.DUMMYFUNCTION("""COMPUTED_VALUE"""),"אבן רינת")</f>
        <v>אבן רינת</v>
      </c>
      <c r="C449" s="3">
        <f>IFERROR(__xludf.DUMMYFUNCTION("""COMPUTED_VALUE"""),44.0)</f>
        <v>44</v>
      </c>
      <c r="D449" s="5" t="str">
        <f>IFERROR(__xludf.DUMMYFUNCTION("""COMPUTED_VALUE"""),"בארי")</f>
        <v>בארי</v>
      </c>
      <c r="E449" s="5" t="str">
        <f>IFERROR(__xludf.DUMMYFUNCTION("""COMPUTED_VALUE"""),"אישה")</f>
        <v>אישה</v>
      </c>
      <c r="F449" s="5" t="str">
        <f>IFERROR(__xludf.DUMMYFUNCTION("""COMPUTED_VALUE"""),"אזרחים")</f>
        <v>אזרחים</v>
      </c>
      <c r="G449" s="3"/>
      <c r="H449" s="3" t="str">
        <f>IFERROR(__xludf.DUMMYFUNCTION("""COMPUTED_VALUE"""),"07.10.2023")</f>
        <v>07.10.2023</v>
      </c>
      <c r="I449" s="4" t="str">
        <f>IFERROR(__xludf.DUMMYFUNCTION("""COMPUTED_VALUE"""),"בארי")</f>
        <v>בארי</v>
      </c>
      <c r="J449" s="4" t="str">
        <f>IFERROR(__xludf.DUMMYFUNCTION("""COMPUTED_VALUE"""),"אזרחים וכיתות כוננות")</f>
        <v>אזרחים וכיתות כוננות</v>
      </c>
      <c r="K449" s="5"/>
      <c r="L449" s="3" t="str">
        <f>IFERROR(__xludf.DUMMYFUNCTION("""COMPUTED_VALUE"""),"Rinat Even")</f>
        <v>Rinat Even</v>
      </c>
      <c r="M449" s="5"/>
    </row>
    <row r="450">
      <c r="A450" s="3">
        <f>IFERROR(__xludf.DUMMYFUNCTION("""COMPUTED_VALUE"""),110.0)</f>
        <v>110</v>
      </c>
      <c r="B450" s="4" t="str">
        <f>IFERROR(__xludf.DUMMYFUNCTION("""COMPUTED_VALUE"""),"אוחיון סילביה")</f>
        <v>אוחיון סילביה</v>
      </c>
      <c r="C450" s="3">
        <f>IFERROR(__xludf.DUMMYFUNCTION("""COMPUTED_VALUE"""),58.0)</f>
        <v>58</v>
      </c>
      <c r="D450" s="5" t="str">
        <f>IFERROR(__xludf.DUMMYFUNCTION("""COMPUTED_VALUE"""),"בארי")</f>
        <v>בארי</v>
      </c>
      <c r="E450" s="5" t="str">
        <f>IFERROR(__xludf.DUMMYFUNCTION("""COMPUTED_VALUE"""),"אישה")</f>
        <v>אישה</v>
      </c>
      <c r="F450" s="5" t="str">
        <f>IFERROR(__xludf.DUMMYFUNCTION("""COMPUTED_VALUE"""),"אזרחים")</f>
        <v>אזרחים</v>
      </c>
      <c r="G450" s="3"/>
      <c r="H450" s="3" t="str">
        <f>IFERROR(__xludf.DUMMYFUNCTION("""COMPUTED_VALUE"""),"07.10.2023")</f>
        <v>07.10.2023</v>
      </c>
      <c r="I450" s="4" t="str">
        <f>IFERROR(__xludf.DUMMYFUNCTION("""COMPUTED_VALUE"""),"בארי")</f>
        <v>בארי</v>
      </c>
      <c r="J450" s="4" t="str">
        <f>IFERROR(__xludf.DUMMYFUNCTION("""COMPUTED_VALUE"""),"אזרחים וכיתות כוננות")</f>
        <v>אזרחים וכיתות כוננות</v>
      </c>
      <c r="K450" s="5"/>
      <c r="L450" s="3" t="str">
        <f>IFERROR(__xludf.DUMMYFUNCTION("""COMPUTED_VALUE"""),"Silvia Ohayon")</f>
        <v>Silvia Ohayon</v>
      </c>
      <c r="M450" s="5"/>
    </row>
    <row r="451">
      <c r="A451" s="3">
        <f>IFERROR(__xludf.DUMMYFUNCTION("""COMPUTED_VALUE"""),141.0)</f>
        <v>141</v>
      </c>
      <c r="B451" s="4" t="str">
        <f>IFERROR(__xludf.DUMMYFUNCTION("""COMPUTED_VALUE"""),"אור יונת")</f>
        <v>אור יונת</v>
      </c>
      <c r="C451" s="3">
        <f>IFERROR(__xludf.DUMMYFUNCTION("""COMPUTED_VALUE"""),51.0)</f>
        <v>51</v>
      </c>
      <c r="D451" s="5" t="str">
        <f>IFERROR(__xludf.DUMMYFUNCTION("""COMPUTED_VALUE"""),"בארי")</f>
        <v>בארי</v>
      </c>
      <c r="E451" s="5" t="str">
        <f>IFERROR(__xludf.DUMMYFUNCTION("""COMPUTED_VALUE"""),"אישה")</f>
        <v>אישה</v>
      </c>
      <c r="F451" s="5" t="str">
        <f>IFERROR(__xludf.DUMMYFUNCTION("""COMPUTED_VALUE"""),"אזרחים")</f>
        <v>אזרחים</v>
      </c>
      <c r="G451" s="3"/>
      <c r="H451" s="3" t="str">
        <f>IFERROR(__xludf.DUMMYFUNCTION("""COMPUTED_VALUE"""),"07.10.2023")</f>
        <v>07.10.2023</v>
      </c>
      <c r="I451" s="4" t="str">
        <f>IFERROR(__xludf.DUMMYFUNCTION("""COMPUTED_VALUE"""),"בארי")</f>
        <v>בארי</v>
      </c>
      <c r="J451" s="4" t="str">
        <f>IFERROR(__xludf.DUMMYFUNCTION("""COMPUTED_VALUE"""),"אזרחים וכיתות כוננות")</f>
        <v>אזרחים וכיתות כוננות</v>
      </c>
      <c r="K451" s="5"/>
      <c r="L451" s="3" t="str">
        <f>IFERROR(__xludf.DUMMYFUNCTION("""COMPUTED_VALUE"""),"Yonat Or")</f>
        <v>Yonat Or</v>
      </c>
      <c r="M451" s="5"/>
    </row>
    <row r="452">
      <c r="A452" s="3">
        <f>IFERROR(__xludf.DUMMYFUNCTION("""COMPUTED_VALUE"""),32.0)</f>
        <v>32</v>
      </c>
      <c r="B452" s="4" t="str">
        <f>IFERROR(__xludf.DUMMYFUNCTION("""COMPUTED_VALUE"""),"אפטלון יוסי (זיגי)")</f>
        <v>אפטלון יוסי (זיגי)</v>
      </c>
      <c r="C452" s="3">
        <f>IFERROR(__xludf.DUMMYFUNCTION("""COMPUTED_VALUE"""),77.0)</f>
        <v>77</v>
      </c>
      <c r="D452" s="5" t="str">
        <f>IFERROR(__xludf.DUMMYFUNCTION("""COMPUTED_VALUE"""),"בארי")</f>
        <v>בארי</v>
      </c>
      <c r="E452" s="5" t="str">
        <f>IFERROR(__xludf.DUMMYFUNCTION("""COMPUTED_VALUE"""),"גבר")</f>
        <v>גבר</v>
      </c>
      <c r="F452" s="5" t="str">
        <f>IFERROR(__xludf.DUMMYFUNCTION("""COMPUTED_VALUE"""),"אזרחים")</f>
        <v>אזרחים</v>
      </c>
      <c r="G452" s="3"/>
      <c r="H452" s="3" t="str">
        <f>IFERROR(__xludf.DUMMYFUNCTION("""COMPUTED_VALUE"""),"07.10.2023")</f>
        <v>07.10.2023</v>
      </c>
      <c r="I452" s="4" t="str">
        <f>IFERROR(__xludf.DUMMYFUNCTION("""COMPUTED_VALUE"""),"בארי")</f>
        <v>בארי</v>
      </c>
      <c r="J452" s="4" t="str">
        <f>IFERROR(__xludf.DUMMYFUNCTION("""COMPUTED_VALUE"""),"אזרחים וכיתות כוננות")</f>
        <v>אזרחים וכיתות כוננות</v>
      </c>
      <c r="K452" s="5"/>
      <c r="L452" s="3" t="str">
        <f>IFERROR(__xludf.DUMMYFUNCTION("""COMPUTED_VALUE"""),"Yossi Aptalon")</f>
        <v>Yossi Aptalon</v>
      </c>
      <c r="M452" s="5"/>
    </row>
    <row r="453">
      <c r="A453" s="3">
        <f>IFERROR(__xludf.DUMMYFUNCTION("""COMPUTED_VALUE"""),55.0)</f>
        <v>55</v>
      </c>
      <c r="B453" s="4" t="str">
        <f>IFERROR(__xludf.DUMMYFUNCTION("""COMPUTED_VALUE"""),"בויום ענבר")</f>
        <v>בויום ענבר</v>
      </c>
      <c r="C453" s="3">
        <f>IFERROR(__xludf.DUMMYFUNCTION("""COMPUTED_VALUE"""),22.0)</f>
        <v>22</v>
      </c>
      <c r="D453" s="5" t="str">
        <f>IFERROR(__xludf.DUMMYFUNCTION("""COMPUTED_VALUE"""),"בארי")</f>
        <v>בארי</v>
      </c>
      <c r="E453" s="5" t="str">
        <f>IFERROR(__xludf.DUMMYFUNCTION("""COMPUTED_VALUE"""),"גבר")</f>
        <v>גבר</v>
      </c>
      <c r="F453" s="5" t="str">
        <f>IFERROR(__xludf.DUMMYFUNCTION("""COMPUTED_VALUE"""),"אזרחים")</f>
        <v>אזרחים</v>
      </c>
      <c r="G453" s="3"/>
      <c r="H453" s="3" t="str">
        <f>IFERROR(__xludf.DUMMYFUNCTION("""COMPUTED_VALUE"""),"07.10.2023")</f>
        <v>07.10.2023</v>
      </c>
      <c r="I453" s="4" t="str">
        <f>IFERROR(__xludf.DUMMYFUNCTION("""COMPUTED_VALUE"""),"צומת שער הנגב")</f>
        <v>צומת שער הנגב</v>
      </c>
      <c r="J453" s="2" t="str">
        <f>IFERROR(__xludf.DUMMYFUNCTION("""COMPUTED_VALUE"""),"אזרחים וכיתות כוננות")</f>
        <v>אזרחים וכיתות כוננות</v>
      </c>
      <c r="K453" s="5"/>
      <c r="L453" s="3" t="str">
        <f>IFERROR(__xludf.DUMMYFUNCTION("""COMPUTED_VALUE"""),"Inbar Buyum")</f>
        <v>Inbar Buyum</v>
      </c>
      <c r="M453" s="5"/>
    </row>
    <row r="454">
      <c r="A454" s="3">
        <f>IFERROR(__xludf.DUMMYFUNCTION("""COMPUTED_VALUE"""),48.0)</f>
        <v>48</v>
      </c>
      <c r="B454" s="4" t="str">
        <f>IFERROR(__xludf.DUMMYFUNCTION("""COMPUTED_VALUE"""),"בירה אורון")</f>
        <v>בירה אורון</v>
      </c>
      <c r="C454" s="3">
        <f>IFERROR(__xludf.DUMMYFUNCTION("""COMPUTED_VALUE"""),44.0)</f>
        <v>44</v>
      </c>
      <c r="D454" s="5" t="str">
        <f>IFERROR(__xludf.DUMMYFUNCTION("""COMPUTED_VALUE"""),"בארי")</f>
        <v>בארי</v>
      </c>
      <c r="E454" s="5" t="str">
        <f>IFERROR(__xludf.DUMMYFUNCTION("""COMPUTED_VALUE"""),"גבר")</f>
        <v>גבר</v>
      </c>
      <c r="F454" s="5" t="str">
        <f>IFERROR(__xludf.DUMMYFUNCTION("""COMPUTED_VALUE"""),"אזרחים")</f>
        <v>אזרחים</v>
      </c>
      <c r="G454" s="3"/>
      <c r="H454" s="3" t="str">
        <f>IFERROR(__xludf.DUMMYFUNCTION("""COMPUTED_VALUE"""),"07.10.2023")</f>
        <v>07.10.2023</v>
      </c>
      <c r="I454" s="4" t="str">
        <f>IFERROR(__xludf.DUMMYFUNCTION("""COMPUTED_VALUE"""),"בארי")</f>
        <v>בארי</v>
      </c>
      <c r="J454" s="4" t="str">
        <f>IFERROR(__xludf.DUMMYFUNCTION("""COMPUTED_VALUE"""),"אזרחים וכיתות כוננות")</f>
        <v>אזרחים וכיתות כוננות</v>
      </c>
      <c r="K454" s="5"/>
      <c r="L454" s="3" t="str">
        <f>IFERROR(__xludf.DUMMYFUNCTION("""COMPUTED_VALUE"""),"Oron Bira")</f>
        <v>Oron Bira</v>
      </c>
      <c r="M454" s="5"/>
    </row>
    <row r="455">
      <c r="A455" s="3">
        <f>IFERROR(__xludf.DUMMYFUNCTION("""COMPUTED_VALUE"""),51.0)</f>
        <v>51</v>
      </c>
      <c r="B455" s="4" t="str">
        <f>IFERROR(__xludf.DUMMYFUNCTION("""COMPUTED_VALUE"""),"בירה טל")</f>
        <v>בירה טל</v>
      </c>
      <c r="C455" s="3">
        <f>IFERROR(__xludf.DUMMYFUNCTION("""COMPUTED_VALUE"""),62.0)</f>
        <v>62</v>
      </c>
      <c r="D455" s="5" t="str">
        <f>IFERROR(__xludf.DUMMYFUNCTION("""COMPUTED_VALUE"""),"בארי")</f>
        <v>בארי</v>
      </c>
      <c r="E455" s="5" t="str">
        <f>IFERROR(__xludf.DUMMYFUNCTION("""COMPUTED_VALUE"""),"גבר")</f>
        <v>גבר</v>
      </c>
      <c r="F455" s="5" t="str">
        <f>IFERROR(__xludf.DUMMYFUNCTION("""COMPUTED_VALUE"""),"אזרחים")</f>
        <v>אזרחים</v>
      </c>
      <c r="G455" s="3"/>
      <c r="H455" s="3" t="str">
        <f>IFERROR(__xludf.DUMMYFUNCTION("""COMPUTED_VALUE"""),"07.10.2023")</f>
        <v>07.10.2023</v>
      </c>
      <c r="I455" s="4" t="str">
        <f>IFERROR(__xludf.DUMMYFUNCTION("""COMPUTED_VALUE"""),"בארי")</f>
        <v>בארי</v>
      </c>
      <c r="J455" s="4" t="str">
        <f>IFERROR(__xludf.DUMMYFUNCTION("""COMPUTED_VALUE"""),"אזרחים וכיתות כוננות")</f>
        <v>אזרחים וכיתות כוננות</v>
      </c>
      <c r="K455" s="5"/>
      <c r="L455" s="3" t="str">
        <f>IFERROR(__xludf.DUMMYFUNCTION("""COMPUTED_VALUE"""),"Tal Bira")</f>
        <v>Tal Bira</v>
      </c>
      <c r="M455" s="5"/>
    </row>
    <row r="456">
      <c r="A456" s="3">
        <f>IFERROR(__xludf.DUMMYFUNCTION("""COMPUTED_VALUE"""),52.0)</f>
        <v>52</v>
      </c>
      <c r="B456" s="4" t="str">
        <f>IFERROR(__xludf.DUMMYFUNCTION("""COMPUTED_VALUE"""),"בירה יסמין")</f>
        <v>בירה יסמין</v>
      </c>
      <c r="C456" s="3">
        <f>IFERROR(__xludf.DUMMYFUNCTION("""COMPUTED_VALUE"""),51.0)</f>
        <v>51</v>
      </c>
      <c r="D456" s="5" t="str">
        <f>IFERROR(__xludf.DUMMYFUNCTION("""COMPUTED_VALUE"""),"בארי")</f>
        <v>בארי</v>
      </c>
      <c r="E456" s="5" t="str">
        <f>IFERROR(__xludf.DUMMYFUNCTION("""COMPUTED_VALUE"""),"אישה")</f>
        <v>אישה</v>
      </c>
      <c r="F456" s="5" t="str">
        <f>IFERROR(__xludf.DUMMYFUNCTION("""COMPUTED_VALUE"""),"אזרחים")</f>
        <v>אזרחים</v>
      </c>
      <c r="G456" s="3"/>
      <c r="H456" s="3" t="str">
        <f>IFERROR(__xludf.DUMMYFUNCTION("""COMPUTED_VALUE"""),"07.10.2023")</f>
        <v>07.10.2023</v>
      </c>
      <c r="I456" s="4" t="str">
        <f>IFERROR(__xludf.DUMMYFUNCTION("""COMPUTED_VALUE"""),"בארי")</f>
        <v>בארי</v>
      </c>
      <c r="J456" s="4" t="str">
        <f>IFERROR(__xludf.DUMMYFUNCTION("""COMPUTED_VALUE"""),"אזרחים וכיתות כוננות")</f>
        <v>אזרחים וכיתות כוננות</v>
      </c>
      <c r="K456" s="5"/>
      <c r="L456" s="3" t="str">
        <f>IFERROR(__xludf.DUMMYFUNCTION("""COMPUTED_VALUE"""),"Yasmin Bira")</f>
        <v>Yasmin Bira</v>
      </c>
      <c r="M456" s="5"/>
    </row>
    <row r="457">
      <c r="A457" s="3">
        <f>IFERROR(__xludf.DUMMYFUNCTION("""COMPUTED_VALUE"""),50.0)</f>
        <v>50</v>
      </c>
      <c r="B457" s="4" t="str">
        <f>IFERROR(__xludf.DUMMYFUNCTION("""COMPUTED_VALUE"""),"בירה תאיר")</f>
        <v>בירה תאיר</v>
      </c>
      <c r="C457" s="3">
        <f>IFERROR(__xludf.DUMMYFUNCTION("""COMPUTED_VALUE"""),22.0)</f>
        <v>22</v>
      </c>
      <c r="D457" s="5" t="str">
        <f>IFERROR(__xludf.DUMMYFUNCTION("""COMPUTED_VALUE"""),"בארי")</f>
        <v>בארי</v>
      </c>
      <c r="E457" s="5" t="str">
        <f>IFERROR(__xludf.DUMMYFUNCTION("""COMPUTED_VALUE"""),"אישה")</f>
        <v>אישה</v>
      </c>
      <c r="F457" s="5" t="str">
        <f>IFERROR(__xludf.DUMMYFUNCTION("""COMPUTED_VALUE"""),"אזרחים")</f>
        <v>אזרחים</v>
      </c>
      <c r="G457" s="3"/>
      <c r="H457" s="3" t="str">
        <f>IFERROR(__xludf.DUMMYFUNCTION("""COMPUTED_VALUE"""),"07.10.2023")</f>
        <v>07.10.2023</v>
      </c>
      <c r="I457" s="4" t="str">
        <f>IFERROR(__xludf.DUMMYFUNCTION("""COMPUTED_VALUE"""),"בארי")</f>
        <v>בארי</v>
      </c>
      <c r="J457" s="4" t="str">
        <f>IFERROR(__xludf.DUMMYFUNCTION("""COMPUTED_VALUE"""),"אזרחים וכיתות כוננות")</f>
        <v>אזרחים וכיתות כוננות</v>
      </c>
      <c r="K457" s="5"/>
      <c r="L457" s="3" t="str">
        <f>IFERROR(__xludf.DUMMYFUNCTION("""COMPUTED_VALUE"""),"Tair Bira")</f>
        <v>Tair Bira</v>
      </c>
      <c r="M457" s="5"/>
    </row>
    <row r="458">
      <c r="A458" s="3">
        <f>IFERROR(__xludf.DUMMYFUNCTION("""COMPUTED_VALUE"""),49.0)</f>
        <v>49</v>
      </c>
      <c r="B458" s="4" t="str">
        <f>IFERROR(__xludf.DUMMYFUNCTION("""COMPUTED_VALUE"""),"בירה תהל")</f>
        <v>בירה תהל</v>
      </c>
      <c r="C458" s="3">
        <f>IFERROR(__xludf.DUMMYFUNCTION("""COMPUTED_VALUE"""),15.0)</f>
        <v>15</v>
      </c>
      <c r="D458" s="5" t="str">
        <f>IFERROR(__xludf.DUMMYFUNCTION("""COMPUTED_VALUE"""),"בארי")</f>
        <v>בארי</v>
      </c>
      <c r="E458" s="5" t="str">
        <f>IFERROR(__xludf.DUMMYFUNCTION("""COMPUTED_VALUE"""),"ילדה")</f>
        <v>ילדה</v>
      </c>
      <c r="F458" s="5" t="str">
        <f>IFERROR(__xludf.DUMMYFUNCTION("""COMPUTED_VALUE"""),"אזרחים")</f>
        <v>אזרחים</v>
      </c>
      <c r="G458" s="3"/>
      <c r="H458" s="3" t="str">
        <f>IFERROR(__xludf.DUMMYFUNCTION("""COMPUTED_VALUE"""),"07.10.2023")</f>
        <v>07.10.2023</v>
      </c>
      <c r="I458" s="4" t="str">
        <f>IFERROR(__xludf.DUMMYFUNCTION("""COMPUTED_VALUE"""),"בארי")</f>
        <v>בארי</v>
      </c>
      <c r="J458" s="4" t="str">
        <f>IFERROR(__xludf.DUMMYFUNCTION("""COMPUTED_VALUE"""),"אזרחים וכיתות כוננות")</f>
        <v>אזרחים וכיתות כוננות</v>
      </c>
      <c r="K458" s="5"/>
      <c r="L458" s="3" t="str">
        <f>IFERROR(__xludf.DUMMYFUNCTION("""COMPUTED_VALUE"""),"Tahel Bira")</f>
        <v>Tahel Bira</v>
      </c>
      <c r="M458" s="5"/>
    </row>
    <row r="459">
      <c r="A459" s="3">
        <f>IFERROR(__xludf.DUMMYFUNCTION("""COMPUTED_VALUE"""),39.0)</f>
        <v>39</v>
      </c>
      <c r="B459" s="4" t="str">
        <f>IFERROR(__xludf.DUMMYFUNCTION("""COMPUTED_VALUE"""),"בכר גאולה")</f>
        <v>בכר גאולה</v>
      </c>
      <c r="C459" s="3">
        <f>IFERROR(__xludf.DUMMYFUNCTION("""COMPUTED_VALUE"""),81.0)</f>
        <v>81</v>
      </c>
      <c r="D459" s="5" t="str">
        <f>IFERROR(__xludf.DUMMYFUNCTION("""COMPUTED_VALUE"""),"בארי")</f>
        <v>בארי</v>
      </c>
      <c r="E459" s="5" t="str">
        <f>IFERROR(__xludf.DUMMYFUNCTION("""COMPUTED_VALUE"""),"אישה")</f>
        <v>אישה</v>
      </c>
      <c r="F459" s="5" t="str">
        <f>IFERROR(__xludf.DUMMYFUNCTION("""COMPUTED_VALUE"""),"אזרחים")</f>
        <v>אזרחים</v>
      </c>
      <c r="G459" s="3"/>
      <c r="H459" s="3" t="str">
        <f>IFERROR(__xludf.DUMMYFUNCTION("""COMPUTED_VALUE"""),"07.10.2023")</f>
        <v>07.10.2023</v>
      </c>
      <c r="I459" s="4" t="str">
        <f>IFERROR(__xludf.DUMMYFUNCTION("""COMPUTED_VALUE"""),"בארי")</f>
        <v>בארי</v>
      </c>
      <c r="J459" s="4" t="str">
        <f>IFERROR(__xludf.DUMMYFUNCTION("""COMPUTED_VALUE"""),"אזרחים וכיתות כוננות")</f>
        <v>אזרחים וכיתות כוננות</v>
      </c>
      <c r="K459" s="5"/>
      <c r="L459" s="3" t="str">
        <f>IFERROR(__xludf.DUMMYFUNCTION("""COMPUTED_VALUE"""),"Geula Bachar")</f>
        <v>Geula Bachar</v>
      </c>
      <c r="M459" s="5"/>
    </row>
    <row r="460">
      <c r="A460" s="3">
        <f>IFERROR(__xludf.DUMMYFUNCTION("""COMPUTED_VALUE"""),38.0)</f>
        <v>38</v>
      </c>
      <c r="B460" s="4" t="str">
        <f>IFERROR(__xludf.DUMMYFUNCTION("""COMPUTED_VALUE"""),"בכר דנה")</f>
        <v>בכר דנה</v>
      </c>
      <c r="C460" s="3">
        <f>IFERROR(__xludf.DUMMYFUNCTION("""COMPUTED_VALUE"""),48.0)</f>
        <v>48</v>
      </c>
      <c r="D460" s="5" t="str">
        <f>IFERROR(__xludf.DUMMYFUNCTION("""COMPUTED_VALUE"""),"בארי")</f>
        <v>בארי</v>
      </c>
      <c r="E460" s="5" t="str">
        <f>IFERROR(__xludf.DUMMYFUNCTION("""COMPUTED_VALUE"""),"אישה")</f>
        <v>אישה</v>
      </c>
      <c r="F460" s="5" t="str">
        <f>IFERROR(__xludf.DUMMYFUNCTION("""COMPUTED_VALUE"""),"אזרחים")</f>
        <v>אזרחים</v>
      </c>
      <c r="G460" s="3"/>
      <c r="H460" s="3" t="str">
        <f>IFERROR(__xludf.DUMMYFUNCTION("""COMPUTED_VALUE"""),"07.10.2023")</f>
        <v>07.10.2023</v>
      </c>
      <c r="I460" s="4" t="str">
        <f>IFERROR(__xludf.DUMMYFUNCTION("""COMPUTED_VALUE"""),"בארי")</f>
        <v>בארי</v>
      </c>
      <c r="J460" s="4" t="str">
        <f>IFERROR(__xludf.DUMMYFUNCTION("""COMPUTED_VALUE"""),"אזרחים וכיתות כוננות")</f>
        <v>אזרחים וכיתות כוננות</v>
      </c>
      <c r="K460" s="5"/>
      <c r="L460" s="3" t="str">
        <f>IFERROR(__xludf.DUMMYFUNCTION("""COMPUTED_VALUE"""),"Dana Bachar")</f>
        <v>Dana Bachar</v>
      </c>
      <c r="M460" s="5"/>
    </row>
    <row r="461">
      <c r="A461" s="3">
        <f>IFERROR(__xludf.DUMMYFUNCTION("""COMPUTED_VALUE"""),37.0)</f>
        <v>37</v>
      </c>
      <c r="B461" s="4" t="str">
        <f>IFERROR(__xludf.DUMMYFUNCTION("""COMPUTED_VALUE"""),"בכר כרמל")</f>
        <v>בכר כרמל</v>
      </c>
      <c r="C461" s="3">
        <f>IFERROR(__xludf.DUMMYFUNCTION("""COMPUTED_VALUE"""),15.0)</f>
        <v>15</v>
      </c>
      <c r="D461" s="5" t="str">
        <f>IFERROR(__xludf.DUMMYFUNCTION("""COMPUTED_VALUE"""),"בארי")</f>
        <v>בארי</v>
      </c>
      <c r="E461" s="5" t="str">
        <f>IFERROR(__xludf.DUMMYFUNCTION("""COMPUTED_VALUE"""),"ילד")</f>
        <v>ילד</v>
      </c>
      <c r="F461" s="5" t="str">
        <f>IFERROR(__xludf.DUMMYFUNCTION("""COMPUTED_VALUE"""),"אזרחים")</f>
        <v>אזרחים</v>
      </c>
      <c r="G461" s="3"/>
      <c r="H461" s="3" t="str">
        <f>IFERROR(__xludf.DUMMYFUNCTION("""COMPUTED_VALUE"""),"07.10.2023")</f>
        <v>07.10.2023</v>
      </c>
      <c r="I461" s="4" t="str">
        <f>IFERROR(__xludf.DUMMYFUNCTION("""COMPUTED_VALUE"""),"בארי")</f>
        <v>בארי</v>
      </c>
      <c r="J461" s="4" t="str">
        <f>IFERROR(__xludf.DUMMYFUNCTION("""COMPUTED_VALUE"""),"אזרחים וכיתות כוננות")</f>
        <v>אזרחים וכיתות כוננות</v>
      </c>
      <c r="K461" s="5"/>
      <c r="L461" s="3" t="str">
        <f>IFERROR(__xludf.DUMMYFUNCTION("""COMPUTED_VALUE"""),"Carmel Bachar")</f>
        <v>Carmel Bachar</v>
      </c>
      <c r="M461" s="5"/>
    </row>
    <row r="462">
      <c r="A462" s="3">
        <f>IFERROR(__xludf.DUMMYFUNCTION("""COMPUTED_VALUE"""),40.0)</f>
        <v>40</v>
      </c>
      <c r="B462" s="4" t="str">
        <f>IFERROR(__xludf.DUMMYFUNCTION("""COMPUTED_VALUE"""),"בכר מזל (מזי)")</f>
        <v>בכר מזל (מזי)</v>
      </c>
      <c r="C462" s="3">
        <f>IFERROR(__xludf.DUMMYFUNCTION("""COMPUTED_VALUE"""),63.0)</f>
        <v>63</v>
      </c>
      <c r="D462" s="5" t="str">
        <f>IFERROR(__xludf.DUMMYFUNCTION("""COMPUTED_VALUE"""),"בארי")</f>
        <v>בארי</v>
      </c>
      <c r="E462" s="5" t="str">
        <f>IFERROR(__xludf.DUMMYFUNCTION("""COMPUTED_VALUE"""),"אישה")</f>
        <v>אישה</v>
      </c>
      <c r="F462" s="5" t="str">
        <f>IFERROR(__xludf.DUMMYFUNCTION("""COMPUTED_VALUE"""),"אזרחים")</f>
        <v>אזרחים</v>
      </c>
      <c r="G462" s="3"/>
      <c r="H462" s="3" t="str">
        <f>IFERROR(__xludf.DUMMYFUNCTION("""COMPUTED_VALUE"""),"07.10.2023")</f>
        <v>07.10.2023</v>
      </c>
      <c r="I462" s="4" t="str">
        <f>IFERROR(__xludf.DUMMYFUNCTION("""COMPUTED_VALUE"""),"בארי")</f>
        <v>בארי</v>
      </c>
      <c r="J462" s="4" t="str">
        <f>IFERROR(__xludf.DUMMYFUNCTION("""COMPUTED_VALUE"""),"אזרחים וכיתות כוננות")</f>
        <v>אזרחים וכיתות כוננות</v>
      </c>
      <c r="K462" s="5"/>
      <c r="L462" s="3" t="str">
        <f>IFERROR(__xludf.DUMMYFUNCTION("""COMPUTED_VALUE"""),"Mezzi Bachar")</f>
        <v>Mezzi Bachar</v>
      </c>
      <c r="M462" s="5"/>
    </row>
    <row r="463">
      <c r="A463" s="3">
        <f>IFERROR(__xludf.DUMMYFUNCTION("""COMPUTED_VALUE"""),47.0)</f>
        <v>47</v>
      </c>
      <c r="B463" s="4" t="str">
        <f>IFERROR(__xludf.DUMMYFUNCTION("""COMPUTED_VALUE"""),"בן עמי חוה")</f>
        <v>בן עמי חוה</v>
      </c>
      <c r="C463" s="3">
        <f>IFERROR(__xludf.DUMMYFUNCTION("""COMPUTED_VALUE"""),62.0)</f>
        <v>62</v>
      </c>
      <c r="D463" s="5" t="str">
        <f>IFERROR(__xludf.DUMMYFUNCTION("""COMPUTED_VALUE"""),"בארי")</f>
        <v>בארי</v>
      </c>
      <c r="E463" s="5" t="str">
        <f>IFERROR(__xludf.DUMMYFUNCTION("""COMPUTED_VALUE"""),"אישה")</f>
        <v>אישה</v>
      </c>
      <c r="F463" s="5" t="str">
        <f>IFERROR(__xludf.DUMMYFUNCTION("""COMPUTED_VALUE"""),"אזרחים")</f>
        <v>אזרחים</v>
      </c>
      <c r="G463" s="3"/>
      <c r="H463" s="3" t="str">
        <f>IFERROR(__xludf.DUMMYFUNCTION("""COMPUTED_VALUE"""),"07.10.2023")</f>
        <v>07.10.2023</v>
      </c>
      <c r="I463" s="4" t="str">
        <f>IFERROR(__xludf.DUMMYFUNCTION("""COMPUTED_VALUE"""),"בארי; ארוע בני ערובה")</f>
        <v>בארי; ארוע בני ערובה</v>
      </c>
      <c r="J463" s="4" t="str">
        <f>IFERROR(__xludf.DUMMYFUNCTION("""COMPUTED_VALUE"""),"אזרחים וכיתות כוננות")</f>
        <v>אזרחים וכיתות כוננות</v>
      </c>
      <c r="K463" s="5"/>
      <c r="L463" s="3" t="str">
        <f>IFERROR(__xludf.DUMMYFUNCTION("""COMPUTED_VALUE"""),"Chava Ben-Ami")</f>
        <v>Chava Ben-Ami</v>
      </c>
      <c r="M463" s="5"/>
    </row>
    <row r="464">
      <c r="A464" s="3">
        <f>IFERROR(__xludf.DUMMYFUNCTION("""COMPUTED_VALUE"""),42.0)</f>
        <v>42</v>
      </c>
      <c r="B464" s="4" t="str">
        <f>IFERROR(__xludf.DUMMYFUNCTION("""COMPUTED_VALUE"""),"בר יובל")</f>
        <v>בר יובל</v>
      </c>
      <c r="C464" s="3">
        <f>IFERROR(__xludf.DUMMYFUNCTION("""COMPUTED_VALUE"""),65.0)</f>
        <v>65</v>
      </c>
      <c r="D464" s="5" t="str">
        <f>IFERROR(__xludf.DUMMYFUNCTION("""COMPUTED_VALUE"""),"בארי")</f>
        <v>בארי</v>
      </c>
      <c r="E464" s="5" t="str">
        <f>IFERROR(__xludf.DUMMYFUNCTION("""COMPUTED_VALUE"""),"גבר")</f>
        <v>גבר</v>
      </c>
      <c r="F464" s="5" t="str">
        <f>IFERROR(__xludf.DUMMYFUNCTION("""COMPUTED_VALUE"""),"אזרחים")</f>
        <v>אזרחים</v>
      </c>
      <c r="G464" s="3"/>
      <c r="H464" s="3" t="str">
        <f>IFERROR(__xludf.DUMMYFUNCTION("""COMPUTED_VALUE"""),"07.10.2023")</f>
        <v>07.10.2023</v>
      </c>
      <c r="I464" s="4" t="str">
        <f>IFERROR(__xludf.DUMMYFUNCTION("""COMPUTED_VALUE"""),"בארי")</f>
        <v>בארי</v>
      </c>
      <c r="J464" s="4" t="str">
        <f>IFERROR(__xludf.DUMMYFUNCTION("""COMPUTED_VALUE"""),"אזרחים וכיתות כוננות")</f>
        <v>אזרחים וכיתות כוננות</v>
      </c>
      <c r="K464" s="5"/>
      <c r="L464" s="3" t="str">
        <f>IFERROR(__xludf.DUMMYFUNCTION("""COMPUTED_VALUE"""),"Yuval Bar")</f>
        <v>Yuval Bar</v>
      </c>
      <c r="M464" s="5"/>
    </row>
    <row r="465">
      <c r="A465" s="3">
        <f>IFERROR(__xludf.DUMMYFUNCTION("""COMPUTED_VALUE"""),41.0)</f>
        <v>41</v>
      </c>
      <c r="B465" s="4" t="str">
        <f>IFERROR(__xludf.DUMMYFUNCTION("""COMPUTED_VALUE"""),"בר מעיין")</f>
        <v>בר מעיין</v>
      </c>
      <c r="C465" s="3">
        <f>IFERROR(__xludf.DUMMYFUNCTION("""COMPUTED_VALUE"""),65.0)</f>
        <v>65</v>
      </c>
      <c r="D465" s="5" t="str">
        <f>IFERROR(__xludf.DUMMYFUNCTION("""COMPUTED_VALUE"""),"בארי")</f>
        <v>בארי</v>
      </c>
      <c r="E465" s="5" t="str">
        <f>IFERROR(__xludf.DUMMYFUNCTION("""COMPUTED_VALUE"""),"אישה")</f>
        <v>אישה</v>
      </c>
      <c r="F465" s="5" t="str">
        <f>IFERROR(__xludf.DUMMYFUNCTION("""COMPUTED_VALUE"""),"אזרחים")</f>
        <v>אזרחים</v>
      </c>
      <c r="G465" s="3"/>
      <c r="H465" s="3" t="str">
        <f>IFERROR(__xludf.DUMMYFUNCTION("""COMPUTED_VALUE"""),"07.10.2023")</f>
        <v>07.10.2023</v>
      </c>
      <c r="I465" s="4" t="str">
        <f>IFERROR(__xludf.DUMMYFUNCTION("""COMPUTED_VALUE"""),"בארי")</f>
        <v>בארי</v>
      </c>
      <c r="J465" s="4" t="str">
        <f>IFERROR(__xludf.DUMMYFUNCTION("""COMPUTED_VALUE"""),"אזרחים וכיתות כוננות")</f>
        <v>אזרחים וכיתות כוננות</v>
      </c>
      <c r="K465" s="5"/>
      <c r="L465" s="3" t="str">
        <f>IFERROR(__xludf.DUMMYFUNCTION("""COMPUTED_VALUE"""),"Maayan Bar")</f>
        <v>Maayan Bar</v>
      </c>
      <c r="M465" s="5"/>
    </row>
    <row r="466">
      <c r="A466" s="3">
        <f>IFERROR(__xludf.DUMMYFUNCTION("""COMPUTED_VALUE"""),43.0)</f>
        <v>43</v>
      </c>
      <c r="B466" s="4" t="str">
        <f>IFERROR(__xludf.DUMMYFUNCTION("""COMPUTED_VALUE"""),"בר סיני יורם")</f>
        <v>בר סיני יורם</v>
      </c>
      <c r="C466" s="3">
        <f>IFERROR(__xludf.DUMMYFUNCTION("""COMPUTED_VALUE"""),75.0)</f>
        <v>75</v>
      </c>
      <c r="D466" s="5" t="str">
        <f>IFERROR(__xludf.DUMMYFUNCTION("""COMPUTED_VALUE"""),"בארי")</f>
        <v>בארי</v>
      </c>
      <c r="E466" s="5" t="str">
        <f>IFERROR(__xludf.DUMMYFUNCTION("""COMPUTED_VALUE"""),"גבר")</f>
        <v>גבר</v>
      </c>
      <c r="F466" s="5" t="str">
        <f>IFERROR(__xludf.DUMMYFUNCTION("""COMPUTED_VALUE"""),"אזרחים")</f>
        <v>אזרחים</v>
      </c>
      <c r="G466" s="3"/>
      <c r="H466" s="3" t="str">
        <f>IFERROR(__xludf.DUMMYFUNCTION("""COMPUTED_VALUE"""),"07.10.2023")</f>
        <v>07.10.2023</v>
      </c>
      <c r="I466" s="4" t="str">
        <f>IFERROR(__xludf.DUMMYFUNCTION("""COMPUTED_VALUE"""),"בארי")</f>
        <v>בארי</v>
      </c>
      <c r="J466" s="4" t="str">
        <f>IFERROR(__xludf.DUMMYFUNCTION("""COMPUTED_VALUE"""),"אזרחים וכיתות כוננות")</f>
        <v>אזרחים וכיתות כוננות</v>
      </c>
      <c r="K466" s="5"/>
      <c r="L466" s="3" t="str">
        <f>IFERROR(__xludf.DUMMYFUNCTION("""COMPUTED_VALUE"""),"Yoram Bar-Sinai")</f>
        <v>Yoram Bar-Sinai</v>
      </c>
      <c r="M466" s="5"/>
    </row>
    <row r="467">
      <c r="A467" s="3">
        <f>IFERROR(__xludf.DUMMYFUNCTION("""COMPUTED_VALUE"""),44.0)</f>
        <v>44</v>
      </c>
      <c r="B467" s="4" t="str">
        <f>IFERROR(__xludf.DUMMYFUNCTION("""COMPUTED_VALUE"""),"ברוך עידן")</f>
        <v>ברוך עידן</v>
      </c>
      <c r="C467" s="3">
        <f>IFERROR(__xludf.DUMMYFUNCTION("""COMPUTED_VALUE"""),20.0)</f>
        <v>20</v>
      </c>
      <c r="D467" s="5" t="str">
        <f>IFERROR(__xludf.DUMMYFUNCTION("""COMPUTED_VALUE"""),"בארי")</f>
        <v>בארי</v>
      </c>
      <c r="E467" s="5" t="str">
        <f>IFERROR(__xludf.DUMMYFUNCTION("""COMPUTED_VALUE"""),"גבר")</f>
        <v>גבר</v>
      </c>
      <c r="F467" s="5" t="str">
        <f>IFERROR(__xludf.DUMMYFUNCTION("""COMPUTED_VALUE"""),"צה""ל")</f>
        <v>צה"ל</v>
      </c>
      <c r="G467" s="3" t="str">
        <f>IFERROR(__xludf.DUMMYFUNCTION("""COMPUTED_VALUE"""),"רב״ט")</f>
        <v>רב״ט</v>
      </c>
      <c r="H467" s="3" t="str">
        <f>IFERROR(__xludf.DUMMYFUNCTION("""COMPUTED_VALUE"""),"07.10.2023")</f>
        <v>07.10.2023</v>
      </c>
      <c r="I467" s="4" t="str">
        <f>IFERROR(__xludf.DUMMYFUNCTION("""COMPUTED_VALUE"""),"בארי")</f>
        <v>בארי</v>
      </c>
      <c r="J467" s="4" t="str">
        <f>IFERROR(__xludf.DUMMYFUNCTION("""COMPUTED_VALUE"""),"אזרחים וכיתות כוננות")</f>
        <v>אזרחים וכיתות כוננות</v>
      </c>
      <c r="K467" s="5"/>
      <c r="L467" s="3" t="str">
        <f>IFERROR(__xludf.DUMMYFUNCTION("""COMPUTED_VALUE"""),"Idan Baruch")</f>
        <v>Idan Baruch</v>
      </c>
      <c r="M467" s="5"/>
    </row>
    <row r="468">
      <c r="A468" s="3">
        <f>IFERROR(__xludf.DUMMYFUNCTION("""COMPUTED_VALUE"""),77.0)</f>
        <v>77</v>
      </c>
      <c r="B468" s="4" t="str">
        <f>IFERROR(__xludf.DUMMYFUNCTION("""COMPUTED_VALUE"""),"גודארד (פרג) איילת")</f>
        <v>גודארד (פרג) איילת</v>
      </c>
      <c r="C468" s="3">
        <f>IFERROR(__xludf.DUMMYFUNCTION("""COMPUTED_VALUE"""),63.0)</f>
        <v>63</v>
      </c>
      <c r="D468" s="5" t="str">
        <f>IFERROR(__xludf.DUMMYFUNCTION("""COMPUTED_VALUE"""),"בארי")</f>
        <v>בארי</v>
      </c>
      <c r="E468" s="5" t="str">
        <f>IFERROR(__xludf.DUMMYFUNCTION("""COMPUTED_VALUE"""),"אישה")</f>
        <v>אישה</v>
      </c>
      <c r="F468" s="5" t="str">
        <f>IFERROR(__xludf.DUMMYFUNCTION("""COMPUTED_VALUE"""),"אזרחים")</f>
        <v>אזרחים</v>
      </c>
      <c r="G468" s="5"/>
      <c r="H468" s="3" t="str">
        <f>IFERROR(__xludf.DUMMYFUNCTION("""COMPUTED_VALUE"""),"07.10.2023")</f>
        <v>07.10.2023</v>
      </c>
      <c r="I468" s="4" t="str">
        <f>IFERROR(__xludf.DUMMYFUNCTION("""COMPUTED_VALUE"""),"בארי")</f>
        <v>בארי</v>
      </c>
      <c r="J468" s="4" t="str">
        <f>IFERROR(__xludf.DUMMYFUNCTION("""COMPUTED_VALUE"""),"אזרחים וכיתות כוננות")</f>
        <v>אזרחים וכיתות כוננות</v>
      </c>
      <c r="K468" s="5"/>
      <c r="L468" s="3" t="str">
        <f>IFERROR(__xludf.DUMMYFUNCTION("""COMPUTED_VALUE"""),"Ayelet Godard")</f>
        <v>Ayelet Godard</v>
      </c>
      <c r="M468" s="5"/>
    </row>
    <row r="469">
      <c r="A469" s="3">
        <f>IFERROR(__xludf.DUMMYFUNCTION("""COMPUTED_VALUE"""),78.0)</f>
        <v>78</v>
      </c>
      <c r="B469" s="4" t="str">
        <f>IFERROR(__xludf.DUMMYFUNCTION("""COMPUTED_VALUE"""),"גודארד מני")</f>
        <v>גודארד מני</v>
      </c>
      <c r="C469" s="3">
        <f>IFERROR(__xludf.DUMMYFUNCTION("""COMPUTED_VALUE"""),73.0)</f>
        <v>73</v>
      </c>
      <c r="D469" s="5" t="str">
        <f>IFERROR(__xludf.DUMMYFUNCTION("""COMPUTED_VALUE"""),"בארי")</f>
        <v>בארי</v>
      </c>
      <c r="E469" s="5" t="str">
        <f>IFERROR(__xludf.DUMMYFUNCTION("""COMPUTED_VALUE"""),"גבר")</f>
        <v>גבר</v>
      </c>
      <c r="F469" s="5" t="str">
        <f>IFERROR(__xludf.DUMMYFUNCTION("""COMPUTED_VALUE"""),"אזרחים")</f>
        <v>אזרחים</v>
      </c>
      <c r="G469" s="5"/>
      <c r="H469" s="3" t="str">
        <f>IFERROR(__xludf.DUMMYFUNCTION("""COMPUTED_VALUE"""),"07.10.2023")</f>
        <v>07.10.2023</v>
      </c>
      <c r="I469" s="4" t="str">
        <f>IFERROR(__xludf.DUMMYFUNCTION("""COMPUTED_VALUE"""),"בארי")</f>
        <v>בארי</v>
      </c>
      <c r="J469" s="4" t="str">
        <f>IFERROR(__xludf.DUMMYFUNCTION("""COMPUTED_VALUE"""),"אזרחים וכיתות כוננות")</f>
        <v>אזרחים וכיתות כוננות</v>
      </c>
      <c r="K469" s="5"/>
      <c r="L469" s="3" t="str">
        <f>IFERROR(__xludf.DUMMYFUNCTION("""COMPUTED_VALUE"""),"Meni Godard")</f>
        <v>Meni Godard</v>
      </c>
      <c r="M469" s="5"/>
    </row>
    <row r="470">
      <c r="A470" s="3">
        <f>IFERROR(__xludf.DUMMYFUNCTION("""COMPUTED_VALUE"""),1367.0)</f>
        <v>1367</v>
      </c>
      <c r="B470" s="4" t="str">
        <f>IFERROR(__xludf.DUMMYFUNCTION("""COMPUTED_VALUE"""),"גלסקי יבגני")</f>
        <v>גלסקי יבגני</v>
      </c>
      <c r="C470" s="3">
        <f>IFERROR(__xludf.DUMMYFUNCTION("""COMPUTED_VALUE"""),34.0)</f>
        <v>34</v>
      </c>
      <c r="D470" s="5" t="str">
        <f>IFERROR(__xludf.DUMMYFUNCTION("""COMPUTED_VALUE"""),"שדרות")</f>
        <v>שדרות</v>
      </c>
      <c r="E470" s="5" t="str">
        <f>IFERROR(__xludf.DUMMYFUNCTION("""COMPUTED_VALUE"""),"גבר")</f>
        <v>גבר</v>
      </c>
      <c r="F470" s="5" t="str">
        <f>IFERROR(__xludf.DUMMYFUNCTION("""COMPUTED_VALUE"""),"כבאות והצלה")</f>
        <v>כבאות והצלה</v>
      </c>
      <c r="G470" s="3" t="str">
        <f>IFERROR(__xludf.DUMMYFUNCTION("""COMPUTED_VALUE"""),"סמל")</f>
        <v>סמל</v>
      </c>
      <c r="H470" s="3" t="str">
        <f>IFERROR(__xludf.DUMMYFUNCTION("""COMPUTED_VALUE"""),"07.10.2023")</f>
        <v>07.10.2023</v>
      </c>
      <c r="I470" s="4" t="str">
        <f>IFERROR(__xludf.DUMMYFUNCTION("""COMPUTED_VALUE"""),"צומת שער הנגב")</f>
        <v>צומת שער הנגב</v>
      </c>
      <c r="J470" s="4" t="str">
        <f>IFERROR(__xludf.DUMMYFUNCTION("""COMPUTED_VALUE"""),"אזרחים וכיתות כוננות")</f>
        <v>אזרחים וכיתות כוננות</v>
      </c>
      <c r="K470" s="5"/>
      <c r="L470" s="3" t="str">
        <f>IFERROR(__xludf.DUMMYFUNCTION("""COMPUTED_VALUE"""),"Evgeny Galsky")</f>
        <v>Evgeny Galsky</v>
      </c>
      <c r="M470" s="5"/>
    </row>
    <row r="471">
      <c r="A471" s="3">
        <f>IFERROR(__xludf.DUMMYFUNCTION("""COMPUTED_VALUE"""),75.0)</f>
        <v>75</v>
      </c>
      <c r="B471" s="4" t="str">
        <f>IFERROR(__xludf.DUMMYFUNCTION("""COMPUTED_VALUE"""),"גת כנרת")</f>
        <v>גת כנרת</v>
      </c>
      <c r="C471" s="3">
        <f>IFERROR(__xludf.DUMMYFUNCTION("""COMPUTED_VALUE"""),68.0)</f>
        <v>68</v>
      </c>
      <c r="D471" s="5" t="str">
        <f>IFERROR(__xludf.DUMMYFUNCTION("""COMPUTED_VALUE"""),"בארי")</f>
        <v>בארי</v>
      </c>
      <c r="E471" s="5" t="str">
        <f>IFERROR(__xludf.DUMMYFUNCTION("""COMPUTED_VALUE"""),"אישה")</f>
        <v>אישה</v>
      </c>
      <c r="F471" s="5" t="str">
        <f>IFERROR(__xludf.DUMMYFUNCTION("""COMPUTED_VALUE"""),"אזרחים")</f>
        <v>אזרחים</v>
      </c>
      <c r="G471" s="5"/>
      <c r="H471" s="3" t="str">
        <f>IFERROR(__xludf.DUMMYFUNCTION("""COMPUTED_VALUE"""),"07.10.2023")</f>
        <v>07.10.2023</v>
      </c>
      <c r="I471" s="4" t="str">
        <f>IFERROR(__xludf.DUMMYFUNCTION("""COMPUTED_VALUE"""),"בארי")</f>
        <v>בארי</v>
      </c>
      <c r="J471" s="4" t="str">
        <f>IFERROR(__xludf.DUMMYFUNCTION("""COMPUTED_VALUE"""),"אזרחים וכיתות כוננות")</f>
        <v>אזרחים וכיתות כוננות</v>
      </c>
      <c r="K471" s="5"/>
      <c r="L471" s="3" t="str">
        <f>IFERROR(__xludf.DUMMYFUNCTION("""COMPUTED_VALUE"""),"Kinneret Gat")</f>
        <v>Kinneret Gat</v>
      </c>
      <c r="M471" s="5"/>
    </row>
    <row r="472">
      <c r="A472" s="3">
        <f>IFERROR(__xludf.DUMMYFUNCTION("""COMPUTED_VALUE"""),64.0)</f>
        <v>64</v>
      </c>
      <c r="B472" s="4" t="str">
        <f>IFERROR(__xludf.DUMMYFUNCTION("""COMPUTED_VALUE"""),"דגן עדי")</f>
        <v>דגן עדי</v>
      </c>
      <c r="C472" s="3">
        <f>IFERROR(__xludf.DUMMYFUNCTION("""COMPUTED_VALUE"""),68.0)</f>
        <v>68</v>
      </c>
      <c r="D472" s="5" t="str">
        <f>IFERROR(__xludf.DUMMYFUNCTION("""COMPUTED_VALUE"""),"בארי")</f>
        <v>בארי</v>
      </c>
      <c r="E472" s="5" t="str">
        <f>IFERROR(__xludf.DUMMYFUNCTION("""COMPUTED_VALUE"""),"גבר")</f>
        <v>גבר</v>
      </c>
      <c r="F472" s="5" t="str">
        <f>IFERROR(__xludf.DUMMYFUNCTION("""COMPUTED_VALUE"""),"אזרחים")</f>
        <v>אזרחים</v>
      </c>
      <c r="G472" s="5"/>
      <c r="H472" s="3" t="str">
        <f>IFERROR(__xludf.DUMMYFUNCTION("""COMPUTED_VALUE"""),"07.10.2023")</f>
        <v>07.10.2023</v>
      </c>
      <c r="I472" s="4" t="str">
        <f>IFERROR(__xludf.DUMMYFUNCTION("""COMPUTED_VALUE"""),"בארי; ארוע בני ערובה")</f>
        <v>בארי; ארוע בני ערובה</v>
      </c>
      <c r="J472" s="4" t="str">
        <f>IFERROR(__xludf.DUMMYFUNCTION("""COMPUTED_VALUE"""),"אזרחים וכיתות כוננות")</f>
        <v>אזרחים וכיתות כוננות</v>
      </c>
      <c r="K472" s="5"/>
      <c r="L472" s="3" t="str">
        <f>IFERROR(__xludf.DUMMYFUNCTION("""COMPUTED_VALUE"""),"Adi Dagan")</f>
        <v>Adi Dagan</v>
      </c>
      <c r="M472" s="5"/>
    </row>
    <row r="473">
      <c r="A473" s="3">
        <f>IFERROR(__xludf.DUMMYFUNCTION("""COMPUTED_VALUE"""),84.0)</f>
        <v>84</v>
      </c>
      <c r="B473" s="4" t="str">
        <f>IFERROR(__xludf.DUMMYFUNCTION("""COMPUTED_VALUE"""),"הנד נרקיס")</f>
        <v>הנד נרקיס</v>
      </c>
      <c r="C473" s="3">
        <f>IFERROR(__xludf.DUMMYFUNCTION("""COMPUTED_VALUE"""),54.0)</f>
        <v>54</v>
      </c>
      <c r="D473" s="5" t="str">
        <f>IFERROR(__xludf.DUMMYFUNCTION("""COMPUTED_VALUE"""),"בארי")</f>
        <v>בארי</v>
      </c>
      <c r="E473" s="5" t="str">
        <f>IFERROR(__xludf.DUMMYFUNCTION("""COMPUTED_VALUE"""),"אישה")</f>
        <v>אישה</v>
      </c>
      <c r="F473" s="5" t="str">
        <f>IFERROR(__xludf.DUMMYFUNCTION("""COMPUTED_VALUE"""),"אזרחים")</f>
        <v>אזרחים</v>
      </c>
      <c r="G473" s="3"/>
      <c r="H473" s="3" t="str">
        <f>IFERROR(__xludf.DUMMYFUNCTION("""COMPUTED_VALUE"""),"07.10.2023")</f>
        <v>07.10.2023</v>
      </c>
      <c r="I473" s="4" t="str">
        <f>IFERROR(__xludf.DUMMYFUNCTION("""COMPUTED_VALUE"""),"בארי")</f>
        <v>בארי</v>
      </c>
      <c r="J473" s="4" t="str">
        <f>IFERROR(__xludf.DUMMYFUNCTION("""COMPUTED_VALUE"""),"אזרחים וכיתות כוננות")</f>
        <v>אזרחים וכיתות כוננות</v>
      </c>
      <c r="K473" s="5"/>
      <c r="L473" s="3" t="str">
        <f>IFERROR(__xludf.DUMMYFUNCTION("""COMPUTED_VALUE"""),"Narkis Hand")</f>
        <v>Narkis Hand</v>
      </c>
      <c r="M473" s="5"/>
    </row>
    <row r="474">
      <c r="A474" s="3">
        <f>IFERROR(__xludf.DUMMYFUNCTION("""COMPUTED_VALUE"""),81.0)</f>
        <v>81</v>
      </c>
      <c r="B474" s="4" t="str">
        <f>IFERROR(__xludf.DUMMYFUNCTION("""COMPUTED_VALUE"""),"הקר זאב")</f>
        <v>הקר זאב</v>
      </c>
      <c r="C474" s="3">
        <f>IFERROR(__xludf.DUMMYFUNCTION("""COMPUTED_VALUE"""),72.0)</f>
        <v>72</v>
      </c>
      <c r="D474" s="5" t="str">
        <f>IFERROR(__xludf.DUMMYFUNCTION("""COMPUTED_VALUE"""),"בארי")</f>
        <v>בארי</v>
      </c>
      <c r="E474" s="5" t="str">
        <f>IFERROR(__xludf.DUMMYFUNCTION("""COMPUTED_VALUE"""),"גבר")</f>
        <v>גבר</v>
      </c>
      <c r="F474" s="5" t="str">
        <f>IFERROR(__xludf.DUMMYFUNCTION("""COMPUTED_VALUE"""),"אזרחים")</f>
        <v>אזרחים</v>
      </c>
      <c r="G474" s="3"/>
      <c r="H474" s="3" t="str">
        <f>IFERROR(__xludf.DUMMYFUNCTION("""COMPUTED_VALUE"""),"07.10.2023")</f>
        <v>07.10.2023</v>
      </c>
      <c r="I474" s="4" t="str">
        <f>IFERROR(__xludf.DUMMYFUNCTION("""COMPUTED_VALUE"""),"בארי; ארוע בני ערובה")</f>
        <v>בארי; ארוע בני ערובה</v>
      </c>
      <c r="J474" s="4" t="str">
        <f>IFERROR(__xludf.DUMMYFUNCTION("""COMPUTED_VALUE"""),"אזרחים וכיתות כוננות")</f>
        <v>אזרחים וכיתות כוננות</v>
      </c>
      <c r="K474" s="5"/>
      <c r="L474" s="3" t="str">
        <f>IFERROR(__xludf.DUMMYFUNCTION("""COMPUTED_VALUE"""),"Zeev Haker")</f>
        <v>Zeev Haker</v>
      </c>
      <c r="M474" s="5"/>
    </row>
    <row r="475">
      <c r="A475" s="3">
        <f>IFERROR(__xludf.DUMMYFUNCTION("""COMPUTED_VALUE"""),82.0)</f>
        <v>82</v>
      </c>
      <c r="B475" s="4" t="str">
        <f>IFERROR(__xludf.DUMMYFUNCTION("""COMPUTED_VALUE"""),"הקר זהבה")</f>
        <v>הקר זהבה</v>
      </c>
      <c r="C475" s="3">
        <f>IFERROR(__xludf.DUMMYFUNCTION("""COMPUTED_VALUE"""),68.0)</f>
        <v>68</v>
      </c>
      <c r="D475" s="5" t="str">
        <f>IFERROR(__xludf.DUMMYFUNCTION("""COMPUTED_VALUE"""),"בארי")</f>
        <v>בארי</v>
      </c>
      <c r="E475" s="5" t="str">
        <f>IFERROR(__xludf.DUMMYFUNCTION("""COMPUTED_VALUE"""),"אישה")</f>
        <v>אישה</v>
      </c>
      <c r="F475" s="5" t="str">
        <f>IFERROR(__xludf.DUMMYFUNCTION("""COMPUTED_VALUE"""),"אזרחים")</f>
        <v>אזרחים</v>
      </c>
      <c r="G475" s="3"/>
      <c r="H475" s="3" t="str">
        <f>IFERROR(__xludf.DUMMYFUNCTION("""COMPUTED_VALUE"""),"07.10.2023")</f>
        <v>07.10.2023</v>
      </c>
      <c r="I475" s="4" t="str">
        <f>IFERROR(__xludf.DUMMYFUNCTION("""COMPUTED_VALUE"""),"בארי; ארוע בני ערובה")</f>
        <v>בארי; ארוע בני ערובה</v>
      </c>
      <c r="J475" s="4" t="str">
        <f>IFERROR(__xludf.DUMMYFUNCTION("""COMPUTED_VALUE"""),"אזרחים וכיתות כוננות")</f>
        <v>אזרחים וכיתות כוננות</v>
      </c>
      <c r="K475" s="5"/>
      <c r="L475" s="3" t="str">
        <f>IFERROR(__xludf.DUMMYFUNCTION("""COMPUTED_VALUE"""),"Zehava Haker")</f>
        <v>Zehava Haker</v>
      </c>
      <c r="M475" s="5"/>
    </row>
    <row r="476">
      <c r="A476" s="3">
        <f>IFERROR(__xludf.DUMMYFUNCTION("""COMPUTED_VALUE"""),36.0)</f>
        <v>36</v>
      </c>
      <c r="B476" s="4" t="str">
        <f>IFERROR(__xludf.DUMMYFUNCTION("""COMPUTED_VALUE"""),"הרן אבשלום (אבשל)")</f>
        <v>הרן אבשלום (אבשל)</v>
      </c>
      <c r="C476" s="3">
        <f>IFERROR(__xludf.DUMMYFUNCTION("""COMPUTED_VALUE"""),65.0)</f>
        <v>65</v>
      </c>
      <c r="D476" s="5" t="str">
        <f>IFERROR(__xludf.DUMMYFUNCTION("""COMPUTED_VALUE"""),"בארי")</f>
        <v>בארי</v>
      </c>
      <c r="E476" s="5" t="str">
        <f>IFERROR(__xludf.DUMMYFUNCTION("""COMPUTED_VALUE"""),"גבר")</f>
        <v>גבר</v>
      </c>
      <c r="F476" s="5" t="str">
        <f>IFERROR(__xludf.DUMMYFUNCTION("""COMPUTED_VALUE"""),"אזרחים")</f>
        <v>אזרחים</v>
      </c>
      <c r="G476" s="3"/>
      <c r="H476" s="3" t="str">
        <f>IFERROR(__xludf.DUMMYFUNCTION("""COMPUTED_VALUE"""),"07.10.2023")</f>
        <v>07.10.2023</v>
      </c>
      <c r="I476" s="4" t="str">
        <f>IFERROR(__xludf.DUMMYFUNCTION("""COMPUTED_VALUE"""),"בארי")</f>
        <v>בארי</v>
      </c>
      <c r="J476" s="4" t="str">
        <f>IFERROR(__xludf.DUMMYFUNCTION("""COMPUTED_VALUE"""),"אזרחים וכיתות כוננות")</f>
        <v>אזרחים וכיתות כוננות</v>
      </c>
      <c r="K476" s="5"/>
      <c r="L476" s="3" t="str">
        <f>IFERROR(__xludf.DUMMYFUNCTION("""COMPUTED_VALUE"""),"Avshalom Haran")</f>
        <v>Avshalom Haran</v>
      </c>
      <c r="M476" s="5"/>
    </row>
    <row r="477">
      <c r="A477" s="3">
        <f>IFERROR(__xludf.DUMMYFUNCTION("""COMPUTED_VALUE"""),86.0)</f>
        <v>86</v>
      </c>
      <c r="B477" s="4" t="str">
        <f>IFERROR(__xludf.DUMMYFUNCTION("""COMPUTED_VALUE"""),"הרשקוביץ מעיינה")</f>
        <v>הרשקוביץ מעיינה</v>
      </c>
      <c r="C477" s="3">
        <f>IFERROR(__xludf.DUMMYFUNCTION("""COMPUTED_VALUE"""),65.0)</f>
        <v>65</v>
      </c>
      <c r="D477" s="5" t="str">
        <f>IFERROR(__xludf.DUMMYFUNCTION("""COMPUTED_VALUE"""),"בארי")</f>
        <v>בארי</v>
      </c>
      <c r="E477" s="5" t="str">
        <f>IFERROR(__xludf.DUMMYFUNCTION("""COMPUTED_VALUE"""),"אישה")</f>
        <v>אישה</v>
      </c>
      <c r="F477" s="5" t="str">
        <f>IFERROR(__xludf.DUMMYFUNCTION("""COMPUTED_VALUE"""),"אזרחים")</f>
        <v>אזרחים</v>
      </c>
      <c r="G477" s="3"/>
      <c r="H477" s="3" t="str">
        <f>IFERROR(__xludf.DUMMYFUNCTION("""COMPUTED_VALUE"""),"07.10.2023")</f>
        <v>07.10.2023</v>
      </c>
      <c r="I477" s="4" t="str">
        <f>IFERROR(__xludf.DUMMYFUNCTION("""COMPUTED_VALUE"""),"בארי")</f>
        <v>בארי</v>
      </c>
      <c r="J477" s="4" t="str">
        <f>IFERROR(__xludf.DUMMYFUNCTION("""COMPUTED_VALUE"""),"אזרחים וכיתות כוננות")</f>
        <v>אזרחים וכיתות כוננות</v>
      </c>
      <c r="K477" s="5"/>
      <c r="L477" s="3" t="str">
        <f>IFERROR(__xludf.DUMMYFUNCTION("""COMPUTED_VALUE"""),"Mayana Hershkowitz")</f>
        <v>Mayana Hershkowitz</v>
      </c>
      <c r="M477" s="5"/>
    </row>
    <row r="478">
      <c r="A478" s="3">
        <f>IFERROR(__xludf.DUMMYFUNCTION("""COMPUTED_VALUE"""),87.0)</f>
        <v>87</v>
      </c>
      <c r="B478" s="4" t="str">
        <f>IFERROR(__xludf.DUMMYFUNCTION("""COMPUTED_VALUE"""),"הרשקוביץ נח")</f>
        <v>הרשקוביץ נח</v>
      </c>
      <c r="C478" s="3">
        <f>IFERROR(__xludf.DUMMYFUNCTION("""COMPUTED_VALUE"""),68.0)</f>
        <v>68</v>
      </c>
      <c r="D478" s="5" t="str">
        <f>IFERROR(__xludf.DUMMYFUNCTION("""COMPUTED_VALUE"""),"בארי")</f>
        <v>בארי</v>
      </c>
      <c r="E478" s="5" t="str">
        <f>IFERROR(__xludf.DUMMYFUNCTION("""COMPUTED_VALUE"""),"גבר")</f>
        <v>גבר</v>
      </c>
      <c r="F478" s="5" t="str">
        <f>IFERROR(__xludf.DUMMYFUNCTION("""COMPUTED_VALUE"""),"אזרחים")</f>
        <v>אזרחים</v>
      </c>
      <c r="G478" s="3"/>
      <c r="H478" s="3" t="str">
        <f>IFERROR(__xludf.DUMMYFUNCTION("""COMPUTED_VALUE"""),"07.10.2023")</f>
        <v>07.10.2023</v>
      </c>
      <c r="I478" s="4" t="str">
        <f>IFERROR(__xludf.DUMMYFUNCTION("""COMPUTED_VALUE"""),"בארי")</f>
        <v>בארי</v>
      </c>
      <c r="J478" s="4" t="str">
        <f>IFERROR(__xludf.DUMMYFUNCTION("""COMPUTED_VALUE"""),"אזרחים וכיתות כוננות")</f>
        <v>אזרחים וכיתות כוננות</v>
      </c>
      <c r="K478" s="5"/>
      <c r="L478" s="3" t="str">
        <f>IFERROR(__xludf.DUMMYFUNCTION("""COMPUTED_VALUE"""),"Noah Hershkowitz")</f>
        <v>Noah Hershkowitz</v>
      </c>
      <c r="M478" s="5"/>
    </row>
    <row r="479">
      <c r="A479" s="3">
        <f>IFERROR(__xludf.DUMMYFUNCTION("""COMPUTED_VALUE"""),184.0)</f>
        <v>184</v>
      </c>
      <c r="B479" s="4" t="str">
        <f>IFERROR(__xludf.DUMMYFUNCTION("""COMPUTED_VALUE"""),"וייס מתי")</f>
        <v>וייס מתי</v>
      </c>
      <c r="C479" s="3">
        <f>IFERROR(__xludf.DUMMYFUNCTION("""COMPUTED_VALUE"""),69.0)</f>
        <v>69</v>
      </c>
      <c r="D479" s="5" t="str">
        <f>IFERROR(__xludf.DUMMYFUNCTION("""COMPUTED_VALUE"""),"בארי")</f>
        <v>בארי</v>
      </c>
      <c r="E479" s="5" t="str">
        <f>IFERROR(__xludf.DUMMYFUNCTION("""COMPUTED_VALUE"""),"אישה")</f>
        <v>אישה</v>
      </c>
      <c r="F479" s="5" t="str">
        <f>IFERROR(__xludf.DUMMYFUNCTION("""COMPUTED_VALUE"""),"אזרחים")</f>
        <v>אזרחים</v>
      </c>
      <c r="G479" s="3"/>
      <c r="H479" s="3" t="str">
        <f>IFERROR(__xludf.DUMMYFUNCTION("""COMPUTED_VALUE"""),"07.10.2023")</f>
        <v>07.10.2023</v>
      </c>
      <c r="I479" s="4" t="str">
        <f>IFERROR(__xludf.DUMMYFUNCTION("""COMPUTED_VALUE"""),"בארי")</f>
        <v>בארי</v>
      </c>
      <c r="J479" s="4" t="str">
        <f>IFERROR(__xludf.DUMMYFUNCTION("""COMPUTED_VALUE"""),"אזרחים וכיתות כוננות")</f>
        <v>אזרחים וכיתות כוננות</v>
      </c>
      <c r="K479" s="5"/>
      <c r="L479" s="3" t="str">
        <f>IFERROR(__xludf.DUMMYFUNCTION("""COMPUTED_VALUE"""),"Mati Weiss")</f>
        <v>Mati Weiss</v>
      </c>
      <c r="M479" s="5"/>
    </row>
    <row r="480">
      <c r="A480" s="3">
        <f>IFERROR(__xludf.DUMMYFUNCTION("""COMPUTED_VALUE"""),182.0)</f>
        <v>182</v>
      </c>
      <c r="B480" s="4" t="str">
        <f>IFERROR(__xludf.DUMMYFUNCTION("""COMPUTED_VALUE"""),"וייס עמיר")</f>
        <v>וייס עמיר</v>
      </c>
      <c r="C480" s="3">
        <f>IFERROR(__xludf.DUMMYFUNCTION("""COMPUTED_VALUE"""),69.0)</f>
        <v>69</v>
      </c>
      <c r="D480" s="5" t="str">
        <f>IFERROR(__xludf.DUMMYFUNCTION("""COMPUTED_VALUE"""),"בארי")</f>
        <v>בארי</v>
      </c>
      <c r="E480" s="5" t="str">
        <f>IFERROR(__xludf.DUMMYFUNCTION("""COMPUTED_VALUE"""),"גבר")</f>
        <v>גבר</v>
      </c>
      <c r="F480" s="5" t="str">
        <f>IFERROR(__xludf.DUMMYFUNCTION("""COMPUTED_VALUE"""),"אזרחים")</f>
        <v>אזרחים</v>
      </c>
      <c r="G480" s="3"/>
      <c r="H480" s="3" t="str">
        <f>IFERROR(__xludf.DUMMYFUNCTION("""COMPUTED_VALUE"""),"07.10.2023")</f>
        <v>07.10.2023</v>
      </c>
      <c r="I480" s="4" t="str">
        <f>IFERROR(__xludf.DUMMYFUNCTION("""COMPUTED_VALUE"""),"בארי")</f>
        <v>בארי</v>
      </c>
      <c r="J480" s="4" t="str">
        <f>IFERROR(__xludf.DUMMYFUNCTION("""COMPUTED_VALUE"""),"אזרחים וכיתות כוננות")</f>
        <v>אזרחים וכיתות כוננות</v>
      </c>
      <c r="K480" s="5"/>
      <c r="L480" s="3" t="str">
        <f>IFERROR(__xludf.DUMMYFUNCTION("""COMPUTED_VALUE"""),"Amir Weiss")</f>
        <v>Amir Weiss</v>
      </c>
      <c r="M480" s="5"/>
    </row>
    <row r="481">
      <c r="A481" s="3">
        <f>IFERROR(__xludf.DUMMYFUNCTION("""COMPUTED_VALUE"""),185.0)</f>
        <v>185</v>
      </c>
      <c r="B481" s="4" t="str">
        <f>IFERROR(__xludf.DUMMYFUNCTION("""COMPUTED_VALUE"""),"וייס שמואל (שמוליק)")</f>
        <v>וייס שמואל (שמוליק)</v>
      </c>
      <c r="C481" s="3">
        <f>IFERROR(__xludf.DUMMYFUNCTION("""COMPUTED_VALUE"""),65.0)</f>
        <v>65</v>
      </c>
      <c r="D481" s="5" t="str">
        <f>IFERROR(__xludf.DUMMYFUNCTION("""COMPUTED_VALUE"""),"בארי")</f>
        <v>בארי</v>
      </c>
      <c r="E481" s="5" t="str">
        <f>IFERROR(__xludf.DUMMYFUNCTION("""COMPUTED_VALUE"""),"גבר")</f>
        <v>גבר</v>
      </c>
      <c r="F481" s="5" t="str">
        <f>IFERROR(__xludf.DUMMYFUNCTION("""COMPUTED_VALUE"""),"אזרחים")</f>
        <v>אזרחים</v>
      </c>
      <c r="G481" s="3"/>
      <c r="H481" s="3" t="str">
        <f>IFERROR(__xludf.DUMMYFUNCTION("""COMPUTED_VALUE"""),"07.10.2023")</f>
        <v>07.10.2023</v>
      </c>
      <c r="I481" s="4" t="str">
        <f>IFERROR(__xludf.DUMMYFUNCTION("""COMPUTED_VALUE"""),"בארי")</f>
        <v>בארי</v>
      </c>
      <c r="J481" s="4" t="str">
        <f>IFERROR(__xludf.DUMMYFUNCTION("""COMPUTED_VALUE"""),"אזרחים וכיתות כוננות")</f>
        <v>אזרחים וכיתות כוננות</v>
      </c>
      <c r="K481" s="5"/>
      <c r="L481" s="3" t="str">
        <f>IFERROR(__xludf.DUMMYFUNCTION("""COMPUTED_VALUE"""),"Shmulik Weiss")</f>
        <v>Shmulik Weiss</v>
      </c>
      <c r="M481" s="5"/>
    </row>
    <row r="482">
      <c r="A482" s="3">
        <f>IFERROR(__xludf.DUMMYFUNCTION("""COMPUTED_VALUE"""),188.0)</f>
        <v>188</v>
      </c>
      <c r="B482" s="4" t="str">
        <f>IFERROR(__xludf.DUMMYFUNCTION("""COMPUTED_VALUE"""),"זוהר חיים")</f>
        <v>זוהר חיים</v>
      </c>
      <c r="C482" s="3">
        <f>IFERROR(__xludf.DUMMYFUNCTION("""COMPUTED_VALUE"""),73.0)</f>
        <v>73</v>
      </c>
      <c r="D482" s="5" t="str">
        <f>IFERROR(__xludf.DUMMYFUNCTION("""COMPUTED_VALUE"""),"בארי")</f>
        <v>בארי</v>
      </c>
      <c r="E482" s="5" t="str">
        <f>IFERROR(__xludf.DUMMYFUNCTION("""COMPUTED_VALUE"""),"גבר")</f>
        <v>גבר</v>
      </c>
      <c r="F482" s="5" t="str">
        <f>IFERROR(__xludf.DUMMYFUNCTION("""COMPUTED_VALUE"""),"אזרחים")</f>
        <v>אזרחים</v>
      </c>
      <c r="G482" s="3"/>
      <c r="H482" s="3" t="str">
        <f>IFERROR(__xludf.DUMMYFUNCTION("""COMPUTED_VALUE"""),"07.10.2023")</f>
        <v>07.10.2023</v>
      </c>
      <c r="I482" s="4" t="str">
        <f>IFERROR(__xludf.DUMMYFUNCTION("""COMPUTED_VALUE"""),"בארי")</f>
        <v>בארי</v>
      </c>
      <c r="J482" s="4" t="str">
        <f>IFERROR(__xludf.DUMMYFUNCTION("""COMPUTED_VALUE"""),"אזרחים וכיתות כוננות")</f>
        <v>אזרחים וכיתות כוננות</v>
      </c>
      <c r="K482" s="5"/>
      <c r="L482" s="3" t="str">
        <f>IFERROR(__xludf.DUMMYFUNCTION("""COMPUTED_VALUE"""),"Chaim Zohar")</f>
        <v>Chaim Zohar</v>
      </c>
      <c r="M482" s="5"/>
    </row>
    <row r="483">
      <c r="A483" s="3">
        <f>IFERROR(__xludf.DUMMYFUNCTION("""COMPUTED_VALUE"""),1442.0)</f>
        <v>1442</v>
      </c>
      <c r="B483" s="4" t="str">
        <f>IFERROR(__xludf.DUMMYFUNCTION("""COMPUTED_VALUE"""),"זלמנוביץ' הלל")</f>
        <v>זלמנוביץ' הלל</v>
      </c>
      <c r="C483" s="3">
        <f>IFERROR(__xludf.DUMMYFUNCTION("""COMPUTED_VALUE"""),60.0)</f>
        <v>60</v>
      </c>
      <c r="D483" s="5" t="str">
        <f>IFERROR(__xludf.DUMMYFUNCTION("""COMPUTED_VALUE"""),"אשדוד")</f>
        <v>אשדוד</v>
      </c>
      <c r="E483" s="5" t="str">
        <f>IFERROR(__xludf.DUMMYFUNCTION("""COMPUTED_VALUE"""),"גבר")</f>
        <v>גבר</v>
      </c>
      <c r="F483" s="5" t="str">
        <f>IFERROR(__xludf.DUMMYFUNCTION("""COMPUTED_VALUE"""),"אזרחים")</f>
        <v>אזרחים</v>
      </c>
      <c r="G483" s="3"/>
      <c r="H483" s="3" t="str">
        <f>IFERROR(__xludf.DUMMYFUNCTION("""COMPUTED_VALUE"""),"07.10.2023")</f>
        <v>07.10.2023</v>
      </c>
      <c r="I483" s="4" t="str">
        <f>IFERROR(__xludf.DUMMYFUNCTION("""COMPUTED_VALUE"""),"נחל גרר מערב")</f>
        <v>נחל גרר מערב</v>
      </c>
      <c r="J483" s="4" t="str">
        <f>IFERROR(__xludf.DUMMYFUNCTION("""COMPUTED_VALUE"""),"אזרחים וכיתות כוננות")</f>
        <v>אזרחים וכיתות כוננות</v>
      </c>
      <c r="K483" s="5"/>
      <c r="L483" s="3" t="str">
        <f>IFERROR(__xludf.DUMMYFUNCTION("""COMPUTED_VALUE"""),"Hillel Zalmanovich")</f>
        <v>Hillel Zalmanovich</v>
      </c>
      <c r="M483" s="5"/>
    </row>
    <row r="484">
      <c r="A484" s="3">
        <f>IFERROR(__xludf.DUMMYFUNCTION("""COMPUTED_VALUE"""),155.0)</f>
        <v>155</v>
      </c>
      <c r="B484" s="4" t="str">
        <f>IFERROR(__xludf.DUMMYFUNCTION("""COMPUTED_VALUE"""),"חצרוני איילה")</f>
        <v>חצרוני איילה</v>
      </c>
      <c r="C484" s="3">
        <f>IFERROR(__xludf.DUMMYFUNCTION("""COMPUTED_VALUE"""),73.0)</f>
        <v>73</v>
      </c>
      <c r="D484" s="5" t="str">
        <f>IFERROR(__xludf.DUMMYFUNCTION("""COMPUTED_VALUE"""),"בארי")</f>
        <v>בארי</v>
      </c>
      <c r="E484" s="5" t="str">
        <f>IFERROR(__xludf.DUMMYFUNCTION("""COMPUTED_VALUE"""),"אישה")</f>
        <v>אישה</v>
      </c>
      <c r="F484" s="5" t="str">
        <f>IFERROR(__xludf.DUMMYFUNCTION("""COMPUTED_VALUE"""),"אזרחים")</f>
        <v>אזרחים</v>
      </c>
      <c r="G484" s="3"/>
      <c r="H484" s="3" t="str">
        <f>IFERROR(__xludf.DUMMYFUNCTION("""COMPUTED_VALUE"""),"07.10.2023")</f>
        <v>07.10.2023</v>
      </c>
      <c r="I484" s="4" t="str">
        <f>IFERROR(__xludf.DUMMYFUNCTION("""COMPUTED_VALUE"""),"בארי; ארוע בני ערובה")</f>
        <v>בארי; ארוע בני ערובה</v>
      </c>
      <c r="J484" s="4" t="str">
        <f>IFERROR(__xludf.DUMMYFUNCTION("""COMPUTED_VALUE"""),"אזרחים וכיתות כוננות")</f>
        <v>אזרחים וכיתות כוננות</v>
      </c>
      <c r="K484" s="5"/>
      <c r="L484" s="3" t="str">
        <f>IFERROR(__xludf.DUMMYFUNCTION("""COMPUTED_VALUE"""),"Ayala Hetzroni")</f>
        <v>Ayala Hetzroni</v>
      </c>
      <c r="M484" s="5"/>
    </row>
    <row r="485">
      <c r="A485" s="3">
        <f>IFERROR(__xludf.DUMMYFUNCTION("""COMPUTED_VALUE"""),158.0)</f>
        <v>158</v>
      </c>
      <c r="B485" s="4" t="str">
        <f>IFERROR(__xludf.DUMMYFUNCTION("""COMPUTED_VALUE"""),"חצרוני הלר ליאל")</f>
        <v>חצרוני הלר ליאל</v>
      </c>
      <c r="C485" s="3">
        <f>IFERROR(__xludf.DUMMYFUNCTION("""COMPUTED_VALUE"""),12.0)</f>
        <v>12</v>
      </c>
      <c r="D485" s="5" t="str">
        <f>IFERROR(__xludf.DUMMYFUNCTION("""COMPUTED_VALUE"""),"בארי")</f>
        <v>בארי</v>
      </c>
      <c r="E485" s="5" t="str">
        <f>IFERROR(__xludf.DUMMYFUNCTION("""COMPUTED_VALUE"""),"ילדה")</f>
        <v>ילדה</v>
      </c>
      <c r="F485" s="5" t="str">
        <f>IFERROR(__xludf.DUMMYFUNCTION("""COMPUTED_VALUE"""),"אזרחים")</f>
        <v>אזרחים</v>
      </c>
      <c r="G485" s="3"/>
      <c r="H485" s="3" t="str">
        <f>IFERROR(__xludf.DUMMYFUNCTION("""COMPUTED_VALUE"""),"07.10.2023")</f>
        <v>07.10.2023</v>
      </c>
      <c r="I485" s="4" t="str">
        <f>IFERROR(__xludf.DUMMYFUNCTION("""COMPUTED_VALUE"""),"בארי; ארוע בני ערובה")</f>
        <v>בארי; ארוע בני ערובה</v>
      </c>
      <c r="J485" s="4" t="str">
        <f>IFERROR(__xludf.DUMMYFUNCTION("""COMPUTED_VALUE"""),"אזרחים וכיתות כוננות")</f>
        <v>אזרחים וכיתות כוננות</v>
      </c>
      <c r="K485" s="5"/>
      <c r="L485" s="3" t="str">
        <f>IFERROR(__xludf.DUMMYFUNCTION("""COMPUTED_VALUE"""),"Liel Hetzroni")</f>
        <v>Liel Hetzroni</v>
      </c>
      <c r="M485" s="5"/>
    </row>
    <row r="486">
      <c r="A486" s="3">
        <f>IFERROR(__xludf.DUMMYFUNCTION("""COMPUTED_VALUE"""),313.0)</f>
        <v>313</v>
      </c>
      <c r="B486" s="4" t="str">
        <f>IFERROR(__xludf.DUMMYFUNCTION("""COMPUTED_VALUE"""),"חרמש עומר")</f>
        <v>חרמש עומר</v>
      </c>
      <c r="C486" s="3">
        <f>IFERROR(__xludf.DUMMYFUNCTION("""COMPUTED_VALUE"""),48.0)</f>
        <v>48</v>
      </c>
      <c r="D486" s="5" t="str">
        <f>IFERROR(__xludf.DUMMYFUNCTION("""COMPUTED_VALUE"""),"כפר עזה")</f>
        <v>כפר עזה</v>
      </c>
      <c r="E486" s="5" t="str">
        <f>IFERROR(__xludf.DUMMYFUNCTION("""COMPUTED_VALUE"""),"גבר")</f>
        <v>גבר</v>
      </c>
      <c r="F486" s="5" t="str">
        <f>IFERROR(__xludf.DUMMYFUNCTION("""COMPUTED_VALUE"""),"אזרחים")</f>
        <v>אזרחים</v>
      </c>
      <c r="G486" s="3"/>
      <c r="H486" s="3" t="str">
        <f>IFERROR(__xludf.DUMMYFUNCTION("""COMPUTED_VALUE"""),"07.10.2023")</f>
        <v>07.10.2023</v>
      </c>
      <c r="I486" s="4" t="str">
        <f>IFERROR(__xludf.DUMMYFUNCTION("""COMPUTED_VALUE"""),"כפר עזה")</f>
        <v>כפר עזה</v>
      </c>
      <c r="J486" s="2" t="str">
        <f>IFERROR(__xludf.DUMMYFUNCTION("""COMPUTED_VALUE"""),"אזרחים וכיתות כוננות")</f>
        <v>אזרחים וכיתות כוננות</v>
      </c>
      <c r="K486" s="5"/>
      <c r="L486" s="3" t="str">
        <f>IFERROR(__xludf.DUMMYFUNCTION("""COMPUTED_VALUE"""),"Omer Hermesh")</f>
        <v>Omer Hermesh</v>
      </c>
      <c r="M486" s="5"/>
    </row>
    <row r="487">
      <c r="A487" s="3">
        <f>IFERROR(__xludf.DUMMYFUNCTION("""COMPUTED_VALUE"""),147.0)</f>
        <v>147</v>
      </c>
      <c r="B487" s="4" t="str">
        <f>IFERROR(__xludf.DUMMYFUNCTION("""COMPUTED_VALUE"""),"טרשצ'נסקי ליאור")</f>
        <v>טרשצ'נסקי ליאור</v>
      </c>
      <c r="C487" s="3">
        <f>IFERROR(__xludf.DUMMYFUNCTION("""COMPUTED_VALUE"""),15.0)</f>
        <v>15</v>
      </c>
      <c r="D487" s="5" t="str">
        <f>IFERROR(__xludf.DUMMYFUNCTION("""COMPUTED_VALUE"""),"בארי")</f>
        <v>בארי</v>
      </c>
      <c r="E487" s="5" t="str">
        <f>IFERROR(__xludf.DUMMYFUNCTION("""COMPUTED_VALUE"""),"ילד")</f>
        <v>ילד</v>
      </c>
      <c r="F487" s="5" t="str">
        <f>IFERROR(__xludf.DUMMYFUNCTION("""COMPUTED_VALUE"""),"אזרחים")</f>
        <v>אזרחים</v>
      </c>
      <c r="G487" s="3"/>
      <c r="H487" s="3" t="str">
        <f>IFERROR(__xludf.DUMMYFUNCTION("""COMPUTED_VALUE"""),"07.10.2023")</f>
        <v>07.10.2023</v>
      </c>
      <c r="I487" s="4" t="str">
        <f>IFERROR(__xludf.DUMMYFUNCTION("""COMPUTED_VALUE"""),"בארי")</f>
        <v>בארי</v>
      </c>
      <c r="J487" s="2" t="str">
        <f>IFERROR(__xludf.DUMMYFUNCTION("""COMPUTED_VALUE"""),"אזרחים וכיתות כוננות")</f>
        <v>אזרחים וכיתות כוננות</v>
      </c>
      <c r="K487" s="5"/>
      <c r="L487" s="3" t="str">
        <f>IFERROR(__xludf.DUMMYFUNCTION("""COMPUTED_VALUE"""),"Lior Tarshansky")</f>
        <v>Lior Tarshansky</v>
      </c>
      <c r="M487" s="5"/>
    </row>
    <row r="488">
      <c r="A488" s="3">
        <f>IFERROR(__xludf.DUMMYFUNCTION("""COMPUTED_VALUE"""),89.0)</f>
        <v>89</v>
      </c>
      <c r="B488" s="4" t="str">
        <f>IFERROR(__xludf.DUMMYFUNCTION("""COMPUTED_VALUE"""),"יצחקי יהודית")</f>
        <v>יצחקי יהודית</v>
      </c>
      <c r="C488" s="3">
        <f>IFERROR(__xludf.DUMMYFUNCTION("""COMPUTED_VALUE"""),65.0)</f>
        <v>65</v>
      </c>
      <c r="D488" s="5" t="str">
        <f>IFERROR(__xludf.DUMMYFUNCTION("""COMPUTED_VALUE"""),"בארי")</f>
        <v>בארי</v>
      </c>
      <c r="E488" s="5" t="str">
        <f>IFERROR(__xludf.DUMMYFUNCTION("""COMPUTED_VALUE"""),"אישה")</f>
        <v>אישה</v>
      </c>
      <c r="F488" s="5" t="str">
        <f>IFERROR(__xludf.DUMMYFUNCTION("""COMPUTED_VALUE"""),"אזרחים")</f>
        <v>אזרחים</v>
      </c>
      <c r="G488" s="3"/>
      <c r="H488" s="3" t="str">
        <f>IFERROR(__xludf.DUMMYFUNCTION("""COMPUTED_VALUE"""),"07.10.2023")</f>
        <v>07.10.2023</v>
      </c>
      <c r="I488" s="4" t="str">
        <f>IFERROR(__xludf.DUMMYFUNCTION("""COMPUTED_VALUE"""),"בארי")</f>
        <v>בארי</v>
      </c>
      <c r="J488" s="4" t="str">
        <f>IFERROR(__xludf.DUMMYFUNCTION("""COMPUTED_VALUE"""),"אזרחים וכיתות כוננות")</f>
        <v>אזרחים וכיתות כוננות</v>
      </c>
      <c r="K488" s="5"/>
      <c r="L488" s="3" t="str">
        <f>IFERROR(__xludf.DUMMYFUNCTION("""COMPUTED_VALUE"""),"Yehudit Itzhaki")</f>
        <v>Yehudit Itzhaki</v>
      </c>
      <c r="M488" s="5"/>
    </row>
    <row r="489">
      <c r="A489" s="3">
        <f>IFERROR(__xludf.DUMMYFUNCTION("""COMPUTED_VALUE"""),140.0)</f>
        <v>140</v>
      </c>
      <c r="B489" s="4" t="str">
        <f>IFERROR(__xludf.DUMMYFUNCTION("""COMPUTED_VALUE"""),"כהן אוהד")</f>
        <v>כהן אוהד</v>
      </c>
      <c r="C489" s="3">
        <f>IFERROR(__xludf.DUMMYFUNCTION("""COMPUTED_VALUE"""),43.0)</f>
        <v>43</v>
      </c>
      <c r="D489" s="5" t="str">
        <f>IFERROR(__xludf.DUMMYFUNCTION("""COMPUTED_VALUE"""),"בארי")</f>
        <v>בארי</v>
      </c>
      <c r="E489" s="5" t="str">
        <f>IFERROR(__xludf.DUMMYFUNCTION("""COMPUTED_VALUE"""),"גבר")</f>
        <v>גבר</v>
      </c>
      <c r="F489" s="5" t="str">
        <f>IFERROR(__xludf.DUMMYFUNCTION("""COMPUTED_VALUE"""),"אזרחים")</f>
        <v>אזרחים</v>
      </c>
      <c r="G489" s="3"/>
      <c r="H489" s="3" t="str">
        <f>IFERROR(__xludf.DUMMYFUNCTION("""COMPUTED_VALUE"""),"07.10.2023")</f>
        <v>07.10.2023</v>
      </c>
      <c r="I489" s="4" t="str">
        <f>IFERROR(__xludf.DUMMYFUNCTION("""COMPUTED_VALUE"""),"בארי")</f>
        <v>בארי</v>
      </c>
      <c r="J489" s="4" t="str">
        <f>IFERROR(__xludf.DUMMYFUNCTION("""COMPUTED_VALUE"""),"אזרחים וכיתות כוננות")</f>
        <v>אזרחים וכיתות כוננות</v>
      </c>
      <c r="K489" s="5"/>
      <c r="L489" s="3" t="str">
        <f>IFERROR(__xludf.DUMMYFUNCTION("""COMPUTED_VALUE"""),"Ohad Cohen")</f>
        <v>Ohad Cohen</v>
      </c>
      <c r="M489" s="5"/>
    </row>
    <row r="490">
      <c r="A490" s="3">
        <f>IFERROR(__xludf.DUMMYFUNCTION("""COMPUTED_VALUE"""),62.0)</f>
        <v>62</v>
      </c>
      <c r="B490" s="4" t="str">
        <f>IFERROR(__xludf.DUMMYFUNCTION("""COMPUTED_VALUE"""),"כהן יונה")</f>
        <v>כהן יונה</v>
      </c>
      <c r="C490" s="3">
        <f>IFERROR(__xludf.DUMMYFUNCTION("""COMPUTED_VALUE"""),73.0)</f>
        <v>73</v>
      </c>
      <c r="D490" s="5" t="str">
        <f>IFERROR(__xludf.DUMMYFUNCTION("""COMPUTED_VALUE"""),"בארי")</f>
        <v>בארי</v>
      </c>
      <c r="E490" s="5" t="str">
        <f>IFERROR(__xludf.DUMMYFUNCTION("""COMPUTED_VALUE"""),"אישה")</f>
        <v>אישה</v>
      </c>
      <c r="F490" s="5" t="str">
        <f>IFERROR(__xludf.DUMMYFUNCTION("""COMPUTED_VALUE"""),"אזרחים")</f>
        <v>אזרחים</v>
      </c>
      <c r="G490" s="3"/>
      <c r="H490" s="3" t="str">
        <f>IFERROR(__xludf.DUMMYFUNCTION("""COMPUTED_VALUE"""),"07.10.2023")</f>
        <v>07.10.2023</v>
      </c>
      <c r="I490" s="4" t="str">
        <f>IFERROR(__xludf.DUMMYFUNCTION("""COMPUTED_VALUE"""),"בארי")</f>
        <v>בארי</v>
      </c>
      <c r="J490" s="4" t="str">
        <f>IFERROR(__xludf.DUMMYFUNCTION("""COMPUTED_VALUE"""),"אזרחים וכיתות כוננות")</f>
        <v>אזרחים וכיתות כוננות</v>
      </c>
      <c r="K490" s="5"/>
      <c r="L490" s="3" t="str">
        <f>IFERROR(__xludf.DUMMYFUNCTION("""COMPUTED_VALUE"""),"Yona Cohen")</f>
        <v>Yona Cohen</v>
      </c>
      <c r="M490" s="5"/>
    </row>
    <row r="491">
      <c r="A491" s="3">
        <f>IFERROR(__xludf.DUMMYFUNCTION("""COMPUTED_VALUE"""),60.0)</f>
        <v>60</v>
      </c>
      <c r="B491" s="4" t="str">
        <f>IFERROR(__xludf.DUMMYFUNCTION("""COMPUTED_VALUE"""),"כהן מילה")</f>
        <v>כהן מילה</v>
      </c>
      <c r="C491" s="3">
        <f>IFERROR(__xludf.DUMMYFUNCTION("""COMPUTED_VALUE"""),0.0)</f>
        <v>0</v>
      </c>
      <c r="D491" s="5" t="str">
        <f>IFERROR(__xludf.DUMMYFUNCTION("""COMPUTED_VALUE"""),"בארי")</f>
        <v>בארי</v>
      </c>
      <c r="E491" s="5" t="str">
        <f>IFERROR(__xludf.DUMMYFUNCTION("""COMPUTED_VALUE"""),"ילדה")</f>
        <v>ילדה</v>
      </c>
      <c r="F491" s="5" t="str">
        <f>IFERROR(__xludf.DUMMYFUNCTION("""COMPUTED_VALUE"""),"אזרחים")</f>
        <v>אזרחים</v>
      </c>
      <c r="G491" s="3"/>
      <c r="H491" s="3" t="str">
        <f>IFERROR(__xludf.DUMMYFUNCTION("""COMPUTED_VALUE"""),"07.10.2023")</f>
        <v>07.10.2023</v>
      </c>
      <c r="I491" s="4" t="str">
        <f>IFERROR(__xludf.DUMMYFUNCTION("""COMPUTED_VALUE"""),"בארי")</f>
        <v>בארי</v>
      </c>
      <c r="J491" s="4" t="str">
        <f>IFERROR(__xludf.DUMMYFUNCTION("""COMPUTED_VALUE"""),"אזרחים וכיתות כוננות")</f>
        <v>אזרחים וכיתות כוננות</v>
      </c>
      <c r="K491" s="5"/>
      <c r="L491" s="3" t="str">
        <f>IFERROR(__xludf.DUMMYFUNCTION("""COMPUTED_VALUE"""),"Mila Cohen")</f>
        <v>Mila Cohen</v>
      </c>
      <c r="M491" s="5"/>
    </row>
    <row r="492">
      <c r="A492" s="3">
        <f>IFERROR(__xludf.DUMMYFUNCTION("""COMPUTED_VALUE"""),61.0)</f>
        <v>61</v>
      </c>
      <c r="B492" s="4" t="str">
        <f>IFERROR(__xludf.DUMMYFUNCTION("""COMPUTED_VALUE"""),"כהן פסיה (פסי)")</f>
        <v>כהן פסיה (פסי)</v>
      </c>
      <c r="C492" s="3">
        <f>IFERROR(__xludf.DUMMYFUNCTION("""COMPUTED_VALUE"""),68.0)</f>
        <v>68</v>
      </c>
      <c r="D492" s="5" t="str">
        <f>IFERROR(__xludf.DUMMYFUNCTION("""COMPUTED_VALUE"""),"בארי")</f>
        <v>בארי</v>
      </c>
      <c r="E492" s="5" t="str">
        <f>IFERROR(__xludf.DUMMYFUNCTION("""COMPUTED_VALUE"""),"אישה")</f>
        <v>אישה</v>
      </c>
      <c r="F492" s="5" t="str">
        <f>IFERROR(__xludf.DUMMYFUNCTION("""COMPUTED_VALUE"""),"אזרחים")</f>
        <v>אזרחים</v>
      </c>
      <c r="G492" s="3"/>
      <c r="H492" s="3" t="str">
        <f>IFERROR(__xludf.DUMMYFUNCTION("""COMPUTED_VALUE"""),"07.10.2023")</f>
        <v>07.10.2023</v>
      </c>
      <c r="I492" s="4" t="str">
        <f>IFERROR(__xludf.DUMMYFUNCTION("""COMPUTED_VALUE"""),"בארי; ארוע בני ערובה")</f>
        <v>בארי; ארוע בני ערובה</v>
      </c>
      <c r="J492" s="4" t="str">
        <f>IFERROR(__xludf.DUMMYFUNCTION("""COMPUTED_VALUE"""),"אזרחים וכיתות כוננות")</f>
        <v>אזרחים וכיתות כוננות</v>
      </c>
      <c r="K492" s="5"/>
      <c r="L492" s="3" t="str">
        <f>IFERROR(__xludf.DUMMYFUNCTION("""COMPUTED_VALUE"""),"Pessy Cohen")</f>
        <v>Pessy Cohen</v>
      </c>
      <c r="M492" s="5"/>
    </row>
    <row r="493">
      <c r="A493" s="3">
        <f>IFERROR(__xludf.DUMMYFUNCTION("""COMPUTED_VALUE"""),92.0)</f>
        <v>92</v>
      </c>
      <c r="B493" s="4" t="str">
        <f>IFERROR(__xludf.DUMMYFUNCTION("""COMPUTED_VALUE"""),"כרסנתי שושנה (שוש)")</f>
        <v>כרסנתי שושנה (שוש)</v>
      </c>
      <c r="C493" s="3">
        <f>IFERROR(__xludf.DUMMYFUNCTION("""COMPUTED_VALUE"""),87.0)</f>
        <v>87</v>
      </c>
      <c r="D493" s="5" t="str">
        <f>IFERROR(__xludf.DUMMYFUNCTION("""COMPUTED_VALUE"""),"בארי")</f>
        <v>בארי</v>
      </c>
      <c r="E493" s="5" t="str">
        <f>IFERROR(__xludf.DUMMYFUNCTION("""COMPUTED_VALUE"""),"אישה")</f>
        <v>אישה</v>
      </c>
      <c r="F493" s="5" t="str">
        <f>IFERROR(__xludf.DUMMYFUNCTION("""COMPUTED_VALUE"""),"אזרחים")</f>
        <v>אזרחים</v>
      </c>
      <c r="G493" s="3"/>
      <c r="H493" s="3" t="str">
        <f>IFERROR(__xludf.DUMMYFUNCTION("""COMPUTED_VALUE"""),"07.10.2023")</f>
        <v>07.10.2023</v>
      </c>
      <c r="I493" s="4" t="str">
        <f>IFERROR(__xludf.DUMMYFUNCTION("""COMPUTED_VALUE"""),"בארי")</f>
        <v>בארי</v>
      </c>
      <c r="J493" s="4" t="str">
        <f>IFERROR(__xludf.DUMMYFUNCTION("""COMPUTED_VALUE"""),"אזרחים וכיתות כוננות")</f>
        <v>אזרחים וכיתות כוננות</v>
      </c>
      <c r="K493" s="5"/>
      <c r="L493" s="3" t="str">
        <f>IFERROR(__xludf.DUMMYFUNCTION("""COMPUTED_VALUE"""),"Shoshana Karasenti")</f>
        <v>Shoshana Karasenti</v>
      </c>
      <c r="M493" s="5"/>
    </row>
    <row r="494">
      <c r="A494" s="3">
        <f>IFERROR(__xludf.DUMMYFUNCTION("""COMPUTED_VALUE"""),65.0)</f>
        <v>65</v>
      </c>
      <c r="B494" s="4" t="str">
        <f>IFERROR(__xludf.DUMMYFUNCTION("""COMPUTED_VALUE"""),"לוי לודמיר דניאל")</f>
        <v>לוי לודמיר דניאל</v>
      </c>
      <c r="C494" s="3">
        <f>IFERROR(__xludf.DUMMYFUNCTION("""COMPUTED_VALUE"""),34.0)</f>
        <v>34</v>
      </c>
      <c r="D494" s="5" t="str">
        <f>IFERROR(__xludf.DUMMYFUNCTION("""COMPUTED_VALUE"""),"קריית אונו")</f>
        <v>קריית אונו</v>
      </c>
      <c r="E494" s="5" t="str">
        <f>IFERROR(__xludf.DUMMYFUNCTION("""COMPUTED_VALUE"""),"גבר")</f>
        <v>גבר</v>
      </c>
      <c r="F494" s="5" t="str">
        <f>IFERROR(__xludf.DUMMYFUNCTION("""COMPUTED_VALUE"""),"מגן דוד אדום")</f>
        <v>מגן דוד אדום</v>
      </c>
      <c r="G494" s="3"/>
      <c r="H494" s="3" t="str">
        <f>IFERROR(__xludf.DUMMYFUNCTION("""COMPUTED_VALUE"""),"07.10.2023")</f>
        <v>07.10.2023</v>
      </c>
      <c r="I494" s="4" t="str">
        <f>IFERROR(__xludf.DUMMYFUNCTION("""COMPUTED_VALUE"""),"בארי")</f>
        <v>בארי</v>
      </c>
      <c r="J494" s="4" t="str">
        <f>IFERROR(__xludf.DUMMYFUNCTION("""COMPUTED_VALUE"""),"שוטרים וכוחות הצלה")</f>
        <v>שוטרים וכוחות הצלה</v>
      </c>
      <c r="K494" s="5"/>
      <c r="L494" s="3" t="str">
        <f>IFERROR(__xludf.DUMMYFUNCTION("""COMPUTED_VALUE"""),"Daniel Levy")</f>
        <v>Daniel Levy</v>
      </c>
      <c r="M494" s="5"/>
    </row>
    <row r="495">
      <c r="A495" s="3">
        <f>IFERROR(__xludf.DUMMYFUNCTION("""COMPUTED_VALUE"""),99.0)</f>
        <v>99</v>
      </c>
      <c r="B495" s="4" t="str">
        <f>IFERROR(__xludf.DUMMYFUNCTION("""COMPUTED_VALUE"""),"לוי רוני")</f>
        <v>לוי רוני</v>
      </c>
      <c r="C495" s="3">
        <f>IFERROR(__xludf.DUMMYFUNCTION("""COMPUTED_VALUE"""),80.0)</f>
        <v>80</v>
      </c>
      <c r="D495" s="5" t="str">
        <f>IFERROR(__xludf.DUMMYFUNCTION("""COMPUTED_VALUE"""),"בארי")</f>
        <v>בארי</v>
      </c>
      <c r="E495" s="5" t="str">
        <f>IFERROR(__xludf.DUMMYFUNCTION("""COMPUTED_VALUE"""),"גבר")</f>
        <v>גבר</v>
      </c>
      <c r="F495" s="5" t="str">
        <f>IFERROR(__xludf.DUMMYFUNCTION("""COMPUTED_VALUE"""),"אזרחים")</f>
        <v>אזרחים</v>
      </c>
      <c r="G495" s="3"/>
      <c r="H495" s="3" t="str">
        <f>IFERROR(__xludf.DUMMYFUNCTION("""COMPUTED_VALUE"""),"07.10.2023")</f>
        <v>07.10.2023</v>
      </c>
      <c r="I495" s="4" t="str">
        <f>IFERROR(__xludf.DUMMYFUNCTION("""COMPUTED_VALUE"""),"בארי")</f>
        <v>בארי</v>
      </c>
      <c r="J495" s="4" t="str">
        <f>IFERROR(__xludf.DUMMYFUNCTION("""COMPUTED_VALUE"""),"אזרחים וכיתות כוננות")</f>
        <v>אזרחים וכיתות כוננות</v>
      </c>
      <c r="K495" s="5"/>
      <c r="L495" s="3" t="str">
        <f>IFERROR(__xludf.DUMMYFUNCTION("""COMPUTED_VALUE"""),"Ronnie Levy")</f>
        <v>Ronnie Levy</v>
      </c>
      <c r="M495" s="5"/>
    </row>
    <row r="496">
      <c r="A496" s="3">
        <f>IFERROR(__xludf.DUMMYFUNCTION("""COMPUTED_VALUE"""),101.0)</f>
        <v>101</v>
      </c>
      <c r="B496" s="4" t="str">
        <f>IFERROR(__xludf.DUMMYFUNCTION("""COMPUTED_VALUE"""),"לוסב איגור")</f>
        <v>לוסב איגור</v>
      </c>
      <c r="C496" s="3">
        <f>IFERROR(__xludf.DUMMYFUNCTION("""COMPUTED_VALUE"""),58.0)</f>
        <v>58</v>
      </c>
      <c r="D496" s="5" t="str">
        <f>IFERROR(__xludf.DUMMYFUNCTION("""COMPUTED_VALUE"""),"בארי")</f>
        <v>בארי</v>
      </c>
      <c r="E496" s="5" t="str">
        <f>IFERROR(__xludf.DUMMYFUNCTION("""COMPUTED_VALUE"""),"גבר")</f>
        <v>גבר</v>
      </c>
      <c r="F496" s="5" t="str">
        <f>IFERROR(__xludf.DUMMYFUNCTION("""COMPUTED_VALUE"""),"אזרחים")</f>
        <v>אזרחים</v>
      </c>
      <c r="G496" s="3"/>
      <c r="H496" s="3" t="str">
        <f>IFERROR(__xludf.DUMMYFUNCTION("""COMPUTED_VALUE"""),"07.10.2023")</f>
        <v>07.10.2023</v>
      </c>
      <c r="I496" s="4" t="str">
        <f>IFERROR(__xludf.DUMMYFUNCTION("""COMPUTED_VALUE"""),"בארי")</f>
        <v>בארי</v>
      </c>
      <c r="J496" s="4" t="str">
        <f>IFERROR(__xludf.DUMMYFUNCTION("""COMPUTED_VALUE"""),"אזרחים וכיתות כוננות")</f>
        <v>אזרחים וכיתות כוננות</v>
      </c>
      <c r="K496" s="5"/>
      <c r="L496" s="3" t="str">
        <f>IFERROR(__xludf.DUMMYFUNCTION("""COMPUTED_VALUE"""),"Igor Lusev")</f>
        <v>Igor Lusev</v>
      </c>
      <c r="M496" s="5"/>
    </row>
    <row r="497">
      <c r="A497" s="3">
        <f>IFERROR(__xludf.DUMMYFUNCTION("""COMPUTED_VALUE"""),102.0)</f>
        <v>102</v>
      </c>
      <c r="B497" s="4" t="str">
        <f>IFERROR(__xludf.DUMMYFUNCTION("""COMPUTED_VALUE"""),"לוסב מרינה")</f>
        <v>לוסב מרינה</v>
      </c>
      <c r="C497" s="3">
        <f>IFERROR(__xludf.DUMMYFUNCTION("""COMPUTED_VALUE"""),60.0)</f>
        <v>60</v>
      </c>
      <c r="D497" s="5" t="str">
        <f>IFERROR(__xludf.DUMMYFUNCTION("""COMPUTED_VALUE"""),"בארי")</f>
        <v>בארי</v>
      </c>
      <c r="E497" s="5" t="str">
        <f>IFERROR(__xludf.DUMMYFUNCTION("""COMPUTED_VALUE"""),"אישה")</f>
        <v>אישה</v>
      </c>
      <c r="F497" s="5" t="str">
        <f>IFERROR(__xludf.DUMMYFUNCTION("""COMPUTED_VALUE"""),"אזרחים")</f>
        <v>אזרחים</v>
      </c>
      <c r="G497" s="3"/>
      <c r="H497" s="3" t="str">
        <f>IFERROR(__xludf.DUMMYFUNCTION("""COMPUTED_VALUE"""),"07.10.2023")</f>
        <v>07.10.2023</v>
      </c>
      <c r="I497" s="4" t="str">
        <f>IFERROR(__xludf.DUMMYFUNCTION("""COMPUTED_VALUE"""),"בארי")</f>
        <v>בארי</v>
      </c>
      <c r="J497" s="4" t="str">
        <f>IFERROR(__xludf.DUMMYFUNCTION("""COMPUTED_VALUE"""),"אזרחים וכיתות כוננות")</f>
        <v>אזרחים וכיתות כוננות</v>
      </c>
      <c r="K497" s="5"/>
      <c r="L497" s="3" t="str">
        <f>IFERROR(__xludf.DUMMYFUNCTION("""COMPUTED_VALUE"""),"Marina Lusev")</f>
        <v>Marina Lusev</v>
      </c>
      <c r="M497" s="5"/>
    </row>
    <row r="498">
      <c r="A498" s="3">
        <f>IFERROR(__xludf.DUMMYFUNCTION("""COMPUTED_VALUE"""),105.0)</f>
        <v>105</v>
      </c>
      <c r="B498" s="4" t="str">
        <f>IFERROR(__xludf.DUMMYFUNCTION("""COMPUTED_VALUE"""),"מור אבי")</f>
        <v>מור אבי</v>
      </c>
      <c r="C498" s="3">
        <f>IFERROR(__xludf.DUMMYFUNCTION("""COMPUTED_VALUE"""),61.0)</f>
        <v>61</v>
      </c>
      <c r="D498" s="5" t="str">
        <f>IFERROR(__xludf.DUMMYFUNCTION("""COMPUTED_VALUE"""),"בארי")</f>
        <v>בארי</v>
      </c>
      <c r="E498" s="5" t="str">
        <f>IFERROR(__xludf.DUMMYFUNCTION("""COMPUTED_VALUE"""),"גבר")</f>
        <v>גבר</v>
      </c>
      <c r="F498" s="5" t="str">
        <f>IFERROR(__xludf.DUMMYFUNCTION("""COMPUTED_VALUE"""),"אזרחים")</f>
        <v>אזרחים</v>
      </c>
      <c r="G498" s="3"/>
      <c r="H498" s="3" t="str">
        <f>IFERROR(__xludf.DUMMYFUNCTION("""COMPUTED_VALUE"""),"07.10.2023")</f>
        <v>07.10.2023</v>
      </c>
      <c r="I498" s="4" t="str">
        <f>IFERROR(__xludf.DUMMYFUNCTION("""COMPUTED_VALUE"""),"בארי")</f>
        <v>בארי</v>
      </c>
      <c r="J498" s="4" t="str">
        <f>IFERROR(__xludf.DUMMYFUNCTION("""COMPUTED_VALUE"""),"אזרחים וכיתות כוננות")</f>
        <v>אזרחים וכיתות כוננות</v>
      </c>
      <c r="K498" s="5"/>
      <c r="L498" s="3" t="str">
        <f>IFERROR(__xludf.DUMMYFUNCTION("""COMPUTED_VALUE"""),"Avi Mor")</f>
        <v>Avi Mor</v>
      </c>
      <c r="M498" s="5"/>
    </row>
    <row r="499">
      <c r="A499" s="3">
        <f>IFERROR(__xludf.DUMMYFUNCTION("""COMPUTED_VALUE"""),106.0)</f>
        <v>106</v>
      </c>
      <c r="B499" s="4" t="str">
        <f>IFERROR(__xludf.DUMMYFUNCTION("""COMPUTED_VALUE"""),"מורדו רפאל (רפי)")</f>
        <v>מורדו רפאל (רפי)</v>
      </c>
      <c r="C499" s="3">
        <f>IFERROR(__xludf.DUMMYFUNCTION("""COMPUTED_VALUE"""),84.0)</f>
        <v>84</v>
      </c>
      <c r="D499" s="5" t="str">
        <f>IFERROR(__xludf.DUMMYFUNCTION("""COMPUTED_VALUE"""),"בארי")</f>
        <v>בארי</v>
      </c>
      <c r="E499" s="5" t="str">
        <f>IFERROR(__xludf.DUMMYFUNCTION("""COMPUTED_VALUE"""),"גבר")</f>
        <v>גבר</v>
      </c>
      <c r="F499" s="5" t="str">
        <f>IFERROR(__xludf.DUMMYFUNCTION("""COMPUTED_VALUE"""),"אזרחים")</f>
        <v>אזרחים</v>
      </c>
      <c r="G499" s="3"/>
      <c r="H499" s="3" t="str">
        <f>IFERROR(__xludf.DUMMYFUNCTION("""COMPUTED_VALUE"""),"07.10.2023")</f>
        <v>07.10.2023</v>
      </c>
      <c r="I499" s="4" t="str">
        <f>IFERROR(__xludf.DUMMYFUNCTION("""COMPUTED_VALUE"""),"בארי")</f>
        <v>בארי</v>
      </c>
      <c r="J499" s="4" t="str">
        <f>IFERROR(__xludf.DUMMYFUNCTION("""COMPUTED_VALUE"""),"אזרחים וכיתות כוננות")</f>
        <v>אזרחים וכיתות כוננות</v>
      </c>
      <c r="K499" s="5"/>
      <c r="L499" s="3" t="str">
        <f>IFERROR(__xludf.DUMMYFUNCTION("""COMPUTED_VALUE"""),"Raffi Mordo")</f>
        <v>Raffi Mordo</v>
      </c>
      <c r="M499" s="5"/>
    </row>
    <row r="500">
      <c r="A500" s="3">
        <f>IFERROR(__xludf.DUMMYFUNCTION("""COMPUTED_VALUE"""),57.0)</f>
        <v>57</v>
      </c>
      <c r="B500" s="4" t="str">
        <f>IFERROR(__xludf.DUMMYFUNCTION("""COMPUTED_VALUE"""),"מייזנר קרבונה גלית")</f>
        <v>מייזנר קרבונה גלית</v>
      </c>
      <c r="C500" s="3">
        <f>IFERROR(__xludf.DUMMYFUNCTION("""COMPUTED_VALUE"""),66.0)</f>
        <v>66</v>
      </c>
      <c r="D500" s="5" t="str">
        <f>IFERROR(__xludf.DUMMYFUNCTION("""COMPUTED_VALUE"""),"בארי")</f>
        <v>בארי</v>
      </c>
      <c r="E500" s="5" t="str">
        <f>IFERROR(__xludf.DUMMYFUNCTION("""COMPUTED_VALUE"""),"אישה")</f>
        <v>אישה</v>
      </c>
      <c r="F500" s="5" t="str">
        <f>IFERROR(__xludf.DUMMYFUNCTION("""COMPUTED_VALUE"""),"אזרחים")</f>
        <v>אזרחים</v>
      </c>
      <c r="G500" s="3"/>
      <c r="H500" s="3" t="str">
        <f>IFERROR(__xludf.DUMMYFUNCTION("""COMPUTED_VALUE"""),"07.10.2023")</f>
        <v>07.10.2023</v>
      </c>
      <c r="I500" s="4" t="str">
        <f>IFERROR(__xludf.DUMMYFUNCTION("""COMPUTED_VALUE"""),"בארי")</f>
        <v>בארי</v>
      </c>
      <c r="J500" s="4" t="str">
        <f>IFERROR(__xludf.DUMMYFUNCTION("""COMPUTED_VALUE"""),"אזרחים וכיתות כוננות")</f>
        <v>אזרחים וכיתות כוננות</v>
      </c>
      <c r="K500" s="5"/>
      <c r="L500" s="3" t="str">
        <f>IFERROR(__xludf.DUMMYFUNCTION("""COMPUTED_VALUE"""),"Galit Carbone")</f>
        <v>Galit Carbone</v>
      </c>
      <c r="M500" s="5"/>
    </row>
    <row r="501">
      <c r="A501" s="3">
        <f>IFERROR(__xludf.DUMMYFUNCTION("""COMPUTED_VALUE"""),596.0)</f>
        <v>596</v>
      </c>
      <c r="B501" s="4" t="str">
        <f>IFERROR(__xludf.DUMMYFUNCTION("""COMPUTED_VALUE"""),"מילס אלברט (אבלום)")</f>
        <v>מילס אלברט (אבלום)</v>
      </c>
      <c r="C501" s="3">
        <f>IFERROR(__xludf.DUMMYFUNCTION("""COMPUTED_VALUE"""),80.0)</f>
        <v>80</v>
      </c>
      <c r="D501" s="5" t="str">
        <f>IFERROR(__xludf.DUMMYFUNCTION("""COMPUTED_VALUE"""),"בארי")</f>
        <v>בארי</v>
      </c>
      <c r="E501" s="5" t="str">
        <f>IFERROR(__xludf.DUMMYFUNCTION("""COMPUTED_VALUE"""),"גבר")</f>
        <v>גבר</v>
      </c>
      <c r="F501" s="5" t="str">
        <f>IFERROR(__xludf.DUMMYFUNCTION("""COMPUTED_VALUE"""),"אזרחים")</f>
        <v>אזרחים</v>
      </c>
      <c r="G501" s="3"/>
      <c r="H501" s="3" t="str">
        <f>IFERROR(__xludf.DUMMYFUNCTION("""COMPUTED_VALUE"""),"07.10.2023")</f>
        <v>07.10.2023</v>
      </c>
      <c r="I501" s="4" t="str">
        <f>IFERROR(__xludf.DUMMYFUNCTION("""COMPUTED_VALUE"""),"בארי")</f>
        <v>בארי</v>
      </c>
      <c r="J501" s="4" t="str">
        <f>IFERROR(__xludf.DUMMYFUNCTION("""COMPUTED_VALUE"""),"אזרחים וכיתות כוננות")</f>
        <v>אזרחים וכיתות כוננות</v>
      </c>
      <c r="K501" s="5"/>
      <c r="L501" s="3" t="str">
        <f>IFERROR(__xludf.DUMMYFUNCTION("""COMPUTED_VALUE"""),"Albert Avlom Miles")</f>
        <v>Albert Avlom Miles</v>
      </c>
      <c r="M501" s="5"/>
    </row>
    <row r="502">
      <c r="A502" s="3">
        <f>IFERROR(__xludf.DUMMYFUNCTION("""COMPUTED_VALUE"""),103.0)</f>
        <v>103</v>
      </c>
      <c r="B502" s="4" t="str">
        <f>IFERROR(__xludf.DUMMYFUNCTION("""COMPUTED_VALUE"""),"מן עמית")</f>
        <v>מן עמית</v>
      </c>
      <c r="C502" s="3">
        <f>IFERROR(__xludf.DUMMYFUNCTION("""COMPUTED_VALUE"""),22.0)</f>
        <v>22</v>
      </c>
      <c r="D502" s="5" t="str">
        <f>IFERROR(__xludf.DUMMYFUNCTION("""COMPUTED_VALUE"""),"נתיבות")</f>
        <v>נתיבות</v>
      </c>
      <c r="E502" s="5" t="str">
        <f>IFERROR(__xludf.DUMMYFUNCTION("""COMPUTED_VALUE"""),"אישה")</f>
        <v>אישה</v>
      </c>
      <c r="F502" s="5" t="str">
        <f>IFERROR(__xludf.DUMMYFUNCTION("""COMPUTED_VALUE"""),"מגן דוד אדום")</f>
        <v>מגן דוד אדום</v>
      </c>
      <c r="G502" s="3"/>
      <c r="H502" s="3" t="str">
        <f>IFERROR(__xludf.DUMMYFUNCTION("""COMPUTED_VALUE"""),"07.10.2023")</f>
        <v>07.10.2023</v>
      </c>
      <c r="I502" s="4" t="str">
        <f>IFERROR(__xludf.DUMMYFUNCTION("""COMPUTED_VALUE"""),"בארי")</f>
        <v>בארי</v>
      </c>
      <c r="J502" s="4" t="str">
        <f>IFERROR(__xludf.DUMMYFUNCTION("""COMPUTED_VALUE"""),"שוטרים וכוחות הצלה")</f>
        <v>שוטרים וכוחות הצלה</v>
      </c>
      <c r="K502" s="5"/>
      <c r="L502" s="3" t="str">
        <f>IFERROR(__xludf.DUMMYFUNCTION("""COMPUTED_VALUE"""),"Amit Mann")</f>
        <v>Amit Mann</v>
      </c>
      <c r="M502" s="5"/>
    </row>
    <row r="503">
      <c r="A503" s="3">
        <f>IFERROR(__xludf.DUMMYFUNCTION("""COMPUTED_VALUE"""),108.0)</f>
        <v>108</v>
      </c>
      <c r="B503" s="4" t="str">
        <f>IFERROR(__xludf.DUMMYFUNCTION("""COMPUTED_VALUE"""),"נווה מרדכי")</f>
        <v>נווה מרדכי</v>
      </c>
      <c r="C503" s="3">
        <f>IFERROR(__xludf.DUMMYFUNCTION("""COMPUTED_VALUE"""),76.0)</f>
        <v>76</v>
      </c>
      <c r="D503" s="5" t="str">
        <f>IFERROR(__xludf.DUMMYFUNCTION("""COMPUTED_VALUE"""),"בארי")</f>
        <v>בארי</v>
      </c>
      <c r="E503" s="5" t="str">
        <f>IFERROR(__xludf.DUMMYFUNCTION("""COMPUTED_VALUE"""),"גבר")</f>
        <v>גבר</v>
      </c>
      <c r="F503" s="5" t="str">
        <f>IFERROR(__xludf.DUMMYFUNCTION("""COMPUTED_VALUE"""),"אזרחים")</f>
        <v>אזרחים</v>
      </c>
      <c r="G503" s="3"/>
      <c r="H503" s="3" t="str">
        <f>IFERROR(__xludf.DUMMYFUNCTION("""COMPUTED_VALUE"""),"07.10.2023")</f>
        <v>07.10.2023</v>
      </c>
      <c r="I503" s="4" t="str">
        <f>IFERROR(__xludf.DUMMYFUNCTION("""COMPUTED_VALUE"""),"בארי")</f>
        <v>בארי</v>
      </c>
      <c r="J503" s="4" t="str">
        <f>IFERROR(__xludf.DUMMYFUNCTION("""COMPUTED_VALUE"""),"אזרחים וכיתות כוננות")</f>
        <v>אזרחים וכיתות כוננות</v>
      </c>
      <c r="K503" s="5"/>
      <c r="L503" s="3" t="str">
        <f>IFERROR(__xludf.DUMMYFUNCTION("""COMPUTED_VALUE"""),"Mordechai Naveh")</f>
        <v>Mordechai Naveh</v>
      </c>
      <c r="M503" s="5"/>
    </row>
    <row r="504">
      <c r="A504" s="3">
        <f>IFERROR(__xludf.DUMMYFUNCTION("""COMPUTED_VALUE"""),31.0)</f>
        <v>31</v>
      </c>
      <c r="B504" s="4" t="str">
        <f>IFERROR(__xludf.DUMMYFUNCTION("""COMPUTED_VALUE"""),"נטע אדריאן")</f>
        <v>נטע אדריאן</v>
      </c>
      <c r="C504" s="3">
        <f>IFERROR(__xludf.DUMMYFUNCTION("""COMPUTED_VALUE"""),66.0)</f>
        <v>66</v>
      </c>
      <c r="D504" s="5" t="str">
        <f>IFERROR(__xludf.DUMMYFUNCTION("""COMPUTED_VALUE"""),"בארי")</f>
        <v>בארי</v>
      </c>
      <c r="E504" s="5" t="str">
        <f>IFERROR(__xludf.DUMMYFUNCTION("""COMPUTED_VALUE"""),"אישה")</f>
        <v>אישה</v>
      </c>
      <c r="F504" s="5" t="str">
        <f>IFERROR(__xludf.DUMMYFUNCTION("""COMPUTED_VALUE"""),"אזרחים")</f>
        <v>אזרחים</v>
      </c>
      <c r="G504" s="3"/>
      <c r="H504" s="3" t="str">
        <f>IFERROR(__xludf.DUMMYFUNCTION("""COMPUTED_VALUE"""),"07.10.2023")</f>
        <v>07.10.2023</v>
      </c>
      <c r="I504" s="4" t="str">
        <f>IFERROR(__xludf.DUMMYFUNCTION("""COMPUTED_VALUE"""),"בארי")</f>
        <v>בארי</v>
      </c>
      <c r="J504" s="4" t="str">
        <f>IFERROR(__xludf.DUMMYFUNCTION("""COMPUTED_VALUE"""),"אזרחים וכיתות כוננות")</f>
        <v>אזרחים וכיתות כוננות</v>
      </c>
      <c r="K504" s="5"/>
      <c r="L504" s="3" t="str">
        <f>IFERROR(__xludf.DUMMYFUNCTION("""COMPUTED_VALUE"""),"Neta Adrian")</f>
        <v>Neta Adrian</v>
      </c>
      <c r="M504" s="5"/>
    </row>
    <row r="505">
      <c r="A505" s="3">
        <f>IFERROR(__xludf.DUMMYFUNCTION("""COMPUTED_VALUE"""),137.0)</f>
        <v>137</v>
      </c>
      <c r="B505" s="4" t="str">
        <f>IFERROR(__xludf.DUMMYFUNCTION("""COMPUTED_VALUE"""),"סבירסקי רפי")</f>
        <v>סבירסקי רפי</v>
      </c>
      <c r="C505" s="3">
        <f>IFERROR(__xludf.DUMMYFUNCTION("""COMPUTED_VALUE"""),71.0)</f>
        <v>71</v>
      </c>
      <c r="D505" s="5" t="str">
        <f>IFERROR(__xludf.DUMMYFUNCTION("""COMPUTED_VALUE"""),"בארי")</f>
        <v>בארי</v>
      </c>
      <c r="E505" s="5" t="str">
        <f>IFERROR(__xludf.DUMMYFUNCTION("""COMPUTED_VALUE"""),"גבר")</f>
        <v>גבר</v>
      </c>
      <c r="F505" s="5" t="str">
        <f>IFERROR(__xludf.DUMMYFUNCTION("""COMPUTED_VALUE"""),"אזרחים")</f>
        <v>אזרחים</v>
      </c>
      <c r="G505" s="3"/>
      <c r="H505" s="3" t="str">
        <f>IFERROR(__xludf.DUMMYFUNCTION("""COMPUTED_VALUE"""),"07.10.2023")</f>
        <v>07.10.2023</v>
      </c>
      <c r="I505" s="4" t="str">
        <f>IFERROR(__xludf.DUMMYFUNCTION("""COMPUTED_VALUE"""),"בארי")</f>
        <v>בארי</v>
      </c>
      <c r="J505" s="4" t="str">
        <f>IFERROR(__xludf.DUMMYFUNCTION("""COMPUTED_VALUE"""),"אזרחים וכיתות כוננות")</f>
        <v>אזרחים וכיתות כוננות</v>
      </c>
      <c r="K505" s="5"/>
      <c r="L505" s="3" t="str">
        <f>IFERROR(__xludf.DUMMYFUNCTION("""COMPUTED_VALUE"""),"Raffi Svirski")</f>
        <v>Raffi Svirski</v>
      </c>
      <c r="M505" s="5"/>
    </row>
    <row r="506">
      <c r="A506" s="3">
        <f>IFERROR(__xludf.DUMMYFUNCTION("""COMPUTED_VALUE"""),134.0)</f>
        <v>134</v>
      </c>
      <c r="B506" s="4" t="str">
        <f>IFERROR(__xludf.DUMMYFUNCTION("""COMPUTED_VALUE"""),"סוכמן תמי")</f>
        <v>סוכמן תמי</v>
      </c>
      <c r="C506" s="3">
        <f>IFERROR(__xludf.DUMMYFUNCTION("""COMPUTED_VALUE"""),76.0)</f>
        <v>76</v>
      </c>
      <c r="D506" s="5" t="str">
        <f>IFERROR(__xludf.DUMMYFUNCTION("""COMPUTED_VALUE"""),"בארי")</f>
        <v>בארי</v>
      </c>
      <c r="E506" s="5" t="str">
        <f>IFERROR(__xludf.DUMMYFUNCTION("""COMPUTED_VALUE"""),"אישה")</f>
        <v>אישה</v>
      </c>
      <c r="F506" s="5" t="str">
        <f>IFERROR(__xludf.DUMMYFUNCTION("""COMPUTED_VALUE"""),"אזרחים")</f>
        <v>אזרחים</v>
      </c>
      <c r="G506" s="3"/>
      <c r="H506" s="3" t="str">
        <f>IFERROR(__xludf.DUMMYFUNCTION("""COMPUTED_VALUE"""),"07.10.2023")</f>
        <v>07.10.2023</v>
      </c>
      <c r="I506" s="4" t="str">
        <f>IFERROR(__xludf.DUMMYFUNCTION("""COMPUTED_VALUE"""),"בארי")</f>
        <v>בארי</v>
      </c>
      <c r="J506" s="4" t="str">
        <f>IFERROR(__xludf.DUMMYFUNCTION("""COMPUTED_VALUE"""),"אזרחים וכיתות כוננות")</f>
        <v>אזרחים וכיתות כוננות</v>
      </c>
      <c r="K506" s="5"/>
      <c r="L506" s="3" t="str">
        <f>IFERROR(__xludf.DUMMYFUNCTION("""COMPUTED_VALUE"""),"Tamar Sochman")</f>
        <v>Tamar Sochman</v>
      </c>
      <c r="M506" s="5"/>
    </row>
    <row r="507">
      <c r="A507" s="3">
        <f>IFERROR(__xludf.DUMMYFUNCTION("""COMPUTED_VALUE"""),131.0)</f>
        <v>131</v>
      </c>
      <c r="B507" s="4" t="str">
        <f>IFERROR(__xludf.DUMMYFUNCTION("""COMPUTED_VALUE"""),"סיטון חנה")</f>
        <v>סיטון חנה</v>
      </c>
      <c r="C507" s="3">
        <f>IFERROR(__xludf.DUMMYFUNCTION("""COMPUTED_VALUE"""),73.0)</f>
        <v>73</v>
      </c>
      <c r="D507" s="5" t="str">
        <f>IFERROR(__xludf.DUMMYFUNCTION("""COMPUTED_VALUE"""),"הוד השרון")</f>
        <v>הוד השרון</v>
      </c>
      <c r="E507" s="5" t="str">
        <f>IFERROR(__xludf.DUMMYFUNCTION("""COMPUTED_VALUE"""),"אישה")</f>
        <v>אישה</v>
      </c>
      <c r="F507" s="5" t="str">
        <f>IFERROR(__xludf.DUMMYFUNCTION("""COMPUTED_VALUE"""),"אזרחים")</f>
        <v>אזרחים</v>
      </c>
      <c r="G507" s="3"/>
      <c r="H507" s="3" t="str">
        <f>IFERROR(__xludf.DUMMYFUNCTION("""COMPUTED_VALUE"""),"07.10.2023")</f>
        <v>07.10.2023</v>
      </c>
      <c r="I507" s="4" t="str">
        <f>IFERROR(__xludf.DUMMYFUNCTION("""COMPUTED_VALUE"""),"בארי; ארוע בני ערובה")</f>
        <v>בארי; ארוע בני ערובה</v>
      </c>
      <c r="J507" s="4" t="str">
        <f>IFERROR(__xludf.DUMMYFUNCTION("""COMPUTED_VALUE"""),"אזרחים וכיתות כוננות")</f>
        <v>אזרחים וכיתות כוננות</v>
      </c>
      <c r="K507" s="5"/>
      <c r="L507" s="3" t="str">
        <f>IFERROR(__xludf.DUMMYFUNCTION("""COMPUTED_VALUE"""),"Hanna Siton")</f>
        <v>Hanna Siton</v>
      </c>
      <c r="M507" s="5"/>
    </row>
    <row r="508">
      <c r="A508" s="3">
        <f>IFERROR(__xludf.DUMMYFUNCTION("""COMPUTED_VALUE"""),133.0)</f>
        <v>133</v>
      </c>
      <c r="B508" s="4" t="str">
        <f>IFERROR(__xludf.DUMMYFUNCTION("""COMPUTED_VALUE"""),"סיטון טל")</f>
        <v>סיטון טל</v>
      </c>
      <c r="C508" s="3">
        <f>IFERROR(__xludf.DUMMYFUNCTION("""COMPUTED_VALUE"""),49.0)</f>
        <v>49</v>
      </c>
      <c r="D508" s="5" t="str">
        <f>IFERROR(__xludf.DUMMYFUNCTION("""COMPUTED_VALUE"""),"הוד השרון")</f>
        <v>הוד השרון</v>
      </c>
      <c r="E508" s="5" t="str">
        <f>IFERROR(__xludf.DUMMYFUNCTION("""COMPUTED_VALUE"""),"גבר")</f>
        <v>גבר</v>
      </c>
      <c r="F508" s="5" t="str">
        <f>IFERROR(__xludf.DUMMYFUNCTION("""COMPUTED_VALUE"""),"אזרחים")</f>
        <v>אזרחים</v>
      </c>
      <c r="G508" s="3"/>
      <c r="H508" s="3" t="str">
        <f>IFERROR(__xludf.DUMMYFUNCTION("""COMPUTED_VALUE"""),"07.10.2023")</f>
        <v>07.10.2023</v>
      </c>
      <c r="I508" s="4" t="str">
        <f>IFERROR(__xludf.DUMMYFUNCTION("""COMPUTED_VALUE"""),"בארי; ארוע בני ערובה")</f>
        <v>בארי; ארוע בני ערובה</v>
      </c>
      <c r="J508" s="4" t="str">
        <f>IFERROR(__xludf.DUMMYFUNCTION("""COMPUTED_VALUE"""),"אזרחים וכיתות כוננות")</f>
        <v>אזרחים וכיתות כוננות</v>
      </c>
      <c r="K508" s="5"/>
      <c r="L508" s="3" t="str">
        <f>IFERROR(__xludf.DUMMYFUNCTION("""COMPUTED_VALUE"""),"Tal Siton")</f>
        <v>Tal Siton</v>
      </c>
      <c r="M508" s="5"/>
    </row>
    <row r="509">
      <c r="A509" s="3">
        <f>IFERROR(__xludf.DUMMYFUNCTION("""COMPUTED_VALUE"""),132.0)</f>
        <v>132</v>
      </c>
      <c r="B509" s="4" t="str">
        <f>IFERROR(__xludf.DUMMYFUNCTION("""COMPUTED_VALUE"""),"סיטון יצחק")</f>
        <v>סיטון יצחק</v>
      </c>
      <c r="C509" s="3">
        <f>IFERROR(__xludf.DUMMYFUNCTION("""COMPUTED_VALUE"""),76.0)</f>
        <v>76</v>
      </c>
      <c r="D509" s="5" t="str">
        <f>IFERROR(__xludf.DUMMYFUNCTION("""COMPUTED_VALUE"""),"הוד השרון")</f>
        <v>הוד השרון</v>
      </c>
      <c r="E509" s="5" t="str">
        <f>IFERROR(__xludf.DUMMYFUNCTION("""COMPUTED_VALUE"""),"גבר")</f>
        <v>גבר</v>
      </c>
      <c r="F509" s="5" t="str">
        <f>IFERROR(__xludf.DUMMYFUNCTION("""COMPUTED_VALUE"""),"אזרחים")</f>
        <v>אזרחים</v>
      </c>
      <c r="G509" s="3"/>
      <c r="H509" s="3" t="str">
        <f>IFERROR(__xludf.DUMMYFUNCTION("""COMPUTED_VALUE"""),"07.10.2023")</f>
        <v>07.10.2023</v>
      </c>
      <c r="I509" s="4" t="str">
        <f>IFERROR(__xludf.DUMMYFUNCTION("""COMPUTED_VALUE"""),"בארי; ארוע בני ערובה")</f>
        <v>בארי; ארוע בני ערובה</v>
      </c>
      <c r="J509" s="4" t="str">
        <f>IFERROR(__xludf.DUMMYFUNCTION("""COMPUTED_VALUE"""),"אזרחים וכיתות כוננות")</f>
        <v>אזרחים וכיתות כוננות</v>
      </c>
      <c r="K509" s="5"/>
      <c r="L509" s="3" t="str">
        <f>IFERROR(__xludf.DUMMYFUNCTION("""COMPUTED_VALUE"""),"Itzhak Siton")</f>
        <v>Itzhak Siton</v>
      </c>
      <c r="M509" s="5"/>
    </row>
    <row r="510">
      <c r="A510" s="3">
        <f>IFERROR(__xludf.DUMMYFUNCTION("""COMPUTED_VALUE"""),1330.0)</f>
        <v>1330</v>
      </c>
      <c r="B510" s="4" t="str">
        <f>IFERROR(__xludf.DUMMYFUNCTION("""COMPUTED_VALUE"""),"סילבר ויויאן")</f>
        <v>סילבר ויויאן</v>
      </c>
      <c r="C510" s="3">
        <f>IFERROR(__xludf.DUMMYFUNCTION("""COMPUTED_VALUE"""),74.0)</f>
        <v>74</v>
      </c>
      <c r="D510" s="5" t="str">
        <f>IFERROR(__xludf.DUMMYFUNCTION("""COMPUTED_VALUE"""),"בארי")</f>
        <v>בארי</v>
      </c>
      <c r="E510" s="5" t="str">
        <f>IFERROR(__xludf.DUMMYFUNCTION("""COMPUTED_VALUE"""),"אישה")</f>
        <v>אישה</v>
      </c>
      <c r="F510" s="5" t="str">
        <f>IFERROR(__xludf.DUMMYFUNCTION("""COMPUTED_VALUE"""),"אזרחים")</f>
        <v>אזרחים</v>
      </c>
      <c r="G510" s="3"/>
      <c r="H510" s="3" t="str">
        <f>IFERROR(__xludf.DUMMYFUNCTION("""COMPUTED_VALUE"""),"07.10.2023")</f>
        <v>07.10.2023</v>
      </c>
      <c r="I510" s="4" t="str">
        <f>IFERROR(__xludf.DUMMYFUNCTION("""COMPUTED_VALUE"""),"בארי")</f>
        <v>בארי</v>
      </c>
      <c r="J510" s="4" t="str">
        <f>IFERROR(__xludf.DUMMYFUNCTION("""COMPUTED_VALUE"""),"אזרחים וכיתות כוננות")</f>
        <v>אזרחים וכיתות כוננות</v>
      </c>
      <c r="K510" s="5"/>
      <c r="L510" s="3" t="str">
        <f>IFERROR(__xludf.DUMMYFUNCTION("""COMPUTED_VALUE"""),"Vivian Silver")</f>
        <v>Vivian Silver</v>
      </c>
      <c r="M510" s="5"/>
    </row>
    <row r="511">
      <c r="A511" s="3">
        <f>IFERROR(__xludf.DUMMYFUNCTION("""COMPUTED_VALUE"""),136.0)</f>
        <v>136</v>
      </c>
      <c r="B511" s="4" t="str">
        <f>IFERROR(__xludf.DUMMYFUNCTION("""COMPUTED_VALUE"""),"סלע סבירסקי אורית")</f>
        <v>סלע סבירסקי אורית</v>
      </c>
      <c r="C511" s="3">
        <f>IFERROR(__xludf.DUMMYFUNCTION("""COMPUTED_VALUE"""),70.0)</f>
        <v>70</v>
      </c>
      <c r="D511" s="5" t="str">
        <f>IFERROR(__xludf.DUMMYFUNCTION("""COMPUTED_VALUE"""),"בארי")</f>
        <v>בארי</v>
      </c>
      <c r="E511" s="5" t="str">
        <f>IFERROR(__xludf.DUMMYFUNCTION("""COMPUTED_VALUE"""),"אישה")</f>
        <v>אישה</v>
      </c>
      <c r="F511" s="5" t="str">
        <f>IFERROR(__xludf.DUMMYFUNCTION("""COMPUTED_VALUE"""),"אזרחים")</f>
        <v>אזרחים</v>
      </c>
      <c r="G511" s="3"/>
      <c r="H511" s="3" t="str">
        <f>IFERROR(__xludf.DUMMYFUNCTION("""COMPUTED_VALUE"""),"07.10.2023")</f>
        <v>07.10.2023</v>
      </c>
      <c r="I511" s="4" t="str">
        <f>IFERROR(__xludf.DUMMYFUNCTION("""COMPUTED_VALUE"""),"בארי")</f>
        <v>בארי</v>
      </c>
      <c r="J511" s="4" t="str">
        <f>IFERROR(__xludf.DUMMYFUNCTION("""COMPUTED_VALUE"""),"אזרחים וכיתות כוננות")</f>
        <v>אזרחים וכיתות כוננות</v>
      </c>
      <c r="K511" s="5"/>
      <c r="L511" s="3" t="str">
        <f>IFERROR(__xludf.DUMMYFUNCTION("""COMPUTED_VALUE"""),"Orit Svirski")</f>
        <v>Orit Svirski</v>
      </c>
      <c r="M511" s="5"/>
    </row>
    <row r="512">
      <c r="A512" s="3">
        <f>IFERROR(__xludf.DUMMYFUNCTION("""COMPUTED_VALUE"""),72.0)</f>
        <v>72</v>
      </c>
      <c r="B512" s="4" t="str">
        <f>IFERROR(__xludf.DUMMYFUNCTION("""COMPUTED_VALUE"""),"פישביין זערור תכלת")</f>
        <v>פישביין זערור תכלת</v>
      </c>
      <c r="C512" s="3">
        <f>IFERROR(__xludf.DUMMYFUNCTION("""COMPUTED_VALUE"""),18.0)</f>
        <v>18</v>
      </c>
      <c r="D512" s="5" t="str">
        <f>IFERROR(__xludf.DUMMYFUNCTION("""COMPUTED_VALUE"""),"אשדוד")</f>
        <v>אשדוד</v>
      </c>
      <c r="E512" s="5" t="str">
        <f>IFERROR(__xludf.DUMMYFUNCTION("""COMPUTED_VALUE"""),"אישה")</f>
        <v>אישה</v>
      </c>
      <c r="F512" s="5" t="str">
        <f>IFERROR(__xludf.DUMMYFUNCTION("""COMPUTED_VALUE"""),"אזרחים")</f>
        <v>אזרחים</v>
      </c>
      <c r="G512" s="3"/>
      <c r="H512" s="3" t="str">
        <f>IFERROR(__xludf.DUMMYFUNCTION("""COMPUTED_VALUE"""),"07.10.2023")</f>
        <v>07.10.2023</v>
      </c>
      <c r="I512" s="4" t="str">
        <f>IFERROR(__xludf.DUMMYFUNCTION("""COMPUTED_VALUE"""),"בארי")</f>
        <v>בארי</v>
      </c>
      <c r="J512" s="2" t="str">
        <f>IFERROR(__xludf.DUMMYFUNCTION("""COMPUTED_VALUE"""),"אזרחים וכיתות כוננות")</f>
        <v>אזרחים וכיתות כוננות</v>
      </c>
      <c r="K512" s="5"/>
      <c r="L512" s="3" t="str">
        <f>IFERROR(__xludf.DUMMYFUNCTION("""COMPUTED_VALUE"""),"Tchelet Fishbein")</f>
        <v>Tchelet Fishbein</v>
      </c>
      <c r="M512" s="5"/>
    </row>
    <row r="513">
      <c r="A513" s="3">
        <f>IFERROR(__xludf.DUMMYFUNCTION("""COMPUTED_VALUE"""),73.0)</f>
        <v>73</v>
      </c>
      <c r="B513" s="4" t="str">
        <f>IFERROR(__xludf.DUMMYFUNCTION("""COMPUTED_VALUE"""),"פרייליך קפלון מרסל")</f>
        <v>פרייליך קפלון מרסל</v>
      </c>
      <c r="C513" s="3">
        <f>IFERROR(__xludf.DUMMYFUNCTION("""COMPUTED_VALUE"""),64.0)</f>
        <v>64</v>
      </c>
      <c r="D513" s="5" t="str">
        <f>IFERROR(__xludf.DUMMYFUNCTION("""COMPUTED_VALUE"""),"בארי")</f>
        <v>בארי</v>
      </c>
      <c r="E513" s="5" t="str">
        <f>IFERROR(__xludf.DUMMYFUNCTION("""COMPUTED_VALUE"""),"אישה")</f>
        <v>אישה</v>
      </c>
      <c r="F513" s="5" t="str">
        <f>IFERROR(__xludf.DUMMYFUNCTION("""COMPUTED_VALUE"""),"אזרחים")</f>
        <v>אזרחים</v>
      </c>
      <c r="G513" s="3"/>
      <c r="H513" s="3" t="str">
        <f>IFERROR(__xludf.DUMMYFUNCTION("""COMPUTED_VALUE"""),"07.10.2023")</f>
        <v>07.10.2023</v>
      </c>
      <c r="I513" s="4" t="str">
        <f>IFERROR(__xludf.DUMMYFUNCTION("""COMPUTED_VALUE"""),"בארי")</f>
        <v>בארי</v>
      </c>
      <c r="J513" s="4" t="str">
        <f>IFERROR(__xludf.DUMMYFUNCTION("""COMPUTED_VALUE"""),"אזרחים וכיתות כוננות")</f>
        <v>אזרחים וכיתות כוננות</v>
      </c>
      <c r="K513" s="5"/>
      <c r="L513" s="3" t="str">
        <f>IFERROR(__xludf.DUMMYFUNCTION("""COMPUTED_VALUE"""),"Marcel Frailich")</f>
        <v>Marcel Frailich</v>
      </c>
      <c r="M513" s="5"/>
    </row>
    <row r="514">
      <c r="A514" s="3">
        <f>IFERROR(__xludf.DUMMYFUNCTION("""COMPUTED_VALUE"""),1479.0)</f>
        <v>1479</v>
      </c>
      <c r="B514" s="4" t="str">
        <f>IFERROR(__xludf.DUMMYFUNCTION("""COMPUTED_VALUE"""),"פריקר יונה")</f>
        <v>פריקר יונה</v>
      </c>
      <c r="C514" s="3">
        <f>IFERROR(__xludf.DUMMYFUNCTION("""COMPUTED_VALUE"""),69.0)</f>
        <v>69</v>
      </c>
      <c r="D514" s="5" t="str">
        <f>IFERROR(__xludf.DUMMYFUNCTION("""COMPUTED_VALUE"""),"בארי")</f>
        <v>בארי</v>
      </c>
      <c r="E514" s="5" t="str">
        <f>IFERROR(__xludf.DUMMYFUNCTION("""COMPUTED_VALUE"""),"אישה")</f>
        <v>אישה</v>
      </c>
      <c r="F514" s="5" t="str">
        <f>IFERROR(__xludf.DUMMYFUNCTION("""COMPUTED_VALUE"""),"אזרחים")</f>
        <v>אזרחים</v>
      </c>
      <c r="G514" s="3"/>
      <c r="H514" s="3" t="str">
        <f>IFERROR(__xludf.DUMMYFUNCTION("""COMPUTED_VALUE"""),"07.10.2023")</f>
        <v>07.10.2023</v>
      </c>
      <c r="I514" s="4" t="str">
        <f>IFERROR(__xludf.DUMMYFUNCTION("""COMPUTED_VALUE"""),"בארי")</f>
        <v>בארי</v>
      </c>
      <c r="J514" s="4" t="str">
        <f>IFERROR(__xludf.DUMMYFUNCTION("""COMPUTED_VALUE"""),"אזרחים וכיתות כוננות")</f>
        <v>אזרחים וכיתות כוננות</v>
      </c>
      <c r="K514" s="5"/>
      <c r="L514" s="3" t="str">
        <f>IFERROR(__xludf.DUMMYFUNCTION("""COMPUTED_VALUE"""),"Yona Fricker")</f>
        <v>Yona Fricker</v>
      </c>
      <c r="M514" s="5"/>
    </row>
    <row r="515">
      <c r="A515" s="3">
        <f>IFERROR(__xludf.DUMMYFUNCTION("""COMPUTED_VALUE"""),63.0)</f>
        <v>63</v>
      </c>
      <c r="B515" s="4" t="str">
        <f>IFERROR(__xludf.DUMMYFUNCTION("""COMPUTED_VALUE"""),"קוזין יצחק")</f>
        <v>קוזין יצחק</v>
      </c>
      <c r="C515" s="3">
        <f>IFERROR(__xludf.DUMMYFUNCTION("""COMPUTED_VALUE"""),72.0)</f>
        <v>72</v>
      </c>
      <c r="D515" s="5" t="str">
        <f>IFERROR(__xludf.DUMMYFUNCTION("""COMPUTED_VALUE"""),"בארי")</f>
        <v>בארי</v>
      </c>
      <c r="E515" s="5" t="str">
        <f>IFERROR(__xludf.DUMMYFUNCTION("""COMPUTED_VALUE"""),"גבר")</f>
        <v>גבר</v>
      </c>
      <c r="F515" s="5" t="str">
        <f>IFERROR(__xludf.DUMMYFUNCTION("""COMPUTED_VALUE"""),"אזרחים")</f>
        <v>אזרחים</v>
      </c>
      <c r="G515" s="3"/>
      <c r="H515" s="3" t="str">
        <f>IFERROR(__xludf.DUMMYFUNCTION("""COMPUTED_VALUE"""),"07.10.2023")</f>
        <v>07.10.2023</v>
      </c>
      <c r="I515" s="4" t="str">
        <f>IFERROR(__xludf.DUMMYFUNCTION("""COMPUTED_VALUE"""),"בארי")</f>
        <v>בארי</v>
      </c>
      <c r="J515" s="2" t="str">
        <f>IFERROR(__xludf.DUMMYFUNCTION("""COMPUTED_VALUE"""),"אזרחים וכיתות כוננות")</f>
        <v>אזרחים וכיתות כוננות</v>
      </c>
      <c r="K515" s="5"/>
      <c r="L515" s="3" t="str">
        <f>IFERROR(__xludf.DUMMYFUNCTION("""COMPUTED_VALUE"""),"Yitzhak Cozin")</f>
        <v>Yitzhak Cozin</v>
      </c>
      <c r="M515" s="5"/>
    </row>
    <row r="516">
      <c r="A516" s="3">
        <f>IFERROR(__xludf.DUMMYFUNCTION("""COMPUTED_VALUE"""),93.0)</f>
        <v>93</v>
      </c>
      <c r="B516" s="4" t="str">
        <f>IFERROR(__xludf.DUMMYFUNCTION("""COMPUTED_VALUE"""),"קידר סמי")</f>
        <v>קידר סמי</v>
      </c>
      <c r="C516" s="3">
        <f>IFERROR(__xludf.DUMMYFUNCTION("""COMPUTED_VALUE"""),71.0)</f>
        <v>71</v>
      </c>
      <c r="D516" s="5" t="str">
        <f>IFERROR(__xludf.DUMMYFUNCTION("""COMPUTED_VALUE"""),"בארי")</f>
        <v>בארי</v>
      </c>
      <c r="E516" s="5" t="str">
        <f>IFERROR(__xludf.DUMMYFUNCTION("""COMPUTED_VALUE"""),"גבר")</f>
        <v>גבר</v>
      </c>
      <c r="F516" s="5" t="str">
        <f>IFERROR(__xludf.DUMMYFUNCTION("""COMPUTED_VALUE"""),"אזרחים")</f>
        <v>אזרחים</v>
      </c>
      <c r="G516" s="3"/>
      <c r="H516" s="3" t="str">
        <f>IFERROR(__xludf.DUMMYFUNCTION("""COMPUTED_VALUE"""),"07.10.2023")</f>
        <v>07.10.2023</v>
      </c>
      <c r="I516" s="4" t="str">
        <f>IFERROR(__xludf.DUMMYFUNCTION("""COMPUTED_VALUE"""),"בארי")</f>
        <v>בארי</v>
      </c>
      <c r="J516" s="4" t="str">
        <f>IFERROR(__xludf.DUMMYFUNCTION("""COMPUTED_VALUE"""),"אזרחים וכיתות כוננות")</f>
        <v>אזרחים וכיתות כוננות</v>
      </c>
      <c r="K516" s="5"/>
      <c r="L516" s="3" t="str">
        <f>IFERROR(__xludf.DUMMYFUNCTION("""COMPUTED_VALUE"""),"Sami Keidar")</f>
        <v>Sami Keidar</v>
      </c>
      <c r="M516" s="5"/>
    </row>
    <row r="517">
      <c r="A517" s="3">
        <f>IFERROR(__xludf.DUMMYFUNCTION("""COMPUTED_VALUE"""),96.0)</f>
        <v>96</v>
      </c>
      <c r="B517" s="4" t="str">
        <f>IFERROR(__xludf.DUMMYFUNCTION("""COMPUTED_VALUE"""),"קיפניס אביתר (תרי)")</f>
        <v>קיפניס אביתר (תרי)</v>
      </c>
      <c r="C517" s="3">
        <f>IFERROR(__xludf.DUMMYFUNCTION("""COMPUTED_VALUE"""),65.0)</f>
        <v>65</v>
      </c>
      <c r="D517" s="5" t="str">
        <f>IFERROR(__xludf.DUMMYFUNCTION("""COMPUTED_VALUE"""),"בארי")</f>
        <v>בארי</v>
      </c>
      <c r="E517" s="5" t="str">
        <f>IFERROR(__xludf.DUMMYFUNCTION("""COMPUTED_VALUE"""),"גבר")</f>
        <v>גבר</v>
      </c>
      <c r="F517" s="5" t="str">
        <f>IFERROR(__xludf.DUMMYFUNCTION("""COMPUTED_VALUE"""),"אזרחים")</f>
        <v>אזרחים</v>
      </c>
      <c r="G517" s="3"/>
      <c r="H517" s="3" t="str">
        <f>IFERROR(__xludf.DUMMYFUNCTION("""COMPUTED_VALUE"""),"07.10.2023")</f>
        <v>07.10.2023</v>
      </c>
      <c r="I517" s="4" t="str">
        <f>IFERROR(__xludf.DUMMYFUNCTION("""COMPUTED_VALUE"""),"בארי")</f>
        <v>בארי</v>
      </c>
      <c r="J517" s="2" t="str">
        <f>IFERROR(__xludf.DUMMYFUNCTION("""COMPUTED_VALUE"""),"אזרחים וכיתות כוננות")</f>
        <v>אזרחים וכיתות כוננות</v>
      </c>
      <c r="K517" s="5"/>
      <c r="L517" s="3" t="str">
        <f>IFERROR(__xludf.DUMMYFUNCTION("""COMPUTED_VALUE"""),"Evyatar Kipnis")</f>
        <v>Evyatar Kipnis</v>
      </c>
      <c r="M517" s="5"/>
    </row>
    <row r="518">
      <c r="A518" s="3">
        <f>IFERROR(__xludf.DUMMYFUNCTION("""COMPUTED_VALUE"""),95.0)</f>
        <v>95</v>
      </c>
      <c r="B518" s="4" t="str">
        <f>IFERROR(__xludf.DUMMYFUNCTION("""COMPUTED_VALUE"""),"קיפניס לילך")</f>
        <v>קיפניס לילך</v>
      </c>
      <c r="C518" s="3">
        <f>IFERROR(__xludf.DUMMYFUNCTION("""COMPUTED_VALUE"""),60.0)</f>
        <v>60</v>
      </c>
      <c r="D518" s="5" t="str">
        <f>IFERROR(__xludf.DUMMYFUNCTION("""COMPUTED_VALUE"""),"בארי")</f>
        <v>בארי</v>
      </c>
      <c r="E518" s="5" t="str">
        <f>IFERROR(__xludf.DUMMYFUNCTION("""COMPUTED_VALUE"""),"אישה")</f>
        <v>אישה</v>
      </c>
      <c r="F518" s="5" t="str">
        <f>IFERROR(__xludf.DUMMYFUNCTION("""COMPUTED_VALUE"""),"אזרחים")</f>
        <v>אזרחים</v>
      </c>
      <c r="G518" s="3"/>
      <c r="H518" s="3" t="str">
        <f>IFERROR(__xludf.DUMMYFUNCTION("""COMPUTED_VALUE"""),"07.10.2023")</f>
        <v>07.10.2023</v>
      </c>
      <c r="I518" s="4" t="str">
        <f>IFERROR(__xludf.DUMMYFUNCTION("""COMPUTED_VALUE"""),"בארי")</f>
        <v>בארי</v>
      </c>
      <c r="J518" s="2" t="str">
        <f>IFERROR(__xludf.DUMMYFUNCTION("""COMPUTED_VALUE"""),"אזרחים וכיתות כוננות")</f>
        <v>אזרחים וכיתות כוננות</v>
      </c>
      <c r="K518" s="5"/>
      <c r="L518" s="3" t="str">
        <f>IFERROR(__xludf.DUMMYFUNCTION("""COMPUTED_VALUE"""),"Lilach Kipnis")</f>
        <v>Lilach Kipnis</v>
      </c>
      <c r="M518" s="5"/>
    </row>
    <row r="519">
      <c r="A519" s="3">
        <f>IFERROR(__xludf.DUMMYFUNCTION("""COMPUTED_VALUE"""),90.0)</f>
        <v>90</v>
      </c>
      <c r="B519" s="4" t="str">
        <f>IFERROR(__xludf.DUMMYFUNCTION("""COMPUTED_VALUE"""),"קלדרון רותם")</f>
        <v>קלדרון רותם</v>
      </c>
      <c r="C519" s="3">
        <f>IFERROR(__xludf.DUMMYFUNCTION("""COMPUTED_VALUE"""),66.0)</f>
        <v>66</v>
      </c>
      <c r="D519" s="5" t="str">
        <f>IFERROR(__xludf.DUMMYFUNCTION("""COMPUTED_VALUE"""),"בארי")</f>
        <v>בארי</v>
      </c>
      <c r="E519" s="5" t="str">
        <f>IFERROR(__xludf.DUMMYFUNCTION("""COMPUTED_VALUE"""),"אישה")</f>
        <v>אישה</v>
      </c>
      <c r="F519" s="5" t="str">
        <f>IFERROR(__xludf.DUMMYFUNCTION("""COMPUTED_VALUE"""),"אזרחים")</f>
        <v>אזרחים</v>
      </c>
      <c r="G519" s="3"/>
      <c r="H519" s="3" t="str">
        <f>IFERROR(__xludf.DUMMYFUNCTION("""COMPUTED_VALUE"""),"07.10.2023")</f>
        <v>07.10.2023</v>
      </c>
      <c r="I519" s="4" t="str">
        <f>IFERROR(__xludf.DUMMYFUNCTION("""COMPUTED_VALUE"""),"בארי")</f>
        <v>בארי</v>
      </c>
      <c r="J519" s="4" t="str">
        <f>IFERROR(__xludf.DUMMYFUNCTION("""COMPUTED_VALUE"""),"אזרחים וכיתות כוננות")</f>
        <v>אזרחים וכיתות כוננות</v>
      </c>
      <c r="K519" s="5"/>
      <c r="L519" s="3" t="str">
        <f>IFERROR(__xludf.DUMMYFUNCTION("""COMPUTED_VALUE"""),"Rotem Kalderon")</f>
        <v>Rotem Kalderon</v>
      </c>
      <c r="M519" s="5"/>
    </row>
    <row r="520">
      <c r="A520" s="3">
        <f>IFERROR(__xludf.DUMMYFUNCTION("""COMPUTED_VALUE"""),91.0)</f>
        <v>91</v>
      </c>
      <c r="B520" s="4" t="str">
        <f>IFERROR(__xludf.DUMMYFUNCTION("""COMPUTED_VALUE"""),"קפלון דרור")</f>
        <v>קפלון דרור</v>
      </c>
      <c r="C520" s="3">
        <f>IFERROR(__xludf.DUMMYFUNCTION("""COMPUTED_VALUE"""),68.0)</f>
        <v>68</v>
      </c>
      <c r="D520" s="5" t="str">
        <f>IFERROR(__xludf.DUMMYFUNCTION("""COMPUTED_VALUE"""),"בארי")</f>
        <v>בארי</v>
      </c>
      <c r="E520" s="5" t="str">
        <f>IFERROR(__xludf.DUMMYFUNCTION("""COMPUTED_VALUE"""),"גבר")</f>
        <v>גבר</v>
      </c>
      <c r="F520" s="5" t="str">
        <f>IFERROR(__xludf.DUMMYFUNCTION("""COMPUTED_VALUE"""),"אזרחים")</f>
        <v>אזרחים</v>
      </c>
      <c r="G520" s="3"/>
      <c r="H520" s="3" t="str">
        <f>IFERROR(__xludf.DUMMYFUNCTION("""COMPUTED_VALUE"""),"07.10.2023")</f>
        <v>07.10.2023</v>
      </c>
      <c r="I520" s="4" t="str">
        <f>IFERROR(__xludf.DUMMYFUNCTION("""COMPUTED_VALUE"""),"בארי")</f>
        <v>בארי</v>
      </c>
      <c r="J520" s="4" t="str">
        <f>IFERROR(__xludf.DUMMYFUNCTION("""COMPUTED_VALUE"""),"אזרחים וכיתות כוננות")</f>
        <v>אזרחים וכיתות כוננות</v>
      </c>
      <c r="K520" s="5"/>
      <c r="L520" s="3" t="str">
        <f>IFERROR(__xludf.DUMMYFUNCTION("""COMPUTED_VALUE"""),"Dror Kaplun")</f>
        <v>Dror Kaplun</v>
      </c>
      <c r="M520" s="5"/>
    </row>
    <row r="521">
      <c r="A521" s="3">
        <f>IFERROR(__xludf.DUMMYFUNCTION("""COMPUTED_VALUE"""),58.0)</f>
        <v>58</v>
      </c>
      <c r="B521" s="4" t="str">
        <f>IFERROR(__xludf.DUMMYFUNCTION("""COMPUTED_VALUE"""),"קרול דוד")</f>
        <v>קרול דוד</v>
      </c>
      <c r="C521" s="3">
        <f>IFERROR(__xludf.DUMMYFUNCTION("""COMPUTED_VALUE"""),72.0)</f>
        <v>72</v>
      </c>
      <c r="D521" s="5" t="str">
        <f>IFERROR(__xludf.DUMMYFUNCTION("""COMPUTED_VALUE"""),"בארי")</f>
        <v>בארי</v>
      </c>
      <c r="E521" s="5" t="str">
        <f>IFERROR(__xludf.DUMMYFUNCTION("""COMPUTED_VALUE"""),"גבר")</f>
        <v>גבר</v>
      </c>
      <c r="F521" s="5" t="str">
        <f>IFERROR(__xludf.DUMMYFUNCTION("""COMPUTED_VALUE"""),"אזרחים")</f>
        <v>אזרחים</v>
      </c>
      <c r="G521" s="3"/>
      <c r="H521" s="3" t="str">
        <f>IFERROR(__xludf.DUMMYFUNCTION("""COMPUTED_VALUE"""),"07.10.2023")</f>
        <v>07.10.2023</v>
      </c>
      <c r="I521" s="4" t="str">
        <f>IFERROR(__xludf.DUMMYFUNCTION("""COMPUTED_VALUE"""),"בארי")</f>
        <v>בארי</v>
      </c>
      <c r="J521" s="4" t="str">
        <f>IFERROR(__xludf.DUMMYFUNCTION("""COMPUTED_VALUE"""),"אזרחים וכיתות כוננות")</f>
        <v>אזרחים וכיתות כוננות</v>
      </c>
      <c r="K521" s="5"/>
      <c r="L521" s="3" t="str">
        <f>IFERROR(__xludf.DUMMYFUNCTION("""COMPUTED_VALUE"""),"David Carol")</f>
        <v>David Carol</v>
      </c>
      <c r="M521" s="5"/>
    </row>
    <row r="522">
      <c r="A522" s="3">
        <f>IFERROR(__xludf.DUMMYFUNCTION("""COMPUTED_VALUE"""),148.0)</f>
        <v>148</v>
      </c>
      <c r="B522" s="4" t="str">
        <f>IFERROR(__xludf.DUMMYFUNCTION("""COMPUTED_VALUE"""),"קריצמן חנה")</f>
        <v>קריצמן חנה</v>
      </c>
      <c r="C522" s="3">
        <f>IFERROR(__xludf.DUMMYFUNCTION("""COMPUTED_VALUE"""),88.0)</f>
        <v>88</v>
      </c>
      <c r="D522" s="5" t="str">
        <f>IFERROR(__xludf.DUMMYFUNCTION("""COMPUTED_VALUE"""),"בארי")</f>
        <v>בארי</v>
      </c>
      <c r="E522" s="5" t="str">
        <f>IFERROR(__xludf.DUMMYFUNCTION("""COMPUTED_VALUE"""),"אישה")</f>
        <v>אישה</v>
      </c>
      <c r="F522" s="5" t="str">
        <f>IFERROR(__xludf.DUMMYFUNCTION("""COMPUTED_VALUE"""),"אזרחים")</f>
        <v>אזרחים</v>
      </c>
      <c r="G522" s="3"/>
      <c r="H522" s="3" t="str">
        <f>IFERROR(__xludf.DUMMYFUNCTION("""COMPUTED_VALUE"""),"07.10.2023")</f>
        <v>07.10.2023</v>
      </c>
      <c r="I522" s="4" t="str">
        <f>IFERROR(__xludf.DUMMYFUNCTION("""COMPUTED_VALUE"""),"בארי")</f>
        <v>בארי</v>
      </c>
      <c r="J522" s="4" t="str">
        <f>IFERROR(__xludf.DUMMYFUNCTION("""COMPUTED_VALUE"""),"אזרחים וכיתות כוננות")</f>
        <v>אזרחים וכיתות כוננות</v>
      </c>
      <c r="K522" s="5"/>
      <c r="L522" s="3" t="str">
        <f>IFERROR(__xludf.DUMMYFUNCTION("""COMPUTED_VALUE"""),"Hanna Kritzman")</f>
        <v>Hanna Kritzman</v>
      </c>
      <c r="M522" s="5"/>
    </row>
    <row r="523">
      <c r="A523" s="3">
        <f>IFERROR(__xludf.DUMMYFUNCTION("""COMPUTED_VALUE"""),113.0)</f>
        <v>113</v>
      </c>
      <c r="B523" s="4" t="str">
        <f>IFERROR(__xludf.DUMMYFUNCTION("""COMPUTED_VALUE"""),"רידר דור")</f>
        <v>רידר דור</v>
      </c>
      <c r="C523" s="3">
        <f>IFERROR(__xludf.DUMMYFUNCTION("""COMPUTED_VALUE"""),21.0)</f>
        <v>21</v>
      </c>
      <c r="D523" s="5" t="str">
        <f>IFERROR(__xludf.DUMMYFUNCTION("""COMPUTED_VALUE"""),"סעד")</f>
        <v>סעד</v>
      </c>
      <c r="E523" s="5" t="str">
        <f>IFERROR(__xludf.DUMMYFUNCTION("""COMPUTED_VALUE"""),"גבר")</f>
        <v>גבר</v>
      </c>
      <c r="F523" s="5" t="str">
        <f>IFERROR(__xludf.DUMMYFUNCTION("""COMPUTED_VALUE"""),"אזרחים")</f>
        <v>אזרחים</v>
      </c>
      <c r="G523" s="3"/>
      <c r="H523" s="3" t="str">
        <f>IFERROR(__xludf.DUMMYFUNCTION("""COMPUTED_VALUE"""),"07.10.2023")</f>
        <v>07.10.2023</v>
      </c>
      <c r="I523" s="4" t="str">
        <f>IFERROR(__xludf.DUMMYFUNCTION("""COMPUTED_VALUE"""),"בארי")</f>
        <v>בארי</v>
      </c>
      <c r="J523" s="4" t="str">
        <f>IFERROR(__xludf.DUMMYFUNCTION("""COMPUTED_VALUE"""),"אזרחים וכיתות כוננות")</f>
        <v>אזרחים וכיתות כוננות</v>
      </c>
      <c r="K523" s="5"/>
      <c r="L523" s="3" t="str">
        <f>IFERROR(__xludf.DUMMYFUNCTION("""COMPUTED_VALUE"""),"Dor Rider")</f>
        <v>Dor Rider</v>
      </c>
      <c r="M523" s="5"/>
    </row>
    <row r="524">
      <c r="A524" s="3">
        <f>IFERROR(__xludf.DUMMYFUNCTION("""COMPUTED_VALUE"""),112.0)</f>
        <v>112</v>
      </c>
      <c r="B524" s="4" t="str">
        <f>IFERROR(__xludf.DUMMYFUNCTION("""COMPUTED_VALUE"""),"רפופורט יונתן")</f>
        <v>רפופורט יונתן</v>
      </c>
      <c r="C524" s="3">
        <f>IFERROR(__xludf.DUMMYFUNCTION("""COMPUTED_VALUE"""),40.0)</f>
        <v>40</v>
      </c>
      <c r="D524" s="5" t="str">
        <f>IFERROR(__xludf.DUMMYFUNCTION("""COMPUTED_VALUE"""),"בארי")</f>
        <v>בארי</v>
      </c>
      <c r="E524" s="5" t="str">
        <f>IFERROR(__xludf.DUMMYFUNCTION("""COMPUTED_VALUE"""),"גבר")</f>
        <v>גבר</v>
      </c>
      <c r="F524" s="5" t="str">
        <f>IFERROR(__xludf.DUMMYFUNCTION("""COMPUTED_VALUE"""),"אזרחים")</f>
        <v>אזרחים</v>
      </c>
      <c r="G524" s="3"/>
      <c r="H524" s="3" t="str">
        <f>IFERROR(__xludf.DUMMYFUNCTION("""COMPUTED_VALUE"""),"07.10.2023")</f>
        <v>07.10.2023</v>
      </c>
      <c r="I524" s="4" t="str">
        <f>IFERROR(__xludf.DUMMYFUNCTION("""COMPUTED_VALUE"""),"בארי")</f>
        <v>בארי</v>
      </c>
      <c r="J524" s="4" t="str">
        <f>IFERROR(__xludf.DUMMYFUNCTION("""COMPUTED_VALUE"""),"אזרחים וכיתות כוננות")</f>
        <v>אזרחים וכיתות כוננות</v>
      </c>
      <c r="K524" s="5"/>
      <c r="L524" s="3" t="str">
        <f>IFERROR(__xludf.DUMMYFUNCTION("""COMPUTED_VALUE"""),"Jonathan Rappaport")</f>
        <v>Jonathan Rappaport</v>
      </c>
      <c r="M524" s="5"/>
    </row>
    <row r="525">
      <c r="A525" s="3">
        <f>IFERROR(__xludf.DUMMYFUNCTION("""COMPUTED_VALUE"""),129.0)</f>
        <v>129</v>
      </c>
      <c r="B525" s="4" t="str">
        <f>IFERROR(__xludf.DUMMYFUNCTION("""COMPUTED_VALUE"""),"שוש נוי")</f>
        <v>שוש נוי</v>
      </c>
      <c r="C525" s="3">
        <f>IFERROR(__xludf.DUMMYFUNCTION("""COMPUTED_VALUE"""),36.0)</f>
        <v>36</v>
      </c>
      <c r="D525" s="5" t="str">
        <f>IFERROR(__xludf.DUMMYFUNCTION("""COMPUTED_VALUE"""),"בארי")</f>
        <v>בארי</v>
      </c>
      <c r="E525" s="5" t="str">
        <f>IFERROR(__xludf.DUMMYFUNCTION("""COMPUTED_VALUE"""),"גבר")</f>
        <v>גבר</v>
      </c>
      <c r="F525" s="5" t="str">
        <f>IFERROR(__xludf.DUMMYFUNCTION("""COMPUTED_VALUE"""),"כיתות כוננות")</f>
        <v>כיתות כוננות</v>
      </c>
      <c r="G525" s="3" t="str">
        <f>IFERROR(__xludf.DUMMYFUNCTION("""COMPUTED_VALUE"""),"רס״ן")</f>
        <v>רס״ן</v>
      </c>
      <c r="H525" s="3" t="str">
        <f>IFERROR(__xludf.DUMMYFUNCTION("""COMPUTED_VALUE"""),"07.10.2023")</f>
        <v>07.10.2023</v>
      </c>
      <c r="I525" s="4" t="str">
        <f>IFERROR(__xludf.DUMMYFUNCTION("""COMPUTED_VALUE"""),"בארי")</f>
        <v>בארי</v>
      </c>
      <c r="J525" s="4" t="str">
        <f>IFERROR(__xludf.DUMMYFUNCTION("""COMPUTED_VALUE"""),"אזרחים וכיתות כוננות")</f>
        <v>אזרחים וכיתות כוננות</v>
      </c>
      <c r="K525" s="5"/>
      <c r="L525" s="3" t="str">
        <f>IFERROR(__xludf.DUMMYFUNCTION("""COMPUTED_VALUE"""),"Noy Shosh")</f>
        <v>Noy Shosh</v>
      </c>
      <c r="M525" s="5"/>
    </row>
    <row r="526">
      <c r="A526" s="3">
        <f>IFERROR(__xludf.DUMMYFUNCTION("""COMPUTED_VALUE"""),121.0)</f>
        <v>121</v>
      </c>
      <c r="B526" s="4" t="str">
        <f>IFERROR(__xludf.DUMMYFUNCTION("""COMPUTED_VALUE"""),"שרעבי יהל")</f>
        <v>שרעבי יהל</v>
      </c>
      <c r="C526" s="3">
        <f>IFERROR(__xludf.DUMMYFUNCTION("""COMPUTED_VALUE"""),13.0)</f>
        <v>13</v>
      </c>
      <c r="D526" s="5" t="str">
        <f>IFERROR(__xludf.DUMMYFUNCTION("""COMPUTED_VALUE"""),"בארי")</f>
        <v>בארי</v>
      </c>
      <c r="E526" s="5" t="str">
        <f>IFERROR(__xludf.DUMMYFUNCTION("""COMPUTED_VALUE"""),"ילדה")</f>
        <v>ילדה</v>
      </c>
      <c r="F526" s="5" t="str">
        <f>IFERROR(__xludf.DUMMYFUNCTION("""COMPUTED_VALUE"""),"אזרחים")</f>
        <v>אזרחים</v>
      </c>
      <c r="G526" s="5"/>
      <c r="H526" s="3" t="str">
        <f>IFERROR(__xludf.DUMMYFUNCTION("""COMPUTED_VALUE"""),"07.10.2023")</f>
        <v>07.10.2023</v>
      </c>
      <c r="I526" s="4" t="str">
        <f>IFERROR(__xludf.DUMMYFUNCTION("""COMPUTED_VALUE"""),"בארי")</f>
        <v>בארי</v>
      </c>
      <c r="J526" s="4" t="str">
        <f>IFERROR(__xludf.DUMMYFUNCTION("""COMPUTED_VALUE"""),"אזרחים וכיתות כוננות")</f>
        <v>אזרחים וכיתות כוננות</v>
      </c>
      <c r="K526" s="5"/>
      <c r="L526" s="3" t="str">
        <f>IFERROR(__xludf.DUMMYFUNCTION("""COMPUTED_VALUE"""),"Yahel Sharabi")</f>
        <v>Yahel Sharabi</v>
      </c>
      <c r="M526" s="5"/>
    </row>
    <row r="527">
      <c r="A527" s="3">
        <f>IFERROR(__xludf.DUMMYFUNCTION("""COMPUTED_VALUE"""),119.0)</f>
        <v>119</v>
      </c>
      <c r="B527" s="4" t="str">
        <f>IFERROR(__xludf.DUMMYFUNCTION("""COMPUTED_VALUE"""),"שרעבי ליאן")</f>
        <v>שרעבי ליאן</v>
      </c>
      <c r="C527" s="3">
        <f>IFERROR(__xludf.DUMMYFUNCTION("""COMPUTED_VALUE"""),48.0)</f>
        <v>48</v>
      </c>
      <c r="D527" s="5" t="str">
        <f>IFERROR(__xludf.DUMMYFUNCTION("""COMPUTED_VALUE"""),"בארי")</f>
        <v>בארי</v>
      </c>
      <c r="E527" s="5" t="str">
        <f>IFERROR(__xludf.DUMMYFUNCTION("""COMPUTED_VALUE"""),"אישה")</f>
        <v>אישה</v>
      </c>
      <c r="F527" s="5" t="str">
        <f>IFERROR(__xludf.DUMMYFUNCTION("""COMPUTED_VALUE"""),"אזרחים")</f>
        <v>אזרחים</v>
      </c>
      <c r="G527" s="5"/>
      <c r="H527" s="3" t="str">
        <f>IFERROR(__xludf.DUMMYFUNCTION("""COMPUTED_VALUE"""),"07.10.2023")</f>
        <v>07.10.2023</v>
      </c>
      <c r="I527" s="4" t="str">
        <f>IFERROR(__xludf.DUMMYFUNCTION("""COMPUTED_VALUE"""),"בארי")</f>
        <v>בארי</v>
      </c>
      <c r="J527" s="4" t="str">
        <f>IFERROR(__xludf.DUMMYFUNCTION("""COMPUTED_VALUE"""),"אזרחים וכיתות כוננות")</f>
        <v>אזרחים וכיתות כוננות</v>
      </c>
      <c r="K527" s="5"/>
      <c r="L527" s="3" t="str">
        <f>IFERROR(__xludf.DUMMYFUNCTION("""COMPUTED_VALUE"""),"Lianne Sharabi")</f>
        <v>Lianne Sharabi</v>
      </c>
      <c r="M527" s="5"/>
    </row>
    <row r="528">
      <c r="A528" s="3">
        <f>IFERROR(__xludf.DUMMYFUNCTION("""COMPUTED_VALUE"""),120.0)</f>
        <v>120</v>
      </c>
      <c r="B528" s="4" t="str">
        <f>IFERROR(__xludf.DUMMYFUNCTION("""COMPUTED_VALUE"""),"שרעבי נויה")</f>
        <v>שרעבי נויה</v>
      </c>
      <c r="C528" s="3">
        <f>IFERROR(__xludf.DUMMYFUNCTION("""COMPUTED_VALUE"""),16.0)</f>
        <v>16</v>
      </c>
      <c r="D528" s="5" t="str">
        <f>IFERROR(__xludf.DUMMYFUNCTION("""COMPUTED_VALUE"""),"בארי")</f>
        <v>בארי</v>
      </c>
      <c r="E528" s="5" t="str">
        <f>IFERROR(__xludf.DUMMYFUNCTION("""COMPUTED_VALUE"""),"ילדה")</f>
        <v>ילדה</v>
      </c>
      <c r="F528" s="5" t="str">
        <f>IFERROR(__xludf.DUMMYFUNCTION("""COMPUTED_VALUE"""),"אזרחים")</f>
        <v>אזרחים</v>
      </c>
      <c r="G528" s="3"/>
      <c r="H528" s="3" t="str">
        <f>IFERROR(__xludf.DUMMYFUNCTION("""COMPUTED_VALUE"""),"07.10.2023")</f>
        <v>07.10.2023</v>
      </c>
      <c r="I528" s="4" t="str">
        <f>IFERROR(__xludf.DUMMYFUNCTION("""COMPUTED_VALUE"""),"בארי")</f>
        <v>בארי</v>
      </c>
      <c r="J528" s="4" t="str">
        <f>IFERROR(__xludf.DUMMYFUNCTION("""COMPUTED_VALUE"""),"אזרחים וכיתות כוננות")</f>
        <v>אזרחים וכיתות כוננות</v>
      </c>
      <c r="K528" s="5"/>
      <c r="L528" s="3" t="str">
        <f>IFERROR(__xludf.DUMMYFUNCTION("""COMPUTED_VALUE"""),"Noya Sharabi")</f>
        <v>Noya Sharabi</v>
      </c>
      <c r="M528" s="5"/>
    </row>
    <row r="529">
      <c r="A529" s="3">
        <f>IFERROR(__xludf.DUMMYFUNCTION("""COMPUTED_VALUE"""),56.0)</f>
        <v>56</v>
      </c>
      <c r="B529" s="4" t="str">
        <f>IFERROR(__xludf.DUMMYFUNCTION("""COMPUTED_VALUE"""),"Prodigo Cabrera Gracie")</f>
        <v>Prodigo Cabrera Gracie</v>
      </c>
      <c r="C529" s="3">
        <f>IFERROR(__xludf.DUMMYFUNCTION("""COMPUTED_VALUE"""),45.0)</f>
        <v>45</v>
      </c>
      <c r="D529" s="5" t="str">
        <f>IFERROR(__xludf.DUMMYFUNCTION("""COMPUTED_VALUE"""),"פיליפינים")</f>
        <v>פיליפינים</v>
      </c>
      <c r="E529" s="5" t="str">
        <f>IFERROR(__xludf.DUMMYFUNCTION("""COMPUTED_VALUE"""),"אישה")</f>
        <v>אישה</v>
      </c>
      <c r="F529" s="5" t="str">
        <f>IFERROR(__xludf.DUMMYFUNCTION("""COMPUTED_VALUE"""),"אזרחים זרים")</f>
        <v>אזרחים זרים</v>
      </c>
      <c r="G529" s="3"/>
      <c r="H529" s="3" t="str">
        <f>IFERROR(__xludf.DUMMYFUNCTION("""COMPUTED_VALUE"""),"07.10.2023")</f>
        <v>07.10.2023</v>
      </c>
      <c r="I529" s="4" t="str">
        <f>IFERROR(__xludf.DUMMYFUNCTION("""COMPUTED_VALUE"""),"בארי")</f>
        <v>בארי</v>
      </c>
      <c r="J529" s="4" t="str">
        <f>IFERROR(__xludf.DUMMYFUNCTION("""COMPUTED_VALUE"""),"אזרחים וכיתות כוננות")</f>
        <v>אזרחים וכיתות כוננות</v>
      </c>
      <c r="K529" s="5"/>
      <c r="L529" s="3" t="str">
        <f>IFERROR(__xludf.DUMMYFUNCTION("""COMPUTED_VALUE"""),"Cabrera Gracie")</f>
        <v>Cabrera Gracie</v>
      </c>
      <c r="M529" s="5"/>
    </row>
    <row r="530">
      <c r="A530" s="3">
        <f>IFERROR(__xludf.DUMMYFUNCTION("""COMPUTED_VALUE"""),144.0)</f>
        <v>144</v>
      </c>
      <c r="B530" s="2" t="str">
        <f>IFERROR(__xludf.DUMMYFUNCTION("""COMPUTED_VALUE"""),"Castelvi Paul Vincent")</f>
        <v>Castelvi Paul Vincent</v>
      </c>
      <c r="C530" s="3">
        <f>IFERROR(__xludf.DUMMYFUNCTION("""COMPUTED_VALUE"""),42.0)</f>
        <v>42</v>
      </c>
      <c r="D530" s="5" t="str">
        <f>IFERROR(__xludf.DUMMYFUNCTION("""COMPUTED_VALUE"""),"פיליפינים")</f>
        <v>פיליפינים</v>
      </c>
      <c r="E530" s="5" t="str">
        <f>IFERROR(__xludf.DUMMYFUNCTION("""COMPUTED_VALUE"""),"גבר")</f>
        <v>גבר</v>
      </c>
      <c r="F530" s="5" t="str">
        <f>IFERROR(__xludf.DUMMYFUNCTION("""COMPUTED_VALUE"""),"אזרחים זרים")</f>
        <v>אזרחים זרים</v>
      </c>
      <c r="G530" s="3"/>
      <c r="H530" s="3" t="str">
        <f>IFERROR(__xludf.DUMMYFUNCTION("""COMPUTED_VALUE"""),"07.10.2023")</f>
        <v>07.10.2023</v>
      </c>
      <c r="I530" s="4" t="str">
        <f>IFERROR(__xludf.DUMMYFUNCTION("""COMPUTED_VALUE"""),"בארי")</f>
        <v>בארי</v>
      </c>
      <c r="J530" s="4" t="str">
        <f>IFERROR(__xludf.DUMMYFUNCTION("""COMPUTED_VALUE"""),"אזרחים וכיתות כוננות")</f>
        <v>אזרחים וכיתות כוננות</v>
      </c>
      <c r="K530" s="5"/>
      <c r="L530" s="3" t="str">
        <f>IFERROR(__xludf.DUMMYFUNCTION("""COMPUTED_VALUE"""),"Paul Vincent Castelvi")</f>
        <v>Paul Vincent Castelvi</v>
      </c>
      <c r="M530" s="5"/>
    </row>
    <row r="531">
      <c r="A531" s="3">
        <f>IFERROR(__xludf.DUMMYFUNCTION("""COMPUTED_VALUE"""),145.0)</f>
        <v>145</v>
      </c>
      <c r="B531" s="2" t="str">
        <f>IFERROR(__xludf.DUMMYFUNCTION("""COMPUTED_VALUE"""),"Jayathilaka Anula")</f>
        <v>Jayathilaka Anula</v>
      </c>
      <c r="C531" s="3">
        <f>IFERROR(__xludf.DUMMYFUNCTION("""COMPUTED_VALUE"""),49.0)</f>
        <v>49</v>
      </c>
      <c r="D531" s="5" t="str">
        <f>IFERROR(__xludf.DUMMYFUNCTION("""COMPUTED_VALUE"""),"סרי לנקה")</f>
        <v>סרי לנקה</v>
      </c>
      <c r="E531" s="5" t="str">
        <f>IFERROR(__xludf.DUMMYFUNCTION("""COMPUTED_VALUE"""),"אישה")</f>
        <v>אישה</v>
      </c>
      <c r="F531" s="5" t="str">
        <f>IFERROR(__xludf.DUMMYFUNCTION("""COMPUTED_VALUE"""),"אזרחים זרים")</f>
        <v>אזרחים זרים</v>
      </c>
      <c r="G531" s="3"/>
      <c r="H531" s="3" t="str">
        <f>IFERROR(__xludf.DUMMYFUNCTION("""COMPUTED_VALUE"""),"07.10.2023")</f>
        <v>07.10.2023</v>
      </c>
      <c r="I531" s="4" t="str">
        <f>IFERROR(__xludf.DUMMYFUNCTION("""COMPUTED_VALUE"""),"בארי")</f>
        <v>בארי</v>
      </c>
      <c r="J531" s="2" t="str">
        <f>IFERROR(__xludf.DUMMYFUNCTION("""COMPUTED_VALUE"""),"אזרחים וכיתות כוננות")</f>
        <v>אזרחים וכיתות כוננות</v>
      </c>
      <c r="K531" s="5"/>
      <c r="L531" s="3" t="str">
        <f>IFERROR(__xludf.DUMMYFUNCTION("""COMPUTED_VALUE"""),"Anula Jayathilaka")</f>
        <v>Anula Jayathilaka</v>
      </c>
      <c r="M531" s="5"/>
    </row>
    <row r="532">
      <c r="A532" s="3">
        <f>IFERROR(__xludf.DUMMYFUNCTION("""COMPUTED_VALUE"""),1681.0)</f>
        <v>1681</v>
      </c>
      <c r="B532" s="2" t="str">
        <f>IFERROR(__xludf.DUMMYFUNCTION("""COMPUTED_VALUE"""),"Sae Yang Sumchai")</f>
        <v>Sae Yang Sumchai</v>
      </c>
      <c r="C532" s="3">
        <f>IFERROR(__xludf.DUMMYFUNCTION("""COMPUTED_VALUE"""),24.0)</f>
        <v>24</v>
      </c>
      <c r="D532" s="5" t="str">
        <f>IFERROR(__xludf.DUMMYFUNCTION("""COMPUTED_VALUE"""),"תאילנד")</f>
        <v>תאילנד</v>
      </c>
      <c r="E532" s="5" t="str">
        <f>IFERROR(__xludf.DUMMYFUNCTION("""COMPUTED_VALUE"""),"גבר")</f>
        <v>גבר</v>
      </c>
      <c r="F532" s="5" t="str">
        <f>IFERROR(__xludf.DUMMYFUNCTION("""COMPUTED_VALUE"""),"אזרחים זרים")</f>
        <v>אזרחים זרים</v>
      </c>
      <c r="G532" s="3"/>
      <c r="H532" s="3" t="str">
        <f>IFERROR(__xludf.DUMMYFUNCTION("""COMPUTED_VALUE"""),"07.10.2023")</f>
        <v>07.10.2023</v>
      </c>
      <c r="I532" s="4" t="str">
        <f>IFERROR(__xludf.DUMMYFUNCTION("""COMPUTED_VALUE"""),"עלומים; מגורי עובדים")</f>
        <v>עלומים; מגורי עובדים</v>
      </c>
      <c r="J532" s="4" t="str">
        <f>IFERROR(__xludf.DUMMYFUNCTION("""COMPUTED_VALUE"""),"אזרחים וכיתות כוננות")</f>
        <v>אזרחים וכיתות כוננות</v>
      </c>
      <c r="K532" s="5"/>
      <c r="L532" s="3" t="str">
        <f>IFERROR(__xludf.DUMMYFUNCTION("""COMPUTED_VALUE"""),"Sae Yang Sumchai")</f>
        <v>Sae Yang Sumchai</v>
      </c>
      <c r="M532" s="5"/>
    </row>
    <row r="533">
      <c r="A533" s="3">
        <f>IFERROR(__xludf.DUMMYFUNCTION("""COMPUTED_VALUE"""),1511.0)</f>
        <v>1511</v>
      </c>
      <c r="B533" s="2" t="str">
        <f>IFERROR(__xludf.DUMMYFUNCTION("""COMPUTED_VALUE"""),"Yatawara Bandara Susujith")</f>
        <v>Yatawara Bandara Susujith</v>
      </c>
      <c r="C533" s="3">
        <f>IFERROR(__xludf.DUMMYFUNCTION("""COMPUTED_VALUE"""),48.0)</f>
        <v>48</v>
      </c>
      <c r="D533" s="5" t="str">
        <f>IFERROR(__xludf.DUMMYFUNCTION("""COMPUTED_VALUE"""),"סרי לנקה")</f>
        <v>סרי לנקה</v>
      </c>
      <c r="E533" s="5" t="str">
        <f>IFERROR(__xludf.DUMMYFUNCTION("""COMPUTED_VALUE"""),"גבר")</f>
        <v>גבר</v>
      </c>
      <c r="F533" s="5" t="str">
        <f>IFERROR(__xludf.DUMMYFUNCTION("""COMPUTED_VALUE"""),"אזרחים זרים")</f>
        <v>אזרחים זרים</v>
      </c>
      <c r="G533" s="3"/>
      <c r="H533" s="3" t="str">
        <f>IFERROR(__xludf.DUMMYFUNCTION("""COMPUTED_VALUE"""),"07.10.2023")</f>
        <v>07.10.2023</v>
      </c>
      <c r="I533" s="4" t="str">
        <f>IFERROR(__xludf.DUMMYFUNCTION("""COMPUTED_VALUE"""),"בארי")</f>
        <v>בארי</v>
      </c>
      <c r="J533" s="4" t="str">
        <f>IFERROR(__xludf.DUMMYFUNCTION("""COMPUTED_VALUE"""),"אזרחים וכיתות כוננות")</f>
        <v>אזרחים וכיתות כוננות</v>
      </c>
      <c r="K533" s="5"/>
      <c r="L533" s="3" t="str">
        <f>IFERROR(__xludf.DUMMYFUNCTION("""COMPUTED_VALUE"""),"Yatawara Bandara Susujith")</f>
        <v>Yatawara Bandara Susujith</v>
      </c>
      <c r="M533" s="5"/>
    </row>
    <row r="534">
      <c r="A534" s="3">
        <f>IFERROR(__xludf.DUMMYFUNCTION("""COMPUTED_VALUE"""),268.0)</f>
        <v>268</v>
      </c>
      <c r="B534" s="2" t="str">
        <f>IFERROR(__xludf.DUMMYFUNCTION("""COMPUTED_VALUE"""),"אלחרר חלפון ליז")</f>
        <v>אלחרר חלפון ליז</v>
      </c>
      <c r="C534" s="3">
        <f>IFERROR(__xludf.DUMMYFUNCTION("""COMPUTED_VALUE"""),45.0)</f>
        <v>45</v>
      </c>
      <c r="D534" s="5" t="str">
        <f>IFERROR(__xludf.DUMMYFUNCTION("""COMPUTED_VALUE"""),"חולית")</f>
        <v>חולית</v>
      </c>
      <c r="E534" s="5" t="str">
        <f>IFERROR(__xludf.DUMMYFUNCTION("""COMPUTED_VALUE"""),"אישה")</f>
        <v>אישה</v>
      </c>
      <c r="F534" s="5" t="str">
        <f>IFERROR(__xludf.DUMMYFUNCTION("""COMPUTED_VALUE"""),"אזרחים")</f>
        <v>אזרחים</v>
      </c>
      <c r="G534" s="3"/>
      <c r="H534" s="3" t="str">
        <f>IFERROR(__xludf.DUMMYFUNCTION("""COMPUTED_VALUE"""),"07.10.2023")</f>
        <v>07.10.2023</v>
      </c>
      <c r="I534" s="4" t="str">
        <f>IFERROR(__xludf.DUMMYFUNCTION("""COMPUTED_VALUE"""),"חולית")</f>
        <v>חולית</v>
      </c>
      <c r="J534" s="4" t="str">
        <f>IFERROR(__xludf.DUMMYFUNCTION("""COMPUTED_VALUE"""),"אזרחים וכיתות כוננות")</f>
        <v>אזרחים וכיתות כוננות</v>
      </c>
      <c r="K534" s="5"/>
      <c r="L534" s="3" t="str">
        <f>IFERROR(__xludf.DUMMYFUNCTION("""COMPUTED_VALUE"""),"Liz Elharar")</f>
        <v>Liz Elharar</v>
      </c>
      <c r="M534" s="5"/>
    </row>
    <row r="535">
      <c r="A535" s="3">
        <f>IFERROR(__xludf.DUMMYFUNCTION("""COMPUTED_VALUE"""),269.0)</f>
        <v>269</v>
      </c>
      <c r="B535" s="4" t="str">
        <f>IFERROR(__xludf.DUMMYFUNCTION("""COMPUTED_VALUE"""),"אלחרר מאיר")</f>
        <v>אלחרר מאיר</v>
      </c>
      <c r="C535" s="3">
        <f>IFERROR(__xludf.DUMMYFUNCTION("""COMPUTED_VALUE"""),59.0)</f>
        <v>59</v>
      </c>
      <c r="D535" s="5" t="str">
        <f>IFERROR(__xludf.DUMMYFUNCTION("""COMPUTED_VALUE"""),"חולית")</f>
        <v>חולית</v>
      </c>
      <c r="E535" s="5" t="str">
        <f>IFERROR(__xludf.DUMMYFUNCTION("""COMPUTED_VALUE"""),"גבר")</f>
        <v>גבר</v>
      </c>
      <c r="F535" s="5" t="str">
        <f>IFERROR(__xludf.DUMMYFUNCTION("""COMPUTED_VALUE"""),"אזרחים")</f>
        <v>אזרחים</v>
      </c>
      <c r="G535" s="3"/>
      <c r="H535" s="3" t="str">
        <f>IFERROR(__xludf.DUMMYFUNCTION("""COMPUTED_VALUE"""),"07.10.2023")</f>
        <v>07.10.2023</v>
      </c>
      <c r="I535" s="4" t="str">
        <f>IFERROR(__xludf.DUMMYFUNCTION("""COMPUTED_VALUE"""),"חולית")</f>
        <v>חולית</v>
      </c>
      <c r="J535" s="2" t="str">
        <f>IFERROR(__xludf.DUMMYFUNCTION("""COMPUTED_VALUE"""),"אזרחים וכיתות כוננות")</f>
        <v>אזרחים וכיתות כוננות</v>
      </c>
      <c r="K535" s="5"/>
      <c r="L535" s="3" t="str">
        <f>IFERROR(__xludf.DUMMYFUNCTION("""COMPUTED_VALUE"""),"Meir Elharar")</f>
        <v>Meir Elharar</v>
      </c>
      <c r="M535" s="5"/>
    </row>
    <row r="536">
      <c r="A536" s="3">
        <f>IFERROR(__xludf.DUMMYFUNCTION("""COMPUTED_VALUE"""),277.0)</f>
        <v>277</v>
      </c>
      <c r="B536" s="4" t="str">
        <f>IFERROR(__xludf.DUMMYFUNCTION("""COMPUTED_VALUE"""),"מתיאס טרואן שחר דבורה (דבי)")</f>
        <v>מתיאס טרואן שחר דבורה (דבי)</v>
      </c>
      <c r="C536" s="3">
        <f>IFERROR(__xludf.DUMMYFUNCTION("""COMPUTED_VALUE"""),47.0)</f>
        <v>47</v>
      </c>
      <c r="D536" s="5" t="str">
        <f>IFERROR(__xludf.DUMMYFUNCTION("""COMPUTED_VALUE"""),"חולית")</f>
        <v>חולית</v>
      </c>
      <c r="E536" s="5" t="str">
        <f>IFERROR(__xludf.DUMMYFUNCTION("""COMPUTED_VALUE"""),"אישה")</f>
        <v>אישה</v>
      </c>
      <c r="F536" s="5" t="str">
        <f>IFERROR(__xludf.DUMMYFUNCTION("""COMPUTED_VALUE"""),"אזרחים")</f>
        <v>אזרחים</v>
      </c>
      <c r="G536" s="3"/>
      <c r="H536" s="3" t="str">
        <f>IFERROR(__xludf.DUMMYFUNCTION("""COMPUTED_VALUE"""),"07.10.2023")</f>
        <v>07.10.2023</v>
      </c>
      <c r="I536" s="4" t="str">
        <f>IFERROR(__xludf.DUMMYFUNCTION("""COMPUTED_VALUE"""),"חולית")</f>
        <v>חולית</v>
      </c>
      <c r="J536" s="4" t="str">
        <f>IFERROR(__xludf.DUMMYFUNCTION("""COMPUTED_VALUE"""),"אזרחים וכיתות כוננות")</f>
        <v>אזרחים וכיתות כוננות</v>
      </c>
      <c r="K536" s="5"/>
      <c r="L536" s="3" t="str">
        <f>IFERROR(__xludf.DUMMYFUNCTION("""COMPUTED_VALUE"""),"Shachar Deborah Troen Matias")</f>
        <v>Shachar Deborah Troen Matias</v>
      </c>
      <c r="M536" s="5"/>
    </row>
    <row r="537">
      <c r="A537" s="3">
        <f>IFERROR(__xludf.DUMMYFUNCTION("""COMPUTED_VALUE"""),278.0)</f>
        <v>278</v>
      </c>
      <c r="B537" s="4" t="str">
        <f>IFERROR(__xludf.DUMMYFUNCTION("""COMPUTED_VALUE"""),"מתיאס שלומי")</f>
        <v>מתיאס שלומי</v>
      </c>
      <c r="C537" s="3">
        <f>IFERROR(__xludf.DUMMYFUNCTION("""COMPUTED_VALUE"""),47.0)</f>
        <v>47</v>
      </c>
      <c r="D537" s="5" t="str">
        <f>IFERROR(__xludf.DUMMYFUNCTION("""COMPUTED_VALUE"""),"חולית")</f>
        <v>חולית</v>
      </c>
      <c r="E537" s="5" t="str">
        <f>IFERROR(__xludf.DUMMYFUNCTION("""COMPUTED_VALUE"""),"גבר")</f>
        <v>גבר</v>
      </c>
      <c r="F537" s="5" t="str">
        <f>IFERROR(__xludf.DUMMYFUNCTION("""COMPUTED_VALUE"""),"אזרחים")</f>
        <v>אזרחים</v>
      </c>
      <c r="G537" s="3"/>
      <c r="H537" s="3" t="str">
        <f>IFERROR(__xludf.DUMMYFUNCTION("""COMPUTED_VALUE"""),"07.10.2023")</f>
        <v>07.10.2023</v>
      </c>
      <c r="I537" s="4" t="str">
        <f>IFERROR(__xludf.DUMMYFUNCTION("""COMPUTED_VALUE"""),"חולית")</f>
        <v>חולית</v>
      </c>
      <c r="J537" s="4" t="str">
        <f>IFERROR(__xludf.DUMMYFUNCTION("""COMPUTED_VALUE"""),"אזרחים וכיתות כוננות")</f>
        <v>אזרחים וכיתות כוננות</v>
      </c>
      <c r="K537" s="5"/>
      <c r="L537" s="3" t="str">
        <f>IFERROR(__xludf.DUMMYFUNCTION("""COMPUTED_VALUE"""),"Shlomi Mathias")</f>
        <v>Shlomi Mathias</v>
      </c>
      <c r="M537" s="5"/>
    </row>
    <row r="538">
      <c r="A538" s="3">
        <f>IFERROR(__xludf.DUMMYFUNCTION("""COMPUTED_VALUE"""),281.0)</f>
        <v>281</v>
      </c>
      <c r="B538" s="4" t="str">
        <f>IFERROR(__xludf.DUMMYFUNCTION("""COMPUTED_VALUE"""),"סולטן רולאן")</f>
        <v>סולטן רולאן</v>
      </c>
      <c r="C538" s="3">
        <f>IFERROR(__xludf.DUMMYFUNCTION("""COMPUTED_VALUE"""),68.0)</f>
        <v>68</v>
      </c>
      <c r="D538" s="5" t="str">
        <f>IFERROR(__xludf.DUMMYFUNCTION("""COMPUTED_VALUE"""),"חולית")</f>
        <v>חולית</v>
      </c>
      <c r="E538" s="5" t="str">
        <f>IFERROR(__xludf.DUMMYFUNCTION("""COMPUTED_VALUE"""),"גבר")</f>
        <v>גבר</v>
      </c>
      <c r="F538" s="5" t="str">
        <f>IFERROR(__xludf.DUMMYFUNCTION("""COMPUTED_VALUE"""),"אזרחים")</f>
        <v>אזרחים</v>
      </c>
      <c r="G538" s="3"/>
      <c r="H538" s="3" t="str">
        <f>IFERROR(__xludf.DUMMYFUNCTION("""COMPUTED_VALUE"""),"07.10.2023")</f>
        <v>07.10.2023</v>
      </c>
      <c r="I538" s="4" t="str">
        <f>IFERROR(__xludf.DUMMYFUNCTION("""COMPUTED_VALUE"""),"חולית")</f>
        <v>חולית</v>
      </c>
      <c r="J538" s="4" t="str">
        <f>IFERROR(__xludf.DUMMYFUNCTION("""COMPUTED_VALUE"""),"אזרחים וכיתות כוננות")</f>
        <v>אזרחים וכיתות כוננות</v>
      </c>
      <c r="K538" s="5"/>
      <c r="L538" s="3" t="str">
        <f>IFERROR(__xludf.DUMMYFUNCTION("""COMPUTED_VALUE"""),"Roland Sultan")</f>
        <v>Roland Sultan</v>
      </c>
      <c r="M538" s="5"/>
    </row>
    <row r="539">
      <c r="A539" s="3">
        <f>IFERROR(__xludf.DUMMYFUNCTION("""COMPUTED_VALUE"""),282.0)</f>
        <v>282</v>
      </c>
      <c r="B539" s="4" t="str">
        <f>IFERROR(__xludf.DUMMYFUNCTION("""COMPUTED_VALUE"""),"סולטן רונית")</f>
        <v>סולטן רונית</v>
      </c>
      <c r="C539" s="3">
        <f>IFERROR(__xludf.DUMMYFUNCTION("""COMPUTED_VALUE"""),56.0)</f>
        <v>56</v>
      </c>
      <c r="D539" s="5" t="str">
        <f>IFERROR(__xludf.DUMMYFUNCTION("""COMPUTED_VALUE"""),"חולית")</f>
        <v>חולית</v>
      </c>
      <c r="E539" s="5" t="str">
        <f>IFERROR(__xludf.DUMMYFUNCTION("""COMPUTED_VALUE"""),"אישה")</f>
        <v>אישה</v>
      </c>
      <c r="F539" s="5" t="str">
        <f>IFERROR(__xludf.DUMMYFUNCTION("""COMPUTED_VALUE"""),"אזרחים")</f>
        <v>אזרחים</v>
      </c>
      <c r="G539" s="3"/>
      <c r="H539" s="3" t="str">
        <f>IFERROR(__xludf.DUMMYFUNCTION("""COMPUTED_VALUE"""),"07.10.2023")</f>
        <v>07.10.2023</v>
      </c>
      <c r="I539" s="4" t="str">
        <f>IFERROR(__xludf.DUMMYFUNCTION("""COMPUTED_VALUE"""),"חולית")</f>
        <v>חולית</v>
      </c>
      <c r="J539" s="4" t="str">
        <f>IFERROR(__xludf.DUMMYFUNCTION("""COMPUTED_VALUE"""),"אזרחים וכיתות כוננות")</f>
        <v>אזרחים וכיתות כוננות</v>
      </c>
      <c r="K539" s="5"/>
      <c r="L539" s="3" t="str">
        <f>IFERROR(__xludf.DUMMYFUNCTION("""COMPUTED_VALUE"""),"Ronit Sultan")</f>
        <v>Ronit Sultan</v>
      </c>
      <c r="M539" s="5"/>
    </row>
    <row r="540">
      <c r="A540" s="3">
        <f>IFERROR(__xludf.DUMMYFUNCTION("""COMPUTED_VALUE"""),275.0)</f>
        <v>275</v>
      </c>
      <c r="B540" s="4" t="str">
        <f>IFERROR(__xludf.DUMMYFUNCTION("""COMPUTED_VALUE"""),"קייסמן לילי")</f>
        <v>קייסמן לילי</v>
      </c>
      <c r="C540" s="3">
        <f>IFERROR(__xludf.DUMMYFUNCTION("""COMPUTED_VALUE"""),63.0)</f>
        <v>63</v>
      </c>
      <c r="D540" s="5" t="str">
        <f>IFERROR(__xludf.DUMMYFUNCTION("""COMPUTED_VALUE"""),"חולית")</f>
        <v>חולית</v>
      </c>
      <c r="E540" s="5" t="str">
        <f>IFERROR(__xludf.DUMMYFUNCTION("""COMPUTED_VALUE"""),"אישה")</f>
        <v>אישה</v>
      </c>
      <c r="F540" s="5" t="str">
        <f>IFERROR(__xludf.DUMMYFUNCTION("""COMPUTED_VALUE"""),"אזרחים")</f>
        <v>אזרחים</v>
      </c>
      <c r="G540" s="3"/>
      <c r="H540" s="3" t="str">
        <f>IFERROR(__xludf.DUMMYFUNCTION("""COMPUTED_VALUE"""),"07.10.2023")</f>
        <v>07.10.2023</v>
      </c>
      <c r="I540" s="4" t="str">
        <f>IFERROR(__xludf.DUMMYFUNCTION("""COMPUTED_VALUE"""),"חולית")</f>
        <v>חולית</v>
      </c>
      <c r="J540" s="4" t="str">
        <f>IFERROR(__xludf.DUMMYFUNCTION("""COMPUTED_VALUE"""),"אזרחים וכיתות כוננות")</f>
        <v>אזרחים וכיתות כוננות</v>
      </c>
      <c r="K540" s="5"/>
      <c r="L540" s="3" t="str">
        <f>IFERROR(__xludf.DUMMYFUNCTION("""COMPUTED_VALUE"""),"Lily Keisman")</f>
        <v>Lily Keisman</v>
      </c>
      <c r="M540" s="5"/>
    </row>
    <row r="541">
      <c r="A541" s="3">
        <f>IFERROR(__xludf.DUMMYFUNCTION("""COMPUTED_VALUE"""),273.0)</f>
        <v>273</v>
      </c>
      <c r="B541" s="4" t="str">
        <f>IFERROR(__xludf.DUMMYFUNCTION("""COMPUTED_VALUE"""),"קעטבי תהילה")</f>
        <v>קעטבי תהילה</v>
      </c>
      <c r="C541" s="3">
        <f>IFERROR(__xludf.DUMMYFUNCTION("""COMPUTED_VALUE"""),24.0)</f>
        <v>24</v>
      </c>
      <c r="D541" s="5" t="str">
        <f>IFERROR(__xludf.DUMMYFUNCTION("""COMPUTED_VALUE"""),"גדרה")</f>
        <v>גדרה</v>
      </c>
      <c r="E541" s="5" t="str">
        <f>IFERROR(__xludf.DUMMYFUNCTION("""COMPUTED_VALUE"""),"אישה")</f>
        <v>אישה</v>
      </c>
      <c r="F541" s="5" t="str">
        <f>IFERROR(__xludf.DUMMYFUNCTION("""COMPUTED_VALUE"""),"אזרחים")</f>
        <v>אזרחים</v>
      </c>
      <c r="G541" s="3"/>
      <c r="H541" s="3" t="str">
        <f>IFERROR(__xludf.DUMMYFUNCTION("""COMPUTED_VALUE"""),"07.10.2023")</f>
        <v>07.10.2023</v>
      </c>
      <c r="I541" s="4" t="str">
        <f>IFERROR(__xludf.DUMMYFUNCTION("""COMPUTED_VALUE"""),"חולית")</f>
        <v>חולית</v>
      </c>
      <c r="J541" s="4" t="str">
        <f>IFERROR(__xludf.DUMMYFUNCTION("""COMPUTED_VALUE"""),"אזרחים וכיתות כוננות")</f>
        <v>אזרחים וכיתות כוננות</v>
      </c>
      <c r="K541" s="5"/>
      <c r="L541" s="3" t="str">
        <f>IFERROR(__xludf.DUMMYFUNCTION("""COMPUTED_VALUE"""),"Tehila Katabi")</f>
        <v>Tehila Katabi</v>
      </c>
      <c r="M541" s="5"/>
    </row>
    <row r="542">
      <c r="A542" s="3">
        <f>IFERROR(__xludf.DUMMYFUNCTION("""COMPUTED_VALUE"""),272.0)</f>
        <v>272</v>
      </c>
      <c r="B542" s="4" t="str">
        <f>IFERROR(__xludf.DUMMYFUNCTION("""COMPUTED_VALUE"""),"קפלון עדי ויטל")</f>
        <v>קפלון עדי ויטל</v>
      </c>
      <c r="C542" s="3">
        <f>IFERROR(__xludf.DUMMYFUNCTION("""COMPUTED_VALUE"""),33.0)</f>
        <v>33</v>
      </c>
      <c r="D542" s="5" t="str">
        <f>IFERROR(__xludf.DUMMYFUNCTION("""COMPUTED_VALUE"""),"חולית")</f>
        <v>חולית</v>
      </c>
      <c r="E542" s="5" t="str">
        <f>IFERROR(__xludf.DUMMYFUNCTION("""COMPUTED_VALUE"""),"אישה")</f>
        <v>אישה</v>
      </c>
      <c r="F542" s="5" t="str">
        <f>IFERROR(__xludf.DUMMYFUNCTION("""COMPUTED_VALUE"""),"אזרחים")</f>
        <v>אזרחים</v>
      </c>
      <c r="G542" s="3"/>
      <c r="H542" s="3" t="str">
        <f>IFERROR(__xludf.DUMMYFUNCTION("""COMPUTED_VALUE"""),"07.10.2023")</f>
        <v>07.10.2023</v>
      </c>
      <c r="I542" s="4" t="str">
        <f>IFERROR(__xludf.DUMMYFUNCTION("""COMPUTED_VALUE"""),"חולית")</f>
        <v>חולית</v>
      </c>
      <c r="J542" s="4" t="str">
        <f>IFERROR(__xludf.DUMMYFUNCTION("""COMPUTED_VALUE"""),"אזרחים וכיתות כוננות")</f>
        <v>אזרחים וכיתות כוננות</v>
      </c>
      <c r="K542" s="5"/>
      <c r="L542" s="3" t="str">
        <f>IFERROR(__xludf.DUMMYFUNCTION("""COMPUTED_VALUE"""),"Adi Kaploun Vital")</f>
        <v>Adi Kaploun Vital</v>
      </c>
      <c r="M542" s="5"/>
    </row>
    <row r="543">
      <c r="A543" s="3">
        <f>IFERROR(__xludf.DUMMYFUNCTION("""COMPUTED_VALUE"""),280.0)</f>
        <v>280</v>
      </c>
      <c r="B543" s="4" t="str">
        <f>IFERROR(__xludf.DUMMYFUNCTION("""COMPUTED_VALUE"""),"רידלר משה")</f>
        <v>רידלר משה</v>
      </c>
      <c r="C543" s="3">
        <f>IFERROR(__xludf.DUMMYFUNCTION("""COMPUTED_VALUE"""),91.0)</f>
        <v>91</v>
      </c>
      <c r="D543" s="5" t="str">
        <f>IFERROR(__xludf.DUMMYFUNCTION("""COMPUTED_VALUE"""),"חולית")</f>
        <v>חולית</v>
      </c>
      <c r="E543" s="5" t="str">
        <f>IFERROR(__xludf.DUMMYFUNCTION("""COMPUTED_VALUE"""),"גבר")</f>
        <v>גבר</v>
      </c>
      <c r="F543" s="5" t="str">
        <f>IFERROR(__xludf.DUMMYFUNCTION("""COMPUTED_VALUE"""),"אזרחים")</f>
        <v>אזרחים</v>
      </c>
      <c r="G543" s="3"/>
      <c r="H543" s="3" t="str">
        <f>IFERROR(__xludf.DUMMYFUNCTION("""COMPUTED_VALUE"""),"07.10.2023")</f>
        <v>07.10.2023</v>
      </c>
      <c r="I543" s="4" t="str">
        <f>IFERROR(__xludf.DUMMYFUNCTION("""COMPUTED_VALUE"""),"חולית")</f>
        <v>חולית</v>
      </c>
      <c r="J543" s="2" t="str">
        <f>IFERROR(__xludf.DUMMYFUNCTION("""COMPUTED_VALUE"""),"אזרחים וכיתות כוננות")</f>
        <v>אזרחים וכיתות כוננות</v>
      </c>
      <c r="K543" s="5"/>
      <c r="L543" s="3" t="str">
        <f>IFERROR(__xludf.DUMMYFUNCTION("""COMPUTED_VALUE"""),"Moshe Ridler")</f>
        <v>Moshe Ridler</v>
      </c>
      <c r="M543" s="5"/>
    </row>
    <row r="544">
      <c r="A544" s="3">
        <f>IFERROR(__xludf.DUMMYFUNCTION("""COMPUTED_VALUE"""),279.0)</f>
        <v>279</v>
      </c>
      <c r="B544" s="4" t="str">
        <f>IFERROR(__xludf.DUMMYFUNCTION("""COMPUTED_VALUE"""),"Busko Petro")</f>
        <v>Busko Petro</v>
      </c>
      <c r="C544" s="3">
        <f>IFERROR(__xludf.DUMMYFUNCTION("""COMPUTED_VALUE"""),35.0)</f>
        <v>35</v>
      </c>
      <c r="D544" s="5" t="str">
        <f>IFERROR(__xludf.DUMMYFUNCTION("""COMPUTED_VALUE"""),"מולדובה")</f>
        <v>מולדובה</v>
      </c>
      <c r="E544" s="5" t="str">
        <f>IFERROR(__xludf.DUMMYFUNCTION("""COMPUTED_VALUE"""),"גבר")</f>
        <v>גבר</v>
      </c>
      <c r="F544" s="5" t="str">
        <f>IFERROR(__xludf.DUMMYFUNCTION("""COMPUTED_VALUE"""),"אזרחים זרים")</f>
        <v>אזרחים זרים</v>
      </c>
      <c r="G544" s="3"/>
      <c r="H544" s="3" t="str">
        <f>IFERROR(__xludf.DUMMYFUNCTION("""COMPUTED_VALUE"""),"07.10.2023")</f>
        <v>07.10.2023</v>
      </c>
      <c r="I544" s="4" t="str">
        <f>IFERROR(__xludf.DUMMYFUNCTION("""COMPUTED_VALUE"""),"חולית")</f>
        <v>חולית</v>
      </c>
      <c r="J544" s="2" t="str">
        <f>IFERROR(__xludf.DUMMYFUNCTION("""COMPUTED_VALUE"""),"אזרחים וכיתות כוננות")</f>
        <v>אזרחים וכיתות כוננות</v>
      </c>
      <c r="K544" s="5"/>
      <c r="L544" s="3" t="str">
        <f>IFERROR(__xludf.DUMMYFUNCTION("""COMPUTED_VALUE"""),"Bosco Petro")</f>
        <v>Bosco Petro</v>
      </c>
      <c r="M544" s="5"/>
    </row>
    <row r="545">
      <c r="A545" s="3">
        <f>IFERROR(__xludf.DUMMYFUNCTION("""COMPUTED_VALUE"""),375.0)</f>
        <v>375</v>
      </c>
      <c r="B545" s="2" t="str">
        <f>IFERROR(__xludf.DUMMYFUNCTION("""COMPUTED_VALUE"""),"גודו תום")</f>
        <v>גודו תום</v>
      </c>
      <c r="C545" s="3">
        <f>IFERROR(__xludf.DUMMYFUNCTION("""COMPUTED_VALUE"""),52.0)</f>
        <v>52</v>
      </c>
      <c r="D545" s="5" t="str">
        <f>IFERROR(__xludf.DUMMYFUNCTION("""COMPUTED_VALUE"""),"כיסופים")</f>
        <v>כיסופים</v>
      </c>
      <c r="E545" s="5" t="str">
        <f>IFERROR(__xludf.DUMMYFUNCTION("""COMPUTED_VALUE"""),"גבר")</f>
        <v>גבר</v>
      </c>
      <c r="F545" s="5" t="str">
        <f>IFERROR(__xludf.DUMMYFUNCTION("""COMPUTED_VALUE"""),"אזרחים")</f>
        <v>אזרחים</v>
      </c>
      <c r="G545" s="3"/>
      <c r="H545" s="3" t="str">
        <f>IFERROR(__xludf.DUMMYFUNCTION("""COMPUTED_VALUE"""),"08.10.2023")</f>
        <v>08.10.2023</v>
      </c>
      <c r="I545" s="4" t="str">
        <f>IFERROR(__xludf.DUMMYFUNCTION("""COMPUTED_VALUE"""),"כיסופים")</f>
        <v>כיסופים</v>
      </c>
      <c r="J545" s="4" t="str">
        <f>IFERROR(__xludf.DUMMYFUNCTION("""COMPUTED_VALUE"""),"אזרחים וכיתות כוננות")</f>
        <v>אזרחים וכיתות כוננות</v>
      </c>
      <c r="K545" s="5"/>
      <c r="L545" s="3" t="str">
        <f>IFERROR(__xludf.DUMMYFUNCTION("""COMPUTED_VALUE"""),"Tom Godo")</f>
        <v>Tom Godo</v>
      </c>
      <c r="M545" s="5"/>
    </row>
    <row r="546">
      <c r="A546" s="3">
        <f>IFERROR(__xludf.DUMMYFUNCTION("""COMPUTED_VALUE"""),393.0)</f>
        <v>393</v>
      </c>
      <c r="B546" s="4" t="str">
        <f>IFERROR(__xludf.DUMMYFUNCTION("""COMPUTED_VALUE"""),"זק (בן יעיש) אתי")</f>
        <v>זק (בן יעיש) אתי</v>
      </c>
      <c r="C546" s="3">
        <f>IFERROR(__xludf.DUMMYFUNCTION("""COMPUTED_VALUE"""),50.0)</f>
        <v>50</v>
      </c>
      <c r="D546" s="5" t="str">
        <f>IFERROR(__xludf.DUMMYFUNCTION("""COMPUTED_VALUE"""),"כיסופים")</f>
        <v>כיסופים</v>
      </c>
      <c r="E546" s="5" t="str">
        <f>IFERROR(__xludf.DUMMYFUNCTION("""COMPUTED_VALUE"""),"אישה")</f>
        <v>אישה</v>
      </c>
      <c r="F546" s="5" t="str">
        <f>IFERROR(__xludf.DUMMYFUNCTION("""COMPUTED_VALUE"""),"אזרחים")</f>
        <v>אזרחים</v>
      </c>
      <c r="G546" s="3"/>
      <c r="H546" s="3" t="str">
        <f>IFERROR(__xludf.DUMMYFUNCTION("""COMPUTED_VALUE"""),"07.10.2023")</f>
        <v>07.10.2023</v>
      </c>
      <c r="I546" s="4" t="str">
        <f>IFERROR(__xludf.DUMMYFUNCTION("""COMPUTED_VALUE"""),"כיסופים")</f>
        <v>כיסופים</v>
      </c>
      <c r="J546" s="4" t="str">
        <f>IFERROR(__xludf.DUMMYFUNCTION("""COMPUTED_VALUE"""),"אזרחים וכיתות כוננות")</f>
        <v>אזרחים וכיתות כוננות</v>
      </c>
      <c r="K546" s="5"/>
      <c r="L546" s="3" t="str">
        <f>IFERROR(__xludf.DUMMYFUNCTION("""COMPUTED_VALUE"""),"Etty Zak")</f>
        <v>Etty Zak</v>
      </c>
      <c r="M546" s="5"/>
    </row>
    <row r="547">
      <c r="A547" s="3">
        <f>IFERROR(__xludf.DUMMYFUNCTION("""COMPUTED_VALUE"""),394.0)</f>
        <v>394</v>
      </c>
      <c r="B547" s="4" t="str">
        <f>IFERROR(__xludf.DUMMYFUNCTION("""COMPUTED_VALUE"""),"זק איתי")</f>
        <v>זק איתי</v>
      </c>
      <c r="C547" s="3">
        <f>IFERROR(__xludf.DUMMYFUNCTION("""COMPUTED_VALUE"""),53.0)</f>
        <v>53</v>
      </c>
      <c r="D547" s="5" t="str">
        <f>IFERROR(__xludf.DUMMYFUNCTION("""COMPUTED_VALUE"""),"כיסופים")</f>
        <v>כיסופים</v>
      </c>
      <c r="E547" s="5" t="str">
        <f>IFERROR(__xludf.DUMMYFUNCTION("""COMPUTED_VALUE"""),"גבר")</f>
        <v>גבר</v>
      </c>
      <c r="F547" s="5" t="str">
        <f>IFERROR(__xludf.DUMMYFUNCTION("""COMPUTED_VALUE"""),"אזרחים")</f>
        <v>אזרחים</v>
      </c>
      <c r="G547" s="3"/>
      <c r="H547" s="3" t="str">
        <f>IFERROR(__xludf.DUMMYFUNCTION("""COMPUTED_VALUE"""),"07.10.2023")</f>
        <v>07.10.2023</v>
      </c>
      <c r="I547" s="4" t="str">
        <f>IFERROR(__xludf.DUMMYFUNCTION("""COMPUTED_VALUE"""),"כיסופים")</f>
        <v>כיסופים</v>
      </c>
      <c r="J547" s="4" t="str">
        <f>IFERROR(__xludf.DUMMYFUNCTION("""COMPUTED_VALUE"""),"אזרחים וכיתות כוננות")</f>
        <v>אזרחים וכיתות כוננות</v>
      </c>
      <c r="K547" s="5"/>
      <c r="L547" s="3" t="str">
        <f>IFERROR(__xludf.DUMMYFUNCTION("""COMPUTED_VALUE"""),"Etay Zak")</f>
        <v>Etay Zak</v>
      </c>
      <c r="M547" s="5"/>
    </row>
    <row r="548">
      <c r="A548" s="3">
        <f>IFERROR(__xludf.DUMMYFUNCTION("""COMPUTED_VALUE"""),395.0)</f>
        <v>395</v>
      </c>
      <c r="B548" s="4" t="str">
        <f>IFERROR(__xludf.DUMMYFUNCTION("""COMPUTED_VALUE"""),"זק שגיא")</f>
        <v>זק שגיא</v>
      </c>
      <c r="C548" s="3">
        <f>IFERROR(__xludf.DUMMYFUNCTION("""COMPUTED_VALUE"""),14.0)</f>
        <v>14</v>
      </c>
      <c r="D548" s="5" t="str">
        <f>IFERROR(__xludf.DUMMYFUNCTION("""COMPUTED_VALUE"""),"כיסופים")</f>
        <v>כיסופים</v>
      </c>
      <c r="E548" s="5" t="str">
        <f>IFERROR(__xludf.DUMMYFUNCTION("""COMPUTED_VALUE"""),"ילד")</f>
        <v>ילד</v>
      </c>
      <c r="F548" s="5" t="str">
        <f>IFERROR(__xludf.DUMMYFUNCTION("""COMPUTED_VALUE"""),"אזרחים")</f>
        <v>אזרחים</v>
      </c>
      <c r="G548" s="3"/>
      <c r="H548" s="3" t="str">
        <f>IFERROR(__xludf.DUMMYFUNCTION("""COMPUTED_VALUE"""),"07.10.2023")</f>
        <v>07.10.2023</v>
      </c>
      <c r="I548" s="4" t="str">
        <f>IFERROR(__xludf.DUMMYFUNCTION("""COMPUTED_VALUE"""),"כיסופים")</f>
        <v>כיסופים</v>
      </c>
      <c r="J548" s="4" t="str">
        <f>IFERROR(__xludf.DUMMYFUNCTION("""COMPUTED_VALUE"""),"אזרחים וכיתות כוננות")</f>
        <v>אזרחים וכיתות כוננות</v>
      </c>
      <c r="K548" s="5"/>
      <c r="L548" s="3" t="str">
        <f>IFERROR(__xludf.DUMMYFUNCTION("""COMPUTED_VALUE"""),"Sagi Zak")</f>
        <v>Sagi Zak</v>
      </c>
      <c r="M548" s="5"/>
    </row>
    <row r="549">
      <c r="A549" s="3">
        <f>IFERROR(__xludf.DUMMYFUNCTION("""COMPUTED_VALUE"""),378.0)</f>
        <v>378</v>
      </c>
      <c r="B549" s="4" t="str">
        <f>IFERROR(__xludf.DUMMYFUNCTION("""COMPUTED_VALUE"""),"חולתי מנוחה")</f>
        <v>חולתי מנוחה</v>
      </c>
      <c r="C549" s="3">
        <f>IFERROR(__xludf.DUMMYFUNCTION("""COMPUTED_VALUE"""),76.0)</f>
        <v>76</v>
      </c>
      <c r="D549" s="5" t="str">
        <f>IFERROR(__xludf.DUMMYFUNCTION("""COMPUTED_VALUE"""),"כיסופים")</f>
        <v>כיסופים</v>
      </c>
      <c r="E549" s="5" t="str">
        <f>IFERROR(__xludf.DUMMYFUNCTION("""COMPUTED_VALUE"""),"אישה")</f>
        <v>אישה</v>
      </c>
      <c r="F549" s="5" t="str">
        <f>IFERROR(__xludf.DUMMYFUNCTION("""COMPUTED_VALUE"""),"אזרחים")</f>
        <v>אזרחים</v>
      </c>
      <c r="G549" s="3"/>
      <c r="H549" s="3" t="str">
        <f>IFERROR(__xludf.DUMMYFUNCTION("""COMPUTED_VALUE"""),"07.10.2023")</f>
        <v>07.10.2023</v>
      </c>
      <c r="I549" s="4" t="str">
        <f>IFERROR(__xludf.DUMMYFUNCTION("""COMPUTED_VALUE"""),"כיסופים")</f>
        <v>כיסופים</v>
      </c>
      <c r="J549" s="4" t="str">
        <f>IFERROR(__xludf.DUMMYFUNCTION("""COMPUTED_VALUE"""),"אזרחים וכיתות כוננות")</f>
        <v>אזרחים וכיתות כוננות</v>
      </c>
      <c r="K549" s="5"/>
      <c r="L549" s="3" t="str">
        <f>IFERROR(__xludf.DUMMYFUNCTION("""COMPUTED_VALUE"""),"Menuha Hulati")</f>
        <v>Menuha Hulati</v>
      </c>
      <c r="M549" s="5"/>
    </row>
    <row r="550">
      <c r="A550" s="3">
        <f>IFERROR(__xludf.DUMMYFUNCTION("""COMPUTED_VALUE"""),810.0)</f>
        <v>810</v>
      </c>
      <c r="B550" s="4" t="str">
        <f>IFERROR(__xludf.DUMMYFUNCTION("""COMPUTED_VALUE"""),"מור מעיין")</f>
        <v>מור מעיין</v>
      </c>
      <c r="C550" s="3">
        <f>IFERROR(__xludf.DUMMYFUNCTION("""COMPUTED_VALUE"""),30.0)</f>
        <v>30</v>
      </c>
      <c r="D550" s="5" t="str">
        <f>IFERROR(__xludf.DUMMYFUNCTION("""COMPUTED_VALUE"""),"חולון")</f>
        <v>חולון</v>
      </c>
      <c r="E550" s="5" t="str">
        <f>IFERROR(__xludf.DUMMYFUNCTION("""COMPUTED_VALUE"""),"אישה")</f>
        <v>אישה</v>
      </c>
      <c r="F550" s="5" t="str">
        <f>IFERROR(__xludf.DUMMYFUNCTION("""COMPUTED_VALUE"""),"אזרחים")</f>
        <v>אזרחים</v>
      </c>
      <c r="G550" s="3"/>
      <c r="H550" s="3" t="str">
        <f>IFERROR(__xludf.DUMMYFUNCTION("""COMPUTED_VALUE"""),"07.10.2023")</f>
        <v>07.10.2023</v>
      </c>
      <c r="I550" s="4" t="str">
        <f>IFERROR(__xludf.DUMMYFUNCTION("""COMPUTED_VALUE"""),"סמוך למפלסים")</f>
        <v>סמוך למפלסים</v>
      </c>
      <c r="J550" s="4" t="str">
        <f>IFERROR(__xludf.DUMMYFUNCTION("""COMPUTED_VALUE"""),"אזרחים וכיתות כוננות")</f>
        <v>אזרחים וכיתות כוננות</v>
      </c>
      <c r="K550" s="5" t="str">
        <f>IFERROR(__xludf.DUMMYFUNCTION("""COMPUTED_VALUE"""),"פסטיבל נובה")</f>
        <v>פסטיבל נובה</v>
      </c>
      <c r="L550" s="3" t="str">
        <f>IFERROR(__xludf.DUMMYFUNCTION("""COMPUTED_VALUE"""),"Maayan Mor")</f>
        <v>Maayan Mor</v>
      </c>
      <c r="M550" s="5"/>
    </row>
    <row r="551">
      <c r="A551" s="3">
        <f>IFERROR(__xludf.DUMMYFUNCTION("""COMPUTED_VALUE"""),381.0)</f>
        <v>381</v>
      </c>
      <c r="B551" s="4" t="str">
        <f>IFERROR(__xludf.DUMMYFUNCTION("""COMPUTED_VALUE"""),"סמיאטיץ' ג'ינה")</f>
        <v>סמיאטיץ' ג'ינה</v>
      </c>
      <c r="C551" s="3">
        <f>IFERROR(__xludf.DUMMYFUNCTION("""COMPUTED_VALUE"""),90.0)</f>
        <v>90</v>
      </c>
      <c r="D551" s="5" t="str">
        <f>IFERROR(__xludf.DUMMYFUNCTION("""COMPUTED_VALUE"""),"כיסופים")</f>
        <v>כיסופים</v>
      </c>
      <c r="E551" s="5" t="str">
        <f>IFERROR(__xludf.DUMMYFUNCTION("""COMPUTED_VALUE"""),"אישה")</f>
        <v>אישה</v>
      </c>
      <c r="F551" s="5" t="str">
        <f>IFERROR(__xludf.DUMMYFUNCTION("""COMPUTED_VALUE"""),"אזרחים")</f>
        <v>אזרחים</v>
      </c>
      <c r="G551" s="3"/>
      <c r="H551" s="3" t="str">
        <f>IFERROR(__xludf.DUMMYFUNCTION("""COMPUTED_VALUE"""),"07.10.2023")</f>
        <v>07.10.2023</v>
      </c>
      <c r="I551" s="4" t="str">
        <f>IFERROR(__xludf.DUMMYFUNCTION("""COMPUTED_VALUE"""),"כיסופים")</f>
        <v>כיסופים</v>
      </c>
      <c r="J551" s="4" t="str">
        <f>IFERROR(__xludf.DUMMYFUNCTION("""COMPUTED_VALUE"""),"אזרחים וכיתות כוננות")</f>
        <v>אזרחים וכיתות כוננות</v>
      </c>
      <c r="K551" s="5"/>
      <c r="L551" s="3" t="str">
        <f>IFERROR(__xludf.DUMMYFUNCTION("""COMPUTED_VALUE"""),"Gina Smiatich")</f>
        <v>Gina Smiatich</v>
      </c>
      <c r="M551" s="5"/>
    </row>
    <row r="552">
      <c r="A552" s="3">
        <f>IFERROR(__xludf.DUMMYFUNCTION("""COMPUTED_VALUE"""),379.0)</f>
        <v>379</v>
      </c>
      <c r="B552" s="4" t="str">
        <f>IFERROR(__xludf.DUMMYFUNCTION("""COMPUTED_VALUE"""),"רון עופר")</f>
        <v>רון עופר</v>
      </c>
      <c r="C552" s="3">
        <f>IFERROR(__xludf.DUMMYFUNCTION("""COMPUTED_VALUE"""),70.0)</f>
        <v>70</v>
      </c>
      <c r="D552" s="5" t="str">
        <f>IFERROR(__xludf.DUMMYFUNCTION("""COMPUTED_VALUE"""),"כיסופים")</f>
        <v>כיסופים</v>
      </c>
      <c r="E552" s="5" t="str">
        <f>IFERROR(__xludf.DUMMYFUNCTION("""COMPUTED_VALUE"""),"גבר")</f>
        <v>גבר</v>
      </c>
      <c r="F552" s="5" t="str">
        <f>IFERROR(__xludf.DUMMYFUNCTION("""COMPUTED_VALUE"""),"אזרחים")</f>
        <v>אזרחים</v>
      </c>
      <c r="G552" s="3"/>
      <c r="H552" s="3" t="str">
        <f>IFERROR(__xludf.DUMMYFUNCTION("""COMPUTED_VALUE"""),"07.10.2023")</f>
        <v>07.10.2023</v>
      </c>
      <c r="I552" s="4" t="str">
        <f>IFERROR(__xludf.DUMMYFUNCTION("""COMPUTED_VALUE"""),"כיסופים")</f>
        <v>כיסופים</v>
      </c>
      <c r="J552" s="4" t="str">
        <f>IFERROR(__xludf.DUMMYFUNCTION("""COMPUTED_VALUE"""),"אזרחים וכיתות כוננות")</f>
        <v>אזרחים וכיתות כוננות</v>
      </c>
      <c r="K552" s="5"/>
      <c r="L552" s="3" t="str">
        <f>IFERROR(__xludf.DUMMYFUNCTION("""COMPUTED_VALUE"""),"Ofer Ron")</f>
        <v>Ofer Ron</v>
      </c>
      <c r="M552" s="5"/>
    </row>
    <row r="553">
      <c r="A553" s="3">
        <f>IFERROR(__xludf.DUMMYFUNCTION("""COMPUTED_VALUE"""),1405.0)</f>
        <v>1405</v>
      </c>
      <c r="B553" s="4" t="str">
        <f>IFERROR(__xludf.DUMMYFUNCTION("""COMPUTED_VALUE"""),"Jakkaphong Jantharasena")</f>
        <v>Jakkaphong Jantharasena</v>
      </c>
      <c r="C553" s="3">
        <f>IFERROR(__xludf.DUMMYFUNCTION("""COMPUTED_VALUE"""),28.0)</f>
        <v>28</v>
      </c>
      <c r="D553" s="5" t="str">
        <f>IFERROR(__xludf.DUMMYFUNCTION("""COMPUTED_VALUE"""),"תאילנד")</f>
        <v>תאילנד</v>
      </c>
      <c r="E553" s="5" t="str">
        <f>IFERROR(__xludf.DUMMYFUNCTION("""COMPUTED_VALUE"""),"גבר")</f>
        <v>גבר</v>
      </c>
      <c r="F553" s="5" t="str">
        <f>IFERROR(__xludf.DUMMYFUNCTION("""COMPUTED_VALUE"""),"אזרחים זרים")</f>
        <v>אזרחים זרים</v>
      </c>
      <c r="G553" s="3"/>
      <c r="H553" s="3" t="str">
        <f>IFERROR(__xludf.DUMMYFUNCTION("""COMPUTED_VALUE"""),"07.10.2023")</f>
        <v>07.10.2023</v>
      </c>
      <c r="I553" s="4" t="str">
        <f>IFERROR(__xludf.DUMMYFUNCTION("""COMPUTED_VALUE"""),"כיסופים")</f>
        <v>כיסופים</v>
      </c>
      <c r="J553" s="4" t="str">
        <f>IFERROR(__xludf.DUMMYFUNCTION("""COMPUTED_VALUE"""),"אזרחים וכיתות כוננות")</f>
        <v>אזרחים וכיתות כוננות</v>
      </c>
      <c r="K553" s="5"/>
      <c r="L553" s="3" t="str">
        <f>IFERROR(__xludf.DUMMYFUNCTION("""COMPUTED_VALUE"""),"Chandrasena Chakkraphong")</f>
        <v>Chandrasena Chakkraphong</v>
      </c>
      <c r="M553" s="5"/>
    </row>
    <row r="554">
      <c r="A554" s="3">
        <f>IFERROR(__xludf.DUMMYFUNCTION("""COMPUTED_VALUE"""),1687.0)</f>
        <v>1687</v>
      </c>
      <c r="B554" s="2" t="str">
        <f>IFERROR(__xludf.DUMMYFUNCTION("""COMPUTED_VALUE"""),"Kaison Aranthit")</f>
        <v>Kaison Aranthit</v>
      </c>
      <c r="C554" s="3">
        <f>IFERROR(__xludf.DUMMYFUNCTION("""COMPUTED_VALUE"""),29.0)</f>
        <v>29</v>
      </c>
      <c r="D554" s="5" t="str">
        <f>IFERROR(__xludf.DUMMYFUNCTION("""COMPUTED_VALUE"""),"תאילנד")</f>
        <v>תאילנד</v>
      </c>
      <c r="E554" s="5" t="str">
        <f>IFERROR(__xludf.DUMMYFUNCTION("""COMPUTED_VALUE"""),"גבר")</f>
        <v>גבר</v>
      </c>
      <c r="F554" s="5" t="str">
        <f>IFERROR(__xludf.DUMMYFUNCTION("""COMPUTED_VALUE"""),"אזרחים זרים")</f>
        <v>אזרחים זרים</v>
      </c>
      <c r="G554" s="3"/>
      <c r="H554" s="3" t="str">
        <f>IFERROR(__xludf.DUMMYFUNCTION("""COMPUTED_VALUE"""),"07.10.2023")</f>
        <v>07.10.2023</v>
      </c>
      <c r="I554" s="4" t="str">
        <f>IFERROR(__xludf.DUMMYFUNCTION("""COMPUTED_VALUE"""),"כיסופים")</f>
        <v>כיסופים</v>
      </c>
      <c r="J554" s="4" t="str">
        <f>IFERROR(__xludf.DUMMYFUNCTION("""COMPUTED_VALUE"""),"אזרחים וכיתות כוננות")</f>
        <v>אזרחים וכיתות כוננות</v>
      </c>
      <c r="K554" s="5"/>
      <c r="L554" s="3" t="str">
        <f>IFERROR(__xludf.DUMMYFUNCTION("""COMPUTED_VALUE"""),"Kaison Aranthit")</f>
        <v>Kaison Aranthit</v>
      </c>
      <c r="M554" s="5"/>
    </row>
    <row r="555">
      <c r="A555" s="3">
        <f>IFERROR(__xludf.DUMMYFUNCTION("""COMPUTED_VALUE"""),1416.0)</f>
        <v>1416</v>
      </c>
      <c r="B555" s="2" t="str">
        <f>IFERROR(__xludf.DUMMYFUNCTION("""COMPUTED_VALUE"""),"Khunsri Pongsatorn")</f>
        <v>Khunsri Pongsatorn</v>
      </c>
      <c r="C555" s="3">
        <f>IFERROR(__xludf.DUMMYFUNCTION("""COMPUTED_VALUE"""),25.0)</f>
        <v>25</v>
      </c>
      <c r="D555" s="5" t="str">
        <f>IFERROR(__xludf.DUMMYFUNCTION("""COMPUTED_VALUE"""),"תאילנד")</f>
        <v>תאילנד</v>
      </c>
      <c r="E555" s="5" t="str">
        <f>IFERROR(__xludf.DUMMYFUNCTION("""COMPUTED_VALUE"""),"גבר")</f>
        <v>גבר</v>
      </c>
      <c r="F555" s="5" t="str">
        <f>IFERROR(__xludf.DUMMYFUNCTION("""COMPUTED_VALUE"""),"אזרחים זרים")</f>
        <v>אזרחים זרים</v>
      </c>
      <c r="G555" s="3"/>
      <c r="H555" s="3" t="str">
        <f>IFERROR(__xludf.DUMMYFUNCTION("""COMPUTED_VALUE"""),"07.10.2023")</f>
        <v>07.10.2023</v>
      </c>
      <c r="I555" s="4" t="str">
        <f>IFERROR(__xludf.DUMMYFUNCTION("""COMPUTED_VALUE"""),"רעים")</f>
        <v>רעים</v>
      </c>
      <c r="J555" s="4" t="str">
        <f>IFERROR(__xludf.DUMMYFUNCTION("""COMPUTED_VALUE"""),"אזרחים וכיתות כוננות")</f>
        <v>אזרחים וכיתות כוננות</v>
      </c>
      <c r="K555" s="5"/>
      <c r="L555" s="3" t="str">
        <f>IFERROR(__xludf.DUMMYFUNCTION("""COMPUTED_VALUE"""),"Khunsri Pongsatorn")</f>
        <v>Khunsri Pongsatorn</v>
      </c>
      <c r="M555" s="5"/>
    </row>
    <row r="556">
      <c r="A556" s="3">
        <f>IFERROR(__xludf.DUMMYFUNCTION("""COMPUTED_VALUE"""),1417.0)</f>
        <v>1417</v>
      </c>
      <c r="B556" s="2" t="str">
        <f>IFERROR(__xludf.DUMMYFUNCTION("""COMPUTED_VALUE"""),"Klangsuwan Theerapong")</f>
        <v>Klangsuwan Theerapong</v>
      </c>
      <c r="C556" s="3">
        <f>IFERROR(__xludf.DUMMYFUNCTION("""COMPUTED_VALUE"""),38.0)</f>
        <v>38</v>
      </c>
      <c r="D556" s="5" t="str">
        <f>IFERROR(__xludf.DUMMYFUNCTION("""COMPUTED_VALUE"""),"תאילנד")</f>
        <v>תאילנד</v>
      </c>
      <c r="E556" s="5" t="str">
        <f>IFERROR(__xludf.DUMMYFUNCTION("""COMPUTED_VALUE"""),"גבר")</f>
        <v>גבר</v>
      </c>
      <c r="F556" s="5" t="str">
        <f>IFERROR(__xludf.DUMMYFUNCTION("""COMPUTED_VALUE"""),"אזרחים זרים")</f>
        <v>אזרחים זרים</v>
      </c>
      <c r="G556" s="3"/>
      <c r="H556" s="3" t="str">
        <f>IFERROR(__xludf.DUMMYFUNCTION("""COMPUTED_VALUE"""),"07.10.2023")</f>
        <v>07.10.2023</v>
      </c>
      <c r="I556" s="4" t="str">
        <f>IFERROR(__xludf.DUMMYFUNCTION("""COMPUTED_VALUE"""),"כיסופים")</f>
        <v>כיסופים</v>
      </c>
      <c r="J556" s="4" t="str">
        <f>IFERROR(__xludf.DUMMYFUNCTION("""COMPUTED_VALUE"""),"אזרחים וכיתות כוננות")</f>
        <v>אזרחים וכיתות כוננות</v>
      </c>
      <c r="K556" s="5"/>
      <c r="L556" s="3" t="str">
        <f>IFERROR(__xludf.DUMMYFUNCTION("""COMPUTED_VALUE"""),"Klangsuwan Theerapong")</f>
        <v>Klangsuwan Theerapong</v>
      </c>
      <c r="M556" s="5"/>
    </row>
    <row r="557">
      <c r="A557" s="3">
        <f>IFERROR(__xludf.DUMMYFUNCTION("""COMPUTED_VALUE"""),1407.0)</f>
        <v>1407</v>
      </c>
      <c r="B557" s="2" t="str">
        <f>IFERROR(__xludf.DUMMYFUNCTION("""COMPUTED_VALUE"""),"Prakotwong Thanakrit")</f>
        <v>Prakotwong Thanakrit</v>
      </c>
      <c r="C557" s="3">
        <f>IFERROR(__xludf.DUMMYFUNCTION("""COMPUTED_VALUE"""),35.0)</f>
        <v>35</v>
      </c>
      <c r="D557" s="5" t="str">
        <f>IFERROR(__xludf.DUMMYFUNCTION("""COMPUTED_VALUE"""),"תאילנד")</f>
        <v>תאילנד</v>
      </c>
      <c r="E557" s="5" t="str">
        <f>IFERROR(__xludf.DUMMYFUNCTION("""COMPUTED_VALUE"""),"גבר")</f>
        <v>גבר</v>
      </c>
      <c r="F557" s="5" t="str">
        <f>IFERROR(__xludf.DUMMYFUNCTION("""COMPUTED_VALUE"""),"אזרחים זרים")</f>
        <v>אזרחים זרים</v>
      </c>
      <c r="G557" s="3"/>
      <c r="H557" s="3" t="str">
        <f>IFERROR(__xludf.DUMMYFUNCTION("""COMPUTED_VALUE"""),"07.10.2023")</f>
        <v>07.10.2023</v>
      </c>
      <c r="I557" s="4" t="str">
        <f>IFERROR(__xludf.DUMMYFUNCTION("""COMPUTED_VALUE"""),"ניר עוז")</f>
        <v>ניר עוז</v>
      </c>
      <c r="J557" s="4" t="str">
        <f>IFERROR(__xludf.DUMMYFUNCTION("""COMPUTED_VALUE"""),"אזרחים וכיתות כוננות")</f>
        <v>אזרחים וכיתות כוננות</v>
      </c>
      <c r="K557" s="5"/>
      <c r="L557" s="3" t="str">
        <f>IFERROR(__xludf.DUMMYFUNCTION("""COMPUTED_VALUE"""),"Prakotwong Thanakrit")</f>
        <v>Prakotwong Thanakrit</v>
      </c>
      <c r="M557" s="5"/>
    </row>
    <row r="558">
      <c r="A558" s="3">
        <f>IFERROR(__xludf.DUMMYFUNCTION("""COMPUTED_VALUE"""),1418.0)</f>
        <v>1418</v>
      </c>
      <c r="B558" s="2" t="str">
        <f>IFERROR(__xludf.DUMMYFUNCTION("""COMPUTED_VALUE"""),"Sanusan Chairat")</f>
        <v>Sanusan Chairat</v>
      </c>
      <c r="C558" s="3">
        <f>IFERROR(__xludf.DUMMYFUNCTION("""COMPUTED_VALUE"""),39.0)</f>
        <v>39</v>
      </c>
      <c r="D558" s="5" t="str">
        <f>IFERROR(__xludf.DUMMYFUNCTION("""COMPUTED_VALUE"""),"תאילנד")</f>
        <v>תאילנד</v>
      </c>
      <c r="E558" s="5" t="str">
        <f>IFERROR(__xludf.DUMMYFUNCTION("""COMPUTED_VALUE"""),"גבר")</f>
        <v>גבר</v>
      </c>
      <c r="F558" s="5" t="str">
        <f>IFERROR(__xludf.DUMMYFUNCTION("""COMPUTED_VALUE"""),"אזרחים זרים")</f>
        <v>אזרחים זרים</v>
      </c>
      <c r="G558" s="3"/>
      <c r="H558" s="3" t="str">
        <f>IFERROR(__xludf.DUMMYFUNCTION("""COMPUTED_VALUE"""),"07.10.2023")</f>
        <v>07.10.2023</v>
      </c>
      <c r="I558" s="4" t="str">
        <f>IFERROR(__xludf.DUMMYFUNCTION("""COMPUTED_VALUE"""),"כיסופים")</f>
        <v>כיסופים</v>
      </c>
      <c r="J558" s="4" t="str">
        <f>IFERROR(__xludf.DUMMYFUNCTION("""COMPUTED_VALUE"""),"אזרחים וכיתות כוננות")</f>
        <v>אזרחים וכיתות כוננות</v>
      </c>
      <c r="K558" s="5"/>
      <c r="L558" s="3" t="str">
        <f>IFERROR(__xludf.DUMMYFUNCTION("""COMPUTED_VALUE"""),"Sanusan Chairat")</f>
        <v>Sanusan Chairat</v>
      </c>
      <c r="M558" s="5"/>
    </row>
    <row r="559">
      <c r="A559" s="3">
        <f>IFERROR(__xludf.DUMMYFUNCTION("""COMPUTED_VALUE"""),1410.0)</f>
        <v>1410</v>
      </c>
      <c r="B559" s="2" t="str">
        <f>IFERROR(__xludf.DUMMYFUNCTION("""COMPUTED_VALUE"""),"Sophakun Anucha")</f>
        <v>Sophakun Anucha</v>
      </c>
      <c r="C559" s="3">
        <f>IFERROR(__xludf.DUMMYFUNCTION("""COMPUTED_VALUE"""),28.0)</f>
        <v>28</v>
      </c>
      <c r="D559" s="5" t="str">
        <f>IFERROR(__xludf.DUMMYFUNCTION("""COMPUTED_VALUE"""),"תאילנד")</f>
        <v>תאילנד</v>
      </c>
      <c r="E559" s="5" t="str">
        <f>IFERROR(__xludf.DUMMYFUNCTION("""COMPUTED_VALUE"""),"גבר")</f>
        <v>גבר</v>
      </c>
      <c r="F559" s="5" t="str">
        <f>IFERROR(__xludf.DUMMYFUNCTION("""COMPUTED_VALUE"""),"אזרחים זרים")</f>
        <v>אזרחים זרים</v>
      </c>
      <c r="G559" s="3"/>
      <c r="H559" s="3" t="str">
        <f>IFERROR(__xludf.DUMMYFUNCTION("""COMPUTED_VALUE"""),"07.10.2023")</f>
        <v>07.10.2023</v>
      </c>
      <c r="I559" s="4" t="str">
        <f>IFERROR(__xludf.DUMMYFUNCTION("""COMPUTED_VALUE"""),"כיסופים")</f>
        <v>כיסופים</v>
      </c>
      <c r="J559" s="4" t="str">
        <f>IFERROR(__xludf.DUMMYFUNCTION("""COMPUTED_VALUE"""),"אזרחים וכיתות כוננות")</f>
        <v>אזרחים וכיתות כוננות</v>
      </c>
      <c r="K559" s="5"/>
      <c r="L559" s="3" t="str">
        <f>IFERROR(__xludf.DUMMYFUNCTION("""COMPUTED_VALUE"""),"Sophakun Anucha")</f>
        <v>Sophakun Anucha</v>
      </c>
      <c r="M559" s="5"/>
    </row>
    <row r="560">
      <c r="A560" s="3">
        <f>IFERROR(__xludf.DUMMYFUNCTION("""COMPUTED_VALUE"""),1408.0)</f>
        <v>1408</v>
      </c>
      <c r="B560" s="2" t="str">
        <f>IFERROR(__xludf.DUMMYFUNCTION("""COMPUTED_VALUE"""),"Srithat Kawao")</f>
        <v>Srithat Kawao</v>
      </c>
      <c r="C560" s="3">
        <f>IFERROR(__xludf.DUMMYFUNCTION("""COMPUTED_VALUE"""),43.0)</f>
        <v>43</v>
      </c>
      <c r="D560" s="5" t="str">
        <f>IFERROR(__xludf.DUMMYFUNCTION("""COMPUTED_VALUE"""),"תאילנד")</f>
        <v>תאילנד</v>
      </c>
      <c r="E560" s="5" t="str">
        <f>IFERROR(__xludf.DUMMYFUNCTION("""COMPUTED_VALUE"""),"גבר")</f>
        <v>גבר</v>
      </c>
      <c r="F560" s="5" t="str">
        <f>IFERROR(__xludf.DUMMYFUNCTION("""COMPUTED_VALUE"""),"אזרחים זרים")</f>
        <v>אזרחים זרים</v>
      </c>
      <c r="G560" s="3"/>
      <c r="H560" s="3" t="str">
        <f>IFERROR(__xludf.DUMMYFUNCTION("""COMPUTED_VALUE"""),"07.10.2023")</f>
        <v>07.10.2023</v>
      </c>
      <c r="I560" s="4" t="str">
        <f>IFERROR(__xludf.DUMMYFUNCTION("""COMPUTED_VALUE"""),"ניר עוז")</f>
        <v>ניר עוז</v>
      </c>
      <c r="J560" s="4" t="str">
        <f>IFERROR(__xludf.DUMMYFUNCTION("""COMPUTED_VALUE"""),"אזרחים וכיתות כוננות")</f>
        <v>אזרחים וכיתות כוננות</v>
      </c>
      <c r="K560" s="5"/>
      <c r="L560" s="3" t="str">
        <f>IFERROR(__xludf.DUMMYFUNCTION("""COMPUTED_VALUE"""),"Srithat Kawao")</f>
        <v>Srithat Kawao</v>
      </c>
      <c r="M560" s="5"/>
    </row>
    <row r="561">
      <c r="A561" s="3">
        <f>IFERROR(__xludf.DUMMYFUNCTION("""COMPUTED_VALUE"""),288.0)</f>
        <v>288</v>
      </c>
      <c r="B561" s="2" t="str">
        <f>IFERROR(__xludf.DUMMYFUNCTION("""COMPUTED_VALUE"""),"אדמוני גיא")</f>
        <v>אדמוני גיא</v>
      </c>
      <c r="C561" s="3">
        <f>IFERROR(__xludf.DUMMYFUNCTION("""COMPUTED_VALUE"""),25.0)</f>
        <v>25</v>
      </c>
      <c r="D561" s="5" t="str">
        <f>IFERROR(__xludf.DUMMYFUNCTION("""COMPUTED_VALUE"""),"כפר עזה")</f>
        <v>כפר עזה</v>
      </c>
      <c r="E561" s="5" t="str">
        <f>IFERROR(__xludf.DUMMYFUNCTION("""COMPUTED_VALUE"""),"גבר")</f>
        <v>גבר</v>
      </c>
      <c r="F561" s="5" t="str">
        <f>IFERROR(__xludf.DUMMYFUNCTION("""COMPUTED_VALUE"""),"צה""ל")</f>
        <v>צה"ל</v>
      </c>
      <c r="G561" s="3" t="str">
        <f>IFERROR(__xludf.DUMMYFUNCTION("""COMPUTED_VALUE"""),"סרן")</f>
        <v>סרן</v>
      </c>
      <c r="H561" s="3" t="str">
        <f>IFERROR(__xludf.DUMMYFUNCTION("""COMPUTED_VALUE"""),"07.10.2023")</f>
        <v>07.10.2023</v>
      </c>
      <c r="I561" s="4" t="str">
        <f>IFERROR(__xludf.DUMMYFUNCTION("""COMPUTED_VALUE"""),"כפר עזה")</f>
        <v>כפר עזה</v>
      </c>
      <c r="J561" s="4" t="str">
        <f>IFERROR(__xludf.DUMMYFUNCTION("""COMPUTED_VALUE"""),"אזרחים וכיתות כוננות")</f>
        <v>אזרחים וכיתות כוננות</v>
      </c>
      <c r="K561" s="5"/>
      <c r="L561" s="3" t="str">
        <f>IFERROR(__xludf.DUMMYFUNCTION("""COMPUTED_VALUE"""),"Guy Admoni")</f>
        <v>Guy Admoni</v>
      </c>
      <c r="M561" s="5"/>
    </row>
    <row r="562">
      <c r="A562" s="3">
        <f>IFERROR(__xludf.DUMMYFUNCTION("""COMPUTED_VALUE"""),289.0)</f>
        <v>289</v>
      </c>
      <c r="B562" s="2" t="str">
        <f>IFERROR(__xludf.DUMMYFUNCTION("""COMPUTED_VALUE"""),"אדמוני מיכל")</f>
        <v>אדמוני מיכל</v>
      </c>
      <c r="C562" s="3">
        <f>IFERROR(__xludf.DUMMYFUNCTION("""COMPUTED_VALUE"""),51.0)</f>
        <v>51</v>
      </c>
      <c r="D562" s="5" t="str">
        <f>IFERROR(__xludf.DUMMYFUNCTION("""COMPUTED_VALUE"""),"כפר עזה")</f>
        <v>כפר עזה</v>
      </c>
      <c r="E562" s="5" t="str">
        <f>IFERROR(__xludf.DUMMYFUNCTION("""COMPUTED_VALUE"""),"אישה")</f>
        <v>אישה</v>
      </c>
      <c r="F562" s="5" t="str">
        <f>IFERROR(__xludf.DUMMYFUNCTION("""COMPUTED_VALUE"""),"אזרחים")</f>
        <v>אזרחים</v>
      </c>
      <c r="G562" s="3"/>
      <c r="H562" s="3" t="str">
        <f>IFERROR(__xludf.DUMMYFUNCTION("""COMPUTED_VALUE"""),"07.10.2023")</f>
        <v>07.10.2023</v>
      </c>
      <c r="I562" s="4" t="str">
        <f>IFERROR(__xludf.DUMMYFUNCTION("""COMPUTED_VALUE"""),"כפר עזה")</f>
        <v>כפר עזה</v>
      </c>
      <c r="J562" s="4" t="str">
        <f>IFERROR(__xludf.DUMMYFUNCTION("""COMPUTED_VALUE"""),"אזרחים וכיתות כוננות")</f>
        <v>אזרחים וכיתות כוננות</v>
      </c>
      <c r="K562" s="5"/>
      <c r="L562" s="3" t="str">
        <f>IFERROR(__xludf.DUMMYFUNCTION("""COMPUTED_VALUE"""),"Michal Admoni")</f>
        <v>Michal Admoni</v>
      </c>
      <c r="M562" s="5"/>
    </row>
    <row r="563">
      <c r="A563" s="3">
        <f>IFERROR(__xludf.DUMMYFUNCTION("""COMPUTED_VALUE"""),348.0)</f>
        <v>348</v>
      </c>
      <c r="B563" s="4" t="str">
        <f>IFERROR(__xludf.DUMMYFUNCTION("""COMPUTED_VALUE"""),"אדרי אביעד אברהם")</f>
        <v>אדרי אביעד אברהם</v>
      </c>
      <c r="C563" s="3">
        <f>IFERROR(__xludf.DUMMYFUNCTION("""COMPUTED_VALUE"""),31.0)</f>
        <v>31</v>
      </c>
      <c r="D563" s="5" t="str">
        <f>IFERROR(__xludf.DUMMYFUNCTION("""COMPUTED_VALUE"""),"כפר עזה")</f>
        <v>כפר עזה</v>
      </c>
      <c r="E563" s="5" t="str">
        <f>IFERROR(__xludf.DUMMYFUNCTION("""COMPUTED_VALUE"""),"גבר")</f>
        <v>גבר</v>
      </c>
      <c r="F563" s="5" t="str">
        <f>IFERROR(__xludf.DUMMYFUNCTION("""COMPUTED_VALUE"""),"אזרחים")</f>
        <v>אזרחים</v>
      </c>
      <c r="G563" s="5"/>
      <c r="H563" s="3" t="str">
        <f>IFERROR(__xludf.DUMMYFUNCTION("""COMPUTED_VALUE"""),"07.10.2023")</f>
        <v>07.10.2023</v>
      </c>
      <c r="I563" s="4" t="str">
        <f>IFERROR(__xludf.DUMMYFUNCTION("""COMPUTED_VALUE"""),"כפר עזה")</f>
        <v>כפר עזה</v>
      </c>
      <c r="J563" s="4" t="str">
        <f>IFERROR(__xludf.DUMMYFUNCTION("""COMPUTED_VALUE"""),"אזרחים וכיתות כוננות")</f>
        <v>אזרחים וכיתות כוננות</v>
      </c>
      <c r="K563" s="5"/>
      <c r="L563" s="3" t="str">
        <f>IFERROR(__xludf.DUMMYFUNCTION("""COMPUTED_VALUE"""),"Aviad Avraham Edri")</f>
        <v>Aviad Avraham Edri</v>
      </c>
      <c r="M563" s="5"/>
    </row>
    <row r="564">
      <c r="A564" s="3">
        <f>IFERROR(__xludf.DUMMYFUNCTION("""COMPUTED_VALUE"""),344.0)</f>
        <v>344</v>
      </c>
      <c r="B564" s="4" t="str">
        <f>IFERROR(__xludf.DUMMYFUNCTION("""COMPUTED_VALUE"""),"אורגד גולדנברג אליהו (אלי)")</f>
        <v>אורגד גולדנברג אליהו (אלי)</v>
      </c>
      <c r="C564" s="3">
        <f>IFERROR(__xludf.DUMMYFUNCTION("""COMPUTED_VALUE"""),72.0)</f>
        <v>72</v>
      </c>
      <c r="D564" s="5" t="str">
        <f>IFERROR(__xludf.DUMMYFUNCTION("""COMPUTED_VALUE"""),"כפר עזה")</f>
        <v>כפר עזה</v>
      </c>
      <c r="E564" s="5" t="str">
        <f>IFERROR(__xludf.DUMMYFUNCTION("""COMPUTED_VALUE"""),"גבר")</f>
        <v>גבר</v>
      </c>
      <c r="F564" s="5" t="str">
        <f>IFERROR(__xludf.DUMMYFUNCTION("""COMPUTED_VALUE"""),"אזרחים")</f>
        <v>אזרחים</v>
      </c>
      <c r="G564" s="5"/>
      <c r="H564" s="3" t="str">
        <f>IFERROR(__xludf.DUMMYFUNCTION("""COMPUTED_VALUE"""),"07.10.2023")</f>
        <v>07.10.2023</v>
      </c>
      <c r="I564" s="4" t="str">
        <f>IFERROR(__xludf.DUMMYFUNCTION("""COMPUTED_VALUE"""),"כפר עזה")</f>
        <v>כפר עזה</v>
      </c>
      <c r="J564" s="2" t="str">
        <f>IFERROR(__xludf.DUMMYFUNCTION("""COMPUTED_VALUE"""),"אזרחים וכיתות כוננות")</f>
        <v>אזרחים וכיתות כוננות</v>
      </c>
      <c r="K564" s="5"/>
      <c r="L564" s="3" t="str">
        <f>IFERROR(__xludf.DUMMYFUNCTION("""COMPUTED_VALUE"""),"Eliyahu Orgad")</f>
        <v>Eliyahu Orgad</v>
      </c>
      <c r="M564" s="5"/>
    </row>
    <row r="565">
      <c r="A565" s="3">
        <f>IFERROR(__xludf.DUMMYFUNCTION("""COMPUTED_VALUE"""),317.0)</f>
        <v>317</v>
      </c>
      <c r="B565" s="4" t="str">
        <f>IFERROR(__xludf.DUMMYFUNCTION("""COMPUTED_VALUE"""),"איתמרי לילי")</f>
        <v>איתמרי לילי</v>
      </c>
      <c r="C565" s="3">
        <f>IFERROR(__xludf.DUMMYFUNCTION("""COMPUTED_VALUE"""),64.0)</f>
        <v>64</v>
      </c>
      <c r="D565" s="5" t="str">
        <f>IFERROR(__xludf.DUMMYFUNCTION("""COMPUTED_VALUE"""),"כפר עזה")</f>
        <v>כפר עזה</v>
      </c>
      <c r="E565" s="5" t="str">
        <f>IFERROR(__xludf.DUMMYFUNCTION("""COMPUTED_VALUE"""),"אישה")</f>
        <v>אישה</v>
      </c>
      <c r="F565" s="5" t="str">
        <f>IFERROR(__xludf.DUMMYFUNCTION("""COMPUTED_VALUE"""),"אזרחים")</f>
        <v>אזרחים</v>
      </c>
      <c r="G565" s="3"/>
      <c r="H565" s="3" t="str">
        <f>IFERROR(__xludf.DUMMYFUNCTION("""COMPUTED_VALUE"""),"07.10.2023")</f>
        <v>07.10.2023</v>
      </c>
      <c r="I565" s="4" t="str">
        <f>IFERROR(__xludf.DUMMYFUNCTION("""COMPUTED_VALUE"""),"כפר עזה")</f>
        <v>כפר עזה</v>
      </c>
      <c r="J565" s="4" t="str">
        <f>IFERROR(__xludf.DUMMYFUNCTION("""COMPUTED_VALUE"""),"אזרחים וכיתות כוננות")</f>
        <v>אזרחים וכיתות כוננות</v>
      </c>
      <c r="K565" s="5"/>
      <c r="L565" s="3" t="str">
        <f>IFERROR(__xludf.DUMMYFUNCTION("""COMPUTED_VALUE"""),"Lili Itamary")</f>
        <v>Lili Itamary</v>
      </c>
      <c r="M565" s="5"/>
    </row>
    <row r="566">
      <c r="A566" s="3">
        <f>IFERROR(__xludf.DUMMYFUNCTION("""COMPUTED_VALUE"""),318.0)</f>
        <v>318</v>
      </c>
      <c r="B566" s="4" t="str">
        <f>IFERROR(__xludf.DUMMYFUNCTION("""COMPUTED_VALUE"""),"איתמרי רם")</f>
        <v>איתמרי רם</v>
      </c>
      <c r="C566" s="3">
        <f>IFERROR(__xludf.DUMMYFUNCTION("""COMPUTED_VALUE"""),65.0)</f>
        <v>65</v>
      </c>
      <c r="D566" s="5" t="str">
        <f>IFERROR(__xludf.DUMMYFUNCTION("""COMPUTED_VALUE"""),"כפר עזה")</f>
        <v>כפר עזה</v>
      </c>
      <c r="E566" s="5" t="str">
        <f>IFERROR(__xludf.DUMMYFUNCTION("""COMPUTED_VALUE"""),"גבר")</f>
        <v>גבר</v>
      </c>
      <c r="F566" s="5" t="str">
        <f>IFERROR(__xludf.DUMMYFUNCTION("""COMPUTED_VALUE"""),"אזרחים")</f>
        <v>אזרחים</v>
      </c>
      <c r="G566" s="3"/>
      <c r="H566" s="3" t="str">
        <f>IFERROR(__xludf.DUMMYFUNCTION("""COMPUTED_VALUE"""),"07.10.2023")</f>
        <v>07.10.2023</v>
      </c>
      <c r="I566" s="4" t="str">
        <f>IFERROR(__xludf.DUMMYFUNCTION("""COMPUTED_VALUE"""),"כפר עזה")</f>
        <v>כפר עזה</v>
      </c>
      <c r="J566" s="2" t="str">
        <f>IFERROR(__xludf.DUMMYFUNCTION("""COMPUTED_VALUE"""),"אזרחים וכיתות כוננות")</f>
        <v>אזרחים וכיתות כוננות</v>
      </c>
      <c r="K566" s="5"/>
      <c r="L566" s="3" t="str">
        <f>IFERROR(__xludf.DUMMYFUNCTION("""COMPUTED_VALUE"""),"Ram Itamary")</f>
        <v>Ram Itamary</v>
      </c>
      <c r="M566" s="5"/>
    </row>
    <row r="567">
      <c r="A567" s="3">
        <f>IFERROR(__xludf.DUMMYFUNCTION("""COMPUTED_VALUE"""),300.0)</f>
        <v>300</v>
      </c>
      <c r="B567" s="4" t="str">
        <f>IFERROR(__xludf.DUMMYFUNCTION("""COMPUTED_VALUE"""),"אלקבץ סיון")</f>
        <v>אלקבץ סיון</v>
      </c>
      <c r="C567" s="3">
        <f>IFERROR(__xludf.DUMMYFUNCTION("""COMPUTED_VALUE"""),23.0)</f>
        <v>23</v>
      </c>
      <c r="D567" s="5" t="str">
        <f>IFERROR(__xludf.DUMMYFUNCTION("""COMPUTED_VALUE"""),"כפר עזה")</f>
        <v>כפר עזה</v>
      </c>
      <c r="E567" s="5" t="str">
        <f>IFERROR(__xludf.DUMMYFUNCTION("""COMPUTED_VALUE"""),"אישה")</f>
        <v>אישה</v>
      </c>
      <c r="F567" s="5" t="str">
        <f>IFERROR(__xludf.DUMMYFUNCTION("""COMPUTED_VALUE"""),"אזרחים")</f>
        <v>אזרחים</v>
      </c>
      <c r="G567" s="3"/>
      <c r="H567" s="3" t="str">
        <f>IFERROR(__xludf.DUMMYFUNCTION("""COMPUTED_VALUE"""),"07.10.2023")</f>
        <v>07.10.2023</v>
      </c>
      <c r="I567" s="4" t="str">
        <f>IFERROR(__xludf.DUMMYFUNCTION("""COMPUTED_VALUE"""),"כפר עזה")</f>
        <v>כפר עזה</v>
      </c>
      <c r="J567" s="4" t="str">
        <f>IFERROR(__xludf.DUMMYFUNCTION("""COMPUTED_VALUE"""),"אזרחים וכיתות כוננות")</f>
        <v>אזרחים וכיתות כוננות</v>
      </c>
      <c r="K567" s="5"/>
      <c r="L567" s="3" t="str">
        <f>IFERROR(__xludf.DUMMYFUNCTION("""COMPUTED_VALUE"""),"Sivan Elkabets")</f>
        <v>Sivan Elkabets</v>
      </c>
      <c r="M567" s="5"/>
    </row>
    <row r="568">
      <c r="A568" s="3">
        <f>IFERROR(__xludf.DUMMYFUNCTION("""COMPUTED_VALUE"""),351.0)</f>
        <v>351</v>
      </c>
      <c r="B568" s="4" t="str">
        <f>IFERROR(__xludf.DUMMYFUNCTION("""COMPUTED_VALUE"""),"אמיר מודי (מרדכי)")</f>
        <v>אמיר מודי (מרדכי)</v>
      </c>
      <c r="C568" s="3">
        <f>IFERROR(__xludf.DUMMYFUNCTION("""COMPUTED_VALUE"""),67.0)</f>
        <v>67</v>
      </c>
      <c r="D568" s="5" t="str">
        <f>IFERROR(__xludf.DUMMYFUNCTION("""COMPUTED_VALUE"""),"כפר עזה")</f>
        <v>כפר עזה</v>
      </c>
      <c r="E568" s="5" t="str">
        <f>IFERROR(__xludf.DUMMYFUNCTION("""COMPUTED_VALUE"""),"גבר")</f>
        <v>גבר</v>
      </c>
      <c r="F568" s="5" t="str">
        <f>IFERROR(__xludf.DUMMYFUNCTION("""COMPUTED_VALUE"""),"אזרחים")</f>
        <v>אזרחים</v>
      </c>
      <c r="G568" s="3"/>
      <c r="H568" s="3" t="str">
        <f>IFERROR(__xludf.DUMMYFUNCTION("""COMPUTED_VALUE"""),"07.10.2023")</f>
        <v>07.10.2023</v>
      </c>
      <c r="I568" s="4" t="str">
        <f>IFERROR(__xludf.DUMMYFUNCTION("""COMPUTED_VALUE"""),"כפר עזה")</f>
        <v>כפר עזה</v>
      </c>
      <c r="J568" s="4" t="str">
        <f>IFERROR(__xludf.DUMMYFUNCTION("""COMPUTED_VALUE"""),"אזרחים וכיתות כוננות")</f>
        <v>אזרחים וכיתות כוננות</v>
      </c>
      <c r="K568" s="5"/>
      <c r="L568" s="3" t="str">
        <f>IFERROR(__xludf.DUMMYFUNCTION("""COMPUTED_VALUE"""),"Mordechai (Mody) Amir")</f>
        <v>Mordechai (Mody) Amir</v>
      </c>
      <c r="M568" s="5"/>
    </row>
    <row r="569">
      <c r="A569" s="3">
        <f>IFERROR(__xludf.DUMMYFUNCTION("""COMPUTED_VALUE"""),1365.0)</f>
        <v>1365</v>
      </c>
      <c r="B569" s="4" t="str">
        <f>IFERROR(__xludf.DUMMYFUNCTION("""COMPUTED_VALUE"""),"אפשטיין בלהה")</f>
        <v>אפשטיין בלהה</v>
      </c>
      <c r="C569" s="3">
        <f>IFERROR(__xludf.DUMMYFUNCTION("""COMPUTED_VALUE"""),81.0)</f>
        <v>81</v>
      </c>
      <c r="D569" s="5" t="str">
        <f>IFERROR(__xludf.DUMMYFUNCTION("""COMPUTED_VALUE"""),"כפר עזה")</f>
        <v>כפר עזה</v>
      </c>
      <c r="E569" s="5" t="str">
        <f>IFERROR(__xludf.DUMMYFUNCTION("""COMPUTED_VALUE"""),"אישה")</f>
        <v>אישה</v>
      </c>
      <c r="F569" s="5" t="str">
        <f>IFERROR(__xludf.DUMMYFUNCTION("""COMPUTED_VALUE"""),"אזרחים")</f>
        <v>אזרחים</v>
      </c>
      <c r="G569" s="3"/>
      <c r="H569" s="3" t="str">
        <f>IFERROR(__xludf.DUMMYFUNCTION("""COMPUTED_VALUE"""),"07.10.2023")</f>
        <v>07.10.2023</v>
      </c>
      <c r="I569" s="4" t="str">
        <f>IFERROR(__xludf.DUMMYFUNCTION("""COMPUTED_VALUE"""),"כפר עזה")</f>
        <v>כפר עזה</v>
      </c>
      <c r="J569" s="4" t="str">
        <f>IFERROR(__xludf.DUMMYFUNCTION("""COMPUTED_VALUE"""),"אזרחים וכיתות כוננות")</f>
        <v>אזרחים וכיתות כוננות</v>
      </c>
      <c r="K569" s="5"/>
      <c r="L569" s="3" t="str">
        <f>IFERROR(__xludf.DUMMYFUNCTION("""COMPUTED_VALUE"""),"Bilha Epstein")</f>
        <v>Bilha Epstein</v>
      </c>
      <c r="M569" s="5"/>
    </row>
    <row r="570">
      <c r="A570" s="3">
        <f>IFERROR(__xludf.DUMMYFUNCTION("""COMPUTED_VALUE"""),301.0)</f>
        <v>301</v>
      </c>
      <c r="B570" s="4" t="str">
        <f>IFERROR(__xludf.DUMMYFUNCTION("""COMPUTED_VALUE"""),"אפשטיין נטע")</f>
        <v>אפשטיין נטע</v>
      </c>
      <c r="C570" s="3">
        <f>IFERROR(__xludf.DUMMYFUNCTION("""COMPUTED_VALUE"""),22.0)</f>
        <v>22</v>
      </c>
      <c r="D570" s="5" t="str">
        <f>IFERROR(__xludf.DUMMYFUNCTION("""COMPUTED_VALUE"""),"כפר עזה")</f>
        <v>כפר עזה</v>
      </c>
      <c r="E570" s="5" t="str">
        <f>IFERROR(__xludf.DUMMYFUNCTION("""COMPUTED_VALUE"""),"גבר")</f>
        <v>גבר</v>
      </c>
      <c r="F570" s="5" t="str">
        <f>IFERROR(__xludf.DUMMYFUNCTION("""COMPUTED_VALUE"""),"אזרחים")</f>
        <v>אזרחים</v>
      </c>
      <c r="G570" s="3"/>
      <c r="H570" s="3" t="str">
        <f>IFERROR(__xludf.DUMMYFUNCTION("""COMPUTED_VALUE"""),"07.10.2023")</f>
        <v>07.10.2023</v>
      </c>
      <c r="I570" s="4" t="str">
        <f>IFERROR(__xludf.DUMMYFUNCTION("""COMPUTED_VALUE"""),"כפר עזה")</f>
        <v>כפר עזה</v>
      </c>
      <c r="J570" s="4" t="str">
        <f>IFERROR(__xludf.DUMMYFUNCTION("""COMPUTED_VALUE"""),"אזרחים וכיתות כוננות")</f>
        <v>אזרחים וכיתות כוננות</v>
      </c>
      <c r="K570" s="5"/>
      <c r="L570" s="3" t="str">
        <f>IFERROR(__xludf.DUMMYFUNCTION("""COMPUTED_VALUE"""),"Neta Epstein")</f>
        <v>Neta Epstein</v>
      </c>
      <c r="M570" s="5"/>
    </row>
    <row r="571">
      <c r="A571" s="3">
        <f>IFERROR(__xludf.DUMMYFUNCTION("""COMPUTED_VALUE"""),345.0)</f>
        <v>345</v>
      </c>
      <c r="B571" s="4" t="str">
        <f>IFERROR(__xludf.DUMMYFUNCTION("""COMPUTED_VALUE"""),"בויום יובל")</f>
        <v>בויום יובל</v>
      </c>
      <c r="C571" s="3">
        <f>IFERROR(__xludf.DUMMYFUNCTION("""COMPUTED_VALUE"""),21.0)</f>
        <v>21</v>
      </c>
      <c r="D571" s="5" t="str">
        <f>IFERROR(__xludf.DUMMYFUNCTION("""COMPUTED_VALUE"""),"כפר עזה")</f>
        <v>כפר עזה</v>
      </c>
      <c r="E571" s="5" t="str">
        <f>IFERROR(__xludf.DUMMYFUNCTION("""COMPUTED_VALUE"""),"גבר")</f>
        <v>גבר</v>
      </c>
      <c r="F571" s="5" t="str">
        <f>IFERROR(__xludf.DUMMYFUNCTION("""COMPUTED_VALUE"""),"אזרחים")</f>
        <v>אזרחים</v>
      </c>
      <c r="G571" s="3"/>
      <c r="H571" s="3" t="str">
        <f>IFERROR(__xludf.DUMMYFUNCTION("""COMPUTED_VALUE"""),"07.10.2023")</f>
        <v>07.10.2023</v>
      </c>
      <c r="I571" s="4" t="str">
        <f>IFERROR(__xludf.DUMMYFUNCTION("""COMPUTED_VALUE"""),"כפר עזה")</f>
        <v>כפר עזה</v>
      </c>
      <c r="J571" s="4" t="str">
        <f>IFERROR(__xludf.DUMMYFUNCTION("""COMPUTED_VALUE"""),"אזרחים וכיתות כוננות")</f>
        <v>אזרחים וכיתות כוננות</v>
      </c>
      <c r="K571" s="5"/>
      <c r="L571" s="3" t="str">
        <f>IFERROR(__xludf.DUMMYFUNCTION("""COMPUTED_VALUE"""),"Yuval Boyum")</f>
        <v>Yuval Boyum</v>
      </c>
      <c r="M571" s="5"/>
    </row>
    <row r="572">
      <c r="A572" s="3">
        <f>IFERROR(__xludf.DUMMYFUNCTION("""COMPUTED_VALUE"""),1444.0)</f>
        <v>1444</v>
      </c>
      <c r="B572" s="4" t="str">
        <f>IFERROR(__xludf.DUMMYFUNCTION("""COMPUTED_VALUE"""),"בן דוד (ג'יבלי) מאיה")</f>
        <v>בן דוד (ג'יבלי) מאיה</v>
      </c>
      <c r="C572" s="3">
        <f>IFERROR(__xludf.DUMMYFUNCTION("""COMPUTED_VALUE"""),48.0)</f>
        <v>48</v>
      </c>
      <c r="D572" s="5" t="str">
        <f>IFERROR(__xludf.DUMMYFUNCTION("""COMPUTED_VALUE"""),"כפר חיים")</f>
        <v>כפר חיים</v>
      </c>
      <c r="E572" s="5" t="str">
        <f>IFERROR(__xludf.DUMMYFUNCTION("""COMPUTED_VALUE"""),"אישה")</f>
        <v>אישה</v>
      </c>
      <c r="F572" s="5" t="str">
        <f>IFERROR(__xludf.DUMMYFUNCTION("""COMPUTED_VALUE"""),"אזרחים")</f>
        <v>אזרחים</v>
      </c>
      <c r="G572" s="3"/>
      <c r="H572" s="3" t="str">
        <f>IFERROR(__xludf.DUMMYFUNCTION("""COMPUTED_VALUE"""),"07.10.2023")</f>
        <v>07.10.2023</v>
      </c>
      <c r="I572" s="4" t="str">
        <f>IFERROR(__xludf.DUMMYFUNCTION("""COMPUTED_VALUE"""),"כפר עזה")</f>
        <v>כפר עזה</v>
      </c>
      <c r="J572" s="4" t="str">
        <f>IFERROR(__xludf.DUMMYFUNCTION("""COMPUTED_VALUE"""),"אזרחים וכיתות כוננות")</f>
        <v>אזרחים וכיתות כוננות</v>
      </c>
      <c r="K572" s="5"/>
      <c r="L572" s="3" t="str">
        <f>IFERROR(__xludf.DUMMYFUNCTION("""COMPUTED_VALUE"""),"Maya Ben David")</f>
        <v>Maya Ben David</v>
      </c>
      <c r="M572" s="5"/>
    </row>
    <row r="573">
      <c r="A573" s="3">
        <f>IFERROR(__xludf.DUMMYFUNCTION("""COMPUTED_VALUE"""),294.0)</f>
        <v>294</v>
      </c>
      <c r="B573" s="4" t="str">
        <f>IFERROR(__xludf.DUMMYFUNCTION("""COMPUTED_VALUE"""),"ברדיצ'בסקי (רוזנפלד) הדר")</f>
        <v>ברדיצ'בסקי (רוזנפלד) הדר</v>
      </c>
      <c r="C573" s="3">
        <f>IFERROR(__xludf.DUMMYFUNCTION("""COMPUTED_VALUE"""),30.0)</f>
        <v>30</v>
      </c>
      <c r="D573" s="5" t="str">
        <f>IFERROR(__xludf.DUMMYFUNCTION("""COMPUTED_VALUE"""),"כפר עזה")</f>
        <v>כפר עזה</v>
      </c>
      <c r="E573" s="5" t="str">
        <f>IFERROR(__xludf.DUMMYFUNCTION("""COMPUTED_VALUE"""),"אישה")</f>
        <v>אישה</v>
      </c>
      <c r="F573" s="5" t="str">
        <f>IFERROR(__xludf.DUMMYFUNCTION("""COMPUTED_VALUE"""),"אזרחים")</f>
        <v>אזרחים</v>
      </c>
      <c r="G573" s="3"/>
      <c r="H573" s="3" t="str">
        <f>IFERROR(__xludf.DUMMYFUNCTION("""COMPUTED_VALUE"""),"07.10.2023")</f>
        <v>07.10.2023</v>
      </c>
      <c r="I573" s="4" t="str">
        <f>IFERROR(__xludf.DUMMYFUNCTION("""COMPUTED_VALUE"""),"כפר עזה")</f>
        <v>כפר עזה</v>
      </c>
      <c r="J573" s="4" t="str">
        <f>IFERROR(__xludf.DUMMYFUNCTION("""COMPUTED_VALUE"""),"אזרחים וכיתות כוננות")</f>
        <v>אזרחים וכיתות כוננות</v>
      </c>
      <c r="K573" s="5"/>
      <c r="L573" s="3" t="str">
        <f>IFERROR(__xludf.DUMMYFUNCTION("""COMPUTED_VALUE"""),"Hadar Berdichevsky")</f>
        <v>Hadar Berdichevsky</v>
      </c>
      <c r="M573" s="5"/>
    </row>
    <row r="574">
      <c r="A574" s="3">
        <f>IFERROR(__xludf.DUMMYFUNCTION("""COMPUTED_VALUE"""),295.0)</f>
        <v>295</v>
      </c>
      <c r="B574" s="4" t="str">
        <f>IFERROR(__xludf.DUMMYFUNCTION("""COMPUTED_VALUE"""),"ברדיצ'בסקי איתי")</f>
        <v>ברדיצ'בסקי איתי</v>
      </c>
      <c r="C574" s="3">
        <f>IFERROR(__xludf.DUMMYFUNCTION("""COMPUTED_VALUE"""),30.0)</f>
        <v>30</v>
      </c>
      <c r="D574" s="5" t="str">
        <f>IFERROR(__xludf.DUMMYFUNCTION("""COMPUTED_VALUE"""),"כפר עזה")</f>
        <v>כפר עזה</v>
      </c>
      <c r="E574" s="5" t="str">
        <f>IFERROR(__xludf.DUMMYFUNCTION("""COMPUTED_VALUE"""),"גבר")</f>
        <v>גבר</v>
      </c>
      <c r="F574" s="5" t="str">
        <f>IFERROR(__xludf.DUMMYFUNCTION("""COMPUTED_VALUE"""),"אזרחים")</f>
        <v>אזרחים</v>
      </c>
      <c r="G574" s="3"/>
      <c r="H574" s="3" t="str">
        <f>IFERROR(__xludf.DUMMYFUNCTION("""COMPUTED_VALUE"""),"07.10.2023")</f>
        <v>07.10.2023</v>
      </c>
      <c r="I574" s="4" t="str">
        <f>IFERROR(__xludf.DUMMYFUNCTION("""COMPUTED_VALUE"""),"כפר עזה")</f>
        <v>כפר עזה</v>
      </c>
      <c r="J574" s="4" t="str">
        <f>IFERROR(__xludf.DUMMYFUNCTION("""COMPUTED_VALUE"""),"אזרחים וכיתות כוננות")</f>
        <v>אזרחים וכיתות כוננות</v>
      </c>
      <c r="K574" s="5"/>
      <c r="L574" s="3" t="str">
        <f>IFERROR(__xludf.DUMMYFUNCTION("""COMPUTED_VALUE"""),"Itay Berdichevsky")</f>
        <v>Itay Berdichevsky</v>
      </c>
      <c r="M574" s="5"/>
    </row>
    <row r="575">
      <c r="A575" s="3">
        <f>IFERROR(__xludf.DUMMYFUNCTION("""COMPUTED_VALUE"""),307.0)</f>
        <v>307</v>
      </c>
      <c r="B575" s="4" t="str">
        <f>IFERROR(__xludf.DUMMYFUNCTION("""COMPUTED_VALUE"""),"גולדשטיין אלמוג ים")</f>
        <v>גולדשטיין אלמוג ים</v>
      </c>
      <c r="C575" s="3">
        <f>IFERROR(__xludf.DUMMYFUNCTION("""COMPUTED_VALUE"""),20.0)</f>
        <v>20</v>
      </c>
      <c r="D575" s="5" t="str">
        <f>IFERROR(__xludf.DUMMYFUNCTION("""COMPUTED_VALUE"""),"כפר עזה")</f>
        <v>כפר עזה</v>
      </c>
      <c r="E575" s="5" t="str">
        <f>IFERROR(__xludf.DUMMYFUNCTION("""COMPUTED_VALUE"""),"אישה")</f>
        <v>אישה</v>
      </c>
      <c r="F575" s="5" t="str">
        <f>IFERROR(__xludf.DUMMYFUNCTION("""COMPUTED_VALUE"""),"צה""ל")</f>
        <v>צה"ל</v>
      </c>
      <c r="G575" s="3" t="str">
        <f>IFERROR(__xludf.DUMMYFUNCTION("""COMPUTED_VALUE"""),"סמ״ר")</f>
        <v>סמ״ר</v>
      </c>
      <c r="H575" s="3" t="str">
        <f>IFERROR(__xludf.DUMMYFUNCTION("""COMPUTED_VALUE"""),"07.10.2023")</f>
        <v>07.10.2023</v>
      </c>
      <c r="I575" s="4" t="str">
        <f>IFERROR(__xludf.DUMMYFUNCTION("""COMPUTED_VALUE"""),"כפר עזה")</f>
        <v>כפר עזה</v>
      </c>
      <c r="J575" s="4" t="str">
        <f>IFERROR(__xludf.DUMMYFUNCTION("""COMPUTED_VALUE"""),"אזרחים וכיתות כוננות")</f>
        <v>אזרחים וכיתות כוננות</v>
      </c>
      <c r="K575" s="5"/>
      <c r="L575" s="3" t="str">
        <f>IFERROR(__xludf.DUMMYFUNCTION("""COMPUTED_VALUE"""),"Yam Goldstein Almog")</f>
        <v>Yam Goldstein Almog</v>
      </c>
      <c r="M575" s="5"/>
    </row>
    <row r="576">
      <c r="A576" s="3">
        <f>IFERROR(__xludf.DUMMYFUNCTION("""COMPUTED_VALUE"""),308.0)</f>
        <v>308</v>
      </c>
      <c r="B576" s="4" t="str">
        <f>IFERROR(__xludf.DUMMYFUNCTION("""COMPUTED_VALUE"""),"גולדשטיין אלמוג נדב")</f>
        <v>גולדשטיין אלמוג נדב</v>
      </c>
      <c r="C576" s="3">
        <f>IFERROR(__xludf.DUMMYFUNCTION("""COMPUTED_VALUE"""),48.0)</f>
        <v>48</v>
      </c>
      <c r="D576" s="5" t="str">
        <f>IFERROR(__xludf.DUMMYFUNCTION("""COMPUTED_VALUE"""),"כפר עזה")</f>
        <v>כפר עזה</v>
      </c>
      <c r="E576" s="5" t="str">
        <f>IFERROR(__xludf.DUMMYFUNCTION("""COMPUTED_VALUE"""),"גבר")</f>
        <v>גבר</v>
      </c>
      <c r="F576" s="5" t="str">
        <f>IFERROR(__xludf.DUMMYFUNCTION("""COMPUTED_VALUE"""),"אזרחים")</f>
        <v>אזרחים</v>
      </c>
      <c r="G576" s="3"/>
      <c r="H576" s="3" t="str">
        <f>IFERROR(__xludf.DUMMYFUNCTION("""COMPUTED_VALUE"""),"07.10.2023")</f>
        <v>07.10.2023</v>
      </c>
      <c r="I576" s="4" t="str">
        <f>IFERROR(__xludf.DUMMYFUNCTION("""COMPUTED_VALUE"""),"כפר עזה")</f>
        <v>כפר עזה</v>
      </c>
      <c r="J576" s="4" t="str">
        <f>IFERROR(__xludf.DUMMYFUNCTION("""COMPUTED_VALUE"""),"אזרחים וכיתות כוננות")</f>
        <v>אזרחים וכיתות כוננות</v>
      </c>
      <c r="K576" s="5"/>
      <c r="L576" s="3" t="str">
        <f>IFERROR(__xludf.DUMMYFUNCTION("""COMPUTED_VALUE"""),"Nadav Goldstein")</f>
        <v>Nadav Goldstein</v>
      </c>
      <c r="M576" s="5"/>
    </row>
    <row r="577">
      <c r="A577" s="3">
        <f>IFERROR(__xludf.DUMMYFUNCTION("""COMPUTED_VALUE"""),1449.0)</f>
        <v>1449</v>
      </c>
      <c r="B577" s="4" t="str">
        <f>IFERROR(__xludf.DUMMYFUNCTION("""COMPUTED_VALUE"""),"גורן ארן")</f>
        <v>גורן ארן</v>
      </c>
      <c r="C577" s="3">
        <f>IFERROR(__xludf.DUMMYFUNCTION("""COMPUTED_VALUE"""),33.0)</f>
        <v>33</v>
      </c>
      <c r="D577" s="5" t="str">
        <f>IFERROR(__xludf.DUMMYFUNCTION("""COMPUTED_VALUE"""),"כפר עזה")</f>
        <v>כפר עזה</v>
      </c>
      <c r="E577" s="5" t="str">
        <f>IFERROR(__xludf.DUMMYFUNCTION("""COMPUTED_VALUE"""),"אישה")</f>
        <v>אישה</v>
      </c>
      <c r="F577" s="5" t="str">
        <f>IFERROR(__xludf.DUMMYFUNCTION("""COMPUTED_VALUE"""),"אזרחים")</f>
        <v>אזרחים</v>
      </c>
      <c r="G577" s="5"/>
      <c r="H577" s="3" t="str">
        <f>IFERROR(__xludf.DUMMYFUNCTION("""COMPUTED_VALUE"""),"07.10.2023")</f>
        <v>07.10.2023</v>
      </c>
      <c r="I577" s="4" t="str">
        <f>IFERROR(__xludf.DUMMYFUNCTION("""COMPUTED_VALUE"""),"כפר עזה")</f>
        <v>כפר עזה</v>
      </c>
      <c r="J577" s="4" t="str">
        <f>IFERROR(__xludf.DUMMYFUNCTION("""COMPUTED_VALUE"""),"אזרחים וכיתות כוננות")</f>
        <v>אזרחים וכיתות כוננות</v>
      </c>
      <c r="K577" s="5"/>
      <c r="L577" s="3" t="str">
        <f>IFERROR(__xludf.DUMMYFUNCTION("""COMPUTED_VALUE"""),"Aran Goren")</f>
        <v>Aran Goren</v>
      </c>
      <c r="M577" s="5"/>
    </row>
    <row r="578">
      <c r="A578" s="3">
        <f>IFERROR(__xludf.DUMMYFUNCTION("""COMPUTED_VALUE"""),1450.0)</f>
        <v>1450</v>
      </c>
      <c r="B578" s="4" t="str">
        <f>IFERROR(__xludf.DUMMYFUNCTION("""COMPUTED_VALUE"""),"גורן טובה")</f>
        <v>גורן טובה</v>
      </c>
      <c r="C578" s="3">
        <f>IFERROR(__xludf.DUMMYFUNCTION("""COMPUTED_VALUE"""),63.0)</f>
        <v>63</v>
      </c>
      <c r="D578" s="5" t="str">
        <f>IFERROR(__xludf.DUMMYFUNCTION("""COMPUTED_VALUE"""),"כפר עזה")</f>
        <v>כפר עזה</v>
      </c>
      <c r="E578" s="5" t="str">
        <f>IFERROR(__xludf.DUMMYFUNCTION("""COMPUTED_VALUE"""),"אישה")</f>
        <v>אישה</v>
      </c>
      <c r="F578" s="5" t="str">
        <f>IFERROR(__xludf.DUMMYFUNCTION("""COMPUTED_VALUE"""),"אזרחים")</f>
        <v>אזרחים</v>
      </c>
      <c r="G578" s="5"/>
      <c r="H578" s="3" t="str">
        <f>IFERROR(__xludf.DUMMYFUNCTION("""COMPUTED_VALUE"""),"07.10.2023")</f>
        <v>07.10.2023</v>
      </c>
      <c r="I578" s="4" t="str">
        <f>IFERROR(__xludf.DUMMYFUNCTION("""COMPUTED_VALUE"""),"כפר עזה")</f>
        <v>כפר עזה</v>
      </c>
      <c r="J578" s="4" t="str">
        <f>IFERROR(__xludf.DUMMYFUNCTION("""COMPUTED_VALUE"""),"אזרחים וכיתות כוננות")</f>
        <v>אזרחים וכיתות כוננות</v>
      </c>
      <c r="K578" s="5"/>
      <c r="L578" s="3" t="str">
        <f>IFERROR(__xludf.DUMMYFUNCTION("""COMPUTED_VALUE"""),"Tova Goren")</f>
        <v>Tova Goren</v>
      </c>
      <c r="M578" s="5"/>
    </row>
    <row r="579">
      <c r="A579" s="3">
        <f>IFERROR(__xludf.DUMMYFUNCTION("""COMPUTED_VALUE"""),298.0)</f>
        <v>298</v>
      </c>
      <c r="B579" s="4" t="str">
        <f>IFERROR(__xludf.DUMMYFUNCTION("""COMPUTED_VALUE"""),"דגני נעמי")</f>
        <v>דגני נעמי</v>
      </c>
      <c r="C579" s="3">
        <f>IFERROR(__xludf.DUMMYFUNCTION("""COMPUTED_VALUE"""),80.0)</f>
        <v>80</v>
      </c>
      <c r="D579" s="5" t="str">
        <f>IFERROR(__xludf.DUMMYFUNCTION("""COMPUTED_VALUE"""),"כפר עזה")</f>
        <v>כפר עזה</v>
      </c>
      <c r="E579" s="5" t="str">
        <f>IFERROR(__xludf.DUMMYFUNCTION("""COMPUTED_VALUE"""),"אישה")</f>
        <v>אישה</v>
      </c>
      <c r="F579" s="5" t="str">
        <f>IFERROR(__xludf.DUMMYFUNCTION("""COMPUTED_VALUE"""),"אזרחים")</f>
        <v>אזרחים</v>
      </c>
      <c r="G579" s="3"/>
      <c r="H579" s="3" t="str">
        <f>IFERROR(__xludf.DUMMYFUNCTION("""COMPUTED_VALUE"""),"07.10.2023")</f>
        <v>07.10.2023</v>
      </c>
      <c r="I579" s="4" t="str">
        <f>IFERROR(__xludf.DUMMYFUNCTION("""COMPUTED_VALUE"""),"כפר עזה")</f>
        <v>כפר עזה</v>
      </c>
      <c r="J579" s="4" t="str">
        <f>IFERROR(__xludf.DUMMYFUNCTION("""COMPUTED_VALUE"""),"אזרחים וכיתות כוננות")</f>
        <v>אזרחים וכיתות כוננות</v>
      </c>
      <c r="K579" s="5"/>
      <c r="L579" s="3" t="str">
        <f>IFERROR(__xludf.DUMMYFUNCTION("""COMPUTED_VALUE"""),"Naomi Dgani")</f>
        <v>Naomi Dgani</v>
      </c>
      <c r="M579" s="5"/>
    </row>
    <row r="580">
      <c r="A580" s="3">
        <f>IFERROR(__xludf.DUMMYFUNCTION("""COMPUTED_VALUE"""),369.0)</f>
        <v>369</v>
      </c>
      <c r="B580" s="4" t="str">
        <f>IFERROR(__xludf.DUMMYFUNCTION("""COMPUTED_VALUE"""),"וינר יהב")</f>
        <v>וינר יהב</v>
      </c>
      <c r="C580" s="3">
        <f>IFERROR(__xludf.DUMMYFUNCTION("""COMPUTED_VALUE"""),37.0)</f>
        <v>37</v>
      </c>
      <c r="D580" s="5" t="str">
        <f>IFERROR(__xludf.DUMMYFUNCTION("""COMPUTED_VALUE"""),"כפר עזה")</f>
        <v>כפר עזה</v>
      </c>
      <c r="E580" s="5" t="str">
        <f>IFERROR(__xludf.DUMMYFUNCTION("""COMPUTED_VALUE"""),"גבר")</f>
        <v>גבר</v>
      </c>
      <c r="F580" s="5" t="str">
        <f>IFERROR(__xludf.DUMMYFUNCTION("""COMPUTED_VALUE"""),"אזרחים")</f>
        <v>אזרחים</v>
      </c>
      <c r="G580" s="3"/>
      <c r="H580" s="3" t="str">
        <f>IFERROR(__xludf.DUMMYFUNCTION("""COMPUTED_VALUE"""),"07.10.2023")</f>
        <v>07.10.2023</v>
      </c>
      <c r="I580" s="4" t="str">
        <f>IFERROR(__xludf.DUMMYFUNCTION("""COMPUTED_VALUE"""),"כפר עזה")</f>
        <v>כפר עזה</v>
      </c>
      <c r="J580" s="4" t="str">
        <f>IFERROR(__xludf.DUMMYFUNCTION("""COMPUTED_VALUE"""),"אזרחים וכיתות כוננות")</f>
        <v>אזרחים וכיתות כוננות</v>
      </c>
      <c r="K580" s="5"/>
      <c r="L580" s="3" t="str">
        <f>IFERROR(__xludf.DUMMYFUNCTION("""COMPUTED_VALUE"""),"Yahav Winner")</f>
        <v>Yahav Winner</v>
      </c>
      <c r="M580" s="5"/>
    </row>
    <row r="581">
      <c r="A581" s="3">
        <f>IFERROR(__xludf.DUMMYFUNCTION("""COMPUTED_VALUE"""),368.0)</f>
        <v>368</v>
      </c>
      <c r="B581" s="4" t="str">
        <f>IFERROR(__xludf.DUMMYFUNCTION("""COMPUTED_VALUE"""),"ורטהיים (בר אילן) דורית")</f>
        <v>ורטהיים (בר אילן) דורית</v>
      </c>
      <c r="C581" s="3">
        <f>IFERROR(__xludf.DUMMYFUNCTION("""COMPUTED_VALUE"""),54.0)</f>
        <v>54</v>
      </c>
      <c r="D581" s="5" t="str">
        <f>IFERROR(__xludf.DUMMYFUNCTION("""COMPUTED_VALUE"""),"כפר עזה")</f>
        <v>כפר עזה</v>
      </c>
      <c r="E581" s="5" t="str">
        <f>IFERROR(__xludf.DUMMYFUNCTION("""COMPUTED_VALUE"""),"אישה")</f>
        <v>אישה</v>
      </c>
      <c r="F581" s="5" t="str">
        <f>IFERROR(__xludf.DUMMYFUNCTION("""COMPUTED_VALUE"""),"אזרחים")</f>
        <v>אזרחים</v>
      </c>
      <c r="G581" s="3"/>
      <c r="H581" s="3" t="str">
        <f>IFERROR(__xludf.DUMMYFUNCTION("""COMPUTED_VALUE"""),"07.10.2023")</f>
        <v>07.10.2023</v>
      </c>
      <c r="I581" s="4" t="str">
        <f>IFERROR(__xludf.DUMMYFUNCTION("""COMPUTED_VALUE"""),"כפר עזה")</f>
        <v>כפר עזה</v>
      </c>
      <c r="J581" s="4" t="str">
        <f>IFERROR(__xludf.DUMMYFUNCTION("""COMPUTED_VALUE"""),"אזרחים וכיתות כוננות")</f>
        <v>אזרחים וכיתות כוננות</v>
      </c>
      <c r="K581" s="5"/>
      <c r="L581" s="3" t="str">
        <f>IFERROR(__xludf.DUMMYFUNCTION("""COMPUTED_VALUE"""),"Dorit Werthheim")</f>
        <v>Dorit Werthheim</v>
      </c>
      <c r="M581" s="5"/>
    </row>
    <row r="582">
      <c r="A582" s="3">
        <f>IFERROR(__xludf.DUMMYFUNCTION("""COMPUTED_VALUE"""),367.0)</f>
        <v>367</v>
      </c>
      <c r="B582" s="4" t="str">
        <f>IFERROR(__xludf.DUMMYFUNCTION("""COMPUTED_VALUE"""),"ורטהיים אביב")</f>
        <v>ורטהיים אביב</v>
      </c>
      <c r="C582" s="3">
        <f>IFERROR(__xludf.DUMMYFUNCTION("""COMPUTED_VALUE"""),57.0)</f>
        <v>57</v>
      </c>
      <c r="D582" s="5" t="str">
        <f>IFERROR(__xludf.DUMMYFUNCTION("""COMPUTED_VALUE"""),"כפר עזה")</f>
        <v>כפר עזה</v>
      </c>
      <c r="E582" s="5" t="str">
        <f>IFERROR(__xludf.DUMMYFUNCTION("""COMPUTED_VALUE"""),"גבר")</f>
        <v>גבר</v>
      </c>
      <c r="F582" s="5" t="str">
        <f>IFERROR(__xludf.DUMMYFUNCTION("""COMPUTED_VALUE"""),"אזרחים")</f>
        <v>אזרחים</v>
      </c>
      <c r="G582" s="3"/>
      <c r="H582" s="3" t="str">
        <f>IFERROR(__xludf.DUMMYFUNCTION("""COMPUTED_VALUE"""),"07.10.2023")</f>
        <v>07.10.2023</v>
      </c>
      <c r="I582" s="4" t="str">
        <f>IFERROR(__xludf.DUMMYFUNCTION("""COMPUTED_VALUE"""),"כפר עזה")</f>
        <v>כפר עזה</v>
      </c>
      <c r="J582" s="4" t="str">
        <f>IFERROR(__xludf.DUMMYFUNCTION("""COMPUTED_VALUE"""),"אזרחים וכיתות כוננות")</f>
        <v>אזרחים וכיתות כוננות</v>
      </c>
      <c r="K582" s="5"/>
      <c r="L582" s="3" t="str">
        <f>IFERROR(__xludf.DUMMYFUNCTION("""COMPUTED_VALUE"""),"Aviv Werthheim")</f>
        <v>Aviv Werthheim</v>
      </c>
      <c r="M582" s="5"/>
    </row>
    <row r="583">
      <c r="A583" s="3">
        <f>IFERROR(__xludf.DUMMYFUNCTION("""COMPUTED_VALUE"""),373.0)</f>
        <v>373</v>
      </c>
      <c r="B583" s="4" t="str">
        <f>IFERROR(__xludf.DUMMYFUNCTION("""COMPUTED_VALUE"""),"זיו איתן")</f>
        <v>זיו איתן</v>
      </c>
      <c r="C583" s="3">
        <f>IFERROR(__xludf.DUMMYFUNCTION("""COMPUTED_VALUE"""),74.0)</f>
        <v>74</v>
      </c>
      <c r="D583" s="5" t="str">
        <f>IFERROR(__xludf.DUMMYFUNCTION("""COMPUTED_VALUE"""),"כפר עזה")</f>
        <v>כפר עזה</v>
      </c>
      <c r="E583" s="5" t="str">
        <f>IFERROR(__xludf.DUMMYFUNCTION("""COMPUTED_VALUE"""),"גבר")</f>
        <v>גבר</v>
      </c>
      <c r="F583" s="5" t="str">
        <f>IFERROR(__xludf.DUMMYFUNCTION("""COMPUTED_VALUE"""),"אזרחים")</f>
        <v>אזרחים</v>
      </c>
      <c r="G583" s="3"/>
      <c r="H583" s="3" t="str">
        <f>IFERROR(__xludf.DUMMYFUNCTION("""COMPUTED_VALUE"""),"07.10.2023")</f>
        <v>07.10.2023</v>
      </c>
      <c r="I583" s="4" t="str">
        <f>IFERROR(__xludf.DUMMYFUNCTION("""COMPUTED_VALUE"""),"כפר עזה")</f>
        <v>כפר עזה</v>
      </c>
      <c r="J583" s="4" t="str">
        <f>IFERROR(__xludf.DUMMYFUNCTION("""COMPUTED_VALUE"""),"אזרחים וכיתות כוננות")</f>
        <v>אזרחים וכיתות כוננות</v>
      </c>
      <c r="K583" s="5"/>
      <c r="L583" s="3" t="str">
        <f>IFERROR(__xludf.DUMMYFUNCTION("""COMPUTED_VALUE"""),"Eitan Ziv")</f>
        <v>Eitan Ziv</v>
      </c>
      <c r="M583" s="5"/>
    </row>
    <row r="584">
      <c r="A584" s="3">
        <f>IFERROR(__xludf.DUMMYFUNCTION("""COMPUTED_VALUE"""),372.0)</f>
        <v>372</v>
      </c>
      <c r="B584" s="4" t="str">
        <f>IFERROR(__xludf.DUMMYFUNCTION("""COMPUTED_VALUE"""),"זיני ניראל")</f>
        <v>זיני ניראל</v>
      </c>
      <c r="C584" s="3">
        <f>IFERROR(__xludf.DUMMYFUNCTION("""COMPUTED_VALUE"""),30.0)</f>
        <v>30</v>
      </c>
      <c r="D584" s="5" t="str">
        <f>IFERROR(__xludf.DUMMYFUNCTION("""COMPUTED_VALUE"""),"כפר עזה")</f>
        <v>כפר עזה</v>
      </c>
      <c r="E584" s="5" t="str">
        <f>IFERROR(__xludf.DUMMYFUNCTION("""COMPUTED_VALUE"""),"גבר")</f>
        <v>גבר</v>
      </c>
      <c r="F584" s="5" t="str">
        <f>IFERROR(__xludf.DUMMYFUNCTION("""COMPUTED_VALUE"""),"אזרחים")</f>
        <v>אזרחים</v>
      </c>
      <c r="G584" s="3"/>
      <c r="H584" s="3" t="str">
        <f>IFERROR(__xludf.DUMMYFUNCTION("""COMPUTED_VALUE"""),"07.10.2023")</f>
        <v>07.10.2023</v>
      </c>
      <c r="I584" s="4" t="str">
        <f>IFERROR(__xludf.DUMMYFUNCTION("""COMPUTED_VALUE"""),"כפר עזה")</f>
        <v>כפר עזה</v>
      </c>
      <c r="J584" s="4" t="str">
        <f>IFERROR(__xludf.DUMMYFUNCTION("""COMPUTED_VALUE"""),"אזרחים וכיתות כוננות")</f>
        <v>אזרחים וכיתות כוננות</v>
      </c>
      <c r="K584" s="5"/>
      <c r="L584" s="3" t="str">
        <f>IFERROR(__xludf.DUMMYFUNCTION("""COMPUTED_VALUE"""),"Nirel Zini")</f>
        <v>Nirel Zini</v>
      </c>
      <c r="M584" s="5"/>
    </row>
    <row r="585">
      <c r="A585" s="3">
        <f>IFERROR(__xludf.DUMMYFUNCTION("""COMPUTED_VALUE"""),312.0)</f>
        <v>312</v>
      </c>
      <c r="B585" s="4" t="str">
        <f>IFERROR(__xludf.DUMMYFUNCTION("""COMPUTED_VALUE"""),"חסידים נאור")</f>
        <v>חסידים נאור</v>
      </c>
      <c r="C585" s="3">
        <f>IFERROR(__xludf.DUMMYFUNCTION("""COMPUTED_VALUE"""),23.0)</f>
        <v>23</v>
      </c>
      <c r="D585" s="5" t="str">
        <f>IFERROR(__xludf.DUMMYFUNCTION("""COMPUTED_VALUE"""),"אשדוד")</f>
        <v>אשדוד</v>
      </c>
      <c r="E585" s="5" t="str">
        <f>IFERROR(__xludf.DUMMYFUNCTION("""COMPUTED_VALUE"""),"גבר")</f>
        <v>גבר</v>
      </c>
      <c r="F585" s="5" t="str">
        <f>IFERROR(__xludf.DUMMYFUNCTION("""COMPUTED_VALUE"""),"אזרחים")</f>
        <v>אזרחים</v>
      </c>
      <c r="G585" s="3"/>
      <c r="H585" s="3" t="str">
        <f>IFERROR(__xludf.DUMMYFUNCTION("""COMPUTED_VALUE"""),"07.10.2023")</f>
        <v>07.10.2023</v>
      </c>
      <c r="I585" s="4" t="str">
        <f>IFERROR(__xludf.DUMMYFUNCTION("""COMPUTED_VALUE"""),"כפר עזה")</f>
        <v>כפר עזה</v>
      </c>
      <c r="J585" s="4" t="str">
        <f>IFERROR(__xludf.DUMMYFUNCTION("""COMPUTED_VALUE"""),"אזרחים וכיתות כוננות")</f>
        <v>אזרחים וכיתות כוננות</v>
      </c>
      <c r="K585" s="5"/>
      <c r="L585" s="3" t="str">
        <f>IFERROR(__xludf.DUMMYFUNCTION("""COMPUTED_VALUE"""),"Naor Hassidim")</f>
        <v>Naor Hassidim</v>
      </c>
      <c r="M585" s="5"/>
    </row>
    <row r="586">
      <c r="A586" s="3">
        <f>IFERROR(__xludf.DUMMYFUNCTION("""COMPUTED_VALUE"""),88.0)</f>
        <v>88</v>
      </c>
      <c r="B586" s="4" t="str">
        <f>IFERROR(__xludf.DUMMYFUNCTION("""COMPUTED_VALUE"""),"חצרוני אביה")</f>
        <v>חצרוני אביה</v>
      </c>
      <c r="C586" s="3">
        <f>IFERROR(__xludf.DUMMYFUNCTION("""COMPUTED_VALUE"""),69.0)</f>
        <v>69</v>
      </c>
      <c r="D586" s="5" t="str">
        <f>IFERROR(__xludf.DUMMYFUNCTION("""COMPUTED_VALUE"""),"בארי")</f>
        <v>בארי</v>
      </c>
      <c r="E586" s="5" t="str">
        <f>IFERROR(__xludf.DUMMYFUNCTION("""COMPUTED_VALUE"""),"גבר")</f>
        <v>גבר</v>
      </c>
      <c r="F586" s="5" t="str">
        <f>IFERROR(__xludf.DUMMYFUNCTION("""COMPUTED_VALUE"""),"מגן דוד אדום")</f>
        <v>מגן דוד אדום</v>
      </c>
      <c r="G586" s="3"/>
      <c r="H586" s="3" t="str">
        <f>IFERROR(__xludf.DUMMYFUNCTION("""COMPUTED_VALUE"""),"07.10.2023")</f>
        <v>07.10.2023</v>
      </c>
      <c r="I586" s="4" t="str">
        <f>IFERROR(__xludf.DUMMYFUNCTION("""COMPUTED_VALUE"""),"בארי")</f>
        <v>בארי</v>
      </c>
      <c r="J586" s="4" t="str">
        <f>IFERROR(__xludf.DUMMYFUNCTION("""COMPUTED_VALUE"""),"אזרחים וכיתות כוננות")</f>
        <v>אזרחים וכיתות כוננות</v>
      </c>
      <c r="K586" s="5"/>
      <c r="L586" s="3" t="str">
        <f>IFERROR(__xludf.DUMMYFUNCTION("""COMPUTED_VALUE"""),"Avia Hetzroni")</f>
        <v>Avia Hetzroni</v>
      </c>
      <c r="M586" s="5"/>
    </row>
    <row r="587">
      <c r="A587" s="3">
        <f>IFERROR(__xludf.DUMMYFUNCTION("""COMPUTED_VALUE"""),152.0)</f>
        <v>152</v>
      </c>
      <c r="B587" s="4" t="str">
        <f>IFERROR(__xludf.DUMMYFUNCTION("""COMPUTED_VALUE"""),"חצרוני הלר ינאי")</f>
        <v>חצרוני הלר ינאי</v>
      </c>
      <c r="C587" s="3">
        <f>IFERROR(__xludf.DUMMYFUNCTION("""COMPUTED_VALUE"""),12.0)</f>
        <v>12</v>
      </c>
      <c r="D587" s="5" t="str">
        <f>IFERROR(__xludf.DUMMYFUNCTION("""COMPUTED_VALUE"""),"בארי")</f>
        <v>בארי</v>
      </c>
      <c r="E587" s="5" t="str">
        <f>IFERROR(__xludf.DUMMYFUNCTION("""COMPUTED_VALUE"""),"ילד")</f>
        <v>ילד</v>
      </c>
      <c r="F587" s="5" t="str">
        <f>IFERROR(__xludf.DUMMYFUNCTION("""COMPUTED_VALUE"""),"אזרחים")</f>
        <v>אזרחים</v>
      </c>
      <c r="G587" s="3"/>
      <c r="H587" s="3" t="str">
        <f>IFERROR(__xludf.DUMMYFUNCTION("""COMPUTED_VALUE"""),"07.10.2023")</f>
        <v>07.10.2023</v>
      </c>
      <c r="I587" s="4" t="str">
        <f>IFERROR(__xludf.DUMMYFUNCTION("""COMPUTED_VALUE"""),"בארי; ארוע בני ערובה")</f>
        <v>בארי; ארוע בני ערובה</v>
      </c>
      <c r="J587" s="4" t="str">
        <f>IFERROR(__xludf.DUMMYFUNCTION("""COMPUTED_VALUE"""),"אזרחים וכיתות כוננות")</f>
        <v>אזרחים וכיתות כוננות</v>
      </c>
      <c r="K587" s="5"/>
      <c r="L587" s="3" t="str">
        <f>IFERROR(__xludf.DUMMYFUNCTION("""COMPUTED_VALUE"""),"Yanai Heler Hetzroni")</f>
        <v>Yanai Heler Hetzroni</v>
      </c>
      <c r="M587" s="5"/>
    </row>
    <row r="588">
      <c r="A588" s="3">
        <f>IFERROR(__xludf.DUMMYFUNCTION("""COMPUTED_VALUE"""),326.0)</f>
        <v>326</v>
      </c>
      <c r="B588" s="4" t="str">
        <f>IFERROR(__xludf.DUMMYFUNCTION("""COMPUTED_VALUE"""),"ליבשטיין ניצן")</f>
        <v>ליבשטיין ניצן</v>
      </c>
      <c r="C588" s="3">
        <f>IFERROR(__xludf.DUMMYFUNCTION("""COMPUTED_VALUE"""),19.0)</f>
        <v>19</v>
      </c>
      <c r="D588" s="5" t="str">
        <f>IFERROR(__xludf.DUMMYFUNCTION("""COMPUTED_VALUE"""),"כפר עזה")</f>
        <v>כפר עזה</v>
      </c>
      <c r="E588" s="5" t="str">
        <f>IFERROR(__xludf.DUMMYFUNCTION("""COMPUTED_VALUE"""),"גבר")</f>
        <v>גבר</v>
      </c>
      <c r="F588" s="5" t="str">
        <f>IFERROR(__xludf.DUMMYFUNCTION("""COMPUTED_VALUE"""),"אזרחים")</f>
        <v>אזרחים</v>
      </c>
      <c r="G588" s="3"/>
      <c r="H588" s="3" t="str">
        <f>IFERROR(__xludf.DUMMYFUNCTION("""COMPUTED_VALUE"""),"07.10.2023")</f>
        <v>07.10.2023</v>
      </c>
      <c r="I588" s="4" t="str">
        <f>IFERROR(__xludf.DUMMYFUNCTION("""COMPUTED_VALUE"""),"כפר עזה")</f>
        <v>כפר עזה</v>
      </c>
      <c r="J588" s="4" t="str">
        <f>IFERROR(__xludf.DUMMYFUNCTION("""COMPUTED_VALUE"""),"אזרחים וכיתות כוננות")</f>
        <v>אזרחים וכיתות כוננות</v>
      </c>
      <c r="K588" s="5"/>
      <c r="L588" s="3" t="str">
        <f>IFERROR(__xludf.DUMMYFUNCTION("""COMPUTED_VALUE"""),"Nitzan Libstein")</f>
        <v>Nitzan Libstein</v>
      </c>
      <c r="M588" s="5"/>
    </row>
    <row r="589">
      <c r="A589" s="3">
        <f>IFERROR(__xludf.DUMMYFUNCTION("""COMPUTED_VALUE"""),316.0)</f>
        <v>316</v>
      </c>
      <c r="B589" s="4" t="str">
        <f>IFERROR(__xludf.DUMMYFUNCTION("""COMPUTED_VALUE"""),"מור עידן סמדר")</f>
        <v>מור עידן סמדר</v>
      </c>
      <c r="C589" s="3">
        <f>IFERROR(__xludf.DUMMYFUNCTION("""COMPUTED_VALUE"""),38.0)</f>
        <v>38</v>
      </c>
      <c r="D589" s="5" t="str">
        <f>IFERROR(__xludf.DUMMYFUNCTION("""COMPUTED_VALUE"""),"כפר עזה")</f>
        <v>כפר עזה</v>
      </c>
      <c r="E589" s="5" t="str">
        <f>IFERROR(__xludf.DUMMYFUNCTION("""COMPUTED_VALUE"""),"אישה")</f>
        <v>אישה</v>
      </c>
      <c r="F589" s="5" t="str">
        <f>IFERROR(__xludf.DUMMYFUNCTION("""COMPUTED_VALUE"""),"שב""כ")</f>
        <v>שב"כ</v>
      </c>
      <c r="G589" s="3"/>
      <c r="H589" s="3" t="str">
        <f>IFERROR(__xludf.DUMMYFUNCTION("""COMPUTED_VALUE"""),"07.10.2023")</f>
        <v>07.10.2023</v>
      </c>
      <c r="I589" s="4" t="str">
        <f>IFERROR(__xludf.DUMMYFUNCTION("""COMPUTED_VALUE"""),"כפר עזה")</f>
        <v>כפר עזה</v>
      </c>
      <c r="J589" s="4" t="str">
        <f>IFERROR(__xludf.DUMMYFUNCTION("""COMPUTED_VALUE"""),"אזרחים וכיתות כוננות")</f>
        <v>אזרחים וכיתות כוננות</v>
      </c>
      <c r="K589" s="5"/>
      <c r="L589" s="3" t="str">
        <f>IFERROR(__xludf.DUMMYFUNCTION("""COMPUTED_VALUE"""),"Smadar Idan")</f>
        <v>Smadar Idan</v>
      </c>
      <c r="M589" s="5"/>
    </row>
    <row r="590">
      <c r="A590" s="3">
        <f>IFERROR(__xludf.DUMMYFUNCTION("""COMPUTED_VALUE"""),315.0)</f>
        <v>315</v>
      </c>
      <c r="B590" s="4" t="str">
        <f>IFERROR(__xludf.DUMMYFUNCTION("""COMPUTED_VALUE"""),"עידן רועי")</f>
        <v>עידן רועי</v>
      </c>
      <c r="C590" s="3">
        <f>IFERROR(__xludf.DUMMYFUNCTION("""COMPUTED_VALUE"""),45.0)</f>
        <v>45</v>
      </c>
      <c r="D590" s="5" t="str">
        <f>IFERROR(__xludf.DUMMYFUNCTION("""COMPUTED_VALUE"""),"כפר עזה")</f>
        <v>כפר עזה</v>
      </c>
      <c r="E590" s="5" t="str">
        <f>IFERROR(__xludf.DUMMYFUNCTION("""COMPUTED_VALUE"""),"גבר")</f>
        <v>גבר</v>
      </c>
      <c r="F590" s="5" t="str">
        <f>IFERROR(__xludf.DUMMYFUNCTION("""COMPUTED_VALUE"""),"אזרחים")</f>
        <v>אזרחים</v>
      </c>
      <c r="G590" s="3"/>
      <c r="H590" s="3" t="str">
        <f>IFERROR(__xludf.DUMMYFUNCTION("""COMPUTED_VALUE"""),"07.10.2023")</f>
        <v>07.10.2023</v>
      </c>
      <c r="I590" s="4" t="str">
        <f>IFERROR(__xludf.DUMMYFUNCTION("""COMPUTED_VALUE"""),"כפר עזה")</f>
        <v>כפר עזה</v>
      </c>
      <c r="J590" s="4" t="str">
        <f>IFERROR(__xludf.DUMMYFUNCTION("""COMPUTED_VALUE"""),"אזרחים וכיתות כוננות")</f>
        <v>אזרחים וכיתות כוננות</v>
      </c>
      <c r="K590" s="5"/>
      <c r="L590" s="3" t="str">
        <f>IFERROR(__xludf.DUMMYFUNCTION("""COMPUTED_VALUE"""),"Roee Idan")</f>
        <v>Roee Idan</v>
      </c>
      <c r="M590" s="5"/>
    </row>
    <row r="591">
      <c r="A591" s="3">
        <f>IFERROR(__xludf.DUMMYFUNCTION("""COMPUTED_VALUE"""),333.0)</f>
        <v>333</v>
      </c>
      <c r="B591" s="4" t="str">
        <f>IFERROR(__xludf.DUMMYFUNCTION("""COMPUTED_VALUE"""),"פלג זיו (נאור) תמי")</f>
        <v>פלג זיו (נאור) תמי</v>
      </c>
      <c r="C591" s="3">
        <f>IFERROR(__xludf.DUMMYFUNCTION("""COMPUTED_VALUE"""),72.0)</f>
        <v>72</v>
      </c>
      <c r="D591" s="5" t="str">
        <f>IFERROR(__xludf.DUMMYFUNCTION("""COMPUTED_VALUE"""),"כפר עזה")</f>
        <v>כפר עזה</v>
      </c>
      <c r="E591" s="5" t="str">
        <f>IFERROR(__xludf.DUMMYFUNCTION("""COMPUTED_VALUE"""),"אישה")</f>
        <v>אישה</v>
      </c>
      <c r="F591" s="5" t="str">
        <f>IFERROR(__xludf.DUMMYFUNCTION("""COMPUTED_VALUE"""),"אזרחים")</f>
        <v>אזרחים</v>
      </c>
      <c r="G591" s="3"/>
      <c r="H591" s="3" t="str">
        <f>IFERROR(__xludf.DUMMYFUNCTION("""COMPUTED_VALUE"""),"07.10.2023")</f>
        <v>07.10.2023</v>
      </c>
      <c r="I591" s="4" t="str">
        <f>IFERROR(__xludf.DUMMYFUNCTION("""COMPUTED_VALUE"""),"כפר עזה")</f>
        <v>כפר עזה</v>
      </c>
      <c r="J591" s="4" t="str">
        <f>IFERROR(__xludf.DUMMYFUNCTION("""COMPUTED_VALUE"""),"אזרחים וכיתות כוננות")</f>
        <v>אזרחים וכיתות כוננות</v>
      </c>
      <c r="K591" s="5"/>
      <c r="L591" s="3" t="str">
        <f>IFERROR(__xludf.DUMMYFUNCTION("""COMPUTED_VALUE"""),"Tammy Peleg Ziv")</f>
        <v>Tammy Peleg Ziv</v>
      </c>
      <c r="M591" s="5"/>
    </row>
    <row r="592">
      <c r="A592" s="3">
        <f>IFERROR(__xludf.DUMMYFUNCTION("""COMPUTED_VALUE"""),331.0)</f>
        <v>331</v>
      </c>
      <c r="B592" s="4" t="str">
        <f>IFERROR(__xludf.DUMMYFUNCTION("""COMPUTED_VALUE"""),"פלד גילה")</f>
        <v>פלד גילה</v>
      </c>
      <c r="C592" s="3">
        <f>IFERROR(__xludf.DUMMYFUNCTION("""COMPUTED_VALUE"""),59.0)</f>
        <v>59</v>
      </c>
      <c r="D592" s="5" t="str">
        <f>IFERROR(__xludf.DUMMYFUNCTION("""COMPUTED_VALUE"""),"כפר עזה")</f>
        <v>כפר עזה</v>
      </c>
      <c r="E592" s="5" t="str">
        <f>IFERROR(__xludf.DUMMYFUNCTION("""COMPUTED_VALUE"""),"אישה")</f>
        <v>אישה</v>
      </c>
      <c r="F592" s="5" t="str">
        <f>IFERROR(__xludf.DUMMYFUNCTION("""COMPUTED_VALUE"""),"אזרחים")</f>
        <v>אזרחים</v>
      </c>
      <c r="G592" s="3"/>
      <c r="H592" s="3" t="str">
        <f>IFERROR(__xludf.DUMMYFUNCTION("""COMPUTED_VALUE"""),"07.10.2023")</f>
        <v>07.10.2023</v>
      </c>
      <c r="I592" s="4" t="str">
        <f>IFERROR(__xludf.DUMMYFUNCTION("""COMPUTED_VALUE"""),"כפר עזה")</f>
        <v>כפר עזה</v>
      </c>
      <c r="J592" s="4" t="str">
        <f>IFERROR(__xludf.DUMMYFUNCTION("""COMPUTED_VALUE"""),"אזרחים וכיתות כוננות")</f>
        <v>אזרחים וכיתות כוננות</v>
      </c>
      <c r="K592" s="5"/>
      <c r="L592" s="3" t="str">
        <f>IFERROR(__xludf.DUMMYFUNCTION("""COMPUTED_VALUE"""),"Gila Peled")</f>
        <v>Gila Peled</v>
      </c>
      <c r="M592" s="5"/>
    </row>
    <row r="593">
      <c r="A593" s="3">
        <f>IFERROR(__xludf.DUMMYFUNCTION("""COMPUTED_VALUE"""),330.0)</f>
        <v>330</v>
      </c>
      <c r="B593" s="4" t="str">
        <f>IFERROR(__xludf.DUMMYFUNCTION("""COMPUTED_VALUE"""),"פלד דניאל")</f>
        <v>פלד דניאל</v>
      </c>
      <c r="C593" s="3">
        <f>IFERROR(__xludf.DUMMYFUNCTION("""COMPUTED_VALUE"""),28.0)</f>
        <v>28</v>
      </c>
      <c r="D593" s="5" t="str">
        <f>IFERROR(__xludf.DUMMYFUNCTION("""COMPUTED_VALUE"""),"כפר עזה")</f>
        <v>כפר עזה</v>
      </c>
      <c r="E593" s="5" t="str">
        <f>IFERROR(__xludf.DUMMYFUNCTION("""COMPUTED_VALUE"""),"גבר")</f>
        <v>גבר</v>
      </c>
      <c r="F593" s="5" t="str">
        <f>IFERROR(__xludf.DUMMYFUNCTION("""COMPUTED_VALUE"""),"אזרחים")</f>
        <v>אזרחים</v>
      </c>
      <c r="G593" s="3"/>
      <c r="H593" s="3" t="str">
        <f>IFERROR(__xludf.DUMMYFUNCTION("""COMPUTED_VALUE"""),"07.10.2023")</f>
        <v>07.10.2023</v>
      </c>
      <c r="I593" s="4" t="str">
        <f>IFERROR(__xludf.DUMMYFUNCTION("""COMPUTED_VALUE"""),"כפר עזה")</f>
        <v>כפר עזה</v>
      </c>
      <c r="J593" s="4" t="str">
        <f>IFERROR(__xludf.DUMMYFUNCTION("""COMPUTED_VALUE"""),"אזרחים וכיתות כוננות")</f>
        <v>אזרחים וכיתות כוננות</v>
      </c>
      <c r="K593" s="5"/>
      <c r="L593" s="3" t="str">
        <f>IFERROR(__xludf.DUMMYFUNCTION("""COMPUTED_VALUE"""),"Daniel Peled")</f>
        <v>Daniel Peled</v>
      </c>
      <c r="M593" s="5"/>
    </row>
    <row r="594">
      <c r="A594" s="3">
        <f>IFERROR(__xludf.DUMMYFUNCTION("""COMPUTED_VALUE"""),332.0)</f>
        <v>332</v>
      </c>
      <c r="B594" s="4" t="str">
        <f>IFERROR(__xludf.DUMMYFUNCTION("""COMPUTED_VALUE"""),"פלד יזהר")</f>
        <v>פלד יזהר</v>
      </c>
      <c r="C594" s="3">
        <f>IFERROR(__xludf.DUMMYFUNCTION("""COMPUTED_VALUE"""),62.0)</f>
        <v>62</v>
      </c>
      <c r="D594" s="5" t="str">
        <f>IFERROR(__xludf.DUMMYFUNCTION("""COMPUTED_VALUE"""),"כפר עזה")</f>
        <v>כפר עזה</v>
      </c>
      <c r="E594" s="5" t="str">
        <f>IFERROR(__xludf.DUMMYFUNCTION("""COMPUTED_VALUE"""),"גבר")</f>
        <v>גבר</v>
      </c>
      <c r="F594" s="5" t="str">
        <f>IFERROR(__xludf.DUMMYFUNCTION("""COMPUTED_VALUE"""),"אזרחים")</f>
        <v>אזרחים</v>
      </c>
      <c r="G594" s="3"/>
      <c r="H594" s="3" t="str">
        <f>IFERROR(__xludf.DUMMYFUNCTION("""COMPUTED_VALUE"""),"07.10.2023")</f>
        <v>07.10.2023</v>
      </c>
      <c r="I594" s="4" t="str">
        <f>IFERROR(__xludf.DUMMYFUNCTION("""COMPUTED_VALUE"""),"כפר עזה")</f>
        <v>כפר עזה</v>
      </c>
      <c r="J594" s="4" t="str">
        <f>IFERROR(__xludf.DUMMYFUNCTION("""COMPUTED_VALUE"""),"אזרחים וכיתות כוננות")</f>
        <v>אזרחים וכיתות כוננות</v>
      </c>
      <c r="K594" s="5"/>
      <c r="L594" s="3" t="str">
        <f>IFERROR(__xludf.DUMMYFUNCTION("""COMPUTED_VALUE"""),"Izhar Peled")</f>
        <v>Izhar Peled</v>
      </c>
      <c r="M594" s="5"/>
    </row>
    <row r="595">
      <c r="A595" s="3">
        <f>IFERROR(__xludf.DUMMYFUNCTION("""COMPUTED_VALUE"""),1727.0)</f>
        <v>1727</v>
      </c>
      <c r="B595" s="4" t="str">
        <f>IFERROR(__xludf.DUMMYFUNCTION("""COMPUTED_VALUE"""),"פלש יגאל")</f>
        <v>פלש יגאל</v>
      </c>
      <c r="C595" s="3">
        <f>IFERROR(__xludf.DUMMYFUNCTION("""COMPUTED_VALUE"""),66.0)</f>
        <v>66</v>
      </c>
      <c r="D595" s="5" t="str">
        <f>IFERROR(__xludf.DUMMYFUNCTION("""COMPUTED_VALUE"""),"כפר עזה")</f>
        <v>כפר עזה</v>
      </c>
      <c r="E595" s="5" t="str">
        <f>IFERROR(__xludf.DUMMYFUNCTION("""COMPUTED_VALUE"""),"גבר")</f>
        <v>גבר</v>
      </c>
      <c r="F595" s="5" t="str">
        <f>IFERROR(__xludf.DUMMYFUNCTION("""COMPUTED_VALUE"""),"אזרחים")</f>
        <v>אזרחים</v>
      </c>
      <c r="G595" s="3"/>
      <c r="H595" s="3" t="str">
        <f>IFERROR(__xludf.DUMMYFUNCTION("""COMPUTED_VALUE"""),"07.10.2023")</f>
        <v>07.10.2023</v>
      </c>
      <c r="I595" s="4" t="str">
        <f>IFERROR(__xludf.DUMMYFUNCTION("""COMPUTED_VALUE"""),"כפר עזה")</f>
        <v>כפר עזה</v>
      </c>
      <c r="J595" s="4" t="str">
        <f>IFERROR(__xludf.DUMMYFUNCTION("""COMPUTED_VALUE"""),"אזרחים וכיתות כוננות")</f>
        <v>אזרחים וכיתות כוננות</v>
      </c>
      <c r="K595" s="5"/>
      <c r="L595" s="3" t="str">
        <f>IFERROR(__xludf.DUMMYFUNCTION("""COMPUTED_VALUE"""),"Yigal Flash")</f>
        <v>Yigal Flash</v>
      </c>
      <c r="M595" s="5"/>
    </row>
    <row r="596">
      <c r="A596" s="3">
        <f>IFERROR(__xludf.DUMMYFUNCTION("""COMPUTED_VALUE"""),302.0)</f>
        <v>302</v>
      </c>
      <c r="B596" s="4" t="str">
        <f>IFERROR(__xludf.DUMMYFUNCTION("""COMPUTED_VALUE"""),"פלש סינתיה תמר (סינדי)")</f>
        <v>פלש סינתיה תמר (סינדי)</v>
      </c>
      <c r="C596" s="3">
        <f>IFERROR(__xludf.DUMMYFUNCTION("""COMPUTED_VALUE"""),67.0)</f>
        <v>67</v>
      </c>
      <c r="D596" s="5" t="str">
        <f>IFERROR(__xludf.DUMMYFUNCTION("""COMPUTED_VALUE"""),"כפר עזה")</f>
        <v>כפר עזה</v>
      </c>
      <c r="E596" s="5" t="str">
        <f>IFERROR(__xludf.DUMMYFUNCTION("""COMPUTED_VALUE"""),"אישה")</f>
        <v>אישה</v>
      </c>
      <c r="F596" s="5" t="str">
        <f>IFERROR(__xludf.DUMMYFUNCTION("""COMPUTED_VALUE"""),"אזרחים")</f>
        <v>אזרחים</v>
      </c>
      <c r="G596" s="3"/>
      <c r="H596" s="3" t="str">
        <f>IFERROR(__xludf.DUMMYFUNCTION("""COMPUTED_VALUE"""),"07.10.2023")</f>
        <v>07.10.2023</v>
      </c>
      <c r="I596" s="4" t="str">
        <f>IFERROR(__xludf.DUMMYFUNCTION("""COMPUTED_VALUE"""),"כפר עזה")</f>
        <v>כפר עזה</v>
      </c>
      <c r="J596" s="4" t="str">
        <f>IFERROR(__xludf.DUMMYFUNCTION("""COMPUTED_VALUE"""),"אזרחים וכיתות כוננות")</f>
        <v>אזרחים וכיתות כוננות</v>
      </c>
      <c r="K596" s="5"/>
      <c r="L596" s="3" t="str">
        <f>IFERROR(__xludf.DUMMYFUNCTION("""COMPUTED_VALUE"""),"Cynthia Tamar Flash")</f>
        <v>Cynthia Tamar Flash</v>
      </c>
      <c r="M596" s="5"/>
    </row>
    <row r="597">
      <c r="A597" s="3">
        <f>IFERROR(__xludf.DUMMYFUNCTION("""COMPUTED_VALUE"""),1473.0)</f>
        <v>1473</v>
      </c>
      <c r="B597" s="4" t="str">
        <f>IFERROR(__xludf.DUMMYFUNCTION("""COMPUTED_VALUE"""),"פרץ מארק (מרדכי)")</f>
        <v>פרץ מארק (מרדכי)</v>
      </c>
      <c r="C597" s="3">
        <f>IFERROR(__xludf.DUMMYFUNCTION("""COMPUTED_VALUE"""),51.0)</f>
        <v>51</v>
      </c>
      <c r="D597" s="5" t="str">
        <f>IFERROR(__xludf.DUMMYFUNCTION("""COMPUTED_VALUE"""),"ראשון לציון")</f>
        <v>ראשון לציון</v>
      </c>
      <c r="E597" s="5" t="str">
        <f>IFERROR(__xludf.DUMMYFUNCTION("""COMPUTED_VALUE"""),"גבר")</f>
        <v>גבר</v>
      </c>
      <c r="F597" s="5" t="str">
        <f>IFERROR(__xludf.DUMMYFUNCTION("""COMPUTED_VALUE"""),"אזרחים")</f>
        <v>אזרחים</v>
      </c>
      <c r="G597" s="3"/>
      <c r="H597" s="3" t="str">
        <f>IFERROR(__xludf.DUMMYFUNCTION("""COMPUTED_VALUE"""),"07.10.2023")</f>
        <v>07.10.2023</v>
      </c>
      <c r="I597" s="4" t="str">
        <f>IFERROR(__xludf.DUMMYFUNCTION("""COMPUTED_VALUE"""),"סמוך למפלסים")</f>
        <v>סמוך למפלסים</v>
      </c>
      <c r="J597" s="4" t="str">
        <f>IFERROR(__xludf.DUMMYFUNCTION("""COMPUTED_VALUE"""),"אזרחים וכיתות כוננות")</f>
        <v>אזרחים וכיתות כוננות</v>
      </c>
      <c r="K597" s="5"/>
      <c r="L597" s="3" t="str">
        <f>IFERROR(__xludf.DUMMYFUNCTION("""COMPUTED_VALUE"""),"Mark Peretz")</f>
        <v>Mark Peretz</v>
      </c>
      <c r="M597" s="5"/>
    </row>
    <row r="598">
      <c r="A598" s="3">
        <f>IFERROR(__xludf.DUMMYFUNCTION("""COMPUTED_VALUE"""),371.0)</f>
        <v>371</v>
      </c>
      <c r="B598" s="4" t="str">
        <f>IFERROR(__xludf.DUMMYFUNCTION("""COMPUTED_VALUE"""),"צדיקביץ' עומר")</f>
        <v>צדיקביץ' עומר</v>
      </c>
      <c r="C598" s="3">
        <f>IFERROR(__xludf.DUMMYFUNCTION("""COMPUTED_VALUE"""),50.0)</f>
        <v>50</v>
      </c>
      <c r="D598" s="5" t="str">
        <f>IFERROR(__xludf.DUMMYFUNCTION("""COMPUTED_VALUE"""),"כפר עזה")</f>
        <v>כפר עזה</v>
      </c>
      <c r="E598" s="5" t="str">
        <f>IFERROR(__xludf.DUMMYFUNCTION("""COMPUTED_VALUE"""),"גבר")</f>
        <v>גבר</v>
      </c>
      <c r="F598" s="5" t="str">
        <f>IFERROR(__xludf.DUMMYFUNCTION("""COMPUTED_VALUE"""),"אזרחים")</f>
        <v>אזרחים</v>
      </c>
      <c r="G598" s="3"/>
      <c r="H598" s="3" t="str">
        <f>IFERROR(__xludf.DUMMYFUNCTION("""COMPUTED_VALUE"""),"07.10.2023")</f>
        <v>07.10.2023</v>
      </c>
      <c r="I598" s="4" t="str">
        <f>IFERROR(__xludf.DUMMYFUNCTION("""COMPUTED_VALUE"""),"כפר עזה")</f>
        <v>כפר עזה</v>
      </c>
      <c r="J598" s="4" t="str">
        <f>IFERROR(__xludf.DUMMYFUNCTION("""COMPUTED_VALUE"""),"אזרחים וכיתות כוננות")</f>
        <v>אזרחים וכיתות כוננות</v>
      </c>
      <c r="K598" s="5"/>
      <c r="L598" s="3" t="str">
        <f>IFERROR(__xludf.DUMMYFUNCTION("""COMPUTED_VALUE"""),"Omer Zadikevitch")</f>
        <v>Omer Zadikevitch</v>
      </c>
      <c r="M598" s="5"/>
    </row>
    <row r="599">
      <c r="A599" s="3">
        <f>IFERROR(__xludf.DUMMYFUNCTION("""COMPUTED_VALUE"""),321.0)</f>
        <v>321</v>
      </c>
      <c r="B599" s="4" t="str">
        <f>IFERROR(__xludf.DUMMYFUNCTION("""COMPUTED_VALUE"""),"קוץ אביב")</f>
        <v>קוץ אביב</v>
      </c>
      <c r="C599" s="3">
        <f>IFERROR(__xludf.DUMMYFUNCTION("""COMPUTED_VALUE"""),53.0)</f>
        <v>53</v>
      </c>
      <c r="D599" s="5" t="str">
        <f>IFERROR(__xludf.DUMMYFUNCTION("""COMPUTED_VALUE"""),"כפר עזה")</f>
        <v>כפר עזה</v>
      </c>
      <c r="E599" s="5" t="str">
        <f>IFERROR(__xludf.DUMMYFUNCTION("""COMPUTED_VALUE"""),"גבר")</f>
        <v>גבר</v>
      </c>
      <c r="F599" s="5" t="str">
        <f>IFERROR(__xludf.DUMMYFUNCTION("""COMPUTED_VALUE"""),"אזרחים")</f>
        <v>אזרחים</v>
      </c>
      <c r="G599" s="3"/>
      <c r="H599" s="3" t="str">
        <f>IFERROR(__xludf.DUMMYFUNCTION("""COMPUTED_VALUE"""),"07.10.2023")</f>
        <v>07.10.2023</v>
      </c>
      <c r="I599" s="4" t="str">
        <f>IFERROR(__xludf.DUMMYFUNCTION("""COMPUTED_VALUE"""),"כפר עזה")</f>
        <v>כפר עזה</v>
      </c>
      <c r="J599" s="4" t="str">
        <f>IFERROR(__xludf.DUMMYFUNCTION("""COMPUTED_VALUE"""),"אזרחים וכיתות כוננות")</f>
        <v>אזרחים וכיתות כוננות</v>
      </c>
      <c r="K599" s="5"/>
      <c r="L599" s="3" t="str">
        <f>IFERROR(__xludf.DUMMYFUNCTION("""COMPUTED_VALUE"""),"Aviv Kutz")</f>
        <v>Aviv Kutz</v>
      </c>
      <c r="M599" s="5"/>
    </row>
    <row r="600">
      <c r="A600" s="3">
        <f>IFERROR(__xludf.DUMMYFUNCTION("""COMPUTED_VALUE"""),325.0)</f>
        <v>325</v>
      </c>
      <c r="B600" s="4" t="str">
        <f>IFERROR(__xludf.DUMMYFUNCTION("""COMPUTED_VALUE"""),"קוץ יונתן")</f>
        <v>קוץ יונתן</v>
      </c>
      <c r="C600" s="3">
        <f>IFERROR(__xludf.DUMMYFUNCTION("""COMPUTED_VALUE"""),16.0)</f>
        <v>16</v>
      </c>
      <c r="D600" s="5" t="str">
        <f>IFERROR(__xludf.DUMMYFUNCTION("""COMPUTED_VALUE"""),"כפר עזה")</f>
        <v>כפר עזה</v>
      </c>
      <c r="E600" s="5" t="str">
        <f>IFERROR(__xludf.DUMMYFUNCTION("""COMPUTED_VALUE"""),"ילד")</f>
        <v>ילד</v>
      </c>
      <c r="F600" s="5" t="str">
        <f>IFERROR(__xludf.DUMMYFUNCTION("""COMPUTED_VALUE"""),"אזרחים")</f>
        <v>אזרחים</v>
      </c>
      <c r="G600" s="3"/>
      <c r="H600" s="3" t="str">
        <f>IFERROR(__xludf.DUMMYFUNCTION("""COMPUTED_VALUE"""),"07.10.2023")</f>
        <v>07.10.2023</v>
      </c>
      <c r="I600" s="4" t="str">
        <f>IFERROR(__xludf.DUMMYFUNCTION("""COMPUTED_VALUE"""),"כפר עזה")</f>
        <v>כפר עזה</v>
      </c>
      <c r="J600" s="4" t="str">
        <f>IFERROR(__xludf.DUMMYFUNCTION("""COMPUTED_VALUE"""),"אזרחים וכיתות כוננות")</f>
        <v>אזרחים וכיתות כוננות</v>
      </c>
      <c r="K600" s="5"/>
      <c r="L600" s="3" t="str">
        <f>IFERROR(__xludf.DUMMYFUNCTION("""COMPUTED_VALUE"""),"Yonatan Kutz")</f>
        <v>Yonatan Kutz</v>
      </c>
      <c r="M600" s="5"/>
    </row>
    <row r="601">
      <c r="A601" s="3">
        <f>IFERROR(__xludf.DUMMYFUNCTION("""COMPUTED_VALUE"""),324.0)</f>
        <v>324</v>
      </c>
      <c r="B601" s="4" t="str">
        <f>IFERROR(__xludf.DUMMYFUNCTION("""COMPUTED_VALUE"""),"קוץ יפתח")</f>
        <v>קוץ יפתח</v>
      </c>
      <c r="C601" s="3">
        <f>IFERROR(__xludf.DUMMYFUNCTION("""COMPUTED_VALUE"""),14.0)</f>
        <v>14</v>
      </c>
      <c r="D601" s="5" t="str">
        <f>IFERROR(__xludf.DUMMYFUNCTION("""COMPUTED_VALUE"""),"כפר עזה")</f>
        <v>כפר עזה</v>
      </c>
      <c r="E601" s="5" t="str">
        <f>IFERROR(__xludf.DUMMYFUNCTION("""COMPUTED_VALUE"""),"ילד")</f>
        <v>ילד</v>
      </c>
      <c r="F601" s="5" t="str">
        <f>IFERROR(__xludf.DUMMYFUNCTION("""COMPUTED_VALUE"""),"אזרחים")</f>
        <v>אזרחים</v>
      </c>
      <c r="G601" s="3"/>
      <c r="H601" s="3" t="str">
        <f>IFERROR(__xludf.DUMMYFUNCTION("""COMPUTED_VALUE"""),"07.10.2023")</f>
        <v>07.10.2023</v>
      </c>
      <c r="I601" s="4" t="str">
        <f>IFERROR(__xludf.DUMMYFUNCTION("""COMPUTED_VALUE"""),"כפר עזה")</f>
        <v>כפר עזה</v>
      </c>
      <c r="J601" s="4" t="str">
        <f>IFERROR(__xludf.DUMMYFUNCTION("""COMPUTED_VALUE"""),"אזרחים וכיתות כוננות")</f>
        <v>אזרחים וכיתות כוננות</v>
      </c>
      <c r="K601" s="5"/>
      <c r="L601" s="3" t="str">
        <f>IFERROR(__xludf.DUMMYFUNCTION("""COMPUTED_VALUE"""),"Yiftach Kutz")</f>
        <v>Yiftach Kutz</v>
      </c>
      <c r="M601" s="5"/>
    </row>
    <row r="602">
      <c r="A602" s="3">
        <f>IFERROR(__xludf.DUMMYFUNCTION("""COMPUTED_VALUE"""),322.0)</f>
        <v>322</v>
      </c>
      <c r="B602" s="4" t="str">
        <f>IFERROR(__xludf.DUMMYFUNCTION("""COMPUTED_VALUE"""),"קוץ לבנת")</f>
        <v>קוץ לבנת</v>
      </c>
      <c r="C602" s="3">
        <f>IFERROR(__xludf.DUMMYFUNCTION("""COMPUTED_VALUE"""),50.0)</f>
        <v>50</v>
      </c>
      <c r="D602" s="5" t="str">
        <f>IFERROR(__xludf.DUMMYFUNCTION("""COMPUTED_VALUE"""),"כפר עזה")</f>
        <v>כפר עזה</v>
      </c>
      <c r="E602" s="5" t="str">
        <f>IFERROR(__xludf.DUMMYFUNCTION("""COMPUTED_VALUE"""),"אישה")</f>
        <v>אישה</v>
      </c>
      <c r="F602" s="5" t="str">
        <f>IFERROR(__xludf.DUMMYFUNCTION("""COMPUTED_VALUE"""),"אזרחים")</f>
        <v>אזרחים</v>
      </c>
      <c r="G602" s="3"/>
      <c r="H602" s="3" t="str">
        <f>IFERROR(__xludf.DUMMYFUNCTION("""COMPUTED_VALUE"""),"07.10.2023")</f>
        <v>07.10.2023</v>
      </c>
      <c r="I602" s="4" t="str">
        <f>IFERROR(__xludf.DUMMYFUNCTION("""COMPUTED_VALUE"""),"כפר עזה")</f>
        <v>כפר עזה</v>
      </c>
      <c r="J602" s="4" t="str">
        <f>IFERROR(__xludf.DUMMYFUNCTION("""COMPUTED_VALUE"""),"אזרחים וכיתות כוננות")</f>
        <v>אזרחים וכיתות כוננות</v>
      </c>
      <c r="K602" s="5"/>
      <c r="L602" s="3" t="str">
        <f>IFERROR(__xludf.DUMMYFUNCTION("""COMPUTED_VALUE"""),"Livnat Kutz")</f>
        <v>Livnat Kutz</v>
      </c>
      <c r="M602" s="5"/>
    </row>
    <row r="603">
      <c r="A603" s="3">
        <f>IFERROR(__xludf.DUMMYFUNCTION("""COMPUTED_VALUE"""),323.0)</f>
        <v>323</v>
      </c>
      <c r="B603" s="4" t="str">
        <f>IFERROR(__xludf.DUMMYFUNCTION("""COMPUTED_VALUE"""),"קוץ רותם")</f>
        <v>קוץ רותם</v>
      </c>
      <c r="C603" s="3">
        <f>IFERROR(__xludf.DUMMYFUNCTION("""COMPUTED_VALUE"""),18.0)</f>
        <v>18</v>
      </c>
      <c r="D603" s="5" t="str">
        <f>IFERROR(__xludf.DUMMYFUNCTION("""COMPUTED_VALUE"""),"כפר עזה")</f>
        <v>כפר עזה</v>
      </c>
      <c r="E603" s="5" t="str">
        <f>IFERROR(__xludf.DUMMYFUNCTION("""COMPUTED_VALUE"""),"אישה")</f>
        <v>אישה</v>
      </c>
      <c r="F603" s="5" t="str">
        <f>IFERROR(__xludf.DUMMYFUNCTION("""COMPUTED_VALUE"""),"צה""ל")</f>
        <v>צה"ל</v>
      </c>
      <c r="G603" s="3" t="str">
        <f>IFERROR(__xludf.DUMMYFUNCTION("""COMPUTED_VALUE"""),"סמל")</f>
        <v>סמל</v>
      </c>
      <c r="H603" s="3" t="str">
        <f>IFERROR(__xludf.DUMMYFUNCTION("""COMPUTED_VALUE"""),"07.10.2023")</f>
        <v>07.10.2023</v>
      </c>
      <c r="I603" s="4" t="str">
        <f>IFERROR(__xludf.DUMMYFUNCTION("""COMPUTED_VALUE"""),"כפר עזה")</f>
        <v>כפר עזה</v>
      </c>
      <c r="J603" s="4" t="str">
        <f>IFERROR(__xludf.DUMMYFUNCTION("""COMPUTED_VALUE"""),"אזרחים וכיתות כוננות")</f>
        <v>אזרחים וכיתות כוננות</v>
      </c>
      <c r="K603" s="5"/>
      <c r="L603" s="3" t="str">
        <f>IFERROR(__xludf.DUMMYFUNCTION("""COMPUTED_VALUE"""),"Rotem Kutz")</f>
        <v>Rotem Kutz</v>
      </c>
      <c r="M603" s="5"/>
    </row>
    <row r="604">
      <c r="A604" s="3">
        <f>IFERROR(__xludf.DUMMYFUNCTION("""COMPUTED_VALUE"""),320.0)</f>
        <v>320</v>
      </c>
      <c r="B604" s="4" t="str">
        <f>IFERROR(__xludf.DUMMYFUNCTION("""COMPUTED_VALUE"""),"קציר (קצ'קו) דוד")</f>
        <v>קציר (קצ'קו) דוד</v>
      </c>
      <c r="C604" s="3">
        <f>IFERROR(__xludf.DUMMYFUNCTION("""COMPUTED_VALUE"""),72.0)</f>
        <v>72</v>
      </c>
      <c r="D604" s="5" t="str">
        <f>IFERROR(__xludf.DUMMYFUNCTION("""COMPUTED_VALUE"""),"כפר עזה")</f>
        <v>כפר עזה</v>
      </c>
      <c r="E604" s="5" t="str">
        <f>IFERROR(__xludf.DUMMYFUNCTION("""COMPUTED_VALUE"""),"גבר")</f>
        <v>גבר</v>
      </c>
      <c r="F604" s="5" t="str">
        <f>IFERROR(__xludf.DUMMYFUNCTION("""COMPUTED_VALUE"""),"אזרחים")</f>
        <v>אזרחים</v>
      </c>
      <c r="G604" s="3"/>
      <c r="H604" s="3" t="str">
        <f>IFERROR(__xludf.DUMMYFUNCTION("""COMPUTED_VALUE"""),"07.10.2023")</f>
        <v>07.10.2023</v>
      </c>
      <c r="I604" s="4" t="str">
        <f>IFERROR(__xludf.DUMMYFUNCTION("""COMPUTED_VALUE"""),"כפר עזה")</f>
        <v>כפר עזה</v>
      </c>
      <c r="J604" s="4" t="str">
        <f>IFERROR(__xludf.DUMMYFUNCTION("""COMPUTED_VALUE"""),"אזרחים וכיתות כוננות")</f>
        <v>אזרחים וכיתות כוננות</v>
      </c>
      <c r="K604" s="5"/>
      <c r="L604" s="3" t="str">
        <f>IFERROR(__xludf.DUMMYFUNCTION("""COMPUTED_VALUE"""),"David (Kachko) Katzir")</f>
        <v>David (Kachko) Katzir</v>
      </c>
      <c r="M604" s="5"/>
    </row>
    <row r="605">
      <c r="A605" s="3">
        <f>IFERROR(__xludf.DUMMYFUNCTION("""COMPUTED_VALUE"""),335.0)</f>
        <v>335</v>
      </c>
      <c r="B605" s="4" t="str">
        <f>IFERROR(__xludf.DUMMYFUNCTION("""COMPUTED_VALUE"""),"רביב ניב")</f>
        <v>רביב ניב</v>
      </c>
      <c r="C605" s="3">
        <f>IFERROR(__xludf.DUMMYFUNCTION("""COMPUTED_VALUE"""),27.0)</f>
        <v>27</v>
      </c>
      <c r="D605" s="5" t="str">
        <f>IFERROR(__xludf.DUMMYFUNCTION("""COMPUTED_VALUE"""),"כפר עזה")</f>
        <v>כפר עזה</v>
      </c>
      <c r="E605" s="5" t="str">
        <f>IFERROR(__xludf.DUMMYFUNCTION("""COMPUTED_VALUE"""),"אישה")</f>
        <v>אישה</v>
      </c>
      <c r="F605" s="5" t="str">
        <f>IFERROR(__xludf.DUMMYFUNCTION("""COMPUTED_VALUE"""),"אזרחים")</f>
        <v>אזרחים</v>
      </c>
      <c r="G605" s="5"/>
      <c r="H605" s="3" t="str">
        <f>IFERROR(__xludf.DUMMYFUNCTION("""COMPUTED_VALUE"""),"07.10.2023")</f>
        <v>07.10.2023</v>
      </c>
      <c r="I605" s="4" t="str">
        <f>IFERROR(__xludf.DUMMYFUNCTION("""COMPUTED_VALUE"""),"כפר עזה")</f>
        <v>כפר עזה</v>
      </c>
      <c r="J605" s="4" t="str">
        <f>IFERROR(__xludf.DUMMYFUNCTION("""COMPUTED_VALUE"""),"אזרחים וכיתות כוננות")</f>
        <v>אזרחים וכיתות כוננות</v>
      </c>
      <c r="K605" s="5"/>
      <c r="L605" s="3" t="str">
        <f>IFERROR(__xludf.DUMMYFUNCTION("""COMPUTED_VALUE"""),"Niv Raviv")</f>
        <v>Niv Raviv</v>
      </c>
      <c r="M605" s="5"/>
    </row>
    <row r="606">
      <c r="A606" s="3">
        <f>IFERROR(__xludf.DUMMYFUNCTION("""COMPUTED_VALUE"""),350.0)</f>
        <v>350</v>
      </c>
      <c r="B606" s="4" t="str">
        <f>IFERROR(__xludf.DUMMYFUNCTION("""COMPUTED_VALUE"""),"רונן נירה")</f>
        <v>רונן נירה</v>
      </c>
      <c r="C606" s="3">
        <f>IFERROR(__xludf.DUMMYFUNCTION("""COMPUTED_VALUE"""),86.0)</f>
        <v>86</v>
      </c>
      <c r="D606" s="5" t="str">
        <f>IFERROR(__xludf.DUMMYFUNCTION("""COMPUTED_VALUE"""),"כפר עזה")</f>
        <v>כפר עזה</v>
      </c>
      <c r="E606" s="5" t="str">
        <f>IFERROR(__xludf.DUMMYFUNCTION("""COMPUTED_VALUE"""),"אישה")</f>
        <v>אישה</v>
      </c>
      <c r="F606" s="5" t="str">
        <f>IFERROR(__xludf.DUMMYFUNCTION("""COMPUTED_VALUE"""),"אזרחים")</f>
        <v>אזרחים</v>
      </c>
      <c r="G606" s="5"/>
      <c r="H606" s="3" t="str">
        <f>IFERROR(__xludf.DUMMYFUNCTION("""COMPUTED_VALUE"""),"07.10.2023")</f>
        <v>07.10.2023</v>
      </c>
      <c r="I606" s="4" t="str">
        <f>IFERROR(__xludf.DUMMYFUNCTION("""COMPUTED_VALUE"""),"כפר עזה")</f>
        <v>כפר עזה</v>
      </c>
      <c r="J606" s="4" t="str">
        <f>IFERROR(__xludf.DUMMYFUNCTION("""COMPUTED_VALUE"""),"אזרחים וכיתות כוננות")</f>
        <v>אזרחים וכיתות כוננות</v>
      </c>
      <c r="K606" s="5"/>
      <c r="L606" s="3" t="str">
        <f>IFERROR(__xludf.DUMMYFUNCTION("""COMPUTED_VALUE"""),"Nira Ronen")</f>
        <v>Nira Ronen</v>
      </c>
      <c r="M606" s="5"/>
    </row>
    <row r="607">
      <c r="A607" s="3">
        <f>IFERROR(__xludf.DUMMYFUNCTION("""COMPUTED_VALUE"""),336.0)</f>
        <v>336</v>
      </c>
      <c r="B607" s="4" t="str">
        <f>IFERROR(__xludf.DUMMYFUNCTION("""COMPUTED_VALUE"""),"רייכנשטיין אליהו (אליקו)")</f>
        <v>רייכנשטיין אליהו (אליקו)</v>
      </c>
      <c r="C607" s="3">
        <f>IFERROR(__xludf.DUMMYFUNCTION("""COMPUTED_VALUE"""),75.0)</f>
        <v>75</v>
      </c>
      <c r="D607" s="5" t="str">
        <f>IFERROR(__xludf.DUMMYFUNCTION("""COMPUTED_VALUE"""),"כפר עזה")</f>
        <v>כפר עזה</v>
      </c>
      <c r="E607" s="5" t="str">
        <f>IFERROR(__xludf.DUMMYFUNCTION("""COMPUTED_VALUE"""),"גבר")</f>
        <v>גבר</v>
      </c>
      <c r="F607" s="5" t="str">
        <f>IFERROR(__xludf.DUMMYFUNCTION("""COMPUTED_VALUE"""),"אזרחים")</f>
        <v>אזרחים</v>
      </c>
      <c r="G607" s="3"/>
      <c r="H607" s="3" t="str">
        <f>IFERROR(__xludf.DUMMYFUNCTION("""COMPUTED_VALUE"""),"07.10.2023")</f>
        <v>07.10.2023</v>
      </c>
      <c r="I607" s="4" t="str">
        <f>IFERROR(__xludf.DUMMYFUNCTION("""COMPUTED_VALUE"""),"כפר עזה")</f>
        <v>כפר עזה</v>
      </c>
      <c r="J607" s="4" t="str">
        <f>IFERROR(__xludf.DUMMYFUNCTION("""COMPUTED_VALUE"""),"אזרחים וכיתות כוננות")</f>
        <v>אזרחים וכיתות כוננות</v>
      </c>
      <c r="K607" s="5"/>
      <c r="L607" s="3" t="str">
        <f>IFERROR(__xludf.DUMMYFUNCTION("""COMPUTED_VALUE"""),"Eliyahu Reichenstein")</f>
        <v>Eliyahu Reichenstein</v>
      </c>
      <c r="M607" s="5"/>
    </row>
    <row r="608">
      <c r="A608" s="3">
        <f>IFERROR(__xludf.DUMMYFUNCTION("""COMPUTED_VALUE"""),347.0)</f>
        <v>347</v>
      </c>
      <c r="B608" s="4" t="str">
        <f>IFERROR(__xludf.DUMMYFUNCTION("""COMPUTED_VALUE"""),"שוורצמן דוד אלברטו")</f>
        <v>שוורצמן דוד אלברטו</v>
      </c>
      <c r="C608" s="3">
        <f>IFERROR(__xludf.DUMMYFUNCTION("""COMPUTED_VALUE"""),67.0)</f>
        <v>67</v>
      </c>
      <c r="D608" s="5" t="str">
        <f>IFERROR(__xludf.DUMMYFUNCTION("""COMPUTED_VALUE"""),"כפר עזה")</f>
        <v>כפר עזה</v>
      </c>
      <c r="E608" s="5" t="str">
        <f>IFERROR(__xludf.DUMMYFUNCTION("""COMPUTED_VALUE"""),"גבר")</f>
        <v>גבר</v>
      </c>
      <c r="F608" s="5" t="str">
        <f>IFERROR(__xludf.DUMMYFUNCTION("""COMPUTED_VALUE"""),"אזרחים")</f>
        <v>אזרחים</v>
      </c>
      <c r="G608" s="3"/>
      <c r="H608" s="3" t="str">
        <f>IFERROR(__xludf.DUMMYFUNCTION("""COMPUTED_VALUE"""),"07.10.2023")</f>
        <v>07.10.2023</v>
      </c>
      <c r="I608" s="4" t="str">
        <f>IFERROR(__xludf.DUMMYFUNCTION("""COMPUTED_VALUE"""),"כפר עזה")</f>
        <v>כפר עזה</v>
      </c>
      <c r="J608" s="2" t="str">
        <f>IFERROR(__xludf.DUMMYFUNCTION("""COMPUTED_VALUE"""),"אזרחים וכיתות כוננות")</f>
        <v>אזרחים וכיתות כוננות</v>
      </c>
      <c r="K608" s="5"/>
      <c r="L608" s="3" t="str">
        <f>IFERROR(__xludf.DUMMYFUNCTION("""COMPUTED_VALUE"""),"David Schwartzman Pinko")</f>
        <v>David Schwartzman Pinko</v>
      </c>
      <c r="M608" s="5"/>
    </row>
    <row r="609">
      <c r="A609" s="3">
        <f>IFERROR(__xludf.DUMMYFUNCTION("""COMPUTED_VALUE"""),346.0)</f>
        <v>346</v>
      </c>
      <c r="B609" s="4" t="str">
        <f>IFERROR(__xludf.DUMMYFUNCTION("""COMPUTED_VALUE"""),"שוורצמן פינקו אורלי")</f>
        <v>שוורצמן פינקו אורלי</v>
      </c>
      <c r="C609" s="3">
        <f>IFERROR(__xludf.DUMMYFUNCTION("""COMPUTED_VALUE"""),67.0)</f>
        <v>67</v>
      </c>
      <c r="D609" s="5" t="str">
        <f>IFERROR(__xludf.DUMMYFUNCTION("""COMPUTED_VALUE"""),"כפר עזה")</f>
        <v>כפר עזה</v>
      </c>
      <c r="E609" s="5" t="str">
        <f>IFERROR(__xludf.DUMMYFUNCTION("""COMPUTED_VALUE"""),"אישה")</f>
        <v>אישה</v>
      </c>
      <c r="F609" s="5" t="str">
        <f>IFERROR(__xludf.DUMMYFUNCTION("""COMPUTED_VALUE"""),"אזרחים")</f>
        <v>אזרחים</v>
      </c>
      <c r="G609" s="3"/>
      <c r="H609" s="3" t="str">
        <f>IFERROR(__xludf.DUMMYFUNCTION("""COMPUTED_VALUE"""),"07.10.2023")</f>
        <v>07.10.2023</v>
      </c>
      <c r="I609" s="4" t="str">
        <f>IFERROR(__xludf.DUMMYFUNCTION("""COMPUTED_VALUE"""),"כפר עזה")</f>
        <v>כפר עזה</v>
      </c>
      <c r="J609" s="4" t="str">
        <f>IFERROR(__xludf.DUMMYFUNCTION("""COMPUTED_VALUE"""),"אזרחים וכיתות כוננות")</f>
        <v>אזרחים וכיתות כוננות</v>
      </c>
      <c r="K609" s="5"/>
      <c r="L609" s="3" t="str">
        <f>IFERROR(__xludf.DUMMYFUNCTION("""COMPUTED_VALUE"""),"Orly Schwartzman Pinko")</f>
        <v>Orly Schwartzman Pinko</v>
      </c>
      <c r="M609" s="5"/>
    </row>
    <row r="610">
      <c r="A610" s="3">
        <f>IFERROR(__xludf.DUMMYFUNCTION("""COMPUTED_VALUE"""),338.0)</f>
        <v>338</v>
      </c>
      <c r="B610" s="4" t="str">
        <f>IFERROR(__xludf.DUMMYFUNCTION("""COMPUTED_VALUE"""),"שושני אופיר")</f>
        <v>שושני אופיר</v>
      </c>
      <c r="C610" s="3">
        <f>IFERROR(__xludf.DUMMYFUNCTION("""COMPUTED_VALUE"""),20.0)</f>
        <v>20</v>
      </c>
      <c r="D610" s="5" t="str">
        <f>IFERROR(__xludf.DUMMYFUNCTION("""COMPUTED_VALUE"""),"כפר עזה")</f>
        <v>כפר עזה</v>
      </c>
      <c r="E610" s="5" t="str">
        <f>IFERROR(__xludf.DUMMYFUNCTION("""COMPUTED_VALUE"""),"אישה")</f>
        <v>אישה</v>
      </c>
      <c r="F610" s="5" t="str">
        <f>IFERROR(__xludf.DUMMYFUNCTION("""COMPUTED_VALUE"""),"צה""ל")</f>
        <v>צה"ל</v>
      </c>
      <c r="G610" s="3" t="str">
        <f>IFERROR(__xludf.DUMMYFUNCTION("""COMPUTED_VALUE"""),"סמ״ר")</f>
        <v>סמ״ר</v>
      </c>
      <c r="H610" s="3" t="str">
        <f>IFERROR(__xludf.DUMMYFUNCTION("""COMPUTED_VALUE"""),"07.10.2023")</f>
        <v>07.10.2023</v>
      </c>
      <c r="I610" s="4" t="str">
        <f>IFERROR(__xludf.DUMMYFUNCTION("""COMPUTED_VALUE"""),"כפר עזה")</f>
        <v>כפר עזה</v>
      </c>
      <c r="J610" s="4" t="str">
        <f>IFERROR(__xludf.DUMMYFUNCTION("""COMPUTED_VALUE"""),"אזרחים וכיתות כוננות")</f>
        <v>אזרחים וכיתות כוננות</v>
      </c>
      <c r="K610" s="5"/>
      <c r="L610" s="3" t="str">
        <f>IFERROR(__xludf.DUMMYFUNCTION("""COMPUTED_VALUE"""),"Ofir Shoshani")</f>
        <v>Ofir Shoshani</v>
      </c>
      <c r="M610" s="5"/>
    </row>
    <row r="611">
      <c r="A611" s="3">
        <f>IFERROR(__xludf.DUMMYFUNCTION("""COMPUTED_VALUE"""),339.0)</f>
        <v>339</v>
      </c>
      <c r="B611" s="4" t="str">
        <f>IFERROR(__xludf.DUMMYFUNCTION("""COMPUTED_VALUE"""),"שטהל מירה")</f>
        <v>שטהל מירה</v>
      </c>
      <c r="C611" s="3">
        <f>IFERROR(__xludf.DUMMYFUNCTION("""COMPUTED_VALUE"""),54.0)</f>
        <v>54</v>
      </c>
      <c r="D611" s="5" t="str">
        <f>IFERROR(__xludf.DUMMYFUNCTION("""COMPUTED_VALUE"""),"כפר עזה")</f>
        <v>כפר עזה</v>
      </c>
      <c r="E611" s="5" t="str">
        <f>IFERROR(__xludf.DUMMYFUNCTION("""COMPUTED_VALUE"""),"אישה")</f>
        <v>אישה</v>
      </c>
      <c r="F611" s="5" t="str">
        <f>IFERROR(__xludf.DUMMYFUNCTION("""COMPUTED_VALUE"""),"אזרחים")</f>
        <v>אזרחים</v>
      </c>
      <c r="G611" s="3"/>
      <c r="H611" s="3" t="str">
        <f>IFERROR(__xludf.DUMMYFUNCTION("""COMPUTED_VALUE"""),"07.10.2023")</f>
        <v>07.10.2023</v>
      </c>
      <c r="I611" s="4" t="str">
        <f>IFERROR(__xludf.DUMMYFUNCTION("""COMPUTED_VALUE"""),"כפר עזה")</f>
        <v>כפר עזה</v>
      </c>
      <c r="J611" s="4" t="str">
        <f>IFERROR(__xludf.DUMMYFUNCTION("""COMPUTED_VALUE"""),"אזרחים וכיתות כוננות")</f>
        <v>אזרחים וכיתות כוננות</v>
      </c>
      <c r="K611" s="5"/>
      <c r="L611" s="3" t="str">
        <f>IFERROR(__xludf.DUMMYFUNCTION("""COMPUTED_VALUE"""),"Mira Shtahl")</f>
        <v>Mira Shtahl</v>
      </c>
      <c r="M611" s="5"/>
    </row>
    <row r="612">
      <c r="A612" s="3">
        <f>IFERROR(__xludf.DUMMYFUNCTION("""COMPUTED_VALUE"""),1699.0)</f>
        <v>1699</v>
      </c>
      <c r="B612" s="4" t="str">
        <f>IFERROR(__xludf.DUMMYFUNCTION("""COMPUTED_VALUE"""),"Aguirre Angelyn")</f>
        <v>Aguirre Angelyn</v>
      </c>
      <c r="C612" s="3">
        <f>IFERROR(__xludf.DUMMYFUNCTION("""COMPUTED_VALUE"""),32.0)</f>
        <v>32</v>
      </c>
      <c r="D612" s="5" t="str">
        <f>IFERROR(__xludf.DUMMYFUNCTION("""COMPUTED_VALUE"""),"פיליפינים")</f>
        <v>פיליפינים</v>
      </c>
      <c r="E612" s="5" t="str">
        <f>IFERROR(__xludf.DUMMYFUNCTION("""COMPUTED_VALUE"""),"אישה")</f>
        <v>אישה</v>
      </c>
      <c r="F612" s="5" t="str">
        <f>IFERROR(__xludf.DUMMYFUNCTION("""COMPUTED_VALUE"""),"אזרחים זרים")</f>
        <v>אזרחים זרים</v>
      </c>
      <c r="G612" s="5"/>
      <c r="H612" s="3" t="str">
        <f>IFERROR(__xludf.DUMMYFUNCTION("""COMPUTED_VALUE"""),"07.10.2023")</f>
        <v>07.10.2023</v>
      </c>
      <c r="I612" s="4" t="str">
        <f>IFERROR(__xludf.DUMMYFUNCTION("""COMPUTED_VALUE"""),"כפר עזה")</f>
        <v>כפר עזה</v>
      </c>
      <c r="J612" s="4" t="str">
        <f>IFERROR(__xludf.DUMMYFUNCTION("""COMPUTED_VALUE"""),"אזרחים וכיתות כוננות")</f>
        <v>אזרחים וכיתות כוננות</v>
      </c>
      <c r="K612" s="5"/>
      <c r="L612" s="3" t="str">
        <f>IFERROR(__xludf.DUMMYFUNCTION("""COMPUTED_VALUE"""),"Aguirre Angelyn")</f>
        <v>Aguirre Angelyn</v>
      </c>
      <c r="M612" s="5"/>
    </row>
    <row r="613">
      <c r="A613" s="3">
        <f>IFERROR(__xludf.DUMMYFUNCTION("""COMPUTED_VALUE"""),411.0)</f>
        <v>411</v>
      </c>
      <c r="B613" s="4" t="str">
        <f>IFERROR(__xludf.DUMMYFUNCTION("""COMPUTED_VALUE"""),"אליקים נועם")</f>
        <v>אליקים נועם</v>
      </c>
      <c r="C613" s="3">
        <f>IFERROR(__xludf.DUMMYFUNCTION("""COMPUTED_VALUE"""),47.0)</f>
        <v>47</v>
      </c>
      <c r="D613" s="5" t="str">
        <f>IFERROR(__xludf.DUMMYFUNCTION("""COMPUTED_VALUE"""),"נחל עוז")</f>
        <v>נחל עוז</v>
      </c>
      <c r="E613" s="5" t="str">
        <f>IFERROR(__xludf.DUMMYFUNCTION("""COMPUTED_VALUE"""),"גבר")</f>
        <v>גבר</v>
      </c>
      <c r="F613" s="5" t="str">
        <f>IFERROR(__xludf.DUMMYFUNCTION("""COMPUTED_VALUE"""),"אזרחים")</f>
        <v>אזרחים</v>
      </c>
      <c r="G613" s="5"/>
      <c r="H613" s="3" t="str">
        <f>IFERROR(__xludf.DUMMYFUNCTION("""COMPUTED_VALUE"""),"07.10.2023")</f>
        <v>07.10.2023</v>
      </c>
      <c r="I613" s="4" t="str">
        <f>IFERROR(__xludf.DUMMYFUNCTION("""COMPUTED_VALUE"""),"נחל עוז")</f>
        <v>נחל עוז</v>
      </c>
      <c r="J613" s="4" t="str">
        <f>IFERROR(__xludf.DUMMYFUNCTION("""COMPUTED_VALUE"""),"אזרחים וכיתות כוננות")</f>
        <v>אזרחים וכיתות כוננות</v>
      </c>
      <c r="K613" s="5"/>
      <c r="L613" s="3" t="str">
        <f>IFERROR(__xludf.DUMMYFUNCTION("""COMPUTED_VALUE"""),"Noam Elyakim")</f>
        <v>Noam Elyakim</v>
      </c>
      <c r="M613" s="5"/>
    </row>
    <row r="614">
      <c r="A614" s="3">
        <f>IFERROR(__xludf.DUMMYFUNCTION("""COMPUTED_VALUE"""),409.0)</f>
        <v>409</v>
      </c>
      <c r="B614" s="2" t="str">
        <f>IFERROR(__xludf.DUMMYFUNCTION("""COMPUTED_VALUE"""),"ברוש שושנה (שושי)")</f>
        <v>ברוש שושנה (שושי)</v>
      </c>
      <c r="C614" s="3">
        <f>IFERROR(__xludf.DUMMYFUNCTION("""COMPUTED_VALUE"""),75.0)</f>
        <v>75</v>
      </c>
      <c r="D614" s="5" t="str">
        <f>IFERROR(__xludf.DUMMYFUNCTION("""COMPUTED_VALUE"""),"נחל עוז")</f>
        <v>נחל עוז</v>
      </c>
      <c r="E614" s="5" t="str">
        <f>IFERROR(__xludf.DUMMYFUNCTION("""COMPUTED_VALUE"""),"אישה")</f>
        <v>אישה</v>
      </c>
      <c r="F614" s="5" t="str">
        <f>IFERROR(__xludf.DUMMYFUNCTION("""COMPUTED_VALUE"""),"אזרחים")</f>
        <v>אזרחים</v>
      </c>
      <c r="G614" s="3"/>
      <c r="H614" s="3" t="str">
        <f>IFERROR(__xludf.DUMMYFUNCTION("""COMPUTED_VALUE"""),"07.10.2023")</f>
        <v>07.10.2023</v>
      </c>
      <c r="I614" s="4" t="str">
        <f>IFERROR(__xludf.DUMMYFUNCTION("""COMPUTED_VALUE"""),"נחל עוז")</f>
        <v>נחל עוז</v>
      </c>
      <c r="J614" s="4" t="str">
        <f>IFERROR(__xludf.DUMMYFUNCTION("""COMPUTED_VALUE"""),"אזרחים וכיתות כוננות")</f>
        <v>אזרחים וכיתות כוננות</v>
      </c>
      <c r="K614" s="5"/>
      <c r="L614" s="3" t="str">
        <f>IFERROR(__xludf.DUMMYFUNCTION("""COMPUTED_VALUE"""),"Shoshana Brosh")</f>
        <v>Shoshana Brosh</v>
      </c>
      <c r="M614" s="5"/>
    </row>
    <row r="615">
      <c r="A615" s="3">
        <f>IFERROR(__xludf.DUMMYFUNCTION("""COMPUTED_VALUE"""),457.0)</f>
        <v>457</v>
      </c>
      <c r="B615" s="4" t="str">
        <f>IFERROR(__xludf.DUMMYFUNCTION("""COMPUTED_VALUE"""),"זוהר יניב")</f>
        <v>זוהר יניב</v>
      </c>
      <c r="C615" s="3">
        <f>IFERROR(__xludf.DUMMYFUNCTION("""COMPUTED_VALUE"""),54.0)</f>
        <v>54</v>
      </c>
      <c r="D615" s="5" t="str">
        <f>IFERROR(__xludf.DUMMYFUNCTION("""COMPUTED_VALUE"""),"נחל עוז")</f>
        <v>נחל עוז</v>
      </c>
      <c r="E615" s="5" t="str">
        <f>IFERROR(__xludf.DUMMYFUNCTION("""COMPUTED_VALUE"""),"גבר")</f>
        <v>גבר</v>
      </c>
      <c r="F615" s="5" t="str">
        <f>IFERROR(__xludf.DUMMYFUNCTION("""COMPUTED_VALUE"""),"אזרחים")</f>
        <v>אזרחים</v>
      </c>
      <c r="G615" s="3"/>
      <c r="H615" s="3" t="str">
        <f>IFERROR(__xludf.DUMMYFUNCTION("""COMPUTED_VALUE"""),"07.10.2023")</f>
        <v>07.10.2023</v>
      </c>
      <c r="I615" s="4" t="str">
        <f>IFERROR(__xludf.DUMMYFUNCTION("""COMPUTED_VALUE"""),"נחל עוז")</f>
        <v>נחל עוז</v>
      </c>
      <c r="J615" s="4" t="str">
        <f>IFERROR(__xludf.DUMMYFUNCTION("""COMPUTED_VALUE"""),"אזרחים וכיתות כוננות")</f>
        <v>אזרחים וכיתות כוננות</v>
      </c>
      <c r="K615" s="5"/>
      <c r="L615" s="3" t="str">
        <f>IFERROR(__xludf.DUMMYFUNCTION("""COMPUTED_VALUE"""),"Yaniv Zohar")</f>
        <v>Yaniv Zohar</v>
      </c>
      <c r="M615" s="5"/>
    </row>
    <row r="616">
      <c r="A616" s="3">
        <f>IFERROR(__xludf.DUMMYFUNCTION("""COMPUTED_VALUE"""),458.0)</f>
        <v>458</v>
      </c>
      <c r="B616" s="4" t="str">
        <f>IFERROR(__xludf.DUMMYFUNCTION("""COMPUTED_VALUE"""),"זוהר יסמין")</f>
        <v>זוהר יסמין</v>
      </c>
      <c r="C616" s="3">
        <f>IFERROR(__xludf.DUMMYFUNCTION("""COMPUTED_VALUE"""),49.0)</f>
        <v>49</v>
      </c>
      <c r="D616" s="5" t="str">
        <f>IFERROR(__xludf.DUMMYFUNCTION("""COMPUTED_VALUE"""),"נחל עוז")</f>
        <v>נחל עוז</v>
      </c>
      <c r="E616" s="5" t="str">
        <f>IFERROR(__xludf.DUMMYFUNCTION("""COMPUTED_VALUE"""),"אישה")</f>
        <v>אישה</v>
      </c>
      <c r="F616" s="5" t="str">
        <f>IFERROR(__xludf.DUMMYFUNCTION("""COMPUTED_VALUE"""),"אזרחים")</f>
        <v>אזרחים</v>
      </c>
      <c r="G616" s="3"/>
      <c r="H616" s="3" t="str">
        <f>IFERROR(__xludf.DUMMYFUNCTION("""COMPUTED_VALUE"""),"07.10.2023")</f>
        <v>07.10.2023</v>
      </c>
      <c r="I616" s="4" t="str">
        <f>IFERROR(__xludf.DUMMYFUNCTION("""COMPUTED_VALUE"""),"נחל עוז")</f>
        <v>נחל עוז</v>
      </c>
      <c r="J616" s="4" t="str">
        <f>IFERROR(__xludf.DUMMYFUNCTION("""COMPUTED_VALUE"""),"אזרחים וכיתות כוננות")</f>
        <v>אזרחים וכיתות כוננות</v>
      </c>
      <c r="K616" s="5"/>
      <c r="L616" s="3" t="str">
        <f>IFERROR(__xludf.DUMMYFUNCTION("""COMPUTED_VALUE"""),"Yasmin Zohar")</f>
        <v>Yasmin Zohar</v>
      </c>
      <c r="M616" s="5"/>
    </row>
    <row r="617">
      <c r="A617" s="3">
        <f>IFERROR(__xludf.DUMMYFUNCTION("""COMPUTED_VALUE"""),455.0)</f>
        <v>455</v>
      </c>
      <c r="B617" s="4" t="str">
        <f>IFERROR(__xludf.DUMMYFUNCTION("""COMPUTED_VALUE"""),"זוהר קשת")</f>
        <v>זוהר קשת</v>
      </c>
      <c r="C617" s="3">
        <f>IFERROR(__xludf.DUMMYFUNCTION("""COMPUTED_VALUE"""),20.0)</f>
        <v>20</v>
      </c>
      <c r="D617" s="5" t="str">
        <f>IFERROR(__xludf.DUMMYFUNCTION("""COMPUTED_VALUE"""),"נחל עוז")</f>
        <v>נחל עוז</v>
      </c>
      <c r="E617" s="5" t="str">
        <f>IFERROR(__xludf.DUMMYFUNCTION("""COMPUTED_VALUE"""),"אישה")</f>
        <v>אישה</v>
      </c>
      <c r="F617" s="5" t="str">
        <f>IFERROR(__xludf.DUMMYFUNCTION("""COMPUTED_VALUE"""),"אזרחים")</f>
        <v>אזרחים</v>
      </c>
      <c r="G617" s="3"/>
      <c r="H617" s="3" t="str">
        <f>IFERROR(__xludf.DUMMYFUNCTION("""COMPUTED_VALUE"""),"07.10.2023")</f>
        <v>07.10.2023</v>
      </c>
      <c r="I617" s="4" t="str">
        <f>IFERROR(__xludf.DUMMYFUNCTION("""COMPUTED_VALUE"""),"נחל עוז")</f>
        <v>נחל עוז</v>
      </c>
      <c r="J617" s="4" t="str">
        <f>IFERROR(__xludf.DUMMYFUNCTION("""COMPUTED_VALUE"""),"אזרחים וכיתות כוננות")</f>
        <v>אזרחים וכיתות כוננות</v>
      </c>
      <c r="K617" s="5"/>
      <c r="L617" s="3" t="str">
        <f>IFERROR(__xludf.DUMMYFUNCTION("""COMPUTED_VALUE"""),"Keshet Zohar")</f>
        <v>Keshet Zohar</v>
      </c>
      <c r="M617" s="5"/>
    </row>
    <row r="618">
      <c r="A618" s="3">
        <f>IFERROR(__xludf.DUMMYFUNCTION("""COMPUTED_VALUE"""),456.0)</f>
        <v>456</v>
      </c>
      <c r="B618" s="4" t="str">
        <f>IFERROR(__xludf.DUMMYFUNCTION("""COMPUTED_VALUE"""),"זוהר תכלת")</f>
        <v>זוהר תכלת</v>
      </c>
      <c r="C618" s="3">
        <f>IFERROR(__xludf.DUMMYFUNCTION("""COMPUTED_VALUE"""),18.0)</f>
        <v>18</v>
      </c>
      <c r="D618" s="5" t="str">
        <f>IFERROR(__xludf.DUMMYFUNCTION("""COMPUTED_VALUE"""),"נחל עוז")</f>
        <v>נחל עוז</v>
      </c>
      <c r="E618" s="5" t="str">
        <f>IFERROR(__xludf.DUMMYFUNCTION("""COMPUTED_VALUE"""),"אישה")</f>
        <v>אישה</v>
      </c>
      <c r="F618" s="5" t="str">
        <f>IFERROR(__xludf.DUMMYFUNCTION("""COMPUTED_VALUE"""),"אזרחים")</f>
        <v>אזרחים</v>
      </c>
      <c r="G618" s="3"/>
      <c r="H618" s="3" t="str">
        <f>IFERROR(__xludf.DUMMYFUNCTION("""COMPUTED_VALUE"""),"07.10.2023")</f>
        <v>07.10.2023</v>
      </c>
      <c r="I618" s="4" t="str">
        <f>IFERROR(__xludf.DUMMYFUNCTION("""COMPUTED_VALUE"""),"נחל עוז")</f>
        <v>נחל עוז</v>
      </c>
      <c r="J618" s="4" t="str">
        <f>IFERROR(__xludf.DUMMYFUNCTION("""COMPUTED_VALUE"""),"אזרחים וכיתות כוננות")</f>
        <v>אזרחים וכיתות כוננות</v>
      </c>
      <c r="K618" s="5"/>
      <c r="L618" s="3" t="str">
        <f>IFERROR(__xludf.DUMMYFUNCTION("""COMPUTED_VALUE"""),"Tchelet Zohar")</f>
        <v>Tchelet Zohar</v>
      </c>
      <c r="M618" s="5"/>
    </row>
    <row r="619">
      <c r="A619" s="3">
        <f>IFERROR(__xludf.DUMMYFUNCTION("""COMPUTED_VALUE"""),581.0)</f>
        <v>581</v>
      </c>
      <c r="B619" s="4" t="str">
        <f>IFERROR(__xludf.DUMMYFUNCTION("""COMPUTED_VALUE"""),"כץ אפרת")</f>
        <v>כץ אפרת</v>
      </c>
      <c r="C619" s="3">
        <f>IFERROR(__xludf.DUMMYFUNCTION("""COMPUTED_VALUE"""),69.0)</f>
        <v>69</v>
      </c>
      <c r="D619" s="5" t="str">
        <f>IFERROR(__xludf.DUMMYFUNCTION("""COMPUTED_VALUE"""),"ניר עוז")</f>
        <v>ניר עוז</v>
      </c>
      <c r="E619" s="5" t="str">
        <f>IFERROR(__xludf.DUMMYFUNCTION("""COMPUTED_VALUE"""),"אישה")</f>
        <v>אישה</v>
      </c>
      <c r="F619" s="5" t="str">
        <f>IFERROR(__xludf.DUMMYFUNCTION("""COMPUTED_VALUE"""),"אזרחים")</f>
        <v>אזרחים</v>
      </c>
      <c r="G619" s="3"/>
      <c r="H619" s="3" t="str">
        <f>IFERROR(__xludf.DUMMYFUNCTION("""COMPUTED_VALUE"""),"07.10.2023")</f>
        <v>07.10.2023</v>
      </c>
      <c r="I619" s="4" t="str">
        <f>IFERROR(__xludf.DUMMYFUNCTION("""COMPUTED_VALUE"""),"בין ניר עוז לגבול")</f>
        <v>בין ניר עוז לגבול</v>
      </c>
      <c r="J619" s="4" t="str">
        <f>IFERROR(__xludf.DUMMYFUNCTION("""COMPUTED_VALUE"""),"אזרחים וכיתות כוננות")</f>
        <v>אזרחים וכיתות כוננות</v>
      </c>
      <c r="K619" s="5"/>
      <c r="L619" s="3" t="str">
        <f>IFERROR(__xludf.DUMMYFUNCTION("""COMPUTED_VALUE"""),"Efrat Katz")</f>
        <v>Efrat Katz</v>
      </c>
      <c r="M619" s="5"/>
    </row>
    <row r="620">
      <c r="A620" s="3">
        <f>IFERROR(__xludf.DUMMYFUNCTION("""COMPUTED_VALUE"""),419.0)</f>
        <v>419</v>
      </c>
      <c r="B620" s="4" t="str">
        <f>IFERROR(__xludf.DUMMYFUNCTION("""COMPUTED_VALUE"""),"ליבנה חיים")</f>
        <v>ליבנה חיים</v>
      </c>
      <c r="C620" s="3">
        <f>IFERROR(__xludf.DUMMYFUNCTION("""COMPUTED_VALUE"""),78.0)</f>
        <v>78</v>
      </c>
      <c r="D620" s="5" t="str">
        <f>IFERROR(__xludf.DUMMYFUNCTION("""COMPUTED_VALUE"""),"נחל עוז")</f>
        <v>נחל עוז</v>
      </c>
      <c r="E620" s="5" t="str">
        <f>IFERROR(__xludf.DUMMYFUNCTION("""COMPUTED_VALUE"""),"גבר")</f>
        <v>גבר</v>
      </c>
      <c r="F620" s="5" t="str">
        <f>IFERROR(__xludf.DUMMYFUNCTION("""COMPUTED_VALUE"""),"אזרחים")</f>
        <v>אזרחים</v>
      </c>
      <c r="G620" s="3"/>
      <c r="H620" s="3" t="str">
        <f>IFERROR(__xludf.DUMMYFUNCTION("""COMPUTED_VALUE"""),"07.10.2023")</f>
        <v>07.10.2023</v>
      </c>
      <c r="I620" s="4" t="str">
        <f>IFERROR(__xludf.DUMMYFUNCTION("""COMPUTED_VALUE"""),"נחל עוז")</f>
        <v>נחל עוז</v>
      </c>
      <c r="J620" s="4" t="str">
        <f>IFERROR(__xludf.DUMMYFUNCTION("""COMPUTED_VALUE"""),"אזרחים וכיתות כוננות")</f>
        <v>אזרחים וכיתות כוננות</v>
      </c>
      <c r="K620" s="5"/>
      <c r="L620" s="3" t="str">
        <f>IFERROR(__xludf.DUMMYFUNCTION("""COMPUTED_VALUE"""),"Haim Livne")</f>
        <v>Haim Livne</v>
      </c>
      <c r="M620" s="5"/>
    </row>
    <row r="621">
      <c r="A621" s="3">
        <f>IFERROR(__xludf.DUMMYFUNCTION("""COMPUTED_VALUE"""),430.0)</f>
        <v>430</v>
      </c>
      <c r="B621" s="4" t="str">
        <f>IFERROR(__xludf.DUMMYFUNCTION("""COMPUTED_VALUE"""),"עידן מעיין")</f>
        <v>עידן מעיין</v>
      </c>
      <c r="C621" s="3">
        <f>IFERROR(__xludf.DUMMYFUNCTION("""COMPUTED_VALUE"""),18.0)</f>
        <v>18</v>
      </c>
      <c r="D621" s="5" t="str">
        <f>IFERROR(__xludf.DUMMYFUNCTION("""COMPUTED_VALUE"""),"נחל עוז")</f>
        <v>נחל עוז</v>
      </c>
      <c r="E621" s="5" t="str">
        <f>IFERROR(__xludf.DUMMYFUNCTION("""COMPUTED_VALUE"""),"אישה")</f>
        <v>אישה</v>
      </c>
      <c r="F621" s="5" t="str">
        <f>IFERROR(__xludf.DUMMYFUNCTION("""COMPUTED_VALUE"""),"אזרחים")</f>
        <v>אזרחים</v>
      </c>
      <c r="G621" s="3"/>
      <c r="H621" s="3" t="str">
        <f>IFERROR(__xludf.DUMMYFUNCTION("""COMPUTED_VALUE"""),"07.10.2023")</f>
        <v>07.10.2023</v>
      </c>
      <c r="I621" s="4" t="str">
        <f>IFERROR(__xludf.DUMMYFUNCTION("""COMPUTED_VALUE"""),"נחל עוז")</f>
        <v>נחל עוז</v>
      </c>
      <c r="J621" s="4" t="str">
        <f>IFERROR(__xludf.DUMMYFUNCTION("""COMPUTED_VALUE"""),"אזרחים וכיתות כוננות")</f>
        <v>אזרחים וכיתות כוננות</v>
      </c>
      <c r="K621" s="5"/>
      <c r="L621" s="3" t="str">
        <f>IFERROR(__xludf.DUMMYFUNCTION("""COMPUTED_VALUE"""),"Maayan Idan")</f>
        <v>Maayan Idan</v>
      </c>
      <c r="M621" s="5"/>
    </row>
    <row r="622">
      <c r="A622" s="3">
        <f>IFERROR(__xludf.DUMMYFUNCTION("""COMPUTED_VALUE"""),406.0)</f>
        <v>406</v>
      </c>
      <c r="B622" s="4" t="str">
        <f>IFERROR(__xludf.DUMMYFUNCTION("""COMPUTED_VALUE"""),"ערבה אליעז תומר")</f>
        <v>ערבה אליעז תומר</v>
      </c>
      <c r="C622" s="3">
        <f>IFERROR(__xludf.DUMMYFUNCTION("""COMPUTED_VALUE"""),17.0)</f>
        <v>17</v>
      </c>
      <c r="D622" s="5" t="str">
        <f>IFERROR(__xludf.DUMMYFUNCTION("""COMPUTED_VALUE"""),"נחל עוז")</f>
        <v>נחל עוז</v>
      </c>
      <c r="E622" s="5" t="str">
        <f>IFERROR(__xludf.DUMMYFUNCTION("""COMPUTED_VALUE"""),"ילד")</f>
        <v>ילד</v>
      </c>
      <c r="F622" s="5" t="str">
        <f>IFERROR(__xludf.DUMMYFUNCTION("""COMPUTED_VALUE"""),"אזרחים")</f>
        <v>אזרחים</v>
      </c>
      <c r="G622" s="3"/>
      <c r="H622" s="3" t="str">
        <f>IFERROR(__xludf.DUMMYFUNCTION("""COMPUTED_VALUE"""),"07.10.2023")</f>
        <v>07.10.2023</v>
      </c>
      <c r="I622" s="4" t="str">
        <f>IFERROR(__xludf.DUMMYFUNCTION("""COMPUTED_VALUE"""),"נחל עוז")</f>
        <v>נחל עוז</v>
      </c>
      <c r="J622" s="4" t="str">
        <f>IFERROR(__xludf.DUMMYFUNCTION("""COMPUTED_VALUE"""),"אזרחים וכיתות כוננות")</f>
        <v>אזרחים וכיתות כוננות</v>
      </c>
      <c r="K622" s="5"/>
      <c r="L622" s="3" t="str">
        <f>IFERROR(__xludf.DUMMYFUNCTION("""COMPUTED_VALUE"""),"Tomer Arava")</f>
        <v>Tomer Arava</v>
      </c>
      <c r="M622" s="5"/>
    </row>
    <row r="623">
      <c r="A623" s="3">
        <f>IFERROR(__xludf.DUMMYFUNCTION("""COMPUTED_VALUE"""),405.0)</f>
        <v>405</v>
      </c>
      <c r="B623" s="4" t="str">
        <f>IFERROR(__xludf.DUMMYFUNCTION("""COMPUTED_VALUE"""),"ערבה דקלה")</f>
        <v>ערבה דקלה</v>
      </c>
      <c r="C623" s="3">
        <f>IFERROR(__xludf.DUMMYFUNCTION("""COMPUTED_VALUE"""),51.0)</f>
        <v>51</v>
      </c>
      <c r="D623" s="5" t="str">
        <f>IFERROR(__xludf.DUMMYFUNCTION("""COMPUTED_VALUE"""),"נחל עוז")</f>
        <v>נחל עוז</v>
      </c>
      <c r="E623" s="5" t="str">
        <f>IFERROR(__xludf.DUMMYFUNCTION("""COMPUTED_VALUE"""),"אישה")</f>
        <v>אישה</v>
      </c>
      <c r="F623" s="5" t="str">
        <f>IFERROR(__xludf.DUMMYFUNCTION("""COMPUTED_VALUE"""),"אזרחים")</f>
        <v>אזרחים</v>
      </c>
      <c r="G623" s="3"/>
      <c r="H623" s="3" t="str">
        <f>IFERROR(__xludf.DUMMYFUNCTION("""COMPUTED_VALUE"""),"07.10.2023")</f>
        <v>07.10.2023</v>
      </c>
      <c r="I623" s="4" t="str">
        <f>IFERROR(__xludf.DUMMYFUNCTION("""COMPUTED_VALUE"""),"נחל עוז")</f>
        <v>נחל עוז</v>
      </c>
      <c r="J623" s="2" t="str">
        <f>IFERROR(__xludf.DUMMYFUNCTION("""COMPUTED_VALUE"""),"אזרחים וכיתות כוננות")</f>
        <v>אזרחים וכיתות כוננות</v>
      </c>
      <c r="K623" s="5"/>
      <c r="L623" s="3" t="str">
        <f>IFERROR(__xludf.DUMMYFUNCTION("""COMPUTED_VALUE"""),"Dikla Arava")</f>
        <v>Dikla Arava</v>
      </c>
      <c r="M623" s="5"/>
    </row>
    <row r="624">
      <c r="A624" s="3">
        <f>IFERROR(__xludf.DUMMYFUNCTION("""COMPUTED_VALUE"""),426.0)</f>
        <v>426</v>
      </c>
      <c r="B624" s="4" t="str">
        <f>IFERROR(__xludf.DUMMYFUNCTION("""COMPUTED_VALUE"""),"רון שלמה")</f>
        <v>רון שלמה</v>
      </c>
      <c r="C624" s="3">
        <f>IFERROR(__xludf.DUMMYFUNCTION("""COMPUTED_VALUE"""),85.0)</f>
        <v>85</v>
      </c>
      <c r="D624" s="5" t="str">
        <f>IFERROR(__xludf.DUMMYFUNCTION("""COMPUTED_VALUE"""),"נחל עוז")</f>
        <v>נחל עוז</v>
      </c>
      <c r="E624" s="5" t="str">
        <f>IFERROR(__xludf.DUMMYFUNCTION("""COMPUTED_VALUE"""),"גבר")</f>
        <v>גבר</v>
      </c>
      <c r="F624" s="5" t="str">
        <f>IFERROR(__xludf.DUMMYFUNCTION("""COMPUTED_VALUE"""),"אזרחים")</f>
        <v>אזרחים</v>
      </c>
      <c r="G624" s="3"/>
      <c r="H624" s="3" t="str">
        <f>IFERROR(__xludf.DUMMYFUNCTION("""COMPUTED_VALUE"""),"07.10.2023")</f>
        <v>07.10.2023</v>
      </c>
      <c r="I624" s="4" t="str">
        <f>IFERROR(__xludf.DUMMYFUNCTION("""COMPUTED_VALUE"""),"נחל עוז")</f>
        <v>נחל עוז</v>
      </c>
      <c r="J624" s="4" t="str">
        <f>IFERROR(__xludf.DUMMYFUNCTION("""COMPUTED_VALUE"""),"אזרחים וכיתות כוננות")</f>
        <v>אזרחים וכיתות כוננות</v>
      </c>
      <c r="K624" s="5"/>
      <c r="L624" s="3" t="str">
        <f>IFERROR(__xludf.DUMMYFUNCTION("""COMPUTED_VALUE"""),"Shlomo Ron")</f>
        <v>Shlomo Ron</v>
      </c>
      <c r="M624" s="5"/>
    </row>
    <row r="625">
      <c r="A625" s="3">
        <f>IFERROR(__xludf.DUMMYFUNCTION("""COMPUTED_VALUE"""),1400.0)</f>
        <v>1400</v>
      </c>
      <c r="B625" s="4" t="str">
        <f>IFERROR(__xludf.DUMMYFUNCTION("""COMPUTED_VALUE"""),"Somkuan Pansa-ard")</f>
        <v>Somkuan Pansa-ard</v>
      </c>
      <c r="C625" s="3">
        <f>IFERROR(__xludf.DUMMYFUNCTION("""COMPUTED_VALUE"""),39.0)</f>
        <v>39</v>
      </c>
      <c r="D625" s="5" t="str">
        <f>IFERROR(__xludf.DUMMYFUNCTION("""COMPUTED_VALUE"""),"תאילנד")</f>
        <v>תאילנד</v>
      </c>
      <c r="E625" s="5" t="str">
        <f>IFERROR(__xludf.DUMMYFUNCTION("""COMPUTED_VALUE"""),"גבר")</f>
        <v>גבר</v>
      </c>
      <c r="F625" s="5" t="str">
        <f>IFERROR(__xludf.DUMMYFUNCTION("""COMPUTED_VALUE"""),"אזרחים זרים")</f>
        <v>אזרחים זרים</v>
      </c>
      <c r="G625" s="3"/>
      <c r="H625" s="3" t="str">
        <f>IFERROR(__xludf.DUMMYFUNCTION("""COMPUTED_VALUE"""),"07.10.2023")</f>
        <v>07.10.2023</v>
      </c>
      <c r="I625" s="4" t="str">
        <f>IFERROR(__xludf.DUMMYFUNCTION("""COMPUTED_VALUE"""),"נחל עוז")</f>
        <v>נחל עוז</v>
      </c>
      <c r="J625" s="4" t="str">
        <f>IFERROR(__xludf.DUMMYFUNCTION("""COMPUTED_VALUE"""),"אזרחים וכיתות כוננות")</f>
        <v>אזרחים וכיתות כוננות</v>
      </c>
      <c r="K625" s="5"/>
      <c r="L625" s="3" t="str">
        <f>IFERROR(__xludf.DUMMYFUNCTION("""COMPUTED_VALUE"""),"Somkuan Pansa-ard")</f>
        <v>Somkuan Pansa-ard</v>
      </c>
      <c r="M625" s="5"/>
    </row>
    <row r="626">
      <c r="A626" s="3">
        <f>IFERROR(__xludf.DUMMYFUNCTION("""COMPUTED_VALUE"""),549.0)</f>
        <v>549</v>
      </c>
      <c r="B626" s="4" t="str">
        <f>IFERROR(__xludf.DUMMYFUNCTION("""COMPUTED_VALUE"""),"בן חורין רבקה")</f>
        <v>בן חורין רבקה</v>
      </c>
      <c r="C626" s="3">
        <f>IFERROR(__xludf.DUMMYFUNCTION("""COMPUTED_VALUE"""),74.0)</f>
        <v>74</v>
      </c>
      <c r="D626" s="5" t="str">
        <f>IFERROR(__xludf.DUMMYFUNCTION("""COMPUTED_VALUE"""),"ניר עוז")</f>
        <v>ניר עוז</v>
      </c>
      <c r="E626" s="5" t="str">
        <f>IFERROR(__xludf.DUMMYFUNCTION("""COMPUTED_VALUE"""),"אישה")</f>
        <v>אישה</v>
      </c>
      <c r="F626" s="5" t="str">
        <f>IFERROR(__xludf.DUMMYFUNCTION("""COMPUTED_VALUE"""),"אזרחים")</f>
        <v>אזרחים</v>
      </c>
      <c r="G626" s="3"/>
      <c r="H626" s="3" t="str">
        <f>IFERROR(__xludf.DUMMYFUNCTION("""COMPUTED_VALUE"""),"07.10.2023")</f>
        <v>07.10.2023</v>
      </c>
      <c r="I626" s="4" t="str">
        <f>IFERROR(__xludf.DUMMYFUNCTION("""COMPUTED_VALUE"""),"ניר עוז")</f>
        <v>ניר עוז</v>
      </c>
      <c r="J626" s="4" t="str">
        <f>IFERROR(__xludf.DUMMYFUNCTION("""COMPUTED_VALUE"""),"אזרחים וכיתות כוננות")</f>
        <v>אזרחים וכיתות כוננות</v>
      </c>
      <c r="K626" s="5"/>
      <c r="L626" s="3" t="str">
        <f>IFERROR(__xludf.DUMMYFUNCTION("""COMPUTED_VALUE"""),"Rebecca Ben-Horin")</f>
        <v>Rebecca Ben-Horin</v>
      </c>
      <c r="M626" s="5"/>
    </row>
    <row r="627">
      <c r="A627" s="3">
        <f>IFERROR(__xludf.DUMMYFUNCTION("""COMPUTED_VALUE"""),550.0)</f>
        <v>550</v>
      </c>
      <c r="B627" s="2" t="str">
        <f>IFERROR(__xludf.DUMMYFUNCTION("""COMPUTED_VALUE"""),"בן צבי אמיתי")</f>
        <v>בן צבי אמיתי</v>
      </c>
      <c r="C627" s="3">
        <f>IFERROR(__xludf.DUMMYFUNCTION("""COMPUTED_VALUE"""),80.0)</f>
        <v>80</v>
      </c>
      <c r="D627" s="5" t="str">
        <f>IFERROR(__xludf.DUMMYFUNCTION("""COMPUTED_VALUE"""),"ניר עוז")</f>
        <v>ניר עוז</v>
      </c>
      <c r="E627" s="5" t="str">
        <f>IFERROR(__xludf.DUMMYFUNCTION("""COMPUTED_VALUE"""),"גבר")</f>
        <v>גבר</v>
      </c>
      <c r="F627" s="5" t="str">
        <f>IFERROR(__xludf.DUMMYFUNCTION("""COMPUTED_VALUE"""),"אזרחים")</f>
        <v>אזרחים</v>
      </c>
      <c r="G627" s="3"/>
      <c r="H627" s="3" t="str">
        <f>IFERROR(__xludf.DUMMYFUNCTION("""COMPUTED_VALUE"""),"07.10.2023")</f>
        <v>07.10.2023</v>
      </c>
      <c r="I627" s="4" t="str">
        <f>IFERROR(__xludf.DUMMYFUNCTION("""COMPUTED_VALUE"""),"ניר עוז")</f>
        <v>ניר עוז</v>
      </c>
      <c r="J627" s="4" t="str">
        <f>IFERROR(__xludf.DUMMYFUNCTION("""COMPUTED_VALUE"""),"אזרחים וכיתות כוננות")</f>
        <v>אזרחים וכיתות כוננות</v>
      </c>
      <c r="K627" s="5"/>
      <c r="L627" s="3" t="str">
        <f>IFERROR(__xludf.DUMMYFUNCTION("""COMPUTED_VALUE"""),"Amitai Ben-Zvi")</f>
        <v>Amitai Ben-Zvi</v>
      </c>
      <c r="M627" s="5"/>
    </row>
    <row r="628">
      <c r="A628" s="3">
        <f>IFERROR(__xludf.DUMMYFUNCTION("""COMPUTED_VALUE"""),568.0)</f>
        <v>568</v>
      </c>
      <c r="B628" s="4" t="str">
        <f>IFERROR(__xludf.DUMMYFUNCTION("""COMPUTED_VALUE"""),"גורן אבנר")</f>
        <v>גורן אבנר</v>
      </c>
      <c r="C628" s="3">
        <f>IFERROR(__xludf.DUMMYFUNCTION("""COMPUTED_VALUE"""),56.0)</f>
        <v>56</v>
      </c>
      <c r="D628" s="5" t="str">
        <f>IFERROR(__xludf.DUMMYFUNCTION("""COMPUTED_VALUE"""),"ניר עוז")</f>
        <v>ניר עוז</v>
      </c>
      <c r="E628" s="5" t="str">
        <f>IFERROR(__xludf.DUMMYFUNCTION("""COMPUTED_VALUE"""),"גבר")</f>
        <v>גבר</v>
      </c>
      <c r="F628" s="5" t="str">
        <f>IFERROR(__xludf.DUMMYFUNCTION("""COMPUTED_VALUE"""),"אזרחים")</f>
        <v>אזרחים</v>
      </c>
      <c r="G628" s="3"/>
      <c r="H628" s="3" t="str">
        <f>IFERROR(__xludf.DUMMYFUNCTION("""COMPUTED_VALUE"""),"07.10.2023")</f>
        <v>07.10.2023</v>
      </c>
      <c r="I628" s="4" t="str">
        <f>IFERROR(__xludf.DUMMYFUNCTION("""COMPUTED_VALUE"""),"מערבית לניר עוז")</f>
        <v>מערבית לניר עוז</v>
      </c>
      <c r="J628" s="4" t="str">
        <f>IFERROR(__xludf.DUMMYFUNCTION("""COMPUTED_VALUE"""),"אזרחים וכיתות כוננות")</f>
        <v>אזרחים וכיתות כוננות</v>
      </c>
      <c r="K628" s="5"/>
      <c r="L628" s="3" t="str">
        <f>IFERROR(__xludf.DUMMYFUNCTION("""COMPUTED_VALUE"""),"Avner Goren")</f>
        <v>Avner Goren</v>
      </c>
      <c r="M628" s="5"/>
    </row>
    <row r="629">
      <c r="A629" s="3">
        <f>IFERROR(__xludf.DUMMYFUNCTION("""COMPUTED_VALUE"""),630.0)</f>
        <v>630</v>
      </c>
      <c r="B629" s="4" t="str">
        <f>IFERROR(__xludf.DUMMYFUNCTION("""COMPUTED_VALUE"""),"גרוס יוסף (יוסיניו)")</f>
        <v>גרוס יוסף (יוסיניו)</v>
      </c>
      <c r="C629" s="3">
        <f>IFERROR(__xludf.DUMMYFUNCTION("""COMPUTED_VALUE"""),75.0)</f>
        <v>75</v>
      </c>
      <c r="D629" s="5" t="str">
        <f>IFERROR(__xludf.DUMMYFUNCTION("""COMPUTED_VALUE"""),"ניר עוז")</f>
        <v>ניר עוז</v>
      </c>
      <c r="E629" s="5" t="str">
        <f>IFERROR(__xludf.DUMMYFUNCTION("""COMPUTED_VALUE"""),"גבר")</f>
        <v>גבר</v>
      </c>
      <c r="F629" s="5" t="str">
        <f>IFERROR(__xludf.DUMMYFUNCTION("""COMPUTED_VALUE"""),"אזרחים")</f>
        <v>אזרחים</v>
      </c>
      <c r="G629" s="3"/>
      <c r="H629" s="3" t="str">
        <f>IFERROR(__xludf.DUMMYFUNCTION("""COMPUTED_VALUE"""),"07.10.2023")</f>
        <v>07.10.2023</v>
      </c>
      <c r="I629" s="4" t="str">
        <f>IFERROR(__xludf.DUMMYFUNCTION("""COMPUTED_VALUE"""),"ניר עוז")</f>
        <v>ניר עוז</v>
      </c>
      <c r="J629" s="4" t="str">
        <f>IFERROR(__xludf.DUMMYFUNCTION("""COMPUTED_VALUE"""),"אזרחים וכיתות כוננות")</f>
        <v>אזרחים וכיתות כוננות</v>
      </c>
      <c r="K629" s="5"/>
      <c r="L629" s="3" t="str">
        <f>IFERROR(__xludf.DUMMYFUNCTION("""COMPUTED_VALUE"""),"Yossef Gross")</f>
        <v>Yossef Gross</v>
      </c>
      <c r="M629" s="5"/>
    </row>
    <row r="630">
      <c r="A630" s="3">
        <f>IFERROR(__xludf.DUMMYFUNCTION("""COMPUTED_VALUE"""),559.0)</f>
        <v>559</v>
      </c>
      <c r="B630" s="4" t="str">
        <f>IFERROR(__xludf.DUMMYFUNCTION("""COMPUTED_VALUE"""),"דן כרמלה")</f>
        <v>דן כרמלה</v>
      </c>
      <c r="C630" s="3">
        <f>IFERROR(__xludf.DUMMYFUNCTION("""COMPUTED_VALUE"""),79.0)</f>
        <v>79</v>
      </c>
      <c r="D630" s="5" t="str">
        <f>IFERROR(__xludf.DUMMYFUNCTION("""COMPUTED_VALUE"""),"ניר עוז")</f>
        <v>ניר עוז</v>
      </c>
      <c r="E630" s="5" t="str">
        <f>IFERROR(__xludf.DUMMYFUNCTION("""COMPUTED_VALUE"""),"אישה")</f>
        <v>אישה</v>
      </c>
      <c r="F630" s="5" t="str">
        <f>IFERROR(__xludf.DUMMYFUNCTION("""COMPUTED_VALUE"""),"אזרחים")</f>
        <v>אזרחים</v>
      </c>
      <c r="G630" s="3"/>
      <c r="H630" s="3" t="str">
        <f>IFERROR(__xludf.DUMMYFUNCTION("""COMPUTED_VALUE"""),"07.10.2023")</f>
        <v>07.10.2023</v>
      </c>
      <c r="I630" s="4" t="str">
        <f>IFERROR(__xludf.DUMMYFUNCTION("""COMPUTED_VALUE"""),"ניר עוז")</f>
        <v>ניר עוז</v>
      </c>
      <c r="J630" s="4" t="str">
        <f>IFERROR(__xludf.DUMMYFUNCTION("""COMPUTED_VALUE"""),"אזרחים וכיתות כוננות")</f>
        <v>אזרחים וכיתות כוננות</v>
      </c>
      <c r="K630" s="5"/>
      <c r="L630" s="3" t="str">
        <f>IFERROR(__xludf.DUMMYFUNCTION("""COMPUTED_VALUE"""),"Carmela Sara Dan")</f>
        <v>Carmela Sara Dan</v>
      </c>
      <c r="M630" s="5"/>
    </row>
    <row r="631">
      <c r="A631" s="3">
        <f>IFERROR(__xludf.DUMMYFUNCTION("""COMPUTED_VALUE"""),558.0)</f>
        <v>558</v>
      </c>
      <c r="B631" s="4" t="str">
        <f>IFERROR(__xludf.DUMMYFUNCTION("""COMPUTED_VALUE"""),"דן נויה")</f>
        <v>דן נויה</v>
      </c>
      <c r="C631" s="3">
        <f>IFERROR(__xludf.DUMMYFUNCTION("""COMPUTED_VALUE"""),12.0)</f>
        <v>12</v>
      </c>
      <c r="D631" s="5" t="str">
        <f>IFERROR(__xludf.DUMMYFUNCTION("""COMPUTED_VALUE"""),"ניר עוז")</f>
        <v>ניר עוז</v>
      </c>
      <c r="E631" s="5" t="str">
        <f>IFERROR(__xludf.DUMMYFUNCTION("""COMPUTED_VALUE"""),"ילדה")</f>
        <v>ילדה</v>
      </c>
      <c r="F631" s="5" t="str">
        <f>IFERROR(__xludf.DUMMYFUNCTION("""COMPUTED_VALUE"""),"אזרחים")</f>
        <v>אזרחים</v>
      </c>
      <c r="G631" s="3"/>
      <c r="H631" s="3" t="str">
        <f>IFERROR(__xludf.DUMMYFUNCTION("""COMPUTED_VALUE"""),"07.10.2023")</f>
        <v>07.10.2023</v>
      </c>
      <c r="I631" s="4" t="str">
        <f>IFERROR(__xludf.DUMMYFUNCTION("""COMPUTED_VALUE"""),"ניר עוז")</f>
        <v>ניר עוז</v>
      </c>
      <c r="J631" s="4" t="str">
        <f>IFERROR(__xludf.DUMMYFUNCTION("""COMPUTED_VALUE"""),"אזרחים וכיתות כוננות")</f>
        <v>אזרחים וכיתות כוננות</v>
      </c>
      <c r="K631" s="5"/>
      <c r="L631" s="3" t="str">
        <f>IFERROR(__xludf.DUMMYFUNCTION("""COMPUTED_VALUE"""),"Noya Dan")</f>
        <v>Noya Dan</v>
      </c>
      <c r="M631" s="5"/>
    </row>
    <row r="632">
      <c r="A632" s="3">
        <f>IFERROR(__xludf.DUMMYFUNCTION("""COMPUTED_VALUE"""),628.0)</f>
        <v>628</v>
      </c>
      <c r="B632" s="4" t="str">
        <f>IFERROR(__xludf.DUMMYFUNCTION("""COMPUTED_VALUE"""),"והב יוסף (יוסי)")</f>
        <v>והב יוסף (יוסי)</v>
      </c>
      <c r="C632" s="3">
        <f>IFERROR(__xludf.DUMMYFUNCTION("""COMPUTED_VALUE"""),65.0)</f>
        <v>65</v>
      </c>
      <c r="D632" s="5" t="str">
        <f>IFERROR(__xludf.DUMMYFUNCTION("""COMPUTED_VALUE"""),"ניר עוז")</f>
        <v>ניר עוז</v>
      </c>
      <c r="E632" s="5" t="str">
        <f>IFERROR(__xludf.DUMMYFUNCTION("""COMPUTED_VALUE"""),"גבר")</f>
        <v>גבר</v>
      </c>
      <c r="F632" s="5" t="str">
        <f>IFERROR(__xludf.DUMMYFUNCTION("""COMPUTED_VALUE"""),"אזרחים")</f>
        <v>אזרחים</v>
      </c>
      <c r="G632" s="3"/>
      <c r="H632" s="3" t="str">
        <f>IFERROR(__xludf.DUMMYFUNCTION("""COMPUTED_VALUE"""),"07.10.2023")</f>
        <v>07.10.2023</v>
      </c>
      <c r="I632" s="4" t="str">
        <f>IFERROR(__xludf.DUMMYFUNCTION("""COMPUTED_VALUE"""),"ניר עוז")</f>
        <v>ניר עוז</v>
      </c>
      <c r="J632" s="4" t="str">
        <f>IFERROR(__xludf.DUMMYFUNCTION("""COMPUTED_VALUE"""),"אזרחים וכיתות כוננות")</f>
        <v>אזרחים וכיתות כוננות</v>
      </c>
      <c r="K632" s="5"/>
      <c r="L632" s="3" t="str">
        <f>IFERROR(__xludf.DUMMYFUNCTION("""COMPUTED_VALUE"""),"Yossef (Yossi) Vahav")</f>
        <v>Yossef (Yossi) Vahav</v>
      </c>
      <c r="M632" s="5"/>
    </row>
    <row r="633">
      <c r="A633" s="3">
        <f>IFERROR(__xludf.DUMMYFUNCTION("""COMPUTED_VALUE"""),626.0)</f>
        <v>626</v>
      </c>
      <c r="B633" s="4" t="str">
        <f>IFERROR(__xludf.DUMMYFUNCTION("""COMPUTED_VALUE"""),"טרופנוב ויטלי")</f>
        <v>טרופנוב ויטלי</v>
      </c>
      <c r="C633" s="3">
        <f>IFERROR(__xludf.DUMMYFUNCTION("""COMPUTED_VALUE"""),50.0)</f>
        <v>50</v>
      </c>
      <c r="D633" s="5" t="str">
        <f>IFERROR(__xludf.DUMMYFUNCTION("""COMPUTED_VALUE"""),"ניר עוז")</f>
        <v>ניר עוז</v>
      </c>
      <c r="E633" s="5" t="str">
        <f>IFERROR(__xludf.DUMMYFUNCTION("""COMPUTED_VALUE"""),"גבר")</f>
        <v>גבר</v>
      </c>
      <c r="F633" s="5" t="str">
        <f>IFERROR(__xludf.DUMMYFUNCTION("""COMPUTED_VALUE"""),"אזרחים")</f>
        <v>אזרחים</v>
      </c>
      <c r="G633" s="3"/>
      <c r="H633" s="3" t="str">
        <f>IFERROR(__xludf.DUMMYFUNCTION("""COMPUTED_VALUE"""),"07.10.2023")</f>
        <v>07.10.2023</v>
      </c>
      <c r="I633" s="4" t="str">
        <f>IFERROR(__xludf.DUMMYFUNCTION("""COMPUTED_VALUE"""),"מערבית לניר עוז")</f>
        <v>מערבית לניר עוז</v>
      </c>
      <c r="J633" s="4" t="str">
        <f>IFERROR(__xludf.DUMMYFUNCTION("""COMPUTED_VALUE"""),"אזרחים וכיתות כוננות")</f>
        <v>אזרחים וכיתות כוננות</v>
      </c>
      <c r="K633" s="5"/>
      <c r="L633" s="3" t="str">
        <f>IFERROR(__xludf.DUMMYFUNCTION("""COMPUTED_VALUE"""),"Vitaly Trupanob")</f>
        <v>Vitaly Trupanob</v>
      </c>
      <c r="M633" s="5"/>
    </row>
    <row r="634">
      <c r="A634" s="3">
        <f>IFERROR(__xludf.DUMMYFUNCTION("""COMPUTED_VALUE"""),582.0)</f>
        <v>582</v>
      </c>
      <c r="B634" s="4" t="str">
        <f>IFERROR(__xludf.DUMMYFUNCTION("""COMPUTED_VALUE"""),"כץ רביד")</f>
        <v>כץ רביד</v>
      </c>
      <c r="C634" s="3">
        <f>IFERROR(__xludf.DUMMYFUNCTION("""COMPUTED_VALUE"""),51.0)</f>
        <v>51</v>
      </c>
      <c r="D634" s="5" t="str">
        <f>IFERROR(__xludf.DUMMYFUNCTION("""COMPUTED_VALUE"""),"ניר עוז")</f>
        <v>ניר עוז</v>
      </c>
      <c r="E634" s="5" t="str">
        <f>IFERROR(__xludf.DUMMYFUNCTION("""COMPUTED_VALUE"""),"גבר")</f>
        <v>גבר</v>
      </c>
      <c r="F634" s="5" t="str">
        <f>IFERROR(__xludf.DUMMYFUNCTION("""COMPUTED_VALUE"""),"אזרחים")</f>
        <v>אזרחים</v>
      </c>
      <c r="G634" s="3"/>
      <c r="H634" s="3" t="str">
        <f>IFERROR(__xludf.DUMMYFUNCTION("""COMPUTED_VALUE"""),"07.10.2023")</f>
        <v>07.10.2023</v>
      </c>
      <c r="I634" s="4" t="str">
        <f>IFERROR(__xludf.DUMMYFUNCTION("""COMPUTED_VALUE"""),"ניר עוז")</f>
        <v>ניר עוז</v>
      </c>
      <c r="J634" s="4" t="str">
        <f>IFERROR(__xludf.DUMMYFUNCTION("""COMPUTED_VALUE"""),"אזרחים וכיתות כוננות")</f>
        <v>אזרחים וכיתות כוננות</v>
      </c>
      <c r="K634" s="5"/>
      <c r="L634" s="3" t="str">
        <f>IFERROR(__xludf.DUMMYFUNCTION("""COMPUTED_VALUE"""),"Ravid Katz")</f>
        <v>Ravid Katz</v>
      </c>
      <c r="M634" s="5"/>
    </row>
    <row r="635">
      <c r="A635" s="3">
        <f>IFERROR(__xludf.DUMMYFUNCTION("""COMPUTED_VALUE"""),629.0)</f>
        <v>629</v>
      </c>
      <c r="B635" s="4" t="str">
        <f>IFERROR(__xludf.DUMMYFUNCTION("""COMPUTED_VALUE"""),"לוינסון ברכה")</f>
        <v>לוינסון ברכה</v>
      </c>
      <c r="C635" s="3">
        <f>IFERROR(__xludf.DUMMYFUNCTION("""COMPUTED_VALUE"""),75.0)</f>
        <v>75</v>
      </c>
      <c r="D635" s="5" t="str">
        <f>IFERROR(__xludf.DUMMYFUNCTION("""COMPUTED_VALUE"""),"ניר עוז")</f>
        <v>ניר עוז</v>
      </c>
      <c r="E635" s="5" t="str">
        <f>IFERROR(__xludf.DUMMYFUNCTION("""COMPUTED_VALUE"""),"אישה")</f>
        <v>אישה</v>
      </c>
      <c r="F635" s="5" t="str">
        <f>IFERROR(__xludf.DUMMYFUNCTION("""COMPUTED_VALUE"""),"אזרחים")</f>
        <v>אזרחים</v>
      </c>
      <c r="G635" s="3"/>
      <c r="H635" s="3" t="str">
        <f>IFERROR(__xludf.DUMMYFUNCTION("""COMPUTED_VALUE"""),"07.10.2023")</f>
        <v>07.10.2023</v>
      </c>
      <c r="I635" s="4" t="str">
        <f>IFERROR(__xludf.DUMMYFUNCTION("""COMPUTED_VALUE"""),"ניר עוז")</f>
        <v>ניר עוז</v>
      </c>
      <c r="J635" s="4" t="str">
        <f>IFERROR(__xludf.DUMMYFUNCTION("""COMPUTED_VALUE"""),"אזרחים וכיתות כוננות")</f>
        <v>אזרחים וכיתות כוננות</v>
      </c>
      <c r="K635" s="5"/>
      <c r="L635" s="3" t="str">
        <f>IFERROR(__xludf.DUMMYFUNCTION("""COMPUTED_VALUE"""),"Bracha Levinson")</f>
        <v>Bracha Levinson</v>
      </c>
      <c r="M635" s="5"/>
    </row>
    <row r="636">
      <c r="A636" s="3">
        <f>IFERROR(__xludf.DUMMYFUNCTION("""COMPUTED_VALUE"""),602.0)</f>
        <v>602</v>
      </c>
      <c r="B636" s="4" t="str">
        <f>IFERROR(__xludf.DUMMYFUNCTION("""COMPUTED_VALUE"""),"מונדר רועי")</f>
        <v>מונדר רועי</v>
      </c>
      <c r="C636" s="3">
        <f>IFERROR(__xludf.DUMMYFUNCTION("""COMPUTED_VALUE"""),50.0)</f>
        <v>50</v>
      </c>
      <c r="D636" s="5" t="str">
        <f>IFERROR(__xludf.DUMMYFUNCTION("""COMPUTED_VALUE"""),"ניר עוז")</f>
        <v>ניר עוז</v>
      </c>
      <c r="E636" s="5" t="str">
        <f>IFERROR(__xludf.DUMMYFUNCTION("""COMPUTED_VALUE"""),"גבר")</f>
        <v>גבר</v>
      </c>
      <c r="F636" s="5" t="str">
        <f>IFERROR(__xludf.DUMMYFUNCTION("""COMPUTED_VALUE"""),"אזרחים")</f>
        <v>אזרחים</v>
      </c>
      <c r="G636" s="3"/>
      <c r="H636" s="3" t="str">
        <f>IFERROR(__xludf.DUMMYFUNCTION("""COMPUTED_VALUE"""),"07.10.2023")</f>
        <v>07.10.2023</v>
      </c>
      <c r="I636" s="4" t="str">
        <f>IFERROR(__xludf.DUMMYFUNCTION("""COMPUTED_VALUE"""),"ניר עוז")</f>
        <v>ניר עוז</v>
      </c>
      <c r="J636" s="4" t="str">
        <f>IFERROR(__xludf.DUMMYFUNCTION("""COMPUTED_VALUE"""),"אזרחים וכיתות כוננות")</f>
        <v>אזרחים וכיתות כוננות</v>
      </c>
      <c r="K636" s="5"/>
      <c r="L636" s="3" t="str">
        <f>IFERROR(__xludf.DUMMYFUNCTION("""COMPUTED_VALUE"""),"Roey Munder")</f>
        <v>Roey Munder</v>
      </c>
      <c r="M636" s="5"/>
    </row>
    <row r="637">
      <c r="A637" s="3">
        <f>IFERROR(__xludf.DUMMYFUNCTION("""COMPUTED_VALUE"""),610.0)</f>
        <v>610</v>
      </c>
      <c r="B637" s="4" t="str">
        <f>IFERROR(__xludf.DUMMYFUNCTION("""COMPUTED_VALUE"""),"משה סעיד (דוד)")</f>
        <v>משה סעיד (דוד)</v>
      </c>
      <c r="C637" s="3">
        <f>IFERROR(__xludf.DUMMYFUNCTION("""COMPUTED_VALUE"""),75.0)</f>
        <v>75</v>
      </c>
      <c r="D637" s="5" t="str">
        <f>IFERROR(__xludf.DUMMYFUNCTION("""COMPUTED_VALUE"""),"ניר עוז")</f>
        <v>ניר עוז</v>
      </c>
      <c r="E637" s="5" t="str">
        <f>IFERROR(__xludf.DUMMYFUNCTION("""COMPUTED_VALUE"""),"גבר")</f>
        <v>גבר</v>
      </c>
      <c r="F637" s="5" t="str">
        <f>IFERROR(__xludf.DUMMYFUNCTION("""COMPUTED_VALUE"""),"אזרחים")</f>
        <v>אזרחים</v>
      </c>
      <c r="G637" s="3"/>
      <c r="H637" s="3" t="str">
        <f>IFERROR(__xludf.DUMMYFUNCTION("""COMPUTED_VALUE"""),"07.10.2023")</f>
        <v>07.10.2023</v>
      </c>
      <c r="I637" s="4" t="str">
        <f>IFERROR(__xludf.DUMMYFUNCTION("""COMPUTED_VALUE"""),"ניר עוז")</f>
        <v>ניר עוז</v>
      </c>
      <c r="J637" s="2" t="str">
        <f>IFERROR(__xludf.DUMMYFUNCTION("""COMPUTED_VALUE"""),"אזרחים וכיתות כוננות")</f>
        <v>אזרחים וכיתות כוננות</v>
      </c>
      <c r="K637" s="5"/>
      <c r="L637" s="3" t="str">
        <f>IFERROR(__xludf.DUMMYFUNCTION("""COMPUTED_VALUE"""),"Sai'd (David) Moshe")</f>
        <v>Sai'd (David) Moshe</v>
      </c>
      <c r="M637" s="5"/>
    </row>
    <row r="638">
      <c r="A638" s="3">
        <f>IFERROR(__xludf.DUMMYFUNCTION("""COMPUTED_VALUE"""),614.0)</f>
        <v>614</v>
      </c>
      <c r="B638" s="4" t="str">
        <f>IFERROR(__xludf.DUMMYFUNCTION("""COMPUTED_VALUE"""),"נוי שפרה")</f>
        <v>נוי שפרה</v>
      </c>
      <c r="C638" s="3">
        <f>IFERROR(__xludf.DUMMYFUNCTION("""COMPUTED_VALUE"""),71.0)</f>
        <v>71</v>
      </c>
      <c r="D638" s="5" t="str">
        <f>IFERROR(__xludf.DUMMYFUNCTION("""COMPUTED_VALUE"""),"ניר עוז")</f>
        <v>ניר עוז</v>
      </c>
      <c r="E638" s="5" t="str">
        <f>IFERROR(__xludf.DUMMYFUNCTION("""COMPUTED_VALUE"""),"אישה")</f>
        <v>אישה</v>
      </c>
      <c r="F638" s="5" t="str">
        <f>IFERROR(__xludf.DUMMYFUNCTION("""COMPUTED_VALUE"""),"אזרחים")</f>
        <v>אזרחים</v>
      </c>
      <c r="G638" s="3"/>
      <c r="H638" s="3" t="str">
        <f>IFERROR(__xludf.DUMMYFUNCTION("""COMPUTED_VALUE"""),"07.10.2023")</f>
        <v>07.10.2023</v>
      </c>
      <c r="I638" s="4" t="str">
        <f>IFERROR(__xludf.DUMMYFUNCTION("""COMPUTED_VALUE"""),"ניר עוז")</f>
        <v>ניר עוז</v>
      </c>
      <c r="J638" s="4" t="str">
        <f>IFERROR(__xludf.DUMMYFUNCTION("""COMPUTED_VALUE"""),"אזרחים וכיתות כוננות")</f>
        <v>אזרחים וכיתות כוננות</v>
      </c>
      <c r="K638" s="5"/>
      <c r="L638" s="3" t="str">
        <f>IFERROR(__xludf.DUMMYFUNCTION("""COMPUTED_VALUE"""),"Shifra Noy")</f>
        <v>Shifra Noy</v>
      </c>
      <c r="M638" s="5"/>
    </row>
    <row r="639">
      <c r="A639" s="3">
        <f>IFERROR(__xludf.DUMMYFUNCTION("""COMPUTED_VALUE"""),615.0)</f>
        <v>615</v>
      </c>
      <c r="B639" s="4" t="str">
        <f>IFERROR(__xludf.DUMMYFUNCTION("""COMPUTED_VALUE"""),"סילברמן (שניידר) מרגיט")</f>
        <v>סילברמן (שניידר) מרגיט</v>
      </c>
      <c r="C639" s="3">
        <f>IFERROR(__xludf.DUMMYFUNCTION("""COMPUTED_VALUE"""),63.0)</f>
        <v>63</v>
      </c>
      <c r="D639" s="5" t="str">
        <f>IFERROR(__xludf.DUMMYFUNCTION("""COMPUTED_VALUE"""),"ניר עוז")</f>
        <v>ניר עוז</v>
      </c>
      <c r="E639" s="5" t="str">
        <f>IFERROR(__xludf.DUMMYFUNCTION("""COMPUTED_VALUE"""),"אישה")</f>
        <v>אישה</v>
      </c>
      <c r="F639" s="5" t="str">
        <f>IFERROR(__xludf.DUMMYFUNCTION("""COMPUTED_VALUE"""),"אזרחים")</f>
        <v>אזרחים</v>
      </c>
      <c r="G639" s="3"/>
      <c r="H639" s="3" t="str">
        <f>IFERROR(__xludf.DUMMYFUNCTION("""COMPUTED_VALUE"""),"07.10.2023")</f>
        <v>07.10.2023</v>
      </c>
      <c r="I639" s="4" t="str">
        <f>IFERROR(__xludf.DUMMYFUNCTION("""COMPUTED_VALUE"""),"ניר עוז")</f>
        <v>ניר עוז</v>
      </c>
      <c r="J639" s="4" t="str">
        <f>IFERROR(__xludf.DUMMYFUNCTION("""COMPUTED_VALUE"""),"אזרחים וכיתות כוננות")</f>
        <v>אזרחים וכיתות כוננות</v>
      </c>
      <c r="K639" s="5"/>
      <c r="L639" s="3" t="str">
        <f>IFERROR(__xludf.DUMMYFUNCTION("""COMPUTED_VALUE"""),"Margit Silberman")</f>
        <v>Margit Silberman</v>
      </c>
      <c r="M639" s="5"/>
    </row>
    <row r="640">
      <c r="A640" s="3">
        <f>IFERROR(__xludf.DUMMYFUNCTION("""COMPUTED_VALUE"""),616.0)</f>
        <v>616</v>
      </c>
      <c r="B640" s="4" t="str">
        <f>IFERROR(__xludf.DUMMYFUNCTION("""COMPUTED_VALUE"""),"סילברמן יוסף")</f>
        <v>סילברמן יוסף</v>
      </c>
      <c r="C640" s="3">
        <f>IFERROR(__xludf.DUMMYFUNCTION("""COMPUTED_VALUE"""),67.0)</f>
        <v>67</v>
      </c>
      <c r="D640" s="5" t="str">
        <f>IFERROR(__xludf.DUMMYFUNCTION("""COMPUTED_VALUE"""),"ניר עוז")</f>
        <v>ניר עוז</v>
      </c>
      <c r="E640" s="5" t="str">
        <f>IFERROR(__xludf.DUMMYFUNCTION("""COMPUTED_VALUE"""),"גבר")</f>
        <v>גבר</v>
      </c>
      <c r="F640" s="5" t="str">
        <f>IFERROR(__xludf.DUMMYFUNCTION("""COMPUTED_VALUE"""),"אזרחים")</f>
        <v>אזרחים</v>
      </c>
      <c r="G640" s="3"/>
      <c r="H640" s="3" t="str">
        <f>IFERROR(__xludf.DUMMYFUNCTION("""COMPUTED_VALUE"""),"07.10.2023")</f>
        <v>07.10.2023</v>
      </c>
      <c r="I640" s="4" t="str">
        <f>IFERROR(__xludf.DUMMYFUNCTION("""COMPUTED_VALUE"""),"ניר עוז")</f>
        <v>ניר עוז</v>
      </c>
      <c r="J640" s="4" t="str">
        <f>IFERROR(__xludf.DUMMYFUNCTION("""COMPUTED_VALUE"""),"אזרחים וכיתות כוננות")</f>
        <v>אזרחים וכיתות כוננות</v>
      </c>
      <c r="K640" s="5"/>
      <c r="L640" s="3" t="str">
        <f>IFERROR(__xludf.DUMMYFUNCTION("""COMPUTED_VALUE"""),"Yosef Yossi Silberman")</f>
        <v>Yosef Yossi Silberman</v>
      </c>
      <c r="M640" s="5"/>
    </row>
    <row r="641">
      <c r="A641" s="3">
        <f>IFERROR(__xludf.DUMMYFUNCTION("""COMPUTED_VALUE"""),617.0)</f>
        <v>617</v>
      </c>
      <c r="B641" s="4" t="str">
        <f>IFERROR(__xludf.DUMMYFUNCTION("""COMPUTED_VALUE"""),"סימן טוב ארבל")</f>
        <v>סימן טוב ארבל</v>
      </c>
      <c r="C641" s="3">
        <f>IFERROR(__xludf.DUMMYFUNCTION("""COMPUTED_VALUE"""),5.0)</f>
        <v>5</v>
      </c>
      <c r="D641" s="5" t="str">
        <f>IFERROR(__xludf.DUMMYFUNCTION("""COMPUTED_VALUE"""),"ניר עוז")</f>
        <v>ניר עוז</v>
      </c>
      <c r="E641" s="5" t="str">
        <f>IFERROR(__xludf.DUMMYFUNCTION("""COMPUTED_VALUE"""),"ילדה")</f>
        <v>ילדה</v>
      </c>
      <c r="F641" s="5" t="str">
        <f>IFERROR(__xludf.DUMMYFUNCTION("""COMPUTED_VALUE"""),"אזרחים")</f>
        <v>אזרחים</v>
      </c>
      <c r="G641" s="3"/>
      <c r="H641" s="3" t="str">
        <f>IFERROR(__xludf.DUMMYFUNCTION("""COMPUTED_VALUE"""),"07.10.2023")</f>
        <v>07.10.2023</v>
      </c>
      <c r="I641" s="4" t="str">
        <f>IFERROR(__xludf.DUMMYFUNCTION("""COMPUTED_VALUE"""),"ניר עוז")</f>
        <v>ניר עוז</v>
      </c>
      <c r="J641" s="4" t="str">
        <f>IFERROR(__xludf.DUMMYFUNCTION("""COMPUTED_VALUE"""),"אזרחים וכיתות כוננות")</f>
        <v>אזרחים וכיתות כוננות</v>
      </c>
      <c r="K641" s="5"/>
      <c r="L641" s="3" t="str">
        <f>IFERROR(__xludf.DUMMYFUNCTION("""COMPUTED_VALUE"""),"Arbel Siman-Tov")</f>
        <v>Arbel Siman-Tov</v>
      </c>
      <c r="M641" s="5"/>
    </row>
    <row r="642">
      <c r="A642" s="3">
        <f>IFERROR(__xludf.DUMMYFUNCTION("""COMPUTED_VALUE"""),622.0)</f>
        <v>622</v>
      </c>
      <c r="B642" s="4" t="str">
        <f>IFERROR(__xludf.DUMMYFUNCTION("""COMPUTED_VALUE"""),"סימן טוב יונתן (ג'וני)")</f>
        <v>סימן טוב יונתן (ג'וני)</v>
      </c>
      <c r="C642" s="3">
        <f>IFERROR(__xludf.DUMMYFUNCTION("""COMPUTED_VALUE"""),36.0)</f>
        <v>36</v>
      </c>
      <c r="D642" s="5" t="str">
        <f>IFERROR(__xludf.DUMMYFUNCTION("""COMPUTED_VALUE"""),"ניר עוז")</f>
        <v>ניר עוז</v>
      </c>
      <c r="E642" s="5" t="str">
        <f>IFERROR(__xludf.DUMMYFUNCTION("""COMPUTED_VALUE"""),"גבר")</f>
        <v>גבר</v>
      </c>
      <c r="F642" s="5" t="str">
        <f>IFERROR(__xludf.DUMMYFUNCTION("""COMPUTED_VALUE"""),"אזרחים")</f>
        <v>אזרחים</v>
      </c>
      <c r="G642" s="3"/>
      <c r="H642" s="3" t="str">
        <f>IFERROR(__xludf.DUMMYFUNCTION("""COMPUTED_VALUE"""),"07.10.2023")</f>
        <v>07.10.2023</v>
      </c>
      <c r="I642" s="4" t="str">
        <f>IFERROR(__xludf.DUMMYFUNCTION("""COMPUTED_VALUE"""),"ניר עוז")</f>
        <v>ניר עוז</v>
      </c>
      <c r="J642" s="4" t="str">
        <f>IFERROR(__xludf.DUMMYFUNCTION("""COMPUTED_VALUE"""),"אזרחים וכיתות כוננות")</f>
        <v>אזרחים וכיתות כוננות</v>
      </c>
      <c r="K642" s="5"/>
      <c r="L642" s="3" t="str">
        <f>IFERROR(__xludf.DUMMYFUNCTION("""COMPUTED_VALUE"""),"Yonatan Siman-Tov")</f>
        <v>Yonatan Siman-Tov</v>
      </c>
      <c r="M642" s="5"/>
    </row>
    <row r="643">
      <c r="A643" s="3">
        <f>IFERROR(__xludf.DUMMYFUNCTION("""COMPUTED_VALUE"""),619.0)</f>
        <v>619</v>
      </c>
      <c r="B643" s="4" t="str">
        <f>IFERROR(__xludf.DUMMYFUNCTION("""COMPUTED_VALUE"""),"סימן טוב עומר")</f>
        <v>סימן טוב עומר</v>
      </c>
      <c r="C643" s="3">
        <f>IFERROR(__xludf.DUMMYFUNCTION("""COMPUTED_VALUE"""),2.0)</f>
        <v>2</v>
      </c>
      <c r="D643" s="5" t="str">
        <f>IFERROR(__xludf.DUMMYFUNCTION("""COMPUTED_VALUE"""),"ניר עוז")</f>
        <v>ניר עוז</v>
      </c>
      <c r="E643" s="5" t="str">
        <f>IFERROR(__xludf.DUMMYFUNCTION("""COMPUTED_VALUE"""),"ילד")</f>
        <v>ילד</v>
      </c>
      <c r="F643" s="5" t="str">
        <f>IFERROR(__xludf.DUMMYFUNCTION("""COMPUTED_VALUE"""),"אזרחים")</f>
        <v>אזרחים</v>
      </c>
      <c r="G643" s="3"/>
      <c r="H643" s="3" t="str">
        <f>IFERROR(__xludf.DUMMYFUNCTION("""COMPUTED_VALUE"""),"07.10.2023")</f>
        <v>07.10.2023</v>
      </c>
      <c r="I643" s="4" t="str">
        <f>IFERROR(__xludf.DUMMYFUNCTION("""COMPUTED_VALUE"""),"ניר עוז")</f>
        <v>ניר עוז</v>
      </c>
      <c r="J643" s="4" t="str">
        <f>IFERROR(__xludf.DUMMYFUNCTION("""COMPUTED_VALUE"""),"אזרחים וכיתות כוננות")</f>
        <v>אזרחים וכיתות כוננות</v>
      </c>
      <c r="K643" s="5"/>
      <c r="L643" s="3" t="str">
        <f>IFERROR(__xludf.DUMMYFUNCTION("""COMPUTED_VALUE"""),"Omer Siman-Tov")</f>
        <v>Omer Siman-Tov</v>
      </c>
      <c r="M643" s="5"/>
    </row>
    <row r="644">
      <c r="A644" s="3">
        <f>IFERROR(__xludf.DUMMYFUNCTION("""COMPUTED_VALUE"""),621.0)</f>
        <v>621</v>
      </c>
      <c r="B644" s="4" t="str">
        <f>IFERROR(__xludf.DUMMYFUNCTION("""COMPUTED_VALUE"""),"סימן טוב קדם תמר")</f>
        <v>סימן טוב קדם תמר</v>
      </c>
      <c r="C644" s="3">
        <f>IFERROR(__xludf.DUMMYFUNCTION("""COMPUTED_VALUE"""),35.0)</f>
        <v>35</v>
      </c>
      <c r="D644" s="5" t="str">
        <f>IFERROR(__xludf.DUMMYFUNCTION("""COMPUTED_VALUE"""),"ניר עוז")</f>
        <v>ניר עוז</v>
      </c>
      <c r="E644" s="5" t="str">
        <f>IFERROR(__xludf.DUMMYFUNCTION("""COMPUTED_VALUE"""),"אישה")</f>
        <v>אישה</v>
      </c>
      <c r="F644" s="5" t="str">
        <f>IFERROR(__xludf.DUMMYFUNCTION("""COMPUTED_VALUE"""),"אזרחים")</f>
        <v>אזרחים</v>
      </c>
      <c r="G644" s="3"/>
      <c r="H644" s="3" t="str">
        <f>IFERROR(__xludf.DUMMYFUNCTION("""COMPUTED_VALUE"""),"07.10.2023")</f>
        <v>07.10.2023</v>
      </c>
      <c r="I644" s="4" t="str">
        <f>IFERROR(__xludf.DUMMYFUNCTION("""COMPUTED_VALUE"""),"ניר עוז")</f>
        <v>ניר עוז</v>
      </c>
      <c r="J644" s="4" t="str">
        <f>IFERROR(__xludf.DUMMYFUNCTION("""COMPUTED_VALUE"""),"אזרחים וכיתות כוננות")</f>
        <v>אזרחים וכיתות כוננות</v>
      </c>
      <c r="K644" s="5"/>
      <c r="L644" s="3" t="str">
        <f>IFERROR(__xludf.DUMMYFUNCTION("""COMPUTED_VALUE"""),"Tamar Kedem Siman-Tov")</f>
        <v>Tamar Kedem Siman-Tov</v>
      </c>
      <c r="M644" s="5"/>
    </row>
    <row r="645">
      <c r="A645" s="3">
        <f>IFERROR(__xludf.DUMMYFUNCTION("""COMPUTED_VALUE"""),618.0)</f>
        <v>618</v>
      </c>
      <c r="B645" s="4" t="str">
        <f>IFERROR(__xludf.DUMMYFUNCTION("""COMPUTED_VALUE"""),"סימן טוב קרול")</f>
        <v>סימן טוב קרול</v>
      </c>
      <c r="C645" s="3">
        <f>IFERROR(__xludf.DUMMYFUNCTION("""COMPUTED_VALUE"""),70.0)</f>
        <v>70</v>
      </c>
      <c r="D645" s="5" t="str">
        <f>IFERROR(__xludf.DUMMYFUNCTION("""COMPUTED_VALUE"""),"ניר עוז")</f>
        <v>ניר עוז</v>
      </c>
      <c r="E645" s="5" t="str">
        <f>IFERROR(__xludf.DUMMYFUNCTION("""COMPUTED_VALUE"""),"אישה")</f>
        <v>אישה</v>
      </c>
      <c r="F645" s="5" t="str">
        <f>IFERROR(__xludf.DUMMYFUNCTION("""COMPUTED_VALUE"""),"אזרחים")</f>
        <v>אזרחים</v>
      </c>
      <c r="G645" s="3"/>
      <c r="H645" s="3" t="str">
        <f>IFERROR(__xludf.DUMMYFUNCTION("""COMPUTED_VALUE"""),"07.10.2023")</f>
        <v>07.10.2023</v>
      </c>
      <c r="I645" s="4" t="str">
        <f>IFERROR(__xludf.DUMMYFUNCTION("""COMPUTED_VALUE"""),"ניר עוז")</f>
        <v>ניר עוז</v>
      </c>
      <c r="J645" s="4" t="str">
        <f>IFERROR(__xludf.DUMMYFUNCTION("""COMPUTED_VALUE"""),"אזרחים וכיתות כוננות")</f>
        <v>אזרחים וכיתות כוננות</v>
      </c>
      <c r="K645" s="5"/>
      <c r="L645" s="3" t="str">
        <f>IFERROR(__xludf.DUMMYFUNCTION("""COMPUTED_VALUE"""),"Carol Siman-Tov")</f>
        <v>Carol Siman-Tov</v>
      </c>
      <c r="M645" s="5"/>
    </row>
    <row r="646">
      <c r="A646" s="3">
        <f>IFERROR(__xludf.DUMMYFUNCTION("""COMPUTED_VALUE"""),620.0)</f>
        <v>620</v>
      </c>
      <c r="B646" s="4" t="str">
        <f>IFERROR(__xludf.DUMMYFUNCTION("""COMPUTED_VALUE"""),"סימן טוב שחר")</f>
        <v>סימן טוב שחר</v>
      </c>
      <c r="C646" s="3">
        <f>IFERROR(__xludf.DUMMYFUNCTION("""COMPUTED_VALUE"""),5.0)</f>
        <v>5</v>
      </c>
      <c r="D646" s="5" t="str">
        <f>IFERROR(__xludf.DUMMYFUNCTION("""COMPUTED_VALUE"""),"ניר עוז")</f>
        <v>ניר עוז</v>
      </c>
      <c r="E646" s="5" t="str">
        <f>IFERROR(__xludf.DUMMYFUNCTION("""COMPUTED_VALUE"""),"ילדה")</f>
        <v>ילדה</v>
      </c>
      <c r="F646" s="5" t="str">
        <f>IFERROR(__xludf.DUMMYFUNCTION("""COMPUTED_VALUE"""),"אזרחים")</f>
        <v>אזרחים</v>
      </c>
      <c r="G646" s="3"/>
      <c r="H646" s="3" t="str">
        <f>IFERROR(__xludf.DUMMYFUNCTION("""COMPUTED_VALUE"""),"07.10.2023")</f>
        <v>07.10.2023</v>
      </c>
      <c r="I646" s="4" t="str">
        <f>IFERROR(__xludf.DUMMYFUNCTION("""COMPUTED_VALUE"""),"ניר עוז")</f>
        <v>ניר עוז</v>
      </c>
      <c r="J646" s="4" t="str">
        <f>IFERROR(__xludf.DUMMYFUNCTION("""COMPUTED_VALUE"""),"אזרחים וכיתות כוננות")</f>
        <v>אזרחים וכיתות כוננות</v>
      </c>
      <c r="K646" s="5"/>
      <c r="L646" s="3" t="str">
        <f>IFERROR(__xludf.DUMMYFUNCTION("""COMPUTED_VALUE"""),"Shachar Siman-Tov")</f>
        <v>Shachar Siman-Tov</v>
      </c>
      <c r="M646" s="5"/>
    </row>
    <row r="647">
      <c r="A647" s="3">
        <f>IFERROR(__xludf.DUMMYFUNCTION("""COMPUTED_VALUE"""),566.0)</f>
        <v>566</v>
      </c>
      <c r="B647" s="4" t="str">
        <f>IFERROR(__xludf.DUMMYFUNCTION("""COMPUTED_VALUE"""),"פאוקר גדעון")</f>
        <v>פאוקר גדעון</v>
      </c>
      <c r="C647" s="3">
        <f>IFERROR(__xludf.DUMMYFUNCTION("""COMPUTED_VALUE"""),80.0)</f>
        <v>80</v>
      </c>
      <c r="D647" s="5" t="str">
        <f>IFERROR(__xludf.DUMMYFUNCTION("""COMPUTED_VALUE"""),"ניר עוז")</f>
        <v>ניר עוז</v>
      </c>
      <c r="E647" s="5" t="str">
        <f>IFERROR(__xludf.DUMMYFUNCTION("""COMPUTED_VALUE"""),"גבר")</f>
        <v>גבר</v>
      </c>
      <c r="F647" s="5" t="str">
        <f>IFERROR(__xludf.DUMMYFUNCTION("""COMPUTED_VALUE"""),"אזרחים")</f>
        <v>אזרחים</v>
      </c>
      <c r="G647" s="3"/>
      <c r="H647" s="3" t="str">
        <f>IFERROR(__xludf.DUMMYFUNCTION("""COMPUTED_VALUE"""),"07.10.2023")</f>
        <v>07.10.2023</v>
      </c>
      <c r="I647" s="4" t="str">
        <f>IFERROR(__xludf.DUMMYFUNCTION("""COMPUTED_VALUE"""),"ניר עוז")</f>
        <v>ניר עוז</v>
      </c>
      <c r="J647" s="4" t="str">
        <f>IFERROR(__xludf.DUMMYFUNCTION("""COMPUTED_VALUE"""),"אזרחים וכיתות כוננות")</f>
        <v>אזרחים וכיתות כוננות</v>
      </c>
      <c r="K647" s="5"/>
      <c r="L647" s="3" t="str">
        <f>IFERROR(__xludf.DUMMYFUNCTION("""COMPUTED_VALUE"""),"Gidon Pauker")</f>
        <v>Gidon Pauker</v>
      </c>
      <c r="M647" s="5"/>
    </row>
    <row r="648">
      <c r="A648" s="3">
        <f>IFERROR(__xludf.DUMMYFUNCTION("""COMPUTED_VALUE"""),583.0)</f>
        <v>583</v>
      </c>
      <c r="B648" s="4" t="str">
        <f>IFERROR(__xludf.DUMMYFUNCTION("""COMPUTED_VALUE"""),"קציר אברהם (רמי)")</f>
        <v>קציר אברהם (רמי)</v>
      </c>
      <c r="C648" s="3">
        <f>IFERROR(__xludf.DUMMYFUNCTION("""COMPUTED_VALUE"""),78.0)</f>
        <v>78</v>
      </c>
      <c r="D648" s="5" t="str">
        <f>IFERROR(__xludf.DUMMYFUNCTION("""COMPUTED_VALUE"""),"ניר עוז")</f>
        <v>ניר עוז</v>
      </c>
      <c r="E648" s="5" t="str">
        <f>IFERROR(__xludf.DUMMYFUNCTION("""COMPUTED_VALUE"""),"גבר")</f>
        <v>גבר</v>
      </c>
      <c r="F648" s="5" t="str">
        <f>IFERROR(__xludf.DUMMYFUNCTION("""COMPUTED_VALUE"""),"אזרחים")</f>
        <v>אזרחים</v>
      </c>
      <c r="G648" s="3"/>
      <c r="H648" s="3" t="str">
        <f>IFERROR(__xludf.DUMMYFUNCTION("""COMPUTED_VALUE"""),"07.10.2023")</f>
        <v>07.10.2023</v>
      </c>
      <c r="I648" s="4" t="str">
        <f>IFERROR(__xludf.DUMMYFUNCTION("""COMPUTED_VALUE"""),"ניר עוז")</f>
        <v>ניר עוז</v>
      </c>
      <c r="J648" s="4" t="str">
        <f>IFERROR(__xludf.DUMMYFUNCTION("""COMPUTED_VALUE"""),"אזרחים וכיתות כוננות")</f>
        <v>אזרחים וכיתות כוננות</v>
      </c>
      <c r="K648" s="5"/>
      <c r="L648" s="3" t="str">
        <f>IFERROR(__xludf.DUMMYFUNCTION("""COMPUTED_VALUE"""),"Avraham Katzir")</f>
        <v>Avraham Katzir</v>
      </c>
      <c r="M648" s="5"/>
    </row>
    <row r="649">
      <c r="A649" s="3">
        <f>IFERROR(__xludf.DUMMYFUNCTION("""COMPUTED_VALUE"""),612.0)</f>
        <v>612</v>
      </c>
      <c r="B649" s="4" t="str">
        <f>IFERROR(__xludf.DUMMYFUNCTION("""COMPUTED_VALUE"""),"שלו דוד")</f>
        <v>שלו דוד</v>
      </c>
      <c r="C649" s="3">
        <f>IFERROR(__xludf.DUMMYFUNCTION("""COMPUTED_VALUE"""),75.0)</f>
        <v>75</v>
      </c>
      <c r="D649" s="5" t="str">
        <f>IFERROR(__xludf.DUMMYFUNCTION("""COMPUTED_VALUE"""),"ניר עוז")</f>
        <v>ניר עוז</v>
      </c>
      <c r="E649" s="5" t="str">
        <f>IFERROR(__xludf.DUMMYFUNCTION("""COMPUTED_VALUE"""),"גבר")</f>
        <v>גבר</v>
      </c>
      <c r="F649" s="5" t="str">
        <f>IFERROR(__xludf.DUMMYFUNCTION("""COMPUTED_VALUE"""),"אזרחים")</f>
        <v>אזרחים</v>
      </c>
      <c r="G649" s="3"/>
      <c r="H649" s="3" t="str">
        <f>IFERROR(__xludf.DUMMYFUNCTION("""COMPUTED_VALUE"""),"07.10.2023")</f>
        <v>07.10.2023</v>
      </c>
      <c r="I649" s="4" t="str">
        <f>IFERROR(__xludf.DUMMYFUNCTION("""COMPUTED_VALUE"""),"ניר עוז")</f>
        <v>ניר עוז</v>
      </c>
      <c r="J649" s="4" t="str">
        <f>IFERROR(__xludf.DUMMYFUNCTION("""COMPUTED_VALUE"""),"אזרחים וכיתות כוננות")</f>
        <v>אזרחים וכיתות כוננות</v>
      </c>
      <c r="K649" s="5"/>
      <c r="L649" s="3" t="str">
        <f>IFERROR(__xludf.DUMMYFUNCTION("""COMPUTED_VALUE"""),"David Shalev")</f>
        <v>David Shalev</v>
      </c>
      <c r="M649" s="5"/>
    </row>
    <row r="650">
      <c r="A650" s="3">
        <f>IFERROR(__xludf.DUMMYFUNCTION("""COMPUTED_VALUE"""),613.0)</f>
        <v>613</v>
      </c>
      <c r="B650" s="4" t="str">
        <f>IFERROR(__xludf.DUMMYFUNCTION("""COMPUTED_VALUE"""),"שלו טל")</f>
        <v>שלו טל</v>
      </c>
      <c r="C650" s="3">
        <f>IFERROR(__xludf.DUMMYFUNCTION("""COMPUTED_VALUE"""),54.0)</f>
        <v>54</v>
      </c>
      <c r="D650" s="5" t="str">
        <f>IFERROR(__xludf.DUMMYFUNCTION("""COMPUTED_VALUE"""),"ניר עוז")</f>
        <v>ניר עוז</v>
      </c>
      <c r="E650" s="5" t="str">
        <f>IFERROR(__xludf.DUMMYFUNCTION("""COMPUTED_VALUE"""),"גבר")</f>
        <v>גבר</v>
      </c>
      <c r="F650" s="5" t="str">
        <f>IFERROR(__xludf.DUMMYFUNCTION("""COMPUTED_VALUE"""),"אזרחים")</f>
        <v>אזרחים</v>
      </c>
      <c r="G650" s="3"/>
      <c r="H650" s="3" t="str">
        <f>IFERROR(__xludf.DUMMYFUNCTION("""COMPUTED_VALUE"""),"07.10.2023")</f>
        <v>07.10.2023</v>
      </c>
      <c r="I650" s="4" t="str">
        <f>IFERROR(__xludf.DUMMYFUNCTION("""COMPUTED_VALUE"""),"ניר עוז")</f>
        <v>ניר עוז</v>
      </c>
      <c r="J650" s="4" t="str">
        <f>IFERROR(__xludf.DUMMYFUNCTION("""COMPUTED_VALUE"""),"אזרחים וכיתות כוננות")</f>
        <v>אזרחים וכיתות כוננות</v>
      </c>
      <c r="K650" s="5"/>
      <c r="L650" s="3" t="str">
        <f>IFERROR(__xludf.DUMMYFUNCTION("""COMPUTED_VALUE"""),"Tal Shalev")</f>
        <v>Tal Shalev</v>
      </c>
      <c r="M650" s="5"/>
    </row>
    <row r="651">
      <c r="A651" s="3">
        <f>IFERROR(__xludf.DUMMYFUNCTION("""COMPUTED_VALUE"""),611.0)</f>
        <v>611</v>
      </c>
      <c r="B651" s="4" t="str">
        <f>IFERROR(__xludf.DUMMYFUNCTION("""COMPUTED_VALUE"""),"שפיר ירמי (ירמיהו)")</f>
        <v>שפיר ירמי (ירמיהו)</v>
      </c>
      <c r="C651" s="3">
        <f>IFERROR(__xludf.DUMMYFUNCTION("""COMPUTED_VALUE"""),75.0)</f>
        <v>75</v>
      </c>
      <c r="D651" s="5" t="str">
        <f>IFERROR(__xludf.DUMMYFUNCTION("""COMPUTED_VALUE"""),"ניר עוז")</f>
        <v>ניר עוז</v>
      </c>
      <c r="E651" s="5" t="str">
        <f>IFERROR(__xludf.DUMMYFUNCTION("""COMPUTED_VALUE"""),"גבר")</f>
        <v>גבר</v>
      </c>
      <c r="F651" s="5" t="str">
        <f>IFERROR(__xludf.DUMMYFUNCTION("""COMPUTED_VALUE"""),"אזרחים")</f>
        <v>אזרחים</v>
      </c>
      <c r="G651" s="3"/>
      <c r="H651" s="3" t="str">
        <f>IFERROR(__xludf.DUMMYFUNCTION("""COMPUTED_VALUE"""),"07.10.2023")</f>
        <v>07.10.2023</v>
      </c>
      <c r="I651" s="4" t="str">
        <f>IFERROR(__xludf.DUMMYFUNCTION("""COMPUTED_VALUE"""),"ניר עוז")</f>
        <v>ניר עוז</v>
      </c>
      <c r="J651" s="4" t="str">
        <f>IFERROR(__xludf.DUMMYFUNCTION("""COMPUTED_VALUE"""),"אזרחים וכיתות כוננות")</f>
        <v>אזרחים וכיתות כוננות</v>
      </c>
      <c r="K651" s="5"/>
      <c r="L651" s="3" t="str">
        <f>IFERROR(__xludf.DUMMYFUNCTION("""COMPUTED_VALUE"""),"Yermiyahu Shafir")</f>
        <v>Yermiyahu Shafir</v>
      </c>
      <c r="M651" s="5"/>
    </row>
    <row r="652">
      <c r="A652" s="3">
        <f>IFERROR(__xludf.DUMMYFUNCTION("""COMPUTED_VALUE"""),631.0)</f>
        <v>631</v>
      </c>
      <c r="B652" s="4" t="str">
        <f>IFERROR(__xludf.DUMMYFUNCTION("""COMPUTED_VALUE"""),"Bohl Caroline")</f>
        <v>Bohl Caroline</v>
      </c>
      <c r="C652" s="3">
        <f>IFERROR(__xludf.DUMMYFUNCTION("""COMPUTED_VALUE"""),22.0)</f>
        <v>22</v>
      </c>
      <c r="D652" s="5" t="str">
        <f>IFERROR(__xludf.DUMMYFUNCTION("""COMPUTED_VALUE"""),"גרמניה")</f>
        <v>גרמניה</v>
      </c>
      <c r="E652" s="5" t="str">
        <f>IFERROR(__xludf.DUMMYFUNCTION("""COMPUTED_VALUE"""),"אישה")</f>
        <v>אישה</v>
      </c>
      <c r="F652" s="5" t="str">
        <f>IFERROR(__xludf.DUMMYFUNCTION("""COMPUTED_VALUE"""),"אזרחים זרים")</f>
        <v>אזרחים זרים</v>
      </c>
      <c r="G652" s="3"/>
      <c r="H652" s="3" t="str">
        <f>IFERROR(__xludf.DUMMYFUNCTION("""COMPUTED_VALUE"""),"07.10.2023")</f>
        <v>07.10.2023</v>
      </c>
      <c r="I652" s="4" t="str">
        <f>IFERROR(__xludf.DUMMYFUNCTION("""COMPUTED_VALUE"""),"ניר עוז")</f>
        <v>ניר עוז</v>
      </c>
      <c r="J652" s="2" t="str">
        <f>IFERROR(__xludf.DUMMYFUNCTION("""COMPUTED_VALUE"""),"אזרחים וכיתות כוננות")</f>
        <v>אזרחים וכיתות כוננות</v>
      </c>
      <c r="K652" s="5"/>
      <c r="L652" s="3" t="str">
        <f>IFERROR(__xludf.DUMMYFUNCTION("""COMPUTED_VALUE"""),"Carolin Bohl")</f>
        <v>Carolin Bohl</v>
      </c>
      <c r="M652" s="5"/>
    </row>
    <row r="653">
      <c r="A653" s="3">
        <f>IFERROR(__xludf.DUMMYFUNCTION("""COMPUTED_VALUE"""),1395.0)</f>
        <v>1395</v>
      </c>
      <c r="B653" s="4" t="str">
        <f>IFERROR(__xludf.DUMMYFUNCTION("""COMPUTED_VALUE"""),"Dachtuyawat Bancha")</f>
        <v>Dachtuyawat Bancha</v>
      </c>
      <c r="C653" s="3">
        <f>IFERROR(__xludf.DUMMYFUNCTION("""COMPUTED_VALUE"""),29.0)</f>
        <v>29</v>
      </c>
      <c r="D653" s="5" t="str">
        <f>IFERROR(__xludf.DUMMYFUNCTION("""COMPUTED_VALUE"""),"תאילנד")</f>
        <v>תאילנד</v>
      </c>
      <c r="E653" s="5" t="str">
        <f>IFERROR(__xludf.DUMMYFUNCTION("""COMPUTED_VALUE"""),"גבר")</f>
        <v>גבר</v>
      </c>
      <c r="F653" s="5" t="str">
        <f>IFERROR(__xludf.DUMMYFUNCTION("""COMPUTED_VALUE"""),"אזרחים זרים")</f>
        <v>אזרחים זרים</v>
      </c>
      <c r="G653" s="3"/>
      <c r="H653" s="3" t="str">
        <f>IFERROR(__xludf.DUMMYFUNCTION("""COMPUTED_VALUE"""),"07.10.2023")</f>
        <v>07.10.2023</v>
      </c>
      <c r="I653" s="4" t="str">
        <f>IFERROR(__xludf.DUMMYFUNCTION("""COMPUTED_VALUE"""),"ניר עוז")</f>
        <v>ניר עוז</v>
      </c>
      <c r="J653" s="2" t="str">
        <f>IFERROR(__xludf.DUMMYFUNCTION("""COMPUTED_VALUE"""),"אזרחים וכיתות כוננות")</f>
        <v>אזרחים וכיתות כוננות</v>
      </c>
      <c r="K653" s="5"/>
      <c r="L653" s="3" t="str">
        <f>IFERROR(__xludf.DUMMYFUNCTION("""COMPUTED_VALUE"""),"Bancha Dachtuyawat")</f>
        <v>Bancha Dachtuyawat</v>
      </c>
      <c r="M653" s="5"/>
    </row>
    <row r="654">
      <c r="A654" s="3">
        <f>IFERROR(__xludf.DUMMYFUNCTION("""COMPUTED_VALUE"""),563.0)</f>
        <v>563</v>
      </c>
      <c r="B654" s="2" t="str">
        <f>IFERROR(__xludf.DUMMYFUNCTION("""COMPUTED_VALUE"""),"Darlington Daniel (Danny)")</f>
        <v>Darlington Daniel (Danny)</v>
      </c>
      <c r="C654" s="3">
        <f>IFERROR(__xludf.DUMMYFUNCTION("""COMPUTED_VALUE"""),34.0)</f>
        <v>34</v>
      </c>
      <c r="D654" s="5" t="str">
        <f>IFERROR(__xludf.DUMMYFUNCTION("""COMPUTED_VALUE"""),"בריטניה")</f>
        <v>בריטניה</v>
      </c>
      <c r="E654" s="5" t="str">
        <f>IFERROR(__xludf.DUMMYFUNCTION("""COMPUTED_VALUE"""),"גבר")</f>
        <v>גבר</v>
      </c>
      <c r="F654" s="5" t="str">
        <f>IFERROR(__xludf.DUMMYFUNCTION("""COMPUTED_VALUE"""),"אזרחים זרים")</f>
        <v>אזרחים זרים</v>
      </c>
      <c r="G654" s="3"/>
      <c r="H654" s="3" t="str">
        <f>IFERROR(__xludf.DUMMYFUNCTION("""COMPUTED_VALUE"""),"07.10.2023")</f>
        <v>07.10.2023</v>
      </c>
      <c r="I654" s="4" t="str">
        <f>IFERROR(__xludf.DUMMYFUNCTION("""COMPUTED_VALUE"""),"ניר עוז")</f>
        <v>ניר עוז</v>
      </c>
      <c r="J654" s="4" t="str">
        <f>IFERROR(__xludf.DUMMYFUNCTION("""COMPUTED_VALUE"""),"אזרחים וכיתות כוננות")</f>
        <v>אזרחים וכיתות כוננות</v>
      </c>
      <c r="K654" s="5"/>
      <c r="L654" s="3" t="str">
        <f>IFERROR(__xludf.DUMMYFUNCTION("""COMPUTED_VALUE"""),"Darlington Daniel (Danny)")</f>
        <v>Darlington Daniel (Danny)</v>
      </c>
      <c r="M654" s="5"/>
    </row>
    <row r="655">
      <c r="A655" s="3">
        <f>IFERROR(__xludf.DUMMYFUNCTION("""COMPUTED_VALUE"""),662.0)</f>
        <v>662</v>
      </c>
      <c r="B655" s="2" t="str">
        <f>IFERROR(__xludf.DUMMYFUNCTION("""COMPUTED_VALUE"""),"באבאני גדעון")</f>
        <v>באבאני גדעון</v>
      </c>
      <c r="C655" s="3">
        <f>IFERROR(__xludf.DUMMYFUNCTION("""COMPUTED_VALUE"""),66.0)</f>
        <v>66</v>
      </c>
      <c r="D655" s="5" t="str">
        <f>IFERROR(__xludf.DUMMYFUNCTION("""COMPUTED_VALUE"""),"יהוד מונוסון")</f>
        <v>יהוד מונוסון</v>
      </c>
      <c r="E655" s="5" t="str">
        <f>IFERROR(__xludf.DUMMYFUNCTION("""COMPUTED_VALUE"""),"גבר")</f>
        <v>גבר</v>
      </c>
      <c r="F655" s="5" t="str">
        <f>IFERROR(__xludf.DUMMYFUNCTION("""COMPUTED_VALUE"""),"אזרחים")</f>
        <v>אזרחים</v>
      </c>
      <c r="G655" s="3"/>
      <c r="H655" s="3" t="str">
        <f>IFERROR(__xludf.DUMMYFUNCTION("""COMPUTED_VALUE"""),"07.10.2023")</f>
        <v>07.10.2023</v>
      </c>
      <c r="I655" s="4" t="str">
        <f>IFERROR(__xludf.DUMMYFUNCTION("""COMPUTED_VALUE"""),"נירים")</f>
        <v>נירים</v>
      </c>
      <c r="J655" s="4" t="str">
        <f>IFERROR(__xludf.DUMMYFUNCTION("""COMPUTED_VALUE"""),"אזרחים וכיתות כוננות")</f>
        <v>אזרחים וכיתות כוננות</v>
      </c>
      <c r="K655" s="5"/>
      <c r="L655" s="3" t="str">
        <f>IFERROR(__xludf.DUMMYFUNCTION("""COMPUTED_VALUE"""),"Gidon Bavani")</f>
        <v>Gidon Bavani</v>
      </c>
      <c r="M655" s="5"/>
    </row>
    <row r="656">
      <c r="A656" s="3">
        <f>IFERROR(__xludf.DUMMYFUNCTION("""COMPUTED_VALUE"""),664.0)</f>
        <v>664</v>
      </c>
      <c r="B656" s="2" t="str">
        <f>IFERROR(__xludf.DUMMYFUNCTION("""COMPUTED_VALUE"""),"מאיר דורון")</f>
        <v>מאיר דורון</v>
      </c>
      <c r="C656" s="3">
        <f>IFERROR(__xludf.DUMMYFUNCTION("""COMPUTED_VALUE"""),58.0)</f>
        <v>58</v>
      </c>
      <c r="D656" s="5" t="str">
        <f>IFERROR(__xludf.DUMMYFUNCTION("""COMPUTED_VALUE"""),"נירים")</f>
        <v>נירים</v>
      </c>
      <c r="E656" s="5" t="str">
        <f>IFERROR(__xludf.DUMMYFUNCTION("""COMPUTED_VALUE"""),"גבר")</f>
        <v>גבר</v>
      </c>
      <c r="F656" s="5" t="str">
        <f>IFERROR(__xludf.DUMMYFUNCTION("""COMPUTED_VALUE"""),"אזרחים")</f>
        <v>אזרחים</v>
      </c>
      <c r="G656" s="3"/>
      <c r="H656" s="3" t="str">
        <f>IFERROR(__xludf.DUMMYFUNCTION("""COMPUTED_VALUE"""),"07.10.2023")</f>
        <v>07.10.2023</v>
      </c>
      <c r="I656" s="4" t="str">
        <f>IFERROR(__xludf.DUMMYFUNCTION("""COMPUTED_VALUE"""),"נירים")</f>
        <v>נירים</v>
      </c>
      <c r="J656" s="4" t="str">
        <f>IFERROR(__xludf.DUMMYFUNCTION("""COMPUTED_VALUE"""),"אזרחים וכיתות כוננות")</f>
        <v>אזרחים וכיתות כוננות</v>
      </c>
      <c r="K656" s="5"/>
      <c r="L656" s="3" t="str">
        <f>IFERROR(__xludf.DUMMYFUNCTION("""COMPUTED_VALUE"""),"Doron Meir")</f>
        <v>Doron Meir</v>
      </c>
      <c r="M656" s="5"/>
    </row>
    <row r="657">
      <c r="A657" s="3">
        <f>IFERROR(__xludf.DUMMYFUNCTION("""COMPUTED_VALUE"""),663.0)</f>
        <v>663</v>
      </c>
      <c r="B657" s="4" t="str">
        <f>IFERROR(__xludf.DUMMYFUNCTION("""COMPUTED_VALUE"""),"מאיר מור")</f>
        <v>מאיר מור</v>
      </c>
      <c r="C657" s="3">
        <f>IFERROR(__xludf.DUMMYFUNCTION("""COMPUTED_VALUE"""),17.0)</f>
        <v>17</v>
      </c>
      <c r="D657" s="5" t="str">
        <f>IFERROR(__xludf.DUMMYFUNCTION("""COMPUTED_VALUE"""),"נירים")</f>
        <v>נירים</v>
      </c>
      <c r="E657" s="5" t="str">
        <f>IFERROR(__xludf.DUMMYFUNCTION("""COMPUTED_VALUE"""),"ילדה")</f>
        <v>ילדה</v>
      </c>
      <c r="F657" s="5" t="str">
        <f>IFERROR(__xludf.DUMMYFUNCTION("""COMPUTED_VALUE"""),"אזרחים")</f>
        <v>אזרחים</v>
      </c>
      <c r="G657" s="3"/>
      <c r="H657" s="3" t="str">
        <f>IFERROR(__xludf.DUMMYFUNCTION("""COMPUTED_VALUE"""),"07.10.2023")</f>
        <v>07.10.2023</v>
      </c>
      <c r="I657" s="4" t="str">
        <f>IFERROR(__xludf.DUMMYFUNCTION("""COMPUTED_VALUE"""),"נירים")</f>
        <v>נירים</v>
      </c>
      <c r="J657" s="4" t="str">
        <f>IFERROR(__xludf.DUMMYFUNCTION("""COMPUTED_VALUE"""),"אזרחים וכיתות כוננות")</f>
        <v>אזרחים וכיתות כוננות</v>
      </c>
      <c r="K657" s="5"/>
      <c r="L657" s="3" t="str">
        <f>IFERROR(__xludf.DUMMYFUNCTION("""COMPUTED_VALUE"""),"Mor Meir")</f>
        <v>Mor Meir</v>
      </c>
      <c r="M657" s="5"/>
    </row>
    <row r="658">
      <c r="A658" s="3">
        <f>IFERROR(__xludf.DUMMYFUNCTION("""COMPUTED_VALUE"""),667.0)</f>
        <v>667</v>
      </c>
      <c r="B658" s="4" t="str">
        <f>IFERROR(__xludf.DUMMYFUNCTION("""COMPUTED_VALUE"""),"פופלוול רועי")</f>
        <v>פופלוול רועי</v>
      </c>
      <c r="C658" s="3">
        <f>IFERROR(__xludf.DUMMYFUNCTION("""COMPUTED_VALUE"""),54.0)</f>
        <v>54</v>
      </c>
      <c r="D658" s="5" t="str">
        <f>IFERROR(__xludf.DUMMYFUNCTION("""COMPUTED_VALUE"""),"נירים")</f>
        <v>נירים</v>
      </c>
      <c r="E658" s="5" t="str">
        <f>IFERROR(__xludf.DUMMYFUNCTION("""COMPUTED_VALUE"""),"גבר")</f>
        <v>גבר</v>
      </c>
      <c r="F658" s="5" t="str">
        <f>IFERROR(__xludf.DUMMYFUNCTION("""COMPUTED_VALUE"""),"אזרחים")</f>
        <v>אזרחים</v>
      </c>
      <c r="G658" s="3"/>
      <c r="H658" s="3" t="str">
        <f>IFERROR(__xludf.DUMMYFUNCTION("""COMPUTED_VALUE"""),"07.10.2023")</f>
        <v>07.10.2023</v>
      </c>
      <c r="I658" s="4" t="str">
        <f>IFERROR(__xludf.DUMMYFUNCTION("""COMPUTED_VALUE"""),"נירים")</f>
        <v>נירים</v>
      </c>
      <c r="J658" s="4" t="str">
        <f>IFERROR(__xludf.DUMMYFUNCTION("""COMPUTED_VALUE"""),"אזרחים וכיתות כוננות")</f>
        <v>אזרחים וכיתות כוננות</v>
      </c>
      <c r="K658" s="5"/>
      <c r="L658" s="3" t="str">
        <f>IFERROR(__xludf.DUMMYFUNCTION("""COMPUTED_VALUE"""),"Roey Popplewell")</f>
        <v>Roey Popplewell</v>
      </c>
      <c r="M658" s="5"/>
    </row>
    <row r="659">
      <c r="A659" s="3">
        <f>IFERROR(__xludf.DUMMYFUNCTION("""COMPUTED_VALUE"""),1174.0)</f>
        <v>1174</v>
      </c>
      <c r="B659" s="4" t="str">
        <f>IFERROR(__xludf.DUMMYFUNCTION("""COMPUTED_VALUE"""),"כהן ברנרד (פול)")</f>
        <v>כהן ברנרד (פול)</v>
      </c>
      <c r="C659" s="3">
        <f>IFERROR(__xludf.DUMMYFUNCTION("""COMPUTED_VALUE"""),57.0)</f>
        <v>57</v>
      </c>
      <c r="D659" s="5" t="str">
        <f>IFERROR(__xludf.DUMMYFUNCTION("""COMPUTED_VALUE"""),"סופה")</f>
        <v>סופה</v>
      </c>
      <c r="E659" s="5" t="str">
        <f>IFERROR(__xludf.DUMMYFUNCTION("""COMPUTED_VALUE"""),"גבר")</f>
        <v>גבר</v>
      </c>
      <c r="F659" s="5" t="str">
        <f>IFERROR(__xludf.DUMMYFUNCTION("""COMPUTED_VALUE"""),"אזרחים")</f>
        <v>אזרחים</v>
      </c>
      <c r="G659" s="3"/>
      <c r="H659" s="3" t="str">
        <f>IFERROR(__xludf.DUMMYFUNCTION("""COMPUTED_VALUE"""),"07.10.2023")</f>
        <v>07.10.2023</v>
      </c>
      <c r="I659" s="4" t="str">
        <f>IFERROR(__xludf.DUMMYFUNCTION("""COMPUTED_VALUE"""),"סופה")</f>
        <v>סופה</v>
      </c>
      <c r="J659" s="4" t="str">
        <f>IFERROR(__xludf.DUMMYFUNCTION("""COMPUTED_VALUE"""),"אזרחים וכיתות כוננות")</f>
        <v>אזרחים וכיתות כוננות</v>
      </c>
      <c r="K659" s="5"/>
      <c r="L659" s="3" t="str">
        <f>IFERROR(__xludf.DUMMYFUNCTION("""COMPUTED_VALUE"""),"Bernard Cohen")</f>
        <v>Bernard Cohen</v>
      </c>
      <c r="M659" s="5"/>
    </row>
    <row r="660">
      <c r="A660" s="3">
        <f>IFERROR(__xludf.DUMMYFUNCTION("""COMPUTED_VALUE"""),201.0)</f>
        <v>201</v>
      </c>
      <c r="B660" s="4" t="str">
        <f>IFERROR(__xludf.DUMMYFUNCTION("""COMPUTED_VALUE"""),"גלזברג נועה")</f>
        <v>גלזברג נועה</v>
      </c>
      <c r="C660" s="3">
        <f>IFERROR(__xludf.DUMMYFUNCTION("""COMPUTED_VALUE"""),43.0)</f>
        <v>43</v>
      </c>
      <c r="D660" s="5" t="str">
        <f>IFERROR(__xludf.DUMMYFUNCTION("""COMPUTED_VALUE"""),"עין השלושה")</f>
        <v>עין השלושה</v>
      </c>
      <c r="E660" s="5" t="str">
        <f>IFERROR(__xludf.DUMMYFUNCTION("""COMPUTED_VALUE"""),"אישה")</f>
        <v>אישה</v>
      </c>
      <c r="F660" s="5" t="str">
        <f>IFERROR(__xludf.DUMMYFUNCTION("""COMPUTED_VALUE"""),"אזרחים")</f>
        <v>אזרחים</v>
      </c>
      <c r="G660" s="3"/>
      <c r="H660" s="3" t="str">
        <f>IFERROR(__xludf.DUMMYFUNCTION("""COMPUTED_VALUE"""),"07.10.2023")</f>
        <v>07.10.2023</v>
      </c>
      <c r="I660" s="4" t="str">
        <f>IFERROR(__xludf.DUMMYFUNCTION("""COMPUTED_VALUE"""),"עין השלושה")</f>
        <v>עין השלושה</v>
      </c>
      <c r="J660" s="4" t="str">
        <f>IFERROR(__xludf.DUMMYFUNCTION("""COMPUTED_VALUE"""),"אזרחים וכיתות כוננות")</f>
        <v>אזרחים וכיתות כוננות</v>
      </c>
      <c r="K660" s="5"/>
      <c r="L660" s="3" t="str">
        <f>IFERROR(__xludf.DUMMYFUNCTION("""COMPUTED_VALUE"""),"Noa Glazberg")</f>
        <v>Noa Glazberg</v>
      </c>
      <c r="M660" s="5"/>
    </row>
    <row r="661">
      <c r="A661" s="3">
        <f>IFERROR(__xludf.DUMMYFUNCTION("""COMPUTED_VALUE"""),202.0)</f>
        <v>202</v>
      </c>
      <c r="B661" s="4" t="str">
        <f>IFERROR(__xludf.DUMMYFUNCTION("""COMPUTED_VALUE"""),"טליה מרסל")</f>
        <v>טליה מרסל</v>
      </c>
      <c r="C661" s="3">
        <f>IFERROR(__xludf.DUMMYFUNCTION("""COMPUTED_VALUE"""),63.0)</f>
        <v>63</v>
      </c>
      <c r="D661" s="5" t="str">
        <f>IFERROR(__xludf.DUMMYFUNCTION("""COMPUTED_VALUE"""),"קריית ארבע")</f>
        <v>קריית ארבע</v>
      </c>
      <c r="E661" s="5" t="str">
        <f>IFERROR(__xludf.DUMMYFUNCTION("""COMPUTED_VALUE"""),"אישה")</f>
        <v>אישה</v>
      </c>
      <c r="F661" s="5" t="str">
        <f>IFERROR(__xludf.DUMMYFUNCTION("""COMPUTED_VALUE"""),"אזרחים")</f>
        <v>אזרחים</v>
      </c>
      <c r="G661" s="3"/>
      <c r="H661" s="3" t="str">
        <f>IFERROR(__xludf.DUMMYFUNCTION("""COMPUTED_VALUE"""),"07.10.2023")</f>
        <v>07.10.2023</v>
      </c>
      <c r="I661" s="4" t="str">
        <f>IFERROR(__xludf.DUMMYFUNCTION("""COMPUTED_VALUE"""),"עין השלושה")</f>
        <v>עין השלושה</v>
      </c>
      <c r="J661" s="4" t="str">
        <f>IFERROR(__xludf.DUMMYFUNCTION("""COMPUTED_VALUE"""),"אזרחים וכיתות כוננות")</f>
        <v>אזרחים וכיתות כוננות</v>
      </c>
      <c r="K661" s="5"/>
      <c r="L661" s="3" t="str">
        <f>IFERROR(__xludf.DUMMYFUNCTION("""COMPUTED_VALUE"""),"Talia Marcel")</f>
        <v>Talia Marcel</v>
      </c>
      <c r="M661" s="5"/>
    </row>
    <row r="662">
      <c r="A662" s="3">
        <f>IFERROR(__xludf.DUMMYFUNCTION("""COMPUTED_VALUE"""),1610.0)</f>
        <v>1610</v>
      </c>
      <c r="B662" s="4" t="str">
        <f>IFERROR(__xludf.DUMMYFUNCTION("""COMPUTED_VALUE"""),"ליפשיץ אולג")</f>
        <v>ליפשיץ אולג</v>
      </c>
      <c r="C662" s="3">
        <f>IFERROR(__xludf.DUMMYFUNCTION("""COMPUTED_VALUE"""),61.0)</f>
        <v>61</v>
      </c>
      <c r="D662" s="5" t="str">
        <f>IFERROR(__xludf.DUMMYFUNCTION("""COMPUTED_VALUE"""),"אשקלון")</f>
        <v>אשקלון</v>
      </c>
      <c r="E662" s="5" t="str">
        <f>IFERROR(__xludf.DUMMYFUNCTION("""COMPUTED_VALUE"""),"גבר")</f>
        <v>גבר</v>
      </c>
      <c r="F662" s="5" t="str">
        <f>IFERROR(__xludf.DUMMYFUNCTION("""COMPUTED_VALUE"""),"אזרחים")</f>
        <v>אזרחים</v>
      </c>
      <c r="G662" s="3"/>
      <c r="H662" s="3" t="str">
        <f>IFERROR(__xludf.DUMMYFUNCTION("""COMPUTED_VALUE"""),"07.10.2023")</f>
        <v>07.10.2023</v>
      </c>
      <c r="I662" s="4" t="str">
        <f>IFERROR(__xludf.DUMMYFUNCTION("""COMPUTED_VALUE"""),"צומת גמה")</f>
        <v>צומת גמה</v>
      </c>
      <c r="J662" s="4" t="str">
        <f>IFERROR(__xludf.DUMMYFUNCTION("""COMPUTED_VALUE"""),"אזרחים וכיתות כוננות")</f>
        <v>אזרחים וכיתות כוננות</v>
      </c>
      <c r="K662" s="5"/>
      <c r="L662" s="3" t="str">
        <f>IFERROR(__xludf.DUMMYFUNCTION("""COMPUTED_VALUE"""),"Olag Lifshitz")</f>
        <v>Olag Lifshitz</v>
      </c>
      <c r="M662" s="5"/>
    </row>
    <row r="663">
      <c r="A663" s="3">
        <f>IFERROR(__xludf.DUMMYFUNCTION("""COMPUTED_VALUE"""),203.0)</f>
        <v>203</v>
      </c>
      <c r="B663" s="4" t="str">
        <f>IFERROR(__xludf.DUMMYFUNCTION("""COMPUTED_VALUE"""),"מרנסקי סילביה")</f>
        <v>מרנסקי סילביה</v>
      </c>
      <c r="C663" s="3">
        <f>IFERROR(__xludf.DUMMYFUNCTION("""COMPUTED_VALUE"""),80.0)</f>
        <v>80</v>
      </c>
      <c r="D663" s="5" t="str">
        <f>IFERROR(__xludf.DUMMYFUNCTION("""COMPUTED_VALUE"""),"עין השלושה")</f>
        <v>עין השלושה</v>
      </c>
      <c r="E663" s="5" t="str">
        <f>IFERROR(__xludf.DUMMYFUNCTION("""COMPUTED_VALUE"""),"אישה")</f>
        <v>אישה</v>
      </c>
      <c r="F663" s="5" t="str">
        <f>IFERROR(__xludf.DUMMYFUNCTION("""COMPUTED_VALUE"""),"אזרחים")</f>
        <v>אזרחים</v>
      </c>
      <c r="G663" s="3"/>
      <c r="H663" s="3" t="str">
        <f>IFERROR(__xludf.DUMMYFUNCTION("""COMPUTED_VALUE"""),"07.10.2023")</f>
        <v>07.10.2023</v>
      </c>
      <c r="I663" s="4" t="str">
        <f>IFERROR(__xludf.DUMMYFUNCTION("""COMPUTED_VALUE"""),"עין השלושה")</f>
        <v>עין השלושה</v>
      </c>
      <c r="J663" s="4" t="str">
        <f>IFERROR(__xludf.DUMMYFUNCTION("""COMPUTED_VALUE"""),"אזרחים וכיתות כוננות")</f>
        <v>אזרחים וכיתות כוננות</v>
      </c>
      <c r="K663" s="5"/>
      <c r="L663" s="3" t="str">
        <f>IFERROR(__xludf.DUMMYFUNCTION("""COMPUTED_VALUE"""),"Silvia Marnasky")</f>
        <v>Silvia Marnasky</v>
      </c>
      <c r="M663" s="5"/>
    </row>
    <row r="664">
      <c r="A664" s="3">
        <f>IFERROR(__xludf.DUMMYFUNCTION("""COMPUTED_VALUE"""),11.0)</f>
        <v>11</v>
      </c>
      <c r="B664" s="4" t="str">
        <f>IFERROR(__xludf.DUMMYFUNCTION("""COMPUTED_VALUE"""),"Bista Dipesh Raj")</f>
        <v>Bista Dipesh Raj</v>
      </c>
      <c r="C664" s="3">
        <f>IFERROR(__xludf.DUMMYFUNCTION("""COMPUTED_VALUE"""),24.0)</f>
        <v>24</v>
      </c>
      <c r="D664" s="5" t="str">
        <f>IFERROR(__xludf.DUMMYFUNCTION("""COMPUTED_VALUE"""),"נפאל")</f>
        <v>נפאל</v>
      </c>
      <c r="E664" s="5" t="str">
        <f>IFERROR(__xludf.DUMMYFUNCTION("""COMPUTED_VALUE"""),"גבר")</f>
        <v>גבר</v>
      </c>
      <c r="F664" s="5" t="str">
        <f>IFERROR(__xludf.DUMMYFUNCTION("""COMPUTED_VALUE"""),"אזרחים זרים")</f>
        <v>אזרחים זרים</v>
      </c>
      <c r="G664" s="3"/>
      <c r="H664" s="3" t="str">
        <f>IFERROR(__xludf.DUMMYFUNCTION("""COMPUTED_VALUE"""),"07.10.2023")</f>
        <v>07.10.2023</v>
      </c>
      <c r="I664" s="4" t="str">
        <f>IFERROR(__xludf.DUMMYFUNCTION("""COMPUTED_VALUE"""),"עלומים; מגורי עובדים")</f>
        <v>עלומים; מגורי עובדים</v>
      </c>
      <c r="J664" s="4" t="str">
        <f>IFERROR(__xludf.DUMMYFUNCTION("""COMPUTED_VALUE"""),"אזרחים וכיתות כוננות")</f>
        <v>אזרחים וכיתות כוננות</v>
      </c>
      <c r="K664" s="5"/>
      <c r="L664" s="3" t="str">
        <f>IFERROR(__xludf.DUMMYFUNCTION("""COMPUTED_VALUE"""),"Dipesh Raj Bista")</f>
        <v>Dipesh Raj Bista</v>
      </c>
      <c r="M664" s="5"/>
    </row>
    <row r="665">
      <c r="A665" s="3">
        <f>IFERROR(__xludf.DUMMYFUNCTION("""COMPUTED_VALUE"""),14.0)</f>
        <v>14</v>
      </c>
      <c r="B665" s="4" t="str">
        <f>IFERROR(__xludf.DUMMYFUNCTION("""COMPUTED_VALUE"""),"Chaudhary Ashish")</f>
        <v>Chaudhary Ashish</v>
      </c>
      <c r="C665" s="3">
        <f>IFERROR(__xludf.DUMMYFUNCTION("""COMPUTED_VALUE"""),25.0)</f>
        <v>25</v>
      </c>
      <c r="D665" s="5" t="str">
        <f>IFERROR(__xludf.DUMMYFUNCTION("""COMPUTED_VALUE"""),"נפאל")</f>
        <v>נפאל</v>
      </c>
      <c r="E665" s="5" t="str">
        <f>IFERROR(__xludf.DUMMYFUNCTION("""COMPUTED_VALUE"""),"גבר")</f>
        <v>גבר</v>
      </c>
      <c r="F665" s="5" t="str">
        <f>IFERROR(__xludf.DUMMYFUNCTION("""COMPUTED_VALUE"""),"אזרחים זרים")</f>
        <v>אזרחים זרים</v>
      </c>
      <c r="G665" s="3"/>
      <c r="H665" s="3" t="str">
        <f>IFERROR(__xludf.DUMMYFUNCTION("""COMPUTED_VALUE"""),"07.10.2023")</f>
        <v>07.10.2023</v>
      </c>
      <c r="I665" s="4" t="str">
        <f>IFERROR(__xludf.DUMMYFUNCTION("""COMPUTED_VALUE"""),"עלומים; מגורי עובדים")</f>
        <v>עלומים; מגורי עובדים</v>
      </c>
      <c r="J665" s="2" t="str">
        <f>IFERROR(__xludf.DUMMYFUNCTION("""COMPUTED_VALUE"""),"אזרחים וכיתות כוננות")</f>
        <v>אזרחים וכיתות כוננות</v>
      </c>
      <c r="K665" s="5"/>
      <c r="L665" s="3" t="str">
        <f>IFERROR(__xludf.DUMMYFUNCTION("""COMPUTED_VALUE"""),"Chaudhary Ashish")</f>
        <v>Chaudhary Ashish</v>
      </c>
      <c r="M665" s="5"/>
    </row>
    <row r="666">
      <c r="A666" s="3">
        <f>IFERROR(__xludf.DUMMYFUNCTION("""COMPUTED_VALUE"""),16.0)</f>
        <v>16</v>
      </c>
      <c r="B666" s="2" t="str">
        <f>IFERROR(__xludf.DUMMYFUNCTION("""COMPUTED_VALUE"""),"Lekendora Sing Dahami")</f>
        <v>Lekendora Sing Dahami</v>
      </c>
      <c r="C666" s="3">
        <f>IFERROR(__xludf.DUMMYFUNCTION("""COMPUTED_VALUE"""),24.0)</f>
        <v>24</v>
      </c>
      <c r="D666" s="5" t="str">
        <f>IFERROR(__xludf.DUMMYFUNCTION("""COMPUTED_VALUE"""),"נפאל")</f>
        <v>נפאל</v>
      </c>
      <c r="E666" s="5" t="str">
        <f>IFERROR(__xludf.DUMMYFUNCTION("""COMPUTED_VALUE"""),"גבר")</f>
        <v>גבר</v>
      </c>
      <c r="F666" s="5" t="str">
        <f>IFERROR(__xludf.DUMMYFUNCTION("""COMPUTED_VALUE"""),"אזרחים זרים")</f>
        <v>אזרחים זרים</v>
      </c>
      <c r="G666" s="3"/>
      <c r="H666" s="3" t="str">
        <f>IFERROR(__xludf.DUMMYFUNCTION("""COMPUTED_VALUE"""),"07.10.2023")</f>
        <v>07.10.2023</v>
      </c>
      <c r="I666" s="4" t="str">
        <f>IFERROR(__xludf.DUMMYFUNCTION("""COMPUTED_VALUE"""),"עלומים; מגורי עובדים")</f>
        <v>עלומים; מגורי עובדים</v>
      </c>
      <c r="J666" s="4" t="str">
        <f>IFERROR(__xludf.DUMMYFUNCTION("""COMPUTED_VALUE"""),"אזרחים וכיתות כוננות")</f>
        <v>אזרחים וכיתות כוננות</v>
      </c>
      <c r="K666" s="5"/>
      <c r="L666" s="3" t="str">
        <f>IFERROR(__xludf.DUMMYFUNCTION("""COMPUTED_VALUE"""),"Lekendora Sing Dahami")</f>
        <v>Lekendora Sing Dahami</v>
      </c>
      <c r="M666" s="5"/>
    </row>
    <row r="667">
      <c r="A667" s="3">
        <f>IFERROR(__xludf.DUMMYFUNCTION("""COMPUTED_VALUE"""),12.0)</f>
        <v>12</v>
      </c>
      <c r="B667" s="2" t="str">
        <f>IFERROR(__xludf.DUMMYFUNCTION("""COMPUTED_VALUE"""),"Nepali Ganesh Kumar")</f>
        <v>Nepali Ganesh Kumar</v>
      </c>
      <c r="C667" s="3">
        <f>IFERROR(__xludf.DUMMYFUNCTION("""COMPUTED_VALUE"""),24.0)</f>
        <v>24</v>
      </c>
      <c r="D667" s="5" t="str">
        <f>IFERROR(__xludf.DUMMYFUNCTION("""COMPUTED_VALUE"""),"נפאל")</f>
        <v>נפאל</v>
      </c>
      <c r="E667" s="5" t="str">
        <f>IFERROR(__xludf.DUMMYFUNCTION("""COMPUTED_VALUE"""),"גבר")</f>
        <v>גבר</v>
      </c>
      <c r="F667" s="5" t="str">
        <f>IFERROR(__xludf.DUMMYFUNCTION("""COMPUTED_VALUE"""),"אזרחים זרים")</f>
        <v>אזרחים זרים</v>
      </c>
      <c r="G667" s="3"/>
      <c r="H667" s="3" t="str">
        <f>IFERROR(__xludf.DUMMYFUNCTION("""COMPUTED_VALUE"""),"07.10.2023")</f>
        <v>07.10.2023</v>
      </c>
      <c r="I667" s="4" t="str">
        <f>IFERROR(__xludf.DUMMYFUNCTION("""COMPUTED_VALUE"""),"עלומים; מגורי עובדים")</f>
        <v>עלומים; מגורי עובדים</v>
      </c>
      <c r="J667" s="2" t="str">
        <f>IFERROR(__xludf.DUMMYFUNCTION("""COMPUTED_VALUE"""),"אזרחים וכיתות כוננות")</f>
        <v>אזרחים וכיתות כוננות</v>
      </c>
      <c r="K667" s="5"/>
      <c r="L667" s="3" t="str">
        <f>IFERROR(__xludf.DUMMYFUNCTION("""COMPUTED_VALUE"""),"Ganesh Kumar Nepali")</f>
        <v>Ganesh Kumar Nepali</v>
      </c>
      <c r="M667" s="5"/>
    </row>
    <row r="668">
      <c r="A668" s="3">
        <f>IFERROR(__xludf.DUMMYFUNCTION("""COMPUTED_VALUE"""),17.0)</f>
        <v>17</v>
      </c>
      <c r="B668" s="2" t="str">
        <f>IFERROR(__xludf.DUMMYFUNCTION("""COMPUTED_VALUE"""),"Neupane Narayan Prasad")</f>
        <v>Neupane Narayan Prasad</v>
      </c>
      <c r="C668" s="3">
        <f>IFERROR(__xludf.DUMMYFUNCTION("""COMPUTED_VALUE"""),25.0)</f>
        <v>25</v>
      </c>
      <c r="D668" s="5" t="str">
        <f>IFERROR(__xludf.DUMMYFUNCTION("""COMPUTED_VALUE"""),"נפאל")</f>
        <v>נפאל</v>
      </c>
      <c r="E668" s="5" t="str">
        <f>IFERROR(__xludf.DUMMYFUNCTION("""COMPUTED_VALUE"""),"גבר")</f>
        <v>גבר</v>
      </c>
      <c r="F668" s="5" t="str">
        <f>IFERROR(__xludf.DUMMYFUNCTION("""COMPUTED_VALUE"""),"אזרחים זרים")</f>
        <v>אזרחים זרים</v>
      </c>
      <c r="G668" s="3"/>
      <c r="H668" s="3" t="str">
        <f>IFERROR(__xludf.DUMMYFUNCTION("""COMPUTED_VALUE"""),"07.10.2023")</f>
        <v>07.10.2023</v>
      </c>
      <c r="I668" s="4" t="str">
        <f>IFERROR(__xludf.DUMMYFUNCTION("""COMPUTED_VALUE"""),"עלומים; מגורי עובדים")</f>
        <v>עלומים; מגורי עובדים</v>
      </c>
      <c r="J668" s="4" t="str">
        <f>IFERROR(__xludf.DUMMYFUNCTION("""COMPUTED_VALUE"""),"אזרחים וכיתות כוננות")</f>
        <v>אזרחים וכיתות כוננות</v>
      </c>
      <c r="K668" s="5"/>
      <c r="L668" s="3" t="str">
        <f>IFERROR(__xludf.DUMMYFUNCTION("""COMPUTED_VALUE"""),"Neupane Narayan Prasad")</f>
        <v>Neupane Narayan Prasad</v>
      </c>
      <c r="M668" s="5"/>
    </row>
    <row r="669">
      <c r="A669" s="3">
        <f>IFERROR(__xludf.DUMMYFUNCTION("""COMPUTED_VALUE"""),15.0)</f>
        <v>15</v>
      </c>
      <c r="B669" s="2" t="str">
        <f>IFERROR(__xludf.DUMMYFUNCTION("""COMPUTED_VALUE"""),"Phulara Rajan")</f>
        <v>Phulara Rajan</v>
      </c>
      <c r="C669" s="3">
        <f>IFERROR(__xludf.DUMMYFUNCTION("""COMPUTED_VALUE"""),23.0)</f>
        <v>23</v>
      </c>
      <c r="D669" s="5" t="str">
        <f>IFERROR(__xludf.DUMMYFUNCTION("""COMPUTED_VALUE"""),"נפאל")</f>
        <v>נפאל</v>
      </c>
      <c r="E669" s="5" t="str">
        <f>IFERROR(__xludf.DUMMYFUNCTION("""COMPUTED_VALUE"""),"גבר")</f>
        <v>גבר</v>
      </c>
      <c r="F669" s="5" t="str">
        <f>IFERROR(__xludf.DUMMYFUNCTION("""COMPUTED_VALUE"""),"אזרחים זרים")</f>
        <v>אזרחים זרים</v>
      </c>
      <c r="G669" s="3"/>
      <c r="H669" s="3" t="str">
        <f>IFERROR(__xludf.DUMMYFUNCTION("""COMPUTED_VALUE"""),"07.10.2023")</f>
        <v>07.10.2023</v>
      </c>
      <c r="I669" s="4" t="str">
        <f>IFERROR(__xludf.DUMMYFUNCTION("""COMPUTED_VALUE"""),"עלומים; מגורי עובדים")</f>
        <v>עלומים; מגורי עובדים</v>
      </c>
      <c r="J669" s="4" t="str">
        <f>IFERROR(__xludf.DUMMYFUNCTION("""COMPUTED_VALUE"""),"אזרחים וכיתות כוננות")</f>
        <v>אזרחים וכיתות כוננות</v>
      </c>
      <c r="K669" s="5"/>
      <c r="L669" s="3" t="str">
        <f>IFERROR(__xludf.DUMMYFUNCTION("""COMPUTED_VALUE"""),"Phulara Rajan")</f>
        <v>Phulara Rajan</v>
      </c>
      <c r="M669" s="5"/>
    </row>
    <row r="670">
      <c r="A670" s="3">
        <f>IFERROR(__xludf.DUMMYFUNCTION("""COMPUTED_VALUE"""),22.0)</f>
        <v>22</v>
      </c>
      <c r="B670" s="2" t="str">
        <f>IFERROR(__xludf.DUMMYFUNCTION("""COMPUTED_VALUE"""),"Prabesh Bhandari")</f>
        <v>Prabesh Bhandari</v>
      </c>
      <c r="C670" s="3">
        <f>IFERROR(__xludf.DUMMYFUNCTION("""COMPUTED_VALUE"""),24.0)</f>
        <v>24</v>
      </c>
      <c r="D670" s="5" t="str">
        <f>IFERROR(__xludf.DUMMYFUNCTION("""COMPUTED_VALUE"""),"נפאל")</f>
        <v>נפאל</v>
      </c>
      <c r="E670" s="5" t="str">
        <f>IFERROR(__xludf.DUMMYFUNCTION("""COMPUTED_VALUE"""),"גבר")</f>
        <v>גבר</v>
      </c>
      <c r="F670" s="5" t="str">
        <f>IFERROR(__xludf.DUMMYFUNCTION("""COMPUTED_VALUE"""),"אזרחים זרים")</f>
        <v>אזרחים זרים</v>
      </c>
      <c r="G670" s="3"/>
      <c r="H670" s="3" t="str">
        <f>IFERROR(__xludf.DUMMYFUNCTION("""COMPUTED_VALUE"""),"07.10.2023")</f>
        <v>07.10.2023</v>
      </c>
      <c r="I670" s="4" t="str">
        <f>IFERROR(__xludf.DUMMYFUNCTION("""COMPUTED_VALUE"""),"עלומים; מגורי עובדים")</f>
        <v>עלומים; מגורי עובדים</v>
      </c>
      <c r="J670" s="4" t="str">
        <f>IFERROR(__xludf.DUMMYFUNCTION("""COMPUTED_VALUE"""),"אזרחים וכיתות כוננות")</f>
        <v>אזרחים וכיתות כוננות</v>
      </c>
      <c r="K670" s="5"/>
      <c r="L670" s="3" t="str">
        <f>IFERROR(__xludf.DUMMYFUNCTION("""COMPUTED_VALUE"""),"Prabesh Bhandari")</f>
        <v>Prabesh Bhandari</v>
      </c>
      <c r="M670" s="5"/>
    </row>
    <row r="671">
      <c r="A671" s="3">
        <f>IFERROR(__xludf.DUMMYFUNCTION("""COMPUTED_VALUE"""),20.0)</f>
        <v>20</v>
      </c>
      <c r="B671" s="2" t="str">
        <f>IFERROR(__xludf.DUMMYFUNCTION("""COMPUTED_VALUE"""),"Shah Ananda")</f>
        <v>Shah Ananda</v>
      </c>
      <c r="C671" s="3">
        <f>IFERROR(__xludf.DUMMYFUNCTION("""COMPUTED_VALUE"""),22.0)</f>
        <v>22</v>
      </c>
      <c r="D671" s="5" t="str">
        <f>IFERROR(__xludf.DUMMYFUNCTION("""COMPUTED_VALUE"""),"נפאל")</f>
        <v>נפאל</v>
      </c>
      <c r="E671" s="5" t="str">
        <f>IFERROR(__xludf.DUMMYFUNCTION("""COMPUTED_VALUE"""),"גבר")</f>
        <v>גבר</v>
      </c>
      <c r="F671" s="5" t="str">
        <f>IFERROR(__xludf.DUMMYFUNCTION("""COMPUTED_VALUE"""),"אזרחים זרים")</f>
        <v>אזרחים זרים</v>
      </c>
      <c r="G671" s="3"/>
      <c r="H671" s="3" t="str">
        <f>IFERROR(__xludf.DUMMYFUNCTION("""COMPUTED_VALUE"""),"07.10.2023")</f>
        <v>07.10.2023</v>
      </c>
      <c r="I671" s="4" t="str">
        <f>IFERROR(__xludf.DUMMYFUNCTION("""COMPUTED_VALUE"""),"עלומים; מגורי עובדים")</f>
        <v>עלומים; מגורי עובדים</v>
      </c>
      <c r="J671" s="2" t="str">
        <f>IFERROR(__xludf.DUMMYFUNCTION("""COMPUTED_VALUE"""),"אזרחים וכיתות כוננות")</f>
        <v>אזרחים וכיתות כוננות</v>
      </c>
      <c r="K671" s="5"/>
      <c r="L671" s="3" t="str">
        <f>IFERROR(__xludf.DUMMYFUNCTION("""COMPUTED_VALUE"""),"Shah Ananda")</f>
        <v>Shah Ananda</v>
      </c>
      <c r="M671" s="5"/>
    </row>
    <row r="672">
      <c r="A672" s="3">
        <f>IFERROR(__xludf.DUMMYFUNCTION("""COMPUTED_VALUE"""),21.0)</f>
        <v>21</v>
      </c>
      <c r="B672" s="2" t="str">
        <f>IFERROR(__xludf.DUMMYFUNCTION("""COMPUTED_VALUE"""),"Swarnakar Rajesh Kumar")</f>
        <v>Swarnakar Rajesh Kumar</v>
      </c>
      <c r="C672" s="3">
        <f>IFERROR(__xludf.DUMMYFUNCTION("""COMPUTED_VALUE"""),25.0)</f>
        <v>25</v>
      </c>
      <c r="D672" s="5" t="str">
        <f>IFERROR(__xludf.DUMMYFUNCTION("""COMPUTED_VALUE"""),"נפאל")</f>
        <v>נפאל</v>
      </c>
      <c r="E672" s="5" t="str">
        <f>IFERROR(__xludf.DUMMYFUNCTION("""COMPUTED_VALUE"""),"גבר")</f>
        <v>גבר</v>
      </c>
      <c r="F672" s="5" t="str">
        <f>IFERROR(__xludf.DUMMYFUNCTION("""COMPUTED_VALUE"""),"אזרחים זרים")</f>
        <v>אזרחים זרים</v>
      </c>
      <c r="G672" s="3"/>
      <c r="H672" s="3" t="str">
        <f>IFERROR(__xludf.DUMMYFUNCTION("""COMPUTED_VALUE"""),"07.10.2023")</f>
        <v>07.10.2023</v>
      </c>
      <c r="I672" s="4" t="str">
        <f>IFERROR(__xludf.DUMMYFUNCTION("""COMPUTED_VALUE"""),"עלומים; מגורי עובדים")</f>
        <v>עלומים; מגורי עובדים</v>
      </c>
      <c r="J672" s="4" t="str">
        <f>IFERROR(__xludf.DUMMYFUNCTION("""COMPUTED_VALUE"""),"אזרחים וכיתות כוננות")</f>
        <v>אזרחים וכיתות כוננות</v>
      </c>
      <c r="K672" s="5"/>
      <c r="L672" s="3" t="str">
        <f>IFERROR(__xludf.DUMMYFUNCTION("""COMPUTED_VALUE"""),"Swarnakar Raj Kumar")</f>
        <v>Swarnakar Raj Kumar</v>
      </c>
      <c r="M672" s="5"/>
    </row>
    <row r="673">
      <c r="A673" s="3">
        <f>IFERROR(__xludf.DUMMYFUNCTION("""COMPUTED_VALUE"""),13.0)</f>
        <v>13</v>
      </c>
      <c r="B673" s="2" t="str">
        <f>IFERROR(__xludf.DUMMYFUNCTION("""COMPUTED_VALUE"""),"Thapa Padam")</f>
        <v>Thapa Padam</v>
      </c>
      <c r="C673" s="3">
        <f>IFERROR(__xludf.DUMMYFUNCTION("""COMPUTED_VALUE"""),22.0)</f>
        <v>22</v>
      </c>
      <c r="D673" s="5" t="str">
        <f>IFERROR(__xludf.DUMMYFUNCTION("""COMPUTED_VALUE"""),"נפאל")</f>
        <v>נפאל</v>
      </c>
      <c r="E673" s="5" t="str">
        <f>IFERROR(__xludf.DUMMYFUNCTION("""COMPUTED_VALUE"""),"גבר")</f>
        <v>גבר</v>
      </c>
      <c r="F673" s="5" t="str">
        <f>IFERROR(__xludf.DUMMYFUNCTION("""COMPUTED_VALUE"""),"אזרחים זרים")</f>
        <v>אזרחים זרים</v>
      </c>
      <c r="G673" s="3"/>
      <c r="H673" s="3" t="str">
        <f>IFERROR(__xludf.DUMMYFUNCTION("""COMPUTED_VALUE"""),"07.10.2023")</f>
        <v>07.10.2023</v>
      </c>
      <c r="I673" s="4" t="str">
        <f>IFERROR(__xludf.DUMMYFUNCTION("""COMPUTED_VALUE"""),"עלומים; מגורי עובדים")</f>
        <v>עלומים; מגורי עובדים</v>
      </c>
      <c r="J673" s="4" t="str">
        <f>IFERROR(__xludf.DUMMYFUNCTION("""COMPUTED_VALUE"""),"אזרחים וכיתות כוננות")</f>
        <v>אזרחים וכיתות כוננות</v>
      </c>
      <c r="K673" s="5"/>
      <c r="L673" s="3" t="str">
        <f>IFERROR(__xludf.DUMMYFUNCTION("""COMPUTED_VALUE"""),"Padam Thapa")</f>
        <v>Padam Thapa</v>
      </c>
      <c r="M673" s="5"/>
    </row>
    <row r="674">
      <c r="A674" s="3">
        <f>IFERROR(__xludf.DUMMYFUNCTION("""COMPUTED_VALUE"""),1731.0)</f>
        <v>1731</v>
      </c>
      <c r="B674" s="2" t="str">
        <f>IFERROR(__xludf.DUMMYFUNCTION("""COMPUTED_VALUE"""),"אוסטפנקו אליונה")</f>
        <v>אוסטפנקו אליונה</v>
      </c>
      <c r="C674" s="3">
        <f>IFERROR(__xludf.DUMMYFUNCTION("""COMPUTED_VALUE"""),25.0)</f>
        <v>25</v>
      </c>
      <c r="D674" s="5" t="str">
        <f>IFERROR(__xludf.DUMMYFUNCTION("""COMPUTED_VALUE"""),"נתיבות")</f>
        <v>נתיבות</v>
      </c>
      <c r="E674" s="5" t="str">
        <f>IFERROR(__xludf.DUMMYFUNCTION("""COMPUTED_VALUE"""),"אישה")</f>
        <v>אישה</v>
      </c>
      <c r="F674" s="5" t="str">
        <f>IFERROR(__xludf.DUMMYFUNCTION("""COMPUTED_VALUE"""),"משטרה")</f>
        <v>משטרה</v>
      </c>
      <c r="G674" s="3" t="str">
        <f>IFERROR(__xludf.DUMMYFUNCTION("""COMPUTED_VALUE"""),"רס״ל")</f>
        <v>רס״ל</v>
      </c>
      <c r="H674" s="3" t="str">
        <f>IFERROR(__xludf.DUMMYFUNCTION("""COMPUTED_VALUE"""),"07.10.2023")</f>
        <v>07.10.2023</v>
      </c>
      <c r="I674" s="4" t="str">
        <f>IFERROR(__xludf.DUMMYFUNCTION("""COMPUTED_VALUE"""),"כביש רעים - אורים")</f>
        <v>כביש רעים - אורים</v>
      </c>
      <c r="J674" s="4" t="str">
        <f>IFERROR(__xludf.DUMMYFUNCTION("""COMPUTED_VALUE"""),"שוטרים וכוחות הצלה")</f>
        <v>שוטרים וכוחות הצלה</v>
      </c>
      <c r="K674" s="5"/>
      <c r="L674" s="3" t="str">
        <f>IFERROR(__xludf.DUMMYFUNCTION("""COMPUTED_VALUE"""),"Eliona Astafniko")</f>
        <v>Eliona Astafniko</v>
      </c>
      <c r="M674" s="5"/>
    </row>
    <row r="675">
      <c r="A675" s="3">
        <f>IFERROR(__xludf.DUMMYFUNCTION("""COMPUTED_VALUE"""),1059.0)</f>
        <v>1059</v>
      </c>
      <c r="B675" s="2" t="str">
        <f>IFERROR(__xludf.DUMMYFUNCTION("""COMPUTED_VALUE"""),"גבאי עמית")</f>
        <v>גבאי עמית</v>
      </c>
      <c r="C675" s="3">
        <f>IFERROR(__xludf.DUMMYFUNCTION("""COMPUTED_VALUE"""),17.0)</f>
        <v>17</v>
      </c>
      <c r="D675" s="5" t="str">
        <f>IFERROR(__xludf.DUMMYFUNCTION("""COMPUTED_VALUE"""),"רעים")</f>
        <v>רעים</v>
      </c>
      <c r="E675" s="5" t="str">
        <f>IFERROR(__xludf.DUMMYFUNCTION("""COMPUTED_VALUE"""),"ילד")</f>
        <v>ילד</v>
      </c>
      <c r="F675" s="5" t="str">
        <f>IFERROR(__xludf.DUMMYFUNCTION("""COMPUTED_VALUE"""),"אזרחים")</f>
        <v>אזרחים</v>
      </c>
      <c r="G675" s="3"/>
      <c r="H675" s="3" t="str">
        <f>IFERROR(__xludf.DUMMYFUNCTION("""COMPUTED_VALUE"""),"07.10.2023")</f>
        <v>07.10.2023</v>
      </c>
      <c r="I675" s="4" t="str">
        <f>IFERROR(__xludf.DUMMYFUNCTION("""COMPUTED_VALUE"""),"רעים")</f>
        <v>רעים</v>
      </c>
      <c r="J675" s="4" t="str">
        <f>IFERROR(__xludf.DUMMYFUNCTION("""COMPUTED_VALUE"""),"אזרחים וכיתות כוננות")</f>
        <v>אזרחים וכיתות כוננות</v>
      </c>
      <c r="K675" s="5"/>
      <c r="L675" s="3" t="str">
        <f>IFERROR(__xludf.DUMMYFUNCTION("""COMPUTED_VALUE"""),"Amit Gabay")</f>
        <v>Amit Gabay</v>
      </c>
      <c r="M675" s="5"/>
    </row>
    <row r="676">
      <c r="A676" s="3">
        <f>IFERROR(__xludf.DUMMYFUNCTION("""COMPUTED_VALUE"""),1061.0)</f>
        <v>1061</v>
      </c>
      <c r="B676" s="4" t="str">
        <f>IFERROR(__xludf.DUMMYFUNCTION("""COMPUTED_VALUE"""),"הרמתי ורדה")</f>
        <v>הרמתי ורדה</v>
      </c>
      <c r="C676" s="3">
        <f>IFERROR(__xludf.DUMMYFUNCTION("""COMPUTED_VALUE"""),80.0)</f>
        <v>80</v>
      </c>
      <c r="D676" s="5" t="str">
        <f>IFERROR(__xludf.DUMMYFUNCTION("""COMPUTED_VALUE"""),"רעים")</f>
        <v>רעים</v>
      </c>
      <c r="E676" s="5" t="str">
        <f>IFERROR(__xludf.DUMMYFUNCTION("""COMPUTED_VALUE"""),"אישה")</f>
        <v>אישה</v>
      </c>
      <c r="F676" s="5" t="str">
        <f>IFERROR(__xludf.DUMMYFUNCTION("""COMPUTED_VALUE"""),"אזרחים")</f>
        <v>אזרחים</v>
      </c>
      <c r="G676" s="5"/>
      <c r="H676" s="3" t="str">
        <f>IFERROR(__xludf.DUMMYFUNCTION("""COMPUTED_VALUE"""),"07.10.2023")</f>
        <v>07.10.2023</v>
      </c>
      <c r="I676" s="4" t="str">
        <f>IFERROR(__xludf.DUMMYFUNCTION("""COMPUTED_VALUE"""),"רעים")</f>
        <v>רעים</v>
      </c>
      <c r="J676" s="4" t="str">
        <f>IFERROR(__xludf.DUMMYFUNCTION("""COMPUTED_VALUE"""),"אזרחים וכיתות כוננות")</f>
        <v>אזרחים וכיתות כוננות</v>
      </c>
      <c r="K676" s="5"/>
      <c r="L676" s="3" t="str">
        <f>IFERROR(__xludf.DUMMYFUNCTION("""COMPUTED_VALUE"""),"Varda Haramati")</f>
        <v>Varda Haramati</v>
      </c>
      <c r="M676" s="5"/>
    </row>
    <row r="677">
      <c r="A677" s="3">
        <f>IFERROR(__xludf.DUMMYFUNCTION("""COMPUTED_VALUE"""),1058.0)</f>
        <v>1058</v>
      </c>
      <c r="B677" s="4" t="str">
        <f>IFERROR(__xludf.DUMMYFUNCTION("""COMPUTED_VALUE"""),"פבר אסף")</f>
        <v>פבר אסף</v>
      </c>
      <c r="C677" s="3">
        <f>IFERROR(__xludf.DUMMYFUNCTION("""COMPUTED_VALUE"""),23.0)</f>
        <v>23</v>
      </c>
      <c r="D677" s="5" t="str">
        <f>IFERROR(__xludf.DUMMYFUNCTION("""COMPUTED_VALUE"""),"רעים")</f>
        <v>רעים</v>
      </c>
      <c r="E677" s="5" t="str">
        <f>IFERROR(__xludf.DUMMYFUNCTION("""COMPUTED_VALUE"""),"גבר")</f>
        <v>גבר</v>
      </c>
      <c r="F677" s="5" t="str">
        <f>IFERROR(__xludf.DUMMYFUNCTION("""COMPUTED_VALUE"""),"אזרחים")</f>
        <v>אזרחים</v>
      </c>
      <c r="G677" s="5"/>
      <c r="H677" s="3" t="str">
        <f>IFERROR(__xludf.DUMMYFUNCTION("""COMPUTED_VALUE"""),"07.10.2023")</f>
        <v>07.10.2023</v>
      </c>
      <c r="I677" s="4" t="str">
        <f>IFERROR(__xludf.DUMMYFUNCTION("""COMPUTED_VALUE"""),"רעים")</f>
        <v>רעים</v>
      </c>
      <c r="J677" s="4" t="str">
        <f>IFERROR(__xludf.DUMMYFUNCTION("""COMPUTED_VALUE"""),"אזרחים וכיתות כוננות")</f>
        <v>אזרחים וכיתות כוננות</v>
      </c>
      <c r="K677" s="5"/>
      <c r="L677" s="3" t="str">
        <f>IFERROR(__xludf.DUMMYFUNCTION("""COMPUTED_VALUE"""),"Asaf Fever")</f>
        <v>Asaf Fever</v>
      </c>
      <c r="M677" s="5"/>
    </row>
    <row r="678">
      <c r="A678" s="3">
        <f>IFERROR(__xludf.DUMMYFUNCTION("""COMPUTED_VALUE"""),1056.0)</f>
        <v>1056</v>
      </c>
      <c r="B678" s="4" t="str">
        <f>IFERROR(__xludf.DUMMYFUNCTION("""COMPUTED_VALUE"""),"קרפ דביר")</f>
        <v>קרפ דביר</v>
      </c>
      <c r="C678" s="3">
        <f>IFERROR(__xludf.DUMMYFUNCTION("""COMPUTED_VALUE"""),46.0)</f>
        <v>46</v>
      </c>
      <c r="D678" s="5" t="str">
        <f>IFERROR(__xludf.DUMMYFUNCTION("""COMPUTED_VALUE"""),"רעים")</f>
        <v>רעים</v>
      </c>
      <c r="E678" s="5" t="str">
        <f>IFERROR(__xludf.DUMMYFUNCTION("""COMPUTED_VALUE"""),"גבר")</f>
        <v>גבר</v>
      </c>
      <c r="F678" s="5" t="str">
        <f>IFERROR(__xludf.DUMMYFUNCTION("""COMPUTED_VALUE"""),"אזרחים")</f>
        <v>אזרחים</v>
      </c>
      <c r="G678" s="3"/>
      <c r="H678" s="3" t="str">
        <f>IFERROR(__xludf.DUMMYFUNCTION("""COMPUTED_VALUE"""),"07.10.2023")</f>
        <v>07.10.2023</v>
      </c>
      <c r="I678" s="4" t="str">
        <f>IFERROR(__xludf.DUMMYFUNCTION("""COMPUTED_VALUE"""),"רעים")</f>
        <v>רעים</v>
      </c>
      <c r="J678" s="4" t="str">
        <f>IFERROR(__xludf.DUMMYFUNCTION("""COMPUTED_VALUE"""),"אזרחים וכיתות כוננות")</f>
        <v>אזרחים וכיתות כוננות</v>
      </c>
      <c r="K678" s="5"/>
      <c r="L678" s="3" t="str">
        <f>IFERROR(__xludf.DUMMYFUNCTION("""COMPUTED_VALUE"""),"Dvir Karp")</f>
        <v>Dvir Karp</v>
      </c>
      <c r="M678" s="5"/>
    </row>
    <row r="679">
      <c r="A679" s="3">
        <f>IFERROR(__xludf.DUMMYFUNCTION("""COMPUTED_VALUE"""),1372.0)</f>
        <v>1372</v>
      </c>
      <c r="B679" s="4" t="str">
        <f>IFERROR(__xludf.DUMMYFUNCTION("""COMPUTED_VALUE"""),"אבדלימוב סמיון")</f>
        <v>אבדלימוב סמיון</v>
      </c>
      <c r="C679" s="3">
        <f>IFERROR(__xludf.DUMMYFUNCTION("""COMPUTED_VALUE"""),66.0)</f>
        <v>66</v>
      </c>
      <c r="D679" s="5" t="str">
        <f>IFERROR(__xludf.DUMMYFUNCTION("""COMPUTED_VALUE"""),"שדרות")</f>
        <v>שדרות</v>
      </c>
      <c r="E679" s="5" t="str">
        <f>IFERROR(__xludf.DUMMYFUNCTION("""COMPUTED_VALUE"""),"גבר")</f>
        <v>גבר</v>
      </c>
      <c r="F679" s="5" t="str">
        <f>IFERROR(__xludf.DUMMYFUNCTION("""COMPUTED_VALUE"""),"אזרחים")</f>
        <v>אזרחים</v>
      </c>
      <c r="G679" s="3"/>
      <c r="H679" s="3" t="str">
        <f>IFERROR(__xludf.DUMMYFUNCTION("""COMPUTED_VALUE"""),"07.10.2023")</f>
        <v>07.10.2023</v>
      </c>
      <c r="I679" s="4" t="str">
        <f>IFERROR(__xludf.DUMMYFUNCTION("""COMPUTED_VALUE"""),"שדרות")</f>
        <v>שדרות</v>
      </c>
      <c r="J679" s="4" t="str">
        <f>IFERROR(__xludf.DUMMYFUNCTION("""COMPUTED_VALUE"""),"אזרחים וכיתות כוננות")</f>
        <v>אזרחים וכיתות כוננות</v>
      </c>
      <c r="K679" s="5"/>
      <c r="L679" s="3" t="str">
        <f>IFERROR(__xludf.DUMMYFUNCTION("""COMPUTED_VALUE"""),"Semion Avdalimov")</f>
        <v>Semion Avdalimov</v>
      </c>
      <c r="M679" s="5"/>
    </row>
    <row r="680">
      <c r="A680" s="3">
        <f>IFERROR(__xludf.DUMMYFUNCTION("""COMPUTED_VALUE"""),1162.0)</f>
        <v>1162</v>
      </c>
      <c r="B680" s="4" t="str">
        <f>IFERROR(__xludf.DUMMYFUNCTION("""COMPUTED_VALUE"""),"אברמוב מיכאל")</f>
        <v>אברמוב מיכאל</v>
      </c>
      <c r="C680" s="3">
        <f>IFERROR(__xludf.DUMMYFUNCTION("""COMPUTED_VALUE"""),66.0)</f>
        <v>66</v>
      </c>
      <c r="D680" s="5" t="str">
        <f>IFERROR(__xludf.DUMMYFUNCTION("""COMPUTED_VALUE"""),"שדרות")</f>
        <v>שדרות</v>
      </c>
      <c r="E680" s="5" t="str">
        <f>IFERROR(__xludf.DUMMYFUNCTION("""COMPUTED_VALUE"""),"גבר")</f>
        <v>גבר</v>
      </c>
      <c r="F680" s="5" t="str">
        <f>IFERROR(__xludf.DUMMYFUNCTION("""COMPUTED_VALUE"""),"אזרחים")</f>
        <v>אזרחים</v>
      </c>
      <c r="G680" s="3"/>
      <c r="H680" s="3" t="str">
        <f>IFERROR(__xludf.DUMMYFUNCTION("""COMPUTED_VALUE"""),"07.10.2023")</f>
        <v>07.10.2023</v>
      </c>
      <c r="I680" s="4" t="str">
        <f>IFERROR(__xludf.DUMMYFUNCTION("""COMPUTED_VALUE"""),"שדרות")</f>
        <v>שדרות</v>
      </c>
      <c r="J680" s="4" t="str">
        <f>IFERROR(__xludf.DUMMYFUNCTION("""COMPUTED_VALUE"""),"אזרחים וכיתות כוננות")</f>
        <v>אזרחים וכיתות כוננות</v>
      </c>
      <c r="K680" s="5"/>
      <c r="L680" s="3" t="str">
        <f>IFERROR(__xludf.DUMMYFUNCTION("""COMPUTED_VALUE"""),"Michael Avramov")</f>
        <v>Michael Avramov</v>
      </c>
      <c r="M680" s="5"/>
    </row>
    <row r="681">
      <c r="A681" s="3">
        <f>IFERROR(__xludf.DUMMYFUNCTION("""COMPUTED_VALUE"""),1148.0)</f>
        <v>1148</v>
      </c>
      <c r="B681" s="4" t="str">
        <f>IFERROR(__xludf.DUMMYFUNCTION("""COMPUTED_VALUE"""),"איליאגוייב סלומון")</f>
        <v>איליאגוייב סלומון</v>
      </c>
      <c r="C681" s="3">
        <f>IFERROR(__xludf.DUMMYFUNCTION("""COMPUTED_VALUE"""),28.0)</f>
        <v>28</v>
      </c>
      <c r="D681" s="5" t="str">
        <f>IFERROR(__xludf.DUMMYFUNCTION("""COMPUTED_VALUE"""),"שדרות")</f>
        <v>שדרות</v>
      </c>
      <c r="E681" s="5" t="str">
        <f>IFERROR(__xludf.DUMMYFUNCTION("""COMPUTED_VALUE"""),"גבר")</f>
        <v>גבר</v>
      </c>
      <c r="F681" s="5" t="str">
        <f>IFERROR(__xludf.DUMMYFUNCTION("""COMPUTED_VALUE"""),"אזרחים")</f>
        <v>אזרחים</v>
      </c>
      <c r="G681" s="3"/>
      <c r="H681" s="3" t="str">
        <f>IFERROR(__xludf.DUMMYFUNCTION("""COMPUTED_VALUE"""),"07.10.2023")</f>
        <v>07.10.2023</v>
      </c>
      <c r="I681" s="4" t="str">
        <f>IFERROR(__xludf.DUMMYFUNCTION("""COMPUTED_VALUE"""),"שדרות")</f>
        <v>שדרות</v>
      </c>
      <c r="J681" s="4" t="str">
        <f>IFERROR(__xludf.DUMMYFUNCTION("""COMPUTED_VALUE"""),"אזרחים וכיתות כוננות")</f>
        <v>אזרחים וכיתות כוננות</v>
      </c>
      <c r="K681" s="5"/>
      <c r="L681" s="3" t="str">
        <f>IFERROR(__xludf.DUMMYFUNCTION("""COMPUTED_VALUE"""),"Solomon Ilyaguyev")</f>
        <v>Solomon Ilyaguyev</v>
      </c>
      <c r="M681" s="5"/>
    </row>
    <row r="682">
      <c r="A682" s="3">
        <f>IFERROR(__xludf.DUMMYFUNCTION("""COMPUTED_VALUE"""),1469.0)</f>
        <v>1469</v>
      </c>
      <c r="B682" s="4" t="str">
        <f>IFERROR(__xludf.DUMMYFUNCTION("""COMPUTED_VALUE"""),"ג'רג'אוי סמי")</f>
        <v>ג'רג'אוי סמי</v>
      </c>
      <c r="C682" s="3">
        <f>IFERROR(__xludf.DUMMYFUNCTION("""COMPUTED_VALUE"""),51.0)</f>
        <v>51</v>
      </c>
      <c r="D682" s="5" t="str">
        <f>IFERROR(__xludf.DUMMYFUNCTION("""COMPUTED_VALUE"""),"שגב שלום")</f>
        <v>שגב שלום</v>
      </c>
      <c r="E682" s="5" t="str">
        <f>IFERROR(__xludf.DUMMYFUNCTION("""COMPUTED_VALUE"""),"גבר")</f>
        <v>גבר</v>
      </c>
      <c r="F682" s="5" t="str">
        <f>IFERROR(__xludf.DUMMYFUNCTION("""COMPUTED_VALUE"""),"אזרחים")</f>
        <v>אזרחים</v>
      </c>
      <c r="G682" s="3"/>
      <c r="H682" s="3" t="str">
        <f>IFERROR(__xludf.DUMMYFUNCTION("""COMPUTED_VALUE"""),"07.10.2023")</f>
        <v>07.10.2023</v>
      </c>
      <c r="I682" s="4" t="str">
        <f>IFERROR(__xludf.DUMMYFUNCTION("""COMPUTED_VALUE"""),"צומת שער הנגב")</f>
        <v>צומת שער הנגב</v>
      </c>
      <c r="J682" s="2" t="str">
        <f>IFERROR(__xludf.DUMMYFUNCTION("""COMPUTED_VALUE"""),"אזרחים וכיתות כוננות")</f>
        <v>אזרחים וכיתות כוננות</v>
      </c>
      <c r="K682" s="5"/>
      <c r="L682" s="3" t="str">
        <f>IFERROR(__xludf.DUMMYFUNCTION("""COMPUTED_VALUE"""),"Sammi Elgargawi")</f>
        <v>Sammi Elgargawi</v>
      </c>
      <c r="M682" s="5"/>
    </row>
    <row r="683">
      <c r="A683" s="3">
        <f>IFERROR(__xludf.DUMMYFUNCTION("""COMPUTED_VALUE"""),1164.0)</f>
        <v>1164</v>
      </c>
      <c r="B683" s="4" t="str">
        <f>IFERROR(__xludf.DUMMYFUNCTION("""COMPUTED_VALUE"""),"אשרף חיים")</f>
        <v>אשרף חיים</v>
      </c>
      <c r="C683" s="3">
        <f>IFERROR(__xludf.DUMMYFUNCTION("""COMPUTED_VALUE"""),68.0)</f>
        <v>68</v>
      </c>
      <c r="D683" s="5" t="str">
        <f>IFERROR(__xludf.DUMMYFUNCTION("""COMPUTED_VALUE"""),"שדרות")</f>
        <v>שדרות</v>
      </c>
      <c r="E683" s="5" t="str">
        <f>IFERROR(__xludf.DUMMYFUNCTION("""COMPUTED_VALUE"""),"גבר")</f>
        <v>גבר</v>
      </c>
      <c r="F683" s="5" t="str">
        <f>IFERROR(__xludf.DUMMYFUNCTION("""COMPUTED_VALUE"""),"אזרחים")</f>
        <v>אזרחים</v>
      </c>
      <c r="G683" s="3"/>
      <c r="H683" s="3" t="str">
        <f>IFERROR(__xludf.DUMMYFUNCTION("""COMPUTED_VALUE"""),"07.10.2023")</f>
        <v>07.10.2023</v>
      </c>
      <c r="I683" s="4" t="str">
        <f>IFERROR(__xludf.DUMMYFUNCTION("""COMPUTED_VALUE"""),"שדרות")</f>
        <v>שדרות</v>
      </c>
      <c r="J683" s="2" t="str">
        <f>IFERROR(__xludf.DUMMYFUNCTION("""COMPUTED_VALUE"""),"אזרחים וכיתות כוננות")</f>
        <v>אזרחים וכיתות כוננות</v>
      </c>
      <c r="K683" s="5"/>
      <c r="L683" s="3" t="str">
        <f>IFERROR(__xludf.DUMMYFUNCTION("""COMPUTED_VALUE"""),"Chaim Ashraf")</f>
        <v>Chaim Ashraf</v>
      </c>
      <c r="M683" s="5"/>
    </row>
    <row r="684">
      <c r="A684" s="3">
        <f>IFERROR(__xludf.DUMMYFUNCTION("""COMPUTED_VALUE"""),1166.0)</f>
        <v>1166</v>
      </c>
      <c r="B684" s="4" t="str">
        <f>IFERROR(__xludf.DUMMYFUNCTION("""COMPUTED_VALUE"""),"ויצמן ליאור")</f>
        <v>ויצמן ליאור</v>
      </c>
      <c r="C684" s="3">
        <f>IFERROR(__xludf.DUMMYFUNCTION("""COMPUTED_VALUE"""),32.0)</f>
        <v>32</v>
      </c>
      <c r="D684" s="5" t="str">
        <f>IFERROR(__xludf.DUMMYFUNCTION("""COMPUTED_VALUE"""),"שדרות")</f>
        <v>שדרות</v>
      </c>
      <c r="E684" s="5" t="str">
        <f>IFERROR(__xludf.DUMMYFUNCTION("""COMPUTED_VALUE"""),"גבר")</f>
        <v>גבר</v>
      </c>
      <c r="F684" s="5" t="str">
        <f>IFERROR(__xludf.DUMMYFUNCTION("""COMPUTED_VALUE"""),"אזרחים")</f>
        <v>אזרחים</v>
      </c>
      <c r="G684" s="3"/>
      <c r="H684" s="3" t="str">
        <f>IFERROR(__xludf.DUMMYFUNCTION("""COMPUTED_VALUE"""),"07.10.2023")</f>
        <v>07.10.2023</v>
      </c>
      <c r="I684" s="4" t="str">
        <f>IFERROR(__xludf.DUMMYFUNCTION("""COMPUTED_VALUE"""),"צפונית לצומת שער הנגב")</f>
        <v>צפונית לצומת שער הנגב</v>
      </c>
      <c r="J684" s="2" t="str">
        <f>IFERROR(__xludf.DUMMYFUNCTION("""COMPUTED_VALUE"""),"אזרחים וכיתות כוננות")</f>
        <v>אזרחים וכיתות כוננות</v>
      </c>
      <c r="K684" s="5"/>
      <c r="L684" s="3" t="str">
        <f>IFERROR(__xludf.DUMMYFUNCTION("""COMPUTED_VALUE"""),"Lior Weizman")</f>
        <v>Lior Weizman</v>
      </c>
      <c r="M684" s="5"/>
    </row>
    <row r="685">
      <c r="A685" s="3">
        <f>IFERROR(__xludf.DUMMYFUNCTION("""COMPUTED_VALUE"""),1474.0)</f>
        <v>1474</v>
      </c>
      <c r="B685" s="4" t="str">
        <f>IFERROR(__xludf.DUMMYFUNCTION("""COMPUTED_VALUE"""),"טולדנו עמרם אלון")</f>
        <v>טולדנו עמרם אלון</v>
      </c>
      <c r="C685" s="3">
        <f>IFERROR(__xludf.DUMMYFUNCTION("""COMPUTED_VALUE"""),54.0)</f>
        <v>54</v>
      </c>
      <c r="D685" s="5" t="str">
        <f>IFERROR(__xludf.DUMMYFUNCTION("""COMPUTED_VALUE"""),"שדרות")</f>
        <v>שדרות</v>
      </c>
      <c r="E685" s="5" t="str">
        <f>IFERROR(__xludf.DUMMYFUNCTION("""COMPUTED_VALUE"""),"גבר")</f>
        <v>גבר</v>
      </c>
      <c r="F685" s="5" t="str">
        <f>IFERROR(__xludf.DUMMYFUNCTION("""COMPUTED_VALUE"""),"אזרחים")</f>
        <v>אזרחים</v>
      </c>
      <c r="G685" s="3"/>
      <c r="H685" s="3" t="str">
        <f>IFERROR(__xludf.DUMMYFUNCTION("""COMPUTED_VALUE"""),"07.10.2023")</f>
        <v>07.10.2023</v>
      </c>
      <c r="I685" s="4" t="str">
        <f>IFERROR(__xludf.DUMMYFUNCTION("""COMPUTED_VALUE"""),"שדרות")</f>
        <v>שדרות</v>
      </c>
      <c r="J685" s="4" t="str">
        <f>IFERROR(__xludf.DUMMYFUNCTION("""COMPUTED_VALUE"""),"אזרחים וכיתות כוננות")</f>
        <v>אזרחים וכיתות כוננות</v>
      </c>
      <c r="K685" s="5"/>
      <c r="L685" s="3" t="str">
        <f>IFERROR(__xludf.DUMMYFUNCTION("""COMPUTED_VALUE"""),"Alon Amram Toledano")</f>
        <v>Alon Amram Toledano</v>
      </c>
      <c r="M685" s="5"/>
    </row>
    <row r="686">
      <c r="A686" s="3">
        <f>IFERROR(__xludf.DUMMYFUNCTION("""COMPUTED_VALUE"""),1145.0)</f>
        <v>1145</v>
      </c>
      <c r="B686" s="4" t="str">
        <f>IFERROR(__xludf.DUMMYFUNCTION("""COMPUTED_VALUE"""),"טנבורה אמיר")</f>
        <v>טנבורה אמיר</v>
      </c>
      <c r="C686" s="3">
        <f>IFERROR(__xludf.DUMMYFUNCTION("""COMPUTED_VALUE"""),23.0)</f>
        <v>23</v>
      </c>
      <c r="D686" s="5" t="str">
        <f>IFERROR(__xludf.DUMMYFUNCTION("""COMPUTED_VALUE"""),"שדרות")</f>
        <v>שדרות</v>
      </c>
      <c r="E686" s="5" t="str">
        <f>IFERROR(__xludf.DUMMYFUNCTION("""COMPUTED_VALUE"""),"גבר")</f>
        <v>גבר</v>
      </c>
      <c r="F686" s="5" t="str">
        <f>IFERROR(__xludf.DUMMYFUNCTION("""COMPUTED_VALUE"""),"אזרחים")</f>
        <v>אזרחים</v>
      </c>
      <c r="G686" s="3"/>
      <c r="H686" s="3" t="str">
        <f>IFERROR(__xludf.DUMMYFUNCTION("""COMPUTED_VALUE"""),"07.10.2023")</f>
        <v>07.10.2023</v>
      </c>
      <c r="I686" s="4" t="str">
        <f>IFERROR(__xludf.DUMMYFUNCTION("""COMPUTED_VALUE"""),"שדרות")</f>
        <v>שדרות</v>
      </c>
      <c r="J686" s="2" t="str">
        <f>IFERROR(__xludf.DUMMYFUNCTION("""COMPUTED_VALUE"""),"אזרחים וכיתות כוננות")</f>
        <v>אזרחים וכיתות כוננות</v>
      </c>
      <c r="K686" s="5"/>
      <c r="L686" s="3" t="str">
        <f>IFERROR(__xludf.DUMMYFUNCTION("""COMPUTED_VALUE"""),"Amir Tanbora")</f>
        <v>Amir Tanbora</v>
      </c>
      <c r="M686" s="5"/>
    </row>
    <row r="687">
      <c r="A687" s="3">
        <f>IFERROR(__xludf.DUMMYFUNCTION("""COMPUTED_VALUE"""),1165.0)</f>
        <v>1165</v>
      </c>
      <c r="B687" s="4" t="str">
        <f>IFERROR(__xludf.DUMMYFUNCTION("""COMPUTED_VALUE"""),"לוזובסקי לאוניד")</f>
        <v>לוזובסקי לאוניד</v>
      </c>
      <c r="C687" s="3">
        <f>IFERROR(__xludf.DUMMYFUNCTION("""COMPUTED_VALUE"""),51.0)</f>
        <v>51</v>
      </c>
      <c r="D687" s="5" t="str">
        <f>IFERROR(__xludf.DUMMYFUNCTION("""COMPUTED_VALUE"""),"שדרות")</f>
        <v>שדרות</v>
      </c>
      <c r="E687" s="5" t="str">
        <f>IFERROR(__xludf.DUMMYFUNCTION("""COMPUTED_VALUE"""),"גבר")</f>
        <v>גבר</v>
      </c>
      <c r="F687" s="5" t="str">
        <f>IFERROR(__xludf.DUMMYFUNCTION("""COMPUTED_VALUE"""),"אזרחים")</f>
        <v>אזרחים</v>
      </c>
      <c r="G687" s="3"/>
      <c r="H687" s="3" t="str">
        <f>IFERROR(__xludf.DUMMYFUNCTION("""COMPUTED_VALUE"""),"07.10.2023")</f>
        <v>07.10.2023</v>
      </c>
      <c r="I687" s="4" t="str">
        <f>IFERROR(__xludf.DUMMYFUNCTION("""COMPUTED_VALUE"""),"שדרות")</f>
        <v>שדרות</v>
      </c>
      <c r="J687" s="4" t="str">
        <f>IFERROR(__xludf.DUMMYFUNCTION("""COMPUTED_VALUE"""),"אזרחים וכיתות כוננות")</f>
        <v>אזרחים וכיתות כוננות</v>
      </c>
      <c r="K687" s="5"/>
      <c r="L687" s="3" t="str">
        <f>IFERROR(__xludf.DUMMYFUNCTION("""COMPUTED_VALUE"""),"Leonid Luzovski")</f>
        <v>Leonid Luzovski</v>
      </c>
      <c r="M687" s="5"/>
    </row>
    <row r="688">
      <c r="A688" s="3">
        <f>IFERROR(__xludf.DUMMYFUNCTION("""COMPUTED_VALUE"""),1168.0)</f>
        <v>1168</v>
      </c>
      <c r="B688" s="4" t="str">
        <f>IFERROR(__xludf.DUMMYFUNCTION("""COMPUTED_VALUE"""),"מאירי זוהר")</f>
        <v>מאירי זוהר</v>
      </c>
      <c r="C688" s="3">
        <f>IFERROR(__xludf.DUMMYFUNCTION("""COMPUTED_VALUE"""),55.0)</f>
        <v>55</v>
      </c>
      <c r="D688" s="5" t="str">
        <f>IFERROR(__xludf.DUMMYFUNCTION("""COMPUTED_VALUE"""),"שדרות")</f>
        <v>שדרות</v>
      </c>
      <c r="E688" s="5" t="str">
        <f>IFERROR(__xludf.DUMMYFUNCTION("""COMPUTED_VALUE"""),"גבר")</f>
        <v>גבר</v>
      </c>
      <c r="F688" s="5" t="str">
        <f>IFERROR(__xludf.DUMMYFUNCTION("""COMPUTED_VALUE"""),"אזרחים")</f>
        <v>אזרחים</v>
      </c>
      <c r="G688" s="3"/>
      <c r="H688" s="3" t="str">
        <f>IFERROR(__xludf.DUMMYFUNCTION("""COMPUTED_VALUE"""),"07.10.2023")</f>
        <v>07.10.2023</v>
      </c>
      <c r="I688" s="4" t="str">
        <f>IFERROR(__xludf.DUMMYFUNCTION("""COMPUTED_VALUE"""),"שדרות")</f>
        <v>שדרות</v>
      </c>
      <c r="J688" s="4" t="str">
        <f>IFERROR(__xludf.DUMMYFUNCTION("""COMPUTED_VALUE"""),"אזרחים וכיתות כוננות")</f>
        <v>אזרחים וכיתות כוננות</v>
      </c>
      <c r="K688" s="5"/>
      <c r="L688" s="3" t="str">
        <f>IFERROR(__xludf.DUMMYFUNCTION("""COMPUTED_VALUE"""),"Meiri Zohar")</f>
        <v>Meiri Zohar</v>
      </c>
      <c r="M688" s="5"/>
    </row>
    <row r="689">
      <c r="A689" s="3">
        <f>IFERROR(__xludf.DUMMYFUNCTION("""COMPUTED_VALUE"""),1163.0)</f>
        <v>1163</v>
      </c>
      <c r="B689" s="4" t="str">
        <f>IFERROR(__xludf.DUMMYFUNCTION("""COMPUTED_VALUE"""),"מגירא אבי")</f>
        <v>מגירא אבי</v>
      </c>
      <c r="C689" s="3">
        <f>IFERROR(__xludf.DUMMYFUNCTION("""COMPUTED_VALUE"""),48.0)</f>
        <v>48</v>
      </c>
      <c r="D689" s="5" t="str">
        <f>IFERROR(__xludf.DUMMYFUNCTION("""COMPUTED_VALUE"""),"שדרות")</f>
        <v>שדרות</v>
      </c>
      <c r="E689" s="5" t="str">
        <f>IFERROR(__xludf.DUMMYFUNCTION("""COMPUTED_VALUE"""),"גבר")</f>
        <v>גבר</v>
      </c>
      <c r="F689" s="5" t="str">
        <f>IFERROR(__xludf.DUMMYFUNCTION("""COMPUTED_VALUE"""),"אזרחים")</f>
        <v>אזרחים</v>
      </c>
      <c r="G689" s="3"/>
      <c r="H689" s="3" t="str">
        <f>IFERROR(__xludf.DUMMYFUNCTION("""COMPUTED_VALUE"""),"07.10.2023")</f>
        <v>07.10.2023</v>
      </c>
      <c r="I689" s="4" t="str">
        <f>IFERROR(__xludf.DUMMYFUNCTION("""COMPUTED_VALUE"""),"שדרות")</f>
        <v>שדרות</v>
      </c>
      <c r="J689" s="4" t="str">
        <f>IFERROR(__xludf.DUMMYFUNCTION("""COMPUTED_VALUE"""),"אזרחים וכיתות כוננות")</f>
        <v>אזרחים וכיתות כוננות</v>
      </c>
      <c r="K689" s="5"/>
      <c r="L689" s="3" t="str">
        <f>IFERROR(__xludf.DUMMYFUNCTION("""COMPUTED_VALUE"""),"Avi Megira")</f>
        <v>Avi Megira</v>
      </c>
      <c r="M689" s="5"/>
    </row>
    <row r="690">
      <c r="A690" s="3">
        <f>IFERROR(__xludf.DUMMYFUNCTION("""COMPUTED_VALUE"""),1597.0)</f>
        <v>1597</v>
      </c>
      <c r="B690" s="4" t="str">
        <f>IFERROR(__xludf.DUMMYFUNCTION("""COMPUTED_VALUE"""),"מורזאחנוב מיכאל")</f>
        <v>מורזאחנוב מיכאל</v>
      </c>
      <c r="C690" s="3">
        <f>IFERROR(__xludf.DUMMYFUNCTION("""COMPUTED_VALUE"""),69.0)</f>
        <v>69</v>
      </c>
      <c r="D690" s="5" t="str">
        <f>IFERROR(__xludf.DUMMYFUNCTION("""COMPUTED_VALUE"""),"נתיבות")</f>
        <v>נתיבות</v>
      </c>
      <c r="E690" s="5" t="str">
        <f>IFERROR(__xludf.DUMMYFUNCTION("""COMPUTED_VALUE"""),"גבר")</f>
        <v>גבר</v>
      </c>
      <c r="F690" s="5" t="str">
        <f>IFERROR(__xludf.DUMMYFUNCTION("""COMPUTED_VALUE"""),"אזרחים")</f>
        <v>אזרחים</v>
      </c>
      <c r="G690" s="3"/>
      <c r="H690" s="3" t="str">
        <f>IFERROR(__xludf.DUMMYFUNCTION("""COMPUTED_VALUE"""),"07.10.2023")</f>
        <v>07.10.2023</v>
      </c>
      <c r="I690" s="4" t="str">
        <f>IFERROR(__xludf.DUMMYFUNCTION("""COMPUTED_VALUE"""),"צומת שער הנגב")</f>
        <v>צומת שער הנגב</v>
      </c>
      <c r="J690" s="4" t="str">
        <f>IFERROR(__xludf.DUMMYFUNCTION("""COMPUTED_VALUE"""),"אזרחים וכיתות כוננות")</f>
        <v>אזרחים וכיתות כוננות</v>
      </c>
      <c r="K690" s="5"/>
      <c r="L690" s="3" t="str">
        <f>IFERROR(__xludf.DUMMYFUNCTION("""COMPUTED_VALUE"""),"Michael Muzarkov")</f>
        <v>Michael Muzarkov</v>
      </c>
      <c r="M690" s="5"/>
    </row>
    <row r="691">
      <c r="A691" s="3">
        <f>IFERROR(__xludf.DUMMYFUNCTION("""COMPUTED_VALUE"""),1167.0)</f>
        <v>1167</v>
      </c>
      <c r="B691" s="4" t="str">
        <f>IFERROR(__xludf.DUMMYFUNCTION("""COMPUTED_VALUE"""),"מלכה מאיר")</f>
        <v>מלכה מאיר</v>
      </c>
      <c r="C691" s="3">
        <f>IFERROR(__xludf.DUMMYFUNCTION("""COMPUTED_VALUE"""),78.0)</f>
        <v>78</v>
      </c>
      <c r="D691" s="5" t="str">
        <f>IFERROR(__xludf.DUMMYFUNCTION("""COMPUTED_VALUE"""),"שדרות")</f>
        <v>שדרות</v>
      </c>
      <c r="E691" s="5" t="str">
        <f>IFERROR(__xludf.DUMMYFUNCTION("""COMPUTED_VALUE"""),"גבר")</f>
        <v>גבר</v>
      </c>
      <c r="F691" s="5" t="str">
        <f>IFERROR(__xludf.DUMMYFUNCTION("""COMPUTED_VALUE"""),"אזרחים")</f>
        <v>אזרחים</v>
      </c>
      <c r="G691" s="3"/>
      <c r="H691" s="3" t="str">
        <f>IFERROR(__xludf.DUMMYFUNCTION("""COMPUTED_VALUE"""),"07.10.2023")</f>
        <v>07.10.2023</v>
      </c>
      <c r="I691" s="4" t="str">
        <f>IFERROR(__xludf.DUMMYFUNCTION("""COMPUTED_VALUE"""),"שדרות")</f>
        <v>שדרות</v>
      </c>
      <c r="J691" s="4" t="str">
        <f>IFERROR(__xludf.DUMMYFUNCTION("""COMPUTED_VALUE"""),"אזרחים וכיתות כוננות")</f>
        <v>אזרחים וכיתות כוננות</v>
      </c>
      <c r="K691" s="5"/>
      <c r="L691" s="3" t="str">
        <f>IFERROR(__xludf.DUMMYFUNCTION("""COMPUTED_VALUE"""),"Meir Malka")</f>
        <v>Meir Malka</v>
      </c>
      <c r="M691" s="5"/>
    </row>
    <row r="692">
      <c r="A692" s="3">
        <f>IFERROR(__xludf.DUMMYFUNCTION("""COMPUTED_VALUE"""),2006.0)</f>
        <v>2006</v>
      </c>
      <c r="B692" s="4" t="str">
        <f>IFERROR(__xludf.DUMMYFUNCTION("""COMPUTED_VALUE"""),"נווה נתיב מעיין")</f>
        <v>נווה נתיב מעיין</v>
      </c>
      <c r="C692" s="3">
        <f>IFERROR(__xludf.DUMMYFUNCTION("""COMPUTED_VALUE"""),60.0)</f>
        <v>60</v>
      </c>
      <c r="D692" s="5" t="str">
        <f>IFERROR(__xludf.DUMMYFUNCTION("""COMPUTED_VALUE"""),"שדרות")</f>
        <v>שדרות</v>
      </c>
      <c r="E692" s="5" t="str">
        <f>IFERROR(__xludf.DUMMYFUNCTION("""COMPUTED_VALUE"""),"גבר")</f>
        <v>גבר</v>
      </c>
      <c r="F692" s="5" t="str">
        <f>IFERROR(__xludf.DUMMYFUNCTION("""COMPUTED_VALUE"""),"אזרחים")</f>
        <v>אזרחים</v>
      </c>
      <c r="G692" s="3"/>
      <c r="H692" s="3" t="str">
        <f>IFERROR(__xludf.DUMMYFUNCTION("""COMPUTED_VALUE"""),"07.10.2023")</f>
        <v>07.10.2023</v>
      </c>
      <c r="I692" s="4" t="str">
        <f>IFERROR(__xludf.DUMMYFUNCTION("""COMPUTED_VALUE"""),"שדרות")</f>
        <v>שדרות</v>
      </c>
      <c r="J692" s="4" t="str">
        <f>IFERROR(__xludf.DUMMYFUNCTION("""COMPUTED_VALUE"""),"אזרחים וכיתות כוננות")</f>
        <v>אזרחים וכיתות כוננות</v>
      </c>
      <c r="K692" s="5"/>
      <c r="L692" s="3" t="str">
        <f>IFERROR(__xludf.DUMMYFUNCTION("""COMPUTED_VALUE"""),"Nativ Maayan Nave")</f>
        <v>Nativ Maayan Nave</v>
      </c>
      <c r="M692" s="5"/>
    </row>
    <row r="693">
      <c r="A693" s="3">
        <f>IFERROR(__xludf.DUMMYFUNCTION("""COMPUTED_VALUE"""),1147.0)</f>
        <v>1147</v>
      </c>
      <c r="B693" s="4" t="str">
        <f>IFERROR(__xludf.DUMMYFUNCTION("""COMPUTED_VALUE"""),"סוויסה אודיה")</f>
        <v>סוויסה אודיה</v>
      </c>
      <c r="C693" s="3">
        <f>IFERROR(__xludf.DUMMYFUNCTION("""COMPUTED_VALUE"""),33.0)</f>
        <v>33</v>
      </c>
      <c r="D693" s="5" t="str">
        <f>IFERROR(__xludf.DUMMYFUNCTION("""COMPUTED_VALUE"""),"שדרות")</f>
        <v>שדרות</v>
      </c>
      <c r="E693" s="5" t="str">
        <f>IFERROR(__xludf.DUMMYFUNCTION("""COMPUTED_VALUE"""),"אישה")</f>
        <v>אישה</v>
      </c>
      <c r="F693" s="5" t="str">
        <f>IFERROR(__xludf.DUMMYFUNCTION("""COMPUTED_VALUE"""),"אזרחים")</f>
        <v>אזרחים</v>
      </c>
      <c r="G693" s="3"/>
      <c r="H693" s="3" t="str">
        <f>IFERROR(__xludf.DUMMYFUNCTION("""COMPUTED_VALUE"""),"07.10.2023")</f>
        <v>07.10.2023</v>
      </c>
      <c r="I693" s="4" t="str">
        <f>IFERROR(__xludf.DUMMYFUNCTION("""COMPUTED_VALUE"""),"שדרות")</f>
        <v>שדרות</v>
      </c>
      <c r="J693" s="2" t="str">
        <f>IFERROR(__xludf.DUMMYFUNCTION("""COMPUTED_VALUE"""),"אזרחים וכיתות כוננות")</f>
        <v>אזרחים וכיתות כוננות</v>
      </c>
      <c r="K693" s="5"/>
      <c r="L693" s="3" t="str">
        <f>IFERROR(__xludf.DUMMYFUNCTION("""COMPUTED_VALUE"""),"Odaya Swisa")</f>
        <v>Odaya Swisa</v>
      </c>
      <c r="M693" s="5"/>
    </row>
    <row r="694">
      <c r="A694" s="3">
        <f>IFERROR(__xludf.DUMMYFUNCTION("""COMPUTED_VALUE"""),1146.0)</f>
        <v>1146</v>
      </c>
      <c r="B694" s="4" t="str">
        <f>IFERROR(__xludf.DUMMYFUNCTION("""COMPUTED_VALUE"""),"סוויסה דולב")</f>
        <v>סוויסה דולב</v>
      </c>
      <c r="C694" s="3">
        <f>IFERROR(__xludf.DUMMYFUNCTION("""COMPUTED_VALUE"""),34.0)</f>
        <v>34</v>
      </c>
      <c r="D694" s="5" t="str">
        <f>IFERROR(__xludf.DUMMYFUNCTION("""COMPUTED_VALUE"""),"שדרות")</f>
        <v>שדרות</v>
      </c>
      <c r="E694" s="5" t="str">
        <f>IFERROR(__xludf.DUMMYFUNCTION("""COMPUTED_VALUE"""),"גבר")</f>
        <v>גבר</v>
      </c>
      <c r="F694" s="5" t="str">
        <f>IFERROR(__xludf.DUMMYFUNCTION("""COMPUTED_VALUE"""),"אזרחים")</f>
        <v>אזרחים</v>
      </c>
      <c r="G694" s="3"/>
      <c r="H694" s="3" t="str">
        <f>IFERROR(__xludf.DUMMYFUNCTION("""COMPUTED_VALUE"""),"07.10.2023")</f>
        <v>07.10.2023</v>
      </c>
      <c r="I694" s="4" t="str">
        <f>IFERROR(__xludf.DUMMYFUNCTION("""COMPUTED_VALUE"""),"שדרות")</f>
        <v>שדרות</v>
      </c>
      <c r="J694" s="2" t="str">
        <f>IFERROR(__xludf.DUMMYFUNCTION("""COMPUTED_VALUE"""),"אזרחים וכיתות כוננות")</f>
        <v>אזרחים וכיתות כוננות</v>
      </c>
      <c r="K694" s="5"/>
      <c r="L694" s="3" t="str">
        <f>IFERROR(__xludf.DUMMYFUNCTION("""COMPUTED_VALUE"""),"Dolev Swisa")</f>
        <v>Dolev Swisa</v>
      </c>
      <c r="M694" s="5"/>
    </row>
    <row r="695">
      <c r="A695" s="3">
        <f>IFERROR(__xludf.DUMMYFUNCTION("""COMPUTED_VALUE"""),1607.0)</f>
        <v>1607</v>
      </c>
      <c r="B695" s="4" t="str">
        <f>IFERROR(__xludf.DUMMYFUNCTION("""COMPUTED_VALUE"""),"סורוקין דמיטרי")</f>
        <v>סורוקין דמיטרי</v>
      </c>
      <c r="C695" s="3">
        <f>IFERROR(__xludf.DUMMYFUNCTION("""COMPUTED_VALUE"""),51.0)</f>
        <v>51</v>
      </c>
      <c r="D695" s="5" t="str">
        <f>IFERROR(__xludf.DUMMYFUNCTION("""COMPUTED_VALUE"""),"אשקלון")</f>
        <v>אשקלון</v>
      </c>
      <c r="E695" s="5" t="str">
        <f>IFERROR(__xludf.DUMMYFUNCTION("""COMPUTED_VALUE"""),"גבר")</f>
        <v>גבר</v>
      </c>
      <c r="F695" s="5" t="str">
        <f>IFERROR(__xludf.DUMMYFUNCTION("""COMPUTED_VALUE"""),"אזרחים")</f>
        <v>אזרחים</v>
      </c>
      <c r="G695" s="3"/>
      <c r="H695" s="3" t="str">
        <f>IFERROR(__xludf.DUMMYFUNCTION("""COMPUTED_VALUE"""),"07.10.2023")</f>
        <v>07.10.2023</v>
      </c>
      <c r="I695" s="4" t="str">
        <f>IFERROR(__xludf.DUMMYFUNCTION("""COMPUTED_VALUE"""),"צומת שער הנגב")</f>
        <v>צומת שער הנגב</v>
      </c>
      <c r="J695" s="4" t="str">
        <f>IFERROR(__xludf.DUMMYFUNCTION("""COMPUTED_VALUE"""),"אזרחים וכיתות כוננות")</f>
        <v>אזרחים וכיתות כוננות</v>
      </c>
      <c r="K695" s="5"/>
      <c r="L695" s="3" t="str">
        <f>IFERROR(__xludf.DUMMYFUNCTION("""COMPUTED_VALUE"""),"Dimitri Sorokin")</f>
        <v>Dimitri Sorokin</v>
      </c>
      <c r="M695" s="5"/>
    </row>
    <row r="696">
      <c r="A696" s="3">
        <f>IFERROR(__xludf.DUMMYFUNCTION("""COMPUTED_VALUE"""),1491.0)</f>
        <v>1491</v>
      </c>
      <c r="B696" s="4" t="str">
        <f>IFERROR(__xludf.DUMMYFUNCTION("""COMPUTED_VALUE"""),"פריאנטה קובי")</f>
        <v>פריאנטה קובי</v>
      </c>
      <c r="C696" s="3">
        <f>IFERROR(__xludf.DUMMYFUNCTION("""COMPUTED_VALUE"""),43.0)</f>
        <v>43</v>
      </c>
      <c r="D696" s="5" t="str">
        <f>IFERROR(__xludf.DUMMYFUNCTION("""COMPUTED_VALUE"""),"שדרות")</f>
        <v>שדרות</v>
      </c>
      <c r="E696" s="5" t="str">
        <f>IFERROR(__xludf.DUMMYFUNCTION("""COMPUTED_VALUE"""),"גבר")</f>
        <v>גבר</v>
      </c>
      <c r="F696" s="5" t="str">
        <f>IFERROR(__xludf.DUMMYFUNCTION("""COMPUTED_VALUE"""),"אזרחים")</f>
        <v>אזרחים</v>
      </c>
      <c r="G696" s="3"/>
      <c r="H696" s="3" t="str">
        <f>IFERROR(__xludf.DUMMYFUNCTION("""COMPUTED_VALUE"""),"07.10.2023")</f>
        <v>07.10.2023</v>
      </c>
      <c r="I696" s="4" t="str">
        <f>IFERROR(__xludf.DUMMYFUNCTION("""COMPUTED_VALUE"""),"יד מרדכי - נתיב העשרה; קבוצת ריצה")</f>
        <v>יד מרדכי - נתיב העשרה; קבוצת ריצה</v>
      </c>
      <c r="J696" s="4" t="str">
        <f>IFERROR(__xludf.DUMMYFUNCTION("""COMPUTED_VALUE"""),"אזרחים וכיתות כוננות")</f>
        <v>אזרחים וכיתות כוננות</v>
      </c>
      <c r="K696" s="5"/>
      <c r="L696" s="3" t="str">
        <f>IFERROR(__xludf.DUMMYFUNCTION("""COMPUTED_VALUE"""),"Kobi Paryante")</f>
        <v>Kobi Paryante</v>
      </c>
      <c r="M696" s="5"/>
    </row>
    <row r="697">
      <c r="A697" s="3">
        <f>IFERROR(__xludf.DUMMYFUNCTION("""COMPUTED_VALUE"""),1489.0)</f>
        <v>1489</v>
      </c>
      <c r="B697" s="4" t="str">
        <f>IFERROR(__xludf.DUMMYFUNCTION("""COMPUTED_VALUE"""),"שטרית אזולאי נעמי")</f>
        <v>שטרית אזולאי נעמי</v>
      </c>
      <c r="C697" s="3">
        <f>IFERROR(__xludf.DUMMYFUNCTION("""COMPUTED_VALUE"""),52.0)</f>
        <v>52</v>
      </c>
      <c r="D697" s="5" t="str">
        <f>IFERROR(__xludf.DUMMYFUNCTION("""COMPUTED_VALUE"""),"שדרות")</f>
        <v>שדרות</v>
      </c>
      <c r="E697" s="5" t="str">
        <f>IFERROR(__xludf.DUMMYFUNCTION("""COMPUTED_VALUE"""),"אישה")</f>
        <v>אישה</v>
      </c>
      <c r="F697" s="5" t="str">
        <f>IFERROR(__xludf.DUMMYFUNCTION("""COMPUTED_VALUE"""),"אזרחים")</f>
        <v>אזרחים</v>
      </c>
      <c r="G697" s="3"/>
      <c r="H697" s="3" t="str">
        <f>IFERROR(__xludf.DUMMYFUNCTION("""COMPUTED_VALUE"""),"07.10.2023")</f>
        <v>07.10.2023</v>
      </c>
      <c r="I697" s="4" t="str">
        <f>IFERROR(__xludf.DUMMYFUNCTION("""COMPUTED_VALUE"""),"יד מרדכי - נתיב העשרה; קבוצת ריצה")</f>
        <v>יד מרדכי - נתיב העשרה; קבוצת ריצה</v>
      </c>
      <c r="J697" s="4" t="str">
        <f>IFERROR(__xludf.DUMMYFUNCTION("""COMPUTED_VALUE"""),"אזרחים וכיתות כוננות")</f>
        <v>אזרחים וכיתות כוננות</v>
      </c>
      <c r="K697" s="5"/>
      <c r="L697" s="3" t="str">
        <f>IFERROR(__xludf.DUMMYFUNCTION("""COMPUTED_VALUE"""),"Neomi Shitrit-Azulay")</f>
        <v>Neomi Shitrit-Azulay</v>
      </c>
      <c r="M697" s="5"/>
    </row>
    <row r="698">
      <c r="A698" s="3">
        <f>IFERROR(__xludf.DUMMYFUNCTION("""COMPUTED_VALUE"""),2007.0)</f>
        <v>2007</v>
      </c>
      <c r="B698" s="4" t="str">
        <f>IFERROR(__xludf.DUMMYFUNCTION("""COMPUTED_VALUE"""),"Cao Yongcai")</f>
        <v>Cao Yongcai</v>
      </c>
      <c r="C698" s="3">
        <f>IFERROR(__xludf.DUMMYFUNCTION("""COMPUTED_VALUE"""),47.0)</f>
        <v>47</v>
      </c>
      <c r="D698" s="5" t="str">
        <f>IFERROR(__xludf.DUMMYFUNCTION("""COMPUTED_VALUE"""),"סין")</f>
        <v>סין</v>
      </c>
      <c r="E698" s="5" t="str">
        <f>IFERROR(__xludf.DUMMYFUNCTION("""COMPUTED_VALUE"""),"גבר")</f>
        <v>גבר</v>
      </c>
      <c r="F698" s="5" t="str">
        <f>IFERROR(__xludf.DUMMYFUNCTION("""COMPUTED_VALUE"""),"אזרחים זרים")</f>
        <v>אזרחים זרים</v>
      </c>
      <c r="G698" s="3"/>
      <c r="H698" s="3" t="str">
        <f>IFERROR(__xludf.DUMMYFUNCTION("""COMPUTED_VALUE"""),"07.10.2023")</f>
        <v>07.10.2023</v>
      </c>
      <c r="I698" s="4" t="str">
        <f>IFERROR(__xludf.DUMMYFUNCTION("""COMPUTED_VALUE"""),"שדרות")</f>
        <v>שדרות</v>
      </c>
      <c r="J698" s="4" t="str">
        <f>IFERROR(__xludf.DUMMYFUNCTION("""COMPUTED_VALUE"""),"אזרחים וכיתות כוננות")</f>
        <v>אזרחים וכיתות כוננות</v>
      </c>
      <c r="K698" s="5"/>
      <c r="L698" s="3" t="str">
        <f>IFERROR(__xludf.DUMMYFUNCTION("""COMPUTED_VALUE"""),"Cao Yongkai")</f>
        <v>Cao Yongkai</v>
      </c>
      <c r="M698" s="5"/>
    </row>
    <row r="699">
      <c r="A699" s="3">
        <f>IFERROR(__xludf.DUMMYFUNCTION("""COMPUTED_VALUE"""),1701.0)</f>
        <v>1701</v>
      </c>
      <c r="B699" s="4" t="str">
        <f>IFERROR(__xludf.DUMMYFUNCTION("""COMPUTED_VALUE"""),"Wan Zhishun")</f>
        <v>Wan Zhishun</v>
      </c>
      <c r="C699" s="3">
        <f>IFERROR(__xludf.DUMMYFUNCTION("""COMPUTED_VALUE"""),36.0)</f>
        <v>36</v>
      </c>
      <c r="D699" s="5" t="str">
        <f>IFERROR(__xludf.DUMMYFUNCTION("""COMPUTED_VALUE"""),"סין")</f>
        <v>סין</v>
      </c>
      <c r="E699" s="5" t="str">
        <f>IFERROR(__xludf.DUMMYFUNCTION("""COMPUTED_VALUE"""),"גבר")</f>
        <v>גבר</v>
      </c>
      <c r="F699" s="5" t="str">
        <f>IFERROR(__xludf.DUMMYFUNCTION("""COMPUTED_VALUE"""),"אזרחים זרים")</f>
        <v>אזרחים זרים</v>
      </c>
      <c r="G699" s="3"/>
      <c r="H699" s="3" t="str">
        <f>IFERROR(__xludf.DUMMYFUNCTION("""COMPUTED_VALUE"""),"07.10.2023")</f>
        <v>07.10.2023</v>
      </c>
      <c r="I699" s="4" t="str">
        <f>IFERROR(__xludf.DUMMYFUNCTION("""COMPUTED_VALUE"""),"שדרות")</f>
        <v>שדרות</v>
      </c>
      <c r="J699" s="4" t="str">
        <f>IFERROR(__xludf.DUMMYFUNCTION("""COMPUTED_VALUE"""),"אזרחים וכיתות כוננות")</f>
        <v>אזרחים וכיתות כוננות</v>
      </c>
      <c r="K699" s="5"/>
      <c r="L699" s="3" t="str">
        <f>IFERROR(__xludf.DUMMYFUNCTION("""COMPUTED_VALUE"""),"Wan Zhishun")</f>
        <v>Wan Zhishun</v>
      </c>
      <c r="M699" s="5"/>
    </row>
    <row r="700">
      <c r="A700" s="3">
        <f>IFERROR(__xludf.DUMMYFUNCTION("""COMPUTED_VALUE"""),1700.0)</f>
        <v>1700</v>
      </c>
      <c r="B700" s="2" t="str">
        <f>IFERROR(__xludf.DUMMYFUNCTION("""COMPUTED_VALUE"""),"Zou Deli")</f>
        <v>Zou Deli</v>
      </c>
      <c r="C700" s="3">
        <f>IFERROR(__xludf.DUMMYFUNCTION("""COMPUTED_VALUE"""),35.0)</f>
        <v>35</v>
      </c>
      <c r="D700" s="5" t="str">
        <f>IFERROR(__xludf.DUMMYFUNCTION("""COMPUTED_VALUE"""),"סין")</f>
        <v>סין</v>
      </c>
      <c r="E700" s="5" t="str">
        <f>IFERROR(__xludf.DUMMYFUNCTION("""COMPUTED_VALUE"""),"גבר")</f>
        <v>גבר</v>
      </c>
      <c r="F700" s="5" t="str">
        <f>IFERROR(__xludf.DUMMYFUNCTION("""COMPUTED_VALUE"""),"אזרחים זרים")</f>
        <v>אזרחים זרים</v>
      </c>
      <c r="G700" s="3"/>
      <c r="H700" s="3" t="str">
        <f>IFERROR(__xludf.DUMMYFUNCTION("""COMPUTED_VALUE"""),"07.10.2023")</f>
        <v>07.10.2023</v>
      </c>
      <c r="I700" s="4" t="str">
        <f>IFERROR(__xludf.DUMMYFUNCTION("""COMPUTED_VALUE"""),"שדרות")</f>
        <v>שדרות</v>
      </c>
      <c r="J700" s="4" t="str">
        <f>IFERROR(__xludf.DUMMYFUNCTION("""COMPUTED_VALUE"""),"אזרחים וכיתות כוננות")</f>
        <v>אזרחים וכיתות כוננות</v>
      </c>
      <c r="K700" s="5"/>
      <c r="L700" s="3" t="str">
        <f>IFERROR(__xludf.DUMMYFUNCTION("""COMPUTED_VALUE"""),"Zou Deli")</f>
        <v>Zou Deli</v>
      </c>
      <c r="M700" s="5"/>
    </row>
    <row r="701">
      <c r="A701" s="3">
        <f>IFERROR(__xludf.DUMMYFUNCTION("""COMPUTED_VALUE"""),1151.0)</f>
        <v>1151</v>
      </c>
      <c r="B701" s="2" t="str">
        <f>IFERROR(__xludf.DUMMYFUNCTION("""COMPUTED_VALUE"""),"ביילין זינאידה (זינה)")</f>
        <v>ביילין זינאידה (זינה)</v>
      </c>
      <c r="C701" s="3">
        <f>IFERROR(__xludf.DUMMYFUNCTION("""COMPUTED_VALUE"""),60.0)</f>
        <v>60</v>
      </c>
      <c r="D701" s="5" t="str">
        <f>IFERROR(__xludf.DUMMYFUNCTION("""COMPUTED_VALUE"""),"שדרות")</f>
        <v>שדרות</v>
      </c>
      <c r="E701" s="5" t="str">
        <f>IFERROR(__xludf.DUMMYFUNCTION("""COMPUTED_VALUE"""),"אישה")</f>
        <v>אישה</v>
      </c>
      <c r="F701" s="5" t="str">
        <f>IFERROR(__xludf.DUMMYFUNCTION("""COMPUTED_VALUE"""),"אזרחים")</f>
        <v>אזרחים</v>
      </c>
      <c r="G701" s="3"/>
      <c r="H701" s="3" t="str">
        <f>IFERROR(__xludf.DUMMYFUNCTION("""COMPUTED_VALUE"""),"07.10.2023")</f>
        <v>07.10.2023</v>
      </c>
      <c r="I701" s="4" t="str">
        <f>IFERROR(__xludf.DUMMYFUNCTION("""COMPUTED_VALUE"""),"שדרות; אוטובוס הגמלאים")</f>
        <v>שדרות; אוטובוס הגמלאים</v>
      </c>
      <c r="J701" s="2" t="str">
        <f>IFERROR(__xludf.DUMMYFUNCTION("""COMPUTED_VALUE"""),"אזרחים וכיתות כוננות")</f>
        <v>אזרחים וכיתות כוננות</v>
      </c>
      <c r="K701" s="5"/>
      <c r="L701" s="3" t="str">
        <f>IFERROR(__xludf.DUMMYFUNCTION("""COMPUTED_VALUE"""),"Zinaida Beilin")</f>
        <v>Zinaida Beilin</v>
      </c>
      <c r="M701" s="5"/>
    </row>
    <row r="702">
      <c r="A702" s="3">
        <f>IFERROR(__xludf.DUMMYFUNCTION("""COMPUTED_VALUE"""),981.0)</f>
        <v>981</v>
      </c>
      <c r="B702" s="2" t="str">
        <f>IFERROR(__xludf.DUMMYFUNCTION("""COMPUTED_VALUE"""),"גילר ליליה")</f>
        <v>גילר ליליה</v>
      </c>
      <c r="C702" s="3">
        <f>IFERROR(__xludf.DUMMYFUNCTION("""COMPUTED_VALUE"""),61.0)</f>
        <v>61</v>
      </c>
      <c r="D702" s="5" t="str">
        <f>IFERROR(__xludf.DUMMYFUNCTION("""COMPUTED_VALUE"""),"אופקים")</f>
        <v>אופקים</v>
      </c>
      <c r="E702" s="5" t="str">
        <f>IFERROR(__xludf.DUMMYFUNCTION("""COMPUTED_VALUE"""),"אישה")</f>
        <v>אישה</v>
      </c>
      <c r="F702" s="5" t="str">
        <f>IFERROR(__xludf.DUMMYFUNCTION("""COMPUTED_VALUE"""),"אזרחים")</f>
        <v>אזרחים</v>
      </c>
      <c r="G702" s="3"/>
      <c r="H702" s="3" t="str">
        <f>IFERROR(__xludf.DUMMYFUNCTION("""COMPUTED_VALUE"""),"07.10.2023")</f>
        <v>07.10.2023</v>
      </c>
      <c r="I702" s="4" t="str">
        <f>IFERROR(__xludf.DUMMYFUNCTION("""COMPUTED_VALUE"""),"שדרות; אוטובוס הגמלאים")</f>
        <v>שדרות; אוטובוס הגמלאים</v>
      </c>
      <c r="J702" s="2" t="str">
        <f>IFERROR(__xludf.DUMMYFUNCTION("""COMPUTED_VALUE"""),"אזרחים וכיתות כוננות")</f>
        <v>אזרחים וכיתות כוננות</v>
      </c>
      <c r="K702" s="5"/>
      <c r="L702" s="3" t="str">
        <f>IFERROR(__xludf.DUMMYFUNCTION("""COMPUTED_VALUE"""),"Lilya Giler")</f>
        <v>Lilya Giler</v>
      </c>
      <c r="M702" s="5"/>
    </row>
    <row r="703">
      <c r="A703" s="3">
        <f>IFERROR(__xludf.DUMMYFUNCTION("""COMPUTED_VALUE"""),1031.0)</f>
        <v>1031</v>
      </c>
      <c r="B703" s="4" t="str">
        <f>IFERROR(__xludf.DUMMYFUNCTION("""COMPUTED_VALUE"""),"זרבאילוב מיכל מראל")</f>
        <v>זרבאילוב מיכל מראל</v>
      </c>
      <c r="C703" s="3">
        <f>IFERROR(__xludf.DUMMYFUNCTION("""COMPUTED_VALUE"""),60.0)</f>
        <v>60</v>
      </c>
      <c r="D703" s="5" t="str">
        <f>IFERROR(__xludf.DUMMYFUNCTION("""COMPUTED_VALUE"""),"אופקים")</f>
        <v>אופקים</v>
      </c>
      <c r="E703" s="5" t="str">
        <f>IFERROR(__xludf.DUMMYFUNCTION("""COMPUTED_VALUE"""),"אישה")</f>
        <v>אישה</v>
      </c>
      <c r="F703" s="5" t="str">
        <f>IFERROR(__xludf.DUMMYFUNCTION("""COMPUTED_VALUE"""),"אזרחים")</f>
        <v>אזרחים</v>
      </c>
      <c r="G703" s="3"/>
      <c r="H703" s="3" t="str">
        <f>IFERROR(__xludf.DUMMYFUNCTION("""COMPUTED_VALUE"""),"07.10.2023")</f>
        <v>07.10.2023</v>
      </c>
      <c r="I703" s="4" t="str">
        <f>IFERROR(__xludf.DUMMYFUNCTION("""COMPUTED_VALUE"""),"שדרות; אוטובוס הגמלאים")</f>
        <v>שדרות; אוטובוס הגמלאים</v>
      </c>
      <c r="J703" s="2" t="str">
        <f>IFERROR(__xludf.DUMMYFUNCTION("""COMPUTED_VALUE"""),"אזרחים וכיתות כוננות")</f>
        <v>אזרחים וכיתות כוננות</v>
      </c>
      <c r="K703" s="5"/>
      <c r="L703" s="3" t="str">
        <f>IFERROR(__xludf.DUMMYFUNCTION("""COMPUTED_VALUE"""),"Michal Zrabailov")</f>
        <v>Michal Zrabailov</v>
      </c>
      <c r="M703" s="5"/>
    </row>
    <row r="704">
      <c r="A704" s="3">
        <f>IFERROR(__xludf.DUMMYFUNCTION("""COMPUTED_VALUE"""),1149.0)</f>
        <v>1149</v>
      </c>
      <c r="B704" s="4" t="str">
        <f>IFERROR(__xludf.DUMMYFUNCTION("""COMPUTED_VALUE"""),"טומייב נטליה")</f>
        <v>טומייב נטליה</v>
      </c>
      <c r="C704" s="3">
        <f>IFERROR(__xludf.DUMMYFUNCTION("""COMPUTED_VALUE"""),71.0)</f>
        <v>71</v>
      </c>
      <c r="D704" s="5" t="str">
        <f>IFERROR(__xludf.DUMMYFUNCTION("""COMPUTED_VALUE"""),"נתיבות")</f>
        <v>נתיבות</v>
      </c>
      <c r="E704" s="5" t="str">
        <f>IFERROR(__xludf.DUMMYFUNCTION("""COMPUTED_VALUE"""),"אישה")</f>
        <v>אישה</v>
      </c>
      <c r="F704" s="5" t="str">
        <f>IFERROR(__xludf.DUMMYFUNCTION("""COMPUTED_VALUE"""),"אזרחים")</f>
        <v>אזרחים</v>
      </c>
      <c r="G704" s="3"/>
      <c r="H704" s="3" t="str">
        <f>IFERROR(__xludf.DUMMYFUNCTION("""COMPUTED_VALUE"""),"07.10.2023")</f>
        <v>07.10.2023</v>
      </c>
      <c r="I704" s="4" t="str">
        <f>IFERROR(__xludf.DUMMYFUNCTION("""COMPUTED_VALUE"""),"שדרות; אוטובוס הגמלאים")</f>
        <v>שדרות; אוטובוס הגמלאים</v>
      </c>
      <c r="J704" s="4" t="str">
        <f>IFERROR(__xludf.DUMMYFUNCTION("""COMPUTED_VALUE"""),"אזרחים וכיתות כוננות")</f>
        <v>אזרחים וכיתות כוננות</v>
      </c>
      <c r="K704" s="5"/>
      <c r="L704" s="3" t="str">
        <f>IFERROR(__xludf.DUMMYFUNCTION("""COMPUTED_VALUE"""),"Natalia Tomayev")</f>
        <v>Natalia Tomayev</v>
      </c>
      <c r="M704" s="5"/>
    </row>
    <row r="705">
      <c r="A705" s="3">
        <f>IFERROR(__xludf.DUMMYFUNCTION("""COMPUTED_VALUE"""),1000.0)</f>
        <v>1000</v>
      </c>
      <c r="B705" s="4" t="str">
        <f>IFERROR(__xludf.DUMMYFUNCTION("""COMPUTED_VALUE"""),"מורטוב יעקב")</f>
        <v>מורטוב יעקב</v>
      </c>
      <c r="C705" s="3">
        <f>IFERROR(__xludf.DUMMYFUNCTION("""COMPUTED_VALUE"""),66.0)</f>
        <v>66</v>
      </c>
      <c r="D705" s="5" t="str">
        <f>IFERROR(__xludf.DUMMYFUNCTION("""COMPUTED_VALUE"""),"אופקים")</f>
        <v>אופקים</v>
      </c>
      <c r="E705" s="5" t="str">
        <f>IFERROR(__xludf.DUMMYFUNCTION("""COMPUTED_VALUE"""),"גבר")</f>
        <v>גבר</v>
      </c>
      <c r="F705" s="5" t="str">
        <f>IFERROR(__xludf.DUMMYFUNCTION("""COMPUTED_VALUE"""),"אזרחים")</f>
        <v>אזרחים</v>
      </c>
      <c r="G705" s="3"/>
      <c r="H705" s="3" t="str">
        <f>IFERROR(__xludf.DUMMYFUNCTION("""COMPUTED_VALUE"""),"07.10.2023")</f>
        <v>07.10.2023</v>
      </c>
      <c r="I705" s="4" t="str">
        <f>IFERROR(__xludf.DUMMYFUNCTION("""COMPUTED_VALUE"""),"שדרות; אוטובוס הגמלאים")</f>
        <v>שדרות; אוטובוס הגמלאים</v>
      </c>
      <c r="J705" s="4" t="str">
        <f>IFERROR(__xludf.DUMMYFUNCTION("""COMPUTED_VALUE"""),"אזרחים וכיתות כוננות")</f>
        <v>אזרחים וכיתות כוננות</v>
      </c>
      <c r="K705" s="5"/>
      <c r="L705" s="3" t="str">
        <f>IFERROR(__xludf.DUMMYFUNCTION("""COMPUTED_VALUE"""),"Yaakov Mortov")</f>
        <v>Yaakov Mortov</v>
      </c>
      <c r="M705" s="5"/>
    </row>
    <row r="706">
      <c r="A706" s="3">
        <f>IFERROR(__xludf.DUMMYFUNCTION("""COMPUTED_VALUE"""),1150.0)</f>
        <v>1150</v>
      </c>
      <c r="B706" s="4" t="str">
        <f>IFERROR(__xludf.DUMMYFUNCTION("""COMPUTED_VALUE"""),"ספרבצ'יקוב נדז'דה")</f>
        <v>ספרבצ'יקוב נדז'דה</v>
      </c>
      <c r="C706" s="3">
        <f>IFERROR(__xludf.DUMMYFUNCTION("""COMPUTED_VALUE"""),75.0)</f>
        <v>75</v>
      </c>
      <c r="D706" s="5" t="str">
        <f>IFERROR(__xludf.DUMMYFUNCTION("""COMPUTED_VALUE"""),"נתיבות")</f>
        <v>נתיבות</v>
      </c>
      <c r="E706" s="5" t="str">
        <f>IFERROR(__xludf.DUMMYFUNCTION("""COMPUTED_VALUE"""),"אישה")</f>
        <v>אישה</v>
      </c>
      <c r="F706" s="5" t="str">
        <f>IFERROR(__xludf.DUMMYFUNCTION("""COMPUTED_VALUE"""),"אזרחים")</f>
        <v>אזרחים</v>
      </c>
      <c r="G706" s="3"/>
      <c r="H706" s="3" t="str">
        <f>IFERROR(__xludf.DUMMYFUNCTION("""COMPUTED_VALUE"""),"07.10.2023")</f>
        <v>07.10.2023</v>
      </c>
      <c r="I706" s="4" t="str">
        <f>IFERROR(__xludf.DUMMYFUNCTION("""COMPUTED_VALUE"""),"שדרות; אוטובוס הגמלאים")</f>
        <v>שדרות; אוטובוס הגמלאים</v>
      </c>
      <c r="J706" s="4" t="str">
        <f>IFERROR(__xludf.DUMMYFUNCTION("""COMPUTED_VALUE"""),"אזרחים וכיתות כוננות")</f>
        <v>אזרחים וכיתות כוננות</v>
      </c>
      <c r="K706" s="5"/>
      <c r="L706" s="3" t="str">
        <f>IFERROR(__xludf.DUMMYFUNCTION("""COMPUTED_VALUE"""),"Nadejda Spravchikov")</f>
        <v>Nadejda Spravchikov</v>
      </c>
      <c r="M706" s="5"/>
    </row>
    <row r="707">
      <c r="A707" s="3">
        <f>IFERROR(__xludf.DUMMYFUNCTION("""COMPUTED_VALUE"""),1515.0)</f>
        <v>1515</v>
      </c>
      <c r="B707" s="4" t="str">
        <f>IFERROR(__xludf.DUMMYFUNCTION("""COMPUTED_VALUE"""),"פופוב ולדימיר")</f>
        <v>פופוב ולדימיר</v>
      </c>
      <c r="C707" s="3">
        <f>IFERROR(__xludf.DUMMYFUNCTION("""COMPUTED_VALUE"""),74.0)</f>
        <v>74</v>
      </c>
      <c r="D707" s="5" t="str">
        <f>IFERROR(__xludf.DUMMYFUNCTION("""COMPUTED_VALUE"""),"אופקים")</f>
        <v>אופקים</v>
      </c>
      <c r="E707" s="5" t="str">
        <f>IFERROR(__xludf.DUMMYFUNCTION("""COMPUTED_VALUE"""),"גבר")</f>
        <v>גבר</v>
      </c>
      <c r="F707" s="5" t="str">
        <f>IFERROR(__xludf.DUMMYFUNCTION("""COMPUTED_VALUE"""),"אזרחים")</f>
        <v>אזרחים</v>
      </c>
      <c r="G707" s="3"/>
      <c r="H707" s="3" t="str">
        <f>IFERROR(__xludf.DUMMYFUNCTION("""COMPUTED_VALUE"""),"07.10.2023")</f>
        <v>07.10.2023</v>
      </c>
      <c r="I707" s="4" t="str">
        <f>IFERROR(__xludf.DUMMYFUNCTION("""COMPUTED_VALUE"""),"שדרות; אוטובוס הגמלאים")</f>
        <v>שדרות; אוטובוס הגמלאים</v>
      </c>
      <c r="J707" s="4" t="str">
        <f>IFERROR(__xludf.DUMMYFUNCTION("""COMPUTED_VALUE"""),"אזרחים וכיתות כוננות")</f>
        <v>אזרחים וכיתות כוננות</v>
      </c>
      <c r="K707" s="5"/>
      <c r="L707" s="3" t="str">
        <f>IFERROR(__xludf.DUMMYFUNCTION("""COMPUTED_VALUE"""),"Vladimir Popov")</f>
        <v>Vladimir Popov</v>
      </c>
      <c r="M707" s="5"/>
    </row>
    <row r="708">
      <c r="A708" s="3">
        <f>IFERROR(__xludf.DUMMYFUNCTION("""COMPUTED_VALUE"""),1516.0)</f>
        <v>1516</v>
      </c>
      <c r="B708" s="4" t="str">
        <f>IFERROR(__xludf.DUMMYFUNCTION("""COMPUTED_VALUE"""),"פופוב סופיה")</f>
        <v>פופוב סופיה</v>
      </c>
      <c r="C708" s="3">
        <f>IFERROR(__xludf.DUMMYFUNCTION("""COMPUTED_VALUE"""),68.0)</f>
        <v>68</v>
      </c>
      <c r="D708" s="5" t="str">
        <f>IFERROR(__xludf.DUMMYFUNCTION("""COMPUTED_VALUE"""),"אופקים")</f>
        <v>אופקים</v>
      </c>
      <c r="E708" s="5" t="str">
        <f>IFERROR(__xludf.DUMMYFUNCTION("""COMPUTED_VALUE"""),"אישה")</f>
        <v>אישה</v>
      </c>
      <c r="F708" s="5" t="str">
        <f>IFERROR(__xludf.DUMMYFUNCTION("""COMPUTED_VALUE"""),"אזרחים")</f>
        <v>אזרחים</v>
      </c>
      <c r="G708" s="3"/>
      <c r="H708" s="3" t="str">
        <f>IFERROR(__xludf.DUMMYFUNCTION("""COMPUTED_VALUE"""),"07.10.2023")</f>
        <v>07.10.2023</v>
      </c>
      <c r="I708" s="4" t="str">
        <f>IFERROR(__xludf.DUMMYFUNCTION("""COMPUTED_VALUE"""),"שדרות; אוטובוס הגמלאים")</f>
        <v>שדרות; אוטובוס הגמלאים</v>
      </c>
      <c r="J708" s="4" t="str">
        <f>IFERROR(__xludf.DUMMYFUNCTION("""COMPUTED_VALUE"""),"אזרחים וכיתות כוננות")</f>
        <v>אזרחים וכיתות כוננות</v>
      </c>
      <c r="K708" s="5"/>
      <c r="L708" s="3" t="str">
        <f>IFERROR(__xludf.DUMMYFUNCTION("""COMPUTED_VALUE"""),"Sonia Popov")</f>
        <v>Sonia Popov</v>
      </c>
      <c r="M708" s="5"/>
    </row>
    <row r="709">
      <c r="A709" s="3">
        <f>IFERROR(__xludf.DUMMYFUNCTION("""COMPUTED_VALUE"""),1512.0)</f>
        <v>1512</v>
      </c>
      <c r="B709" s="4" t="str">
        <f>IFERROR(__xludf.DUMMYFUNCTION("""COMPUTED_VALUE"""),"פורמן לודמילה (לודה)")</f>
        <v>פורמן לודמילה (לודה)</v>
      </c>
      <c r="C709" s="3">
        <f>IFERROR(__xludf.DUMMYFUNCTION("""COMPUTED_VALUE"""),78.0)</f>
        <v>78</v>
      </c>
      <c r="D709" s="5" t="str">
        <f>IFERROR(__xludf.DUMMYFUNCTION("""COMPUTED_VALUE"""),"אופקים")</f>
        <v>אופקים</v>
      </c>
      <c r="E709" s="5" t="str">
        <f>IFERROR(__xludf.DUMMYFUNCTION("""COMPUTED_VALUE"""),"אישה")</f>
        <v>אישה</v>
      </c>
      <c r="F709" s="5" t="str">
        <f>IFERROR(__xludf.DUMMYFUNCTION("""COMPUTED_VALUE"""),"אזרחים")</f>
        <v>אזרחים</v>
      </c>
      <c r="G709" s="3"/>
      <c r="H709" s="3" t="str">
        <f>IFERROR(__xludf.DUMMYFUNCTION("""COMPUTED_VALUE"""),"07.10.2023")</f>
        <v>07.10.2023</v>
      </c>
      <c r="I709" s="4" t="str">
        <f>IFERROR(__xludf.DUMMYFUNCTION("""COMPUTED_VALUE"""),"שדרות; אוטובוס הגמלאים")</f>
        <v>שדרות; אוטובוס הגמלאים</v>
      </c>
      <c r="J709" s="4" t="str">
        <f>IFERROR(__xludf.DUMMYFUNCTION("""COMPUTED_VALUE"""),"אזרחים וכיתות כוננות")</f>
        <v>אזרחים וכיתות כוננות</v>
      </c>
      <c r="K709" s="5"/>
      <c r="L709" s="3" t="str">
        <f>IFERROR(__xludf.DUMMYFUNCTION("""COMPUTED_VALUE"""),"Lyudmila Furman")</f>
        <v>Lyudmila Furman</v>
      </c>
      <c r="M709" s="5"/>
    </row>
    <row r="710">
      <c r="A710" s="3">
        <f>IFERROR(__xludf.DUMMYFUNCTION("""COMPUTED_VALUE"""),1514.0)</f>
        <v>1514</v>
      </c>
      <c r="B710" s="4" t="str">
        <f>IFERROR(__xludf.DUMMYFUNCTION("""COMPUTED_VALUE"""),"פרידמן ולרי")</f>
        <v>פרידמן ולרי</v>
      </c>
      <c r="C710" s="3">
        <f>IFERROR(__xludf.DUMMYFUNCTION("""COMPUTED_VALUE"""),60.0)</f>
        <v>60</v>
      </c>
      <c r="D710" s="5" t="str">
        <f>IFERROR(__xludf.DUMMYFUNCTION("""COMPUTED_VALUE"""),"שדרות")</f>
        <v>שדרות</v>
      </c>
      <c r="E710" s="5" t="str">
        <f>IFERROR(__xludf.DUMMYFUNCTION("""COMPUTED_VALUE"""),"גבר")</f>
        <v>גבר</v>
      </c>
      <c r="F710" s="5" t="str">
        <f>IFERROR(__xludf.DUMMYFUNCTION("""COMPUTED_VALUE"""),"אזרחים")</f>
        <v>אזרחים</v>
      </c>
      <c r="G710" s="3"/>
      <c r="H710" s="3" t="str">
        <f>IFERROR(__xludf.DUMMYFUNCTION("""COMPUTED_VALUE"""),"07.10.2023")</f>
        <v>07.10.2023</v>
      </c>
      <c r="I710" s="4" t="str">
        <f>IFERROR(__xludf.DUMMYFUNCTION("""COMPUTED_VALUE"""),"שדרות; אוטובוס הגמלאים")</f>
        <v>שדרות; אוטובוס הגמלאים</v>
      </c>
      <c r="J710" s="4" t="str">
        <f>IFERROR(__xludf.DUMMYFUNCTION("""COMPUTED_VALUE"""),"אזרחים וכיתות כוננות")</f>
        <v>אזרחים וכיתות כוננות</v>
      </c>
      <c r="K710" s="5"/>
      <c r="L710" s="3" t="str">
        <f>IFERROR(__xludf.DUMMYFUNCTION("""COMPUTED_VALUE"""),"Valerie Friedman")</f>
        <v>Valerie Friedman</v>
      </c>
      <c r="M710" s="5"/>
    </row>
    <row r="711">
      <c r="A711" s="3">
        <f>IFERROR(__xludf.DUMMYFUNCTION("""COMPUTED_VALUE"""),1152.0)</f>
        <v>1152</v>
      </c>
      <c r="B711" s="4" t="str">
        <f>IFERROR(__xludf.DUMMYFUNCTION("""COMPUTED_VALUE"""),"קורצר איגור")</f>
        <v>קורצר איגור</v>
      </c>
      <c r="C711" s="3">
        <f>IFERROR(__xludf.DUMMYFUNCTION("""COMPUTED_VALUE"""),72.0)</f>
        <v>72</v>
      </c>
      <c r="D711" s="5" t="str">
        <f>IFERROR(__xludf.DUMMYFUNCTION("""COMPUTED_VALUE"""),"אופקים")</f>
        <v>אופקים</v>
      </c>
      <c r="E711" s="5" t="str">
        <f>IFERROR(__xludf.DUMMYFUNCTION("""COMPUTED_VALUE"""),"גבר")</f>
        <v>גבר</v>
      </c>
      <c r="F711" s="5" t="str">
        <f>IFERROR(__xludf.DUMMYFUNCTION("""COMPUTED_VALUE"""),"אזרחים")</f>
        <v>אזרחים</v>
      </c>
      <c r="G711" s="3"/>
      <c r="H711" s="3" t="str">
        <f>IFERROR(__xludf.DUMMYFUNCTION("""COMPUTED_VALUE"""),"07.10.2023")</f>
        <v>07.10.2023</v>
      </c>
      <c r="I711" s="4" t="str">
        <f>IFERROR(__xludf.DUMMYFUNCTION("""COMPUTED_VALUE"""),"שדרות; אוטובוס הגמלאים")</f>
        <v>שדרות; אוטובוס הגמלאים</v>
      </c>
      <c r="J711" s="4" t="str">
        <f>IFERROR(__xludf.DUMMYFUNCTION("""COMPUTED_VALUE"""),"אזרחים וכיתות כוננות")</f>
        <v>אזרחים וכיתות כוננות</v>
      </c>
      <c r="K711" s="5"/>
      <c r="L711" s="3" t="str">
        <f>IFERROR(__xludf.DUMMYFUNCTION("""COMPUTED_VALUE"""),"Igor Kortzov")</f>
        <v>Igor Kortzov</v>
      </c>
      <c r="M711" s="5"/>
    </row>
    <row r="712">
      <c r="A712" s="3">
        <f>IFERROR(__xludf.DUMMYFUNCTION("""COMPUTED_VALUE"""),995.0)</f>
        <v>995</v>
      </c>
      <c r="B712" s="4" t="str">
        <f>IFERROR(__xludf.DUMMYFUNCTION("""COMPUTED_VALUE"""),"שמיאייב לוי ברטה בטסיין")</f>
        <v>שמיאייב לוי ברטה בטסיין</v>
      </c>
      <c r="C712" s="3">
        <f>IFERROR(__xludf.DUMMYFUNCTION("""COMPUTED_VALUE"""),56.0)</f>
        <v>56</v>
      </c>
      <c r="D712" s="5" t="str">
        <f>IFERROR(__xludf.DUMMYFUNCTION("""COMPUTED_VALUE"""),"אופקים")</f>
        <v>אופקים</v>
      </c>
      <c r="E712" s="5" t="str">
        <f>IFERROR(__xludf.DUMMYFUNCTION("""COMPUTED_VALUE"""),"אישה")</f>
        <v>אישה</v>
      </c>
      <c r="F712" s="5" t="str">
        <f>IFERROR(__xludf.DUMMYFUNCTION("""COMPUTED_VALUE"""),"אזרחים")</f>
        <v>אזרחים</v>
      </c>
      <c r="G712" s="3"/>
      <c r="H712" s="3" t="str">
        <f>IFERROR(__xludf.DUMMYFUNCTION("""COMPUTED_VALUE"""),"07.10.2023")</f>
        <v>07.10.2023</v>
      </c>
      <c r="I712" s="4" t="str">
        <f>IFERROR(__xludf.DUMMYFUNCTION("""COMPUTED_VALUE"""),"שדרות; אוטובוס הגמלאים")</f>
        <v>שדרות; אוטובוס הגמלאים</v>
      </c>
      <c r="J712" s="4" t="str">
        <f>IFERROR(__xludf.DUMMYFUNCTION("""COMPUTED_VALUE"""),"אזרחים וכיתות כוננות")</f>
        <v>אזרחים וכיתות כוננות</v>
      </c>
      <c r="K712" s="5"/>
      <c r="L712" s="3" t="str">
        <f>IFERROR(__xludf.DUMMYFUNCTION("""COMPUTED_VALUE"""),"Barta Shmeyev")</f>
        <v>Barta Shmeyev</v>
      </c>
      <c r="M712" s="5"/>
    </row>
    <row r="713">
      <c r="A713" s="3">
        <f>IFERROR(__xludf.DUMMYFUNCTION("""COMPUTED_VALUE"""),1513.0)</f>
        <v>1513</v>
      </c>
      <c r="B713" s="4" t="str">
        <f>IFERROR(__xludf.DUMMYFUNCTION("""COMPUTED_VALUE"""),"שניטמן טטיאנה")</f>
        <v>שניטמן טטיאנה</v>
      </c>
      <c r="C713" s="3">
        <f>IFERROR(__xludf.DUMMYFUNCTION("""COMPUTED_VALUE"""),70.0)</f>
        <v>70</v>
      </c>
      <c r="D713" s="5" t="str">
        <f>IFERROR(__xludf.DUMMYFUNCTION("""COMPUTED_VALUE"""),"אופקים")</f>
        <v>אופקים</v>
      </c>
      <c r="E713" s="5" t="str">
        <f>IFERROR(__xludf.DUMMYFUNCTION("""COMPUTED_VALUE"""),"אישה")</f>
        <v>אישה</v>
      </c>
      <c r="F713" s="5" t="str">
        <f>IFERROR(__xludf.DUMMYFUNCTION("""COMPUTED_VALUE"""),"אזרחים")</f>
        <v>אזרחים</v>
      </c>
      <c r="G713" s="3"/>
      <c r="H713" s="3" t="str">
        <f>IFERROR(__xludf.DUMMYFUNCTION("""COMPUTED_VALUE"""),"07.10.2023")</f>
        <v>07.10.2023</v>
      </c>
      <c r="I713" s="4" t="str">
        <f>IFERROR(__xludf.DUMMYFUNCTION("""COMPUTED_VALUE"""),"שדרות; אוטובוס הגמלאים")</f>
        <v>שדרות; אוטובוס הגמלאים</v>
      </c>
      <c r="J713" s="4" t="str">
        <f>IFERROR(__xludf.DUMMYFUNCTION("""COMPUTED_VALUE"""),"אזרחים וכיתות כוננות")</f>
        <v>אזרחים וכיתות כוננות</v>
      </c>
      <c r="K713" s="5"/>
      <c r="L713" s="3" t="str">
        <f>IFERROR(__xludf.DUMMYFUNCTION("""COMPUTED_VALUE"""),"Tatiana Shnitman")</f>
        <v>Tatiana Shnitman</v>
      </c>
      <c r="M713" s="5"/>
    </row>
    <row r="714">
      <c r="A714" s="3">
        <f>IFERROR(__xludf.DUMMYFUNCTION("""COMPUTED_VALUE"""),1373.0)</f>
        <v>1373</v>
      </c>
      <c r="B714" s="4" t="str">
        <f>IFERROR(__xludf.DUMMYFUNCTION("""COMPUTED_VALUE"""),"אבו ג'מאע יזן זכריה")</f>
        <v>אבו ג'מאע יזן זכריה</v>
      </c>
      <c r="C714" s="3">
        <f>IFERROR(__xludf.DUMMYFUNCTION("""COMPUTED_VALUE"""),5.0)</f>
        <v>5</v>
      </c>
      <c r="D714" s="5" t="str">
        <f>IFERROR(__xludf.DUMMYFUNCTION("""COMPUTED_VALUE"""),"ערערה בנגב")</f>
        <v>ערערה בנגב</v>
      </c>
      <c r="E714" s="5" t="str">
        <f>IFERROR(__xludf.DUMMYFUNCTION("""COMPUTED_VALUE"""),"ילד")</f>
        <v>ילד</v>
      </c>
      <c r="F714" s="5" t="str">
        <f>IFERROR(__xludf.DUMMYFUNCTION("""COMPUTED_VALUE"""),"אזרחים")</f>
        <v>אזרחים</v>
      </c>
      <c r="G714" s="3"/>
      <c r="H714" s="3" t="str">
        <f>IFERROR(__xludf.DUMMYFUNCTION("""COMPUTED_VALUE"""),"07.10.2023")</f>
        <v>07.10.2023</v>
      </c>
      <c r="I714" s="4" t="str">
        <f>IFERROR(__xludf.DUMMYFUNCTION("""COMPUTED_VALUE"""),"ערערה בנגב")</f>
        <v>ערערה בנגב</v>
      </c>
      <c r="J714" s="4" t="str">
        <f>IFERROR(__xludf.DUMMYFUNCTION("""COMPUTED_VALUE"""),"ירי רקטי")</f>
        <v>ירי רקטי</v>
      </c>
      <c r="K714" s="5"/>
      <c r="L714" s="3" t="str">
        <f>IFERROR(__xludf.DUMMYFUNCTION("""COMPUTED_VALUE"""),"Yazan Zakaria Abu Jama")</f>
        <v>Yazan Zakaria Abu Jama</v>
      </c>
      <c r="M714" s="5"/>
    </row>
    <row r="715">
      <c r="A715" s="3">
        <f>IFERROR(__xludf.DUMMYFUNCTION("""COMPUTED_VALUE"""),1361.0)</f>
        <v>1361</v>
      </c>
      <c r="B715" s="4" t="str">
        <f>IFERROR(__xludf.DUMMYFUNCTION("""COMPUTED_VALUE"""),"אבו מדיע'ם גאליה")</f>
        <v>אבו מדיע'ם גאליה</v>
      </c>
      <c r="C715" s="3">
        <f>IFERROR(__xludf.DUMMYFUNCTION("""COMPUTED_VALUE"""),30.0)</f>
        <v>30</v>
      </c>
      <c r="D715" s="5" t="str">
        <f>IFERROR(__xludf.DUMMYFUNCTION("""COMPUTED_VALUE"""),"רהט")</f>
        <v>רהט</v>
      </c>
      <c r="E715" s="5" t="str">
        <f>IFERROR(__xludf.DUMMYFUNCTION("""COMPUTED_VALUE"""),"אישה")</f>
        <v>אישה</v>
      </c>
      <c r="F715" s="5" t="str">
        <f>IFERROR(__xludf.DUMMYFUNCTION("""COMPUTED_VALUE"""),"אזרחים")</f>
        <v>אזרחים</v>
      </c>
      <c r="G715" s="3"/>
      <c r="H715" s="3" t="str">
        <f>IFERROR(__xludf.DUMMYFUNCTION("""COMPUTED_VALUE"""),"07.10.2023")</f>
        <v>07.10.2023</v>
      </c>
      <c r="I715" s="4" t="str">
        <f>IFERROR(__xludf.DUMMYFUNCTION("""COMPUTED_VALUE"""),"דרומית למבטחים")</f>
        <v>דרומית למבטחים</v>
      </c>
      <c r="J715" s="2" t="str">
        <f>IFERROR(__xludf.DUMMYFUNCTION("""COMPUTED_VALUE"""),"אזרחים וכיתות כוננות")</f>
        <v>אזרחים וכיתות כוננות</v>
      </c>
      <c r="K715" s="5"/>
      <c r="L715" s="3" t="str">
        <f>IFERROR(__xludf.DUMMYFUNCTION("""COMPUTED_VALUE"""),"Dalia Abu Madi'am")</f>
        <v>Dalia Abu Madi'am</v>
      </c>
      <c r="M715" s="5"/>
    </row>
    <row r="716">
      <c r="A716" s="3">
        <f>IFERROR(__xludf.DUMMYFUNCTION("""COMPUTED_VALUE"""),1386.0)</f>
        <v>1386</v>
      </c>
      <c r="B716" s="4" t="str">
        <f>IFERROR(__xludf.DUMMYFUNCTION("""COMPUTED_VALUE"""),"אבו סבייח מאי זוהיר")</f>
        <v>אבו סבייח מאי זוהיר</v>
      </c>
      <c r="C716" s="3">
        <f>IFERROR(__xludf.DUMMYFUNCTION("""COMPUTED_VALUE"""),13.0)</f>
        <v>13</v>
      </c>
      <c r="D716" s="5" t="str">
        <f>IFERROR(__xludf.DUMMYFUNCTION("""COMPUTED_VALUE"""),"כפר כוחלה")</f>
        <v>כפר כוחלה</v>
      </c>
      <c r="E716" s="5" t="str">
        <f>IFERROR(__xludf.DUMMYFUNCTION("""COMPUTED_VALUE"""),"ילדה")</f>
        <v>ילדה</v>
      </c>
      <c r="F716" s="5" t="str">
        <f>IFERROR(__xludf.DUMMYFUNCTION("""COMPUTED_VALUE"""),"אזרחים")</f>
        <v>אזרחים</v>
      </c>
      <c r="G716" s="3"/>
      <c r="H716" s="3" t="str">
        <f>IFERROR(__xludf.DUMMYFUNCTION("""COMPUTED_VALUE"""),"07.10.2023")</f>
        <v>07.10.2023</v>
      </c>
      <c r="I716" s="4" t="str">
        <f>IFERROR(__xludf.DUMMYFUNCTION("""COMPUTED_VALUE"""),"כוחלה")</f>
        <v>כוחלה</v>
      </c>
      <c r="J716" s="2" t="str">
        <f>IFERROR(__xludf.DUMMYFUNCTION("""COMPUTED_VALUE"""),"ירי רקטי")</f>
        <v>ירי רקטי</v>
      </c>
      <c r="K716" s="5"/>
      <c r="L716" s="3" t="str">
        <f>IFERROR(__xludf.DUMMYFUNCTION("""COMPUTED_VALUE"""),"May Abu Sabaakh")</f>
        <v>May Abu Sabaakh</v>
      </c>
      <c r="M716" s="5"/>
    </row>
    <row r="717">
      <c r="A717" s="3">
        <f>IFERROR(__xludf.DUMMYFUNCTION("""COMPUTED_VALUE"""),1379.0)</f>
        <v>1379</v>
      </c>
      <c r="B717" s="4" t="str">
        <f>IFERROR(__xludf.DUMMYFUNCTION("""COMPUTED_VALUE"""),"אבו סבייח פאיזה")</f>
        <v>אבו סבייח פאיזה</v>
      </c>
      <c r="C717" s="3">
        <f>IFERROR(__xludf.DUMMYFUNCTION("""COMPUTED_VALUE"""),57.0)</f>
        <v>57</v>
      </c>
      <c r="D717" s="5" t="str">
        <f>IFERROR(__xludf.DUMMYFUNCTION("""COMPUTED_VALUE"""),"כפר כוחלה")</f>
        <v>כפר כוחלה</v>
      </c>
      <c r="E717" s="5" t="str">
        <f>IFERROR(__xludf.DUMMYFUNCTION("""COMPUTED_VALUE"""),"אישה")</f>
        <v>אישה</v>
      </c>
      <c r="F717" s="5" t="str">
        <f>IFERROR(__xludf.DUMMYFUNCTION("""COMPUTED_VALUE"""),"אזרחים")</f>
        <v>אזרחים</v>
      </c>
      <c r="G717" s="3"/>
      <c r="H717" s="3" t="str">
        <f>IFERROR(__xludf.DUMMYFUNCTION("""COMPUTED_VALUE"""),"07.10.2023")</f>
        <v>07.10.2023</v>
      </c>
      <c r="I717" s="4" t="str">
        <f>IFERROR(__xludf.DUMMYFUNCTION("""COMPUTED_VALUE"""),"כוחלה")</f>
        <v>כוחלה</v>
      </c>
      <c r="J717" s="2" t="str">
        <f>IFERROR(__xludf.DUMMYFUNCTION("""COMPUTED_VALUE"""),"ירי רקטי")</f>
        <v>ירי רקטי</v>
      </c>
      <c r="K717" s="5"/>
      <c r="L717" s="3" t="str">
        <f>IFERROR(__xludf.DUMMYFUNCTION("""COMPUTED_VALUE"""),"Faiza Abu Sabaakh")</f>
        <v>Faiza Abu Sabaakh</v>
      </c>
      <c r="M717" s="5"/>
    </row>
    <row r="718">
      <c r="A718" s="3">
        <f>IFERROR(__xludf.DUMMYFUNCTION("""COMPUTED_VALUE"""),1376.0)</f>
        <v>1376</v>
      </c>
      <c r="B718" s="4" t="str">
        <f>IFERROR(__xludf.DUMMYFUNCTION("""COMPUTED_VALUE"""),"אלקרעאן אמין עקל")</f>
        <v>אלקרעאן אמין עקל</v>
      </c>
      <c r="C718" s="3">
        <f>IFERROR(__xludf.DUMMYFUNCTION("""COMPUTED_VALUE"""),9.0)</f>
        <v>9</v>
      </c>
      <c r="D718" s="5" t="str">
        <f>IFERROR(__xludf.DUMMYFUNCTION("""COMPUTED_VALUE"""),"אבו קרינאת")</f>
        <v>אבו קרינאת</v>
      </c>
      <c r="E718" s="5" t="str">
        <f>IFERROR(__xludf.DUMMYFUNCTION("""COMPUTED_VALUE"""),"ילד")</f>
        <v>ילד</v>
      </c>
      <c r="F718" s="5" t="str">
        <f>IFERROR(__xludf.DUMMYFUNCTION("""COMPUTED_VALUE"""),"אזרחים")</f>
        <v>אזרחים</v>
      </c>
      <c r="G718" s="3"/>
      <c r="H718" s="3" t="str">
        <f>IFERROR(__xludf.DUMMYFUNCTION("""COMPUTED_VALUE"""),"07.10.2023")</f>
        <v>07.10.2023</v>
      </c>
      <c r="I718" s="4" t="str">
        <f>IFERROR(__xludf.DUMMYFUNCTION("""COMPUTED_VALUE"""),"אבו קרינאת")</f>
        <v>אבו קרינאת</v>
      </c>
      <c r="J718" s="2" t="str">
        <f>IFERROR(__xludf.DUMMYFUNCTION("""COMPUTED_VALUE"""),"ירי רקטי")</f>
        <v>ירי רקטי</v>
      </c>
      <c r="K718" s="5"/>
      <c r="L718" s="3" t="str">
        <f>IFERROR(__xludf.DUMMYFUNCTION("""COMPUTED_VALUE"""),"Amin Akal Alkra’an")</f>
        <v>Amin Akal Alkra’an</v>
      </c>
      <c r="M718" s="5"/>
    </row>
    <row r="719">
      <c r="A719" s="3">
        <f>IFERROR(__xludf.DUMMYFUNCTION("""COMPUTED_VALUE"""),1375.0)</f>
        <v>1375</v>
      </c>
      <c r="B719" s="4" t="str">
        <f>IFERROR(__xludf.DUMMYFUNCTION("""COMPUTED_VALUE"""),"אלקרעאן ג'וואד אברהים")</f>
        <v>אלקרעאן ג'וואד אברהים</v>
      </c>
      <c r="C719" s="3">
        <f>IFERROR(__xludf.DUMMYFUNCTION("""COMPUTED_VALUE"""),15.0)</f>
        <v>15</v>
      </c>
      <c r="D719" s="5" t="str">
        <f>IFERROR(__xludf.DUMMYFUNCTION("""COMPUTED_VALUE"""),"אבו קרינאת")</f>
        <v>אבו קרינאת</v>
      </c>
      <c r="E719" s="5" t="str">
        <f>IFERROR(__xludf.DUMMYFUNCTION("""COMPUTED_VALUE"""),"ילד")</f>
        <v>ילד</v>
      </c>
      <c r="F719" s="5" t="str">
        <f>IFERROR(__xludf.DUMMYFUNCTION("""COMPUTED_VALUE"""),"אזרחים")</f>
        <v>אזרחים</v>
      </c>
      <c r="G719" s="3"/>
      <c r="H719" s="3" t="str">
        <f>IFERROR(__xludf.DUMMYFUNCTION("""COMPUTED_VALUE"""),"07.10.2023")</f>
        <v>07.10.2023</v>
      </c>
      <c r="I719" s="4" t="str">
        <f>IFERROR(__xludf.DUMMYFUNCTION("""COMPUTED_VALUE"""),"אבו קרינאת")</f>
        <v>אבו קרינאת</v>
      </c>
      <c r="J719" s="2" t="str">
        <f>IFERROR(__xludf.DUMMYFUNCTION("""COMPUTED_VALUE"""),"ירי רקטי")</f>
        <v>ירי רקטי</v>
      </c>
      <c r="K719" s="5"/>
      <c r="L719" s="3" t="str">
        <f>IFERROR(__xludf.DUMMYFUNCTION("""COMPUTED_VALUE"""),"Jawad Ibrahim Alkra’an")</f>
        <v>Jawad Ibrahim Alkra’an</v>
      </c>
      <c r="M719" s="5"/>
    </row>
    <row r="720">
      <c r="A720" s="3">
        <f>IFERROR(__xludf.DUMMYFUNCTION("""COMPUTED_VALUE"""),1374.0)</f>
        <v>1374</v>
      </c>
      <c r="B720" s="4" t="str">
        <f>IFERROR(__xludf.DUMMYFUNCTION("""COMPUTED_VALUE"""),"אלקרעאן מאלק אברהים")</f>
        <v>אלקרעאן מאלק אברהים</v>
      </c>
      <c r="C720" s="3">
        <f>IFERROR(__xludf.DUMMYFUNCTION("""COMPUTED_VALUE"""),14.0)</f>
        <v>14</v>
      </c>
      <c r="D720" s="5" t="str">
        <f>IFERROR(__xludf.DUMMYFUNCTION("""COMPUTED_VALUE"""),"אבו קרינאת")</f>
        <v>אבו קרינאת</v>
      </c>
      <c r="E720" s="5" t="str">
        <f>IFERROR(__xludf.DUMMYFUNCTION("""COMPUTED_VALUE"""),"ילד")</f>
        <v>ילד</v>
      </c>
      <c r="F720" s="5" t="str">
        <f>IFERROR(__xludf.DUMMYFUNCTION("""COMPUTED_VALUE"""),"אזרחים")</f>
        <v>אזרחים</v>
      </c>
      <c r="G720" s="3"/>
      <c r="H720" s="3" t="str">
        <f>IFERROR(__xludf.DUMMYFUNCTION("""COMPUTED_VALUE"""),"07.10.2023")</f>
        <v>07.10.2023</v>
      </c>
      <c r="I720" s="4" t="str">
        <f>IFERROR(__xludf.DUMMYFUNCTION("""COMPUTED_VALUE"""),"אבו קרינאת")</f>
        <v>אבו קרינאת</v>
      </c>
      <c r="J720" s="2" t="str">
        <f>IFERROR(__xludf.DUMMYFUNCTION("""COMPUTED_VALUE"""),"ירי רקטי")</f>
        <v>ירי רקטי</v>
      </c>
      <c r="K720" s="5"/>
      <c r="L720" s="3" t="str">
        <f>IFERROR(__xludf.DUMMYFUNCTION("""COMPUTED_VALUE"""),"Malek Ibrahim Alkra’an")</f>
        <v>Malek Ibrahim Alkra’an</v>
      </c>
      <c r="M720" s="5"/>
    </row>
    <row r="721">
      <c r="A721" s="3">
        <f>IFERROR(__xludf.DUMMYFUNCTION("""COMPUTED_VALUE"""),1377.0)</f>
        <v>1377</v>
      </c>
      <c r="B721" s="4" t="str">
        <f>IFERROR(__xludf.DUMMYFUNCTION("""COMPUTED_VALUE"""),"אלקרעאן מחמד ד'יב")</f>
        <v>אלקרעאן מחמד ד'יב</v>
      </c>
      <c r="C721" s="3">
        <f>IFERROR(__xludf.DUMMYFUNCTION("""COMPUTED_VALUE"""),15.0)</f>
        <v>15</v>
      </c>
      <c r="D721" s="5" t="str">
        <f>IFERROR(__xludf.DUMMYFUNCTION("""COMPUTED_VALUE"""),"אבו קרינאת")</f>
        <v>אבו קרינאת</v>
      </c>
      <c r="E721" s="5" t="str">
        <f>IFERROR(__xludf.DUMMYFUNCTION("""COMPUTED_VALUE"""),"ילד")</f>
        <v>ילד</v>
      </c>
      <c r="F721" s="5" t="str">
        <f>IFERROR(__xludf.DUMMYFUNCTION("""COMPUTED_VALUE"""),"אזרחים")</f>
        <v>אזרחים</v>
      </c>
      <c r="G721" s="3"/>
      <c r="H721" s="3" t="str">
        <f>IFERROR(__xludf.DUMMYFUNCTION("""COMPUTED_VALUE"""),"07.10.2023")</f>
        <v>07.10.2023</v>
      </c>
      <c r="I721" s="4" t="str">
        <f>IFERROR(__xludf.DUMMYFUNCTION("""COMPUTED_VALUE"""),"אבו קרינאת")</f>
        <v>אבו קרינאת</v>
      </c>
      <c r="J721" s="2" t="str">
        <f>IFERROR(__xludf.DUMMYFUNCTION("""COMPUTED_VALUE"""),"ירי רקטי")</f>
        <v>ירי רקטי</v>
      </c>
      <c r="K721" s="5"/>
      <c r="L721" s="3" t="str">
        <f>IFERROR(__xludf.DUMMYFUNCTION("""COMPUTED_VALUE"""),"Mahmoud Diab Alkra’an")</f>
        <v>Mahmoud Diab Alkra’an</v>
      </c>
      <c r="M721" s="5"/>
    </row>
    <row r="722">
      <c r="A722" s="3">
        <f>IFERROR(__xludf.DUMMYFUNCTION("""COMPUTED_VALUE"""),1567.0)</f>
        <v>1567</v>
      </c>
      <c r="B722" s="4" t="str">
        <f>IFERROR(__xludf.DUMMYFUNCTION("""COMPUTED_VALUE"""),"בן ארצי חנה")</f>
        <v>בן ארצי חנה</v>
      </c>
      <c r="C722" s="3">
        <f>IFERROR(__xludf.DUMMYFUNCTION("""COMPUTED_VALUE"""),69.0)</f>
        <v>69</v>
      </c>
      <c r="D722" s="5" t="str">
        <f>IFERROR(__xludf.DUMMYFUNCTION("""COMPUTED_VALUE"""),"כפר אביב")</f>
        <v>כפר אביב</v>
      </c>
      <c r="E722" s="5" t="str">
        <f>IFERROR(__xludf.DUMMYFUNCTION("""COMPUTED_VALUE"""),"אישה")</f>
        <v>אישה</v>
      </c>
      <c r="F722" s="5" t="str">
        <f>IFERROR(__xludf.DUMMYFUNCTION("""COMPUTED_VALUE"""),"אזרחים")</f>
        <v>אזרחים</v>
      </c>
      <c r="G722" s="3"/>
      <c r="H722" s="3" t="str">
        <f>IFERROR(__xludf.DUMMYFUNCTION("""COMPUTED_VALUE"""),"07.10.2023")</f>
        <v>07.10.2023</v>
      </c>
      <c r="I722" s="4" t="str">
        <f>IFERROR(__xludf.DUMMYFUNCTION("""COMPUTED_VALUE"""),"כפר אביב")</f>
        <v>כפר אביב</v>
      </c>
      <c r="J722" s="2" t="str">
        <f>IFERROR(__xludf.DUMMYFUNCTION("""COMPUTED_VALUE"""),"ירי רקטי")</f>
        <v>ירי רקטי</v>
      </c>
      <c r="K722" s="5"/>
      <c r="L722" s="3" t="str">
        <f>IFERROR(__xludf.DUMMYFUNCTION("""COMPUTED_VALUE"""),"Hana Ben-Artzi")</f>
        <v>Hana Ben-Artzi</v>
      </c>
      <c r="M722" s="5"/>
    </row>
    <row r="723">
      <c r="A723" s="3">
        <f>IFERROR(__xludf.DUMMYFUNCTION("""COMPUTED_VALUE"""),714.0)</f>
        <v>714</v>
      </c>
      <c r="B723" s="4" t="str">
        <f>IFERROR(__xludf.DUMMYFUNCTION("""COMPUTED_VALUE"""),"ברודש שירז דניאל")</f>
        <v>ברודש שירז דניאל</v>
      </c>
      <c r="C723" s="3">
        <f>IFERROR(__xludf.DUMMYFUNCTION("""COMPUTED_VALUE"""),23.0)</f>
        <v>23</v>
      </c>
      <c r="D723" s="5" t="str">
        <f>IFERROR(__xludf.DUMMYFUNCTION("""COMPUTED_VALUE"""),"רמות מאיר")</f>
        <v>רמות מאיר</v>
      </c>
      <c r="E723" s="5" t="str">
        <f>IFERROR(__xludf.DUMMYFUNCTION("""COMPUTED_VALUE"""),"אישה")</f>
        <v>אישה</v>
      </c>
      <c r="F723" s="5" t="str">
        <f>IFERROR(__xludf.DUMMYFUNCTION("""COMPUTED_VALUE"""),"אזרחים")</f>
        <v>אזרחים</v>
      </c>
      <c r="G723" s="3"/>
      <c r="H723" s="3" t="str">
        <f>IFERROR(__xludf.DUMMYFUNCTION("""COMPUTED_VALUE"""),"07.10.2023")</f>
        <v>07.10.2023</v>
      </c>
      <c r="I723" s="4" t="str">
        <f>IFERROR(__xludf.DUMMYFUNCTION("""COMPUTED_VALUE"""),"צומת שער הנגב")</f>
        <v>צומת שער הנגב</v>
      </c>
      <c r="J723" s="2" t="str">
        <f>IFERROR(__xludf.DUMMYFUNCTION("""COMPUTED_VALUE"""),"אזרחים וכיתות כוננות")</f>
        <v>אזרחים וכיתות כוננות</v>
      </c>
      <c r="K723" s="5"/>
      <c r="L723" s="3" t="str">
        <f>IFERROR(__xludf.DUMMYFUNCTION("""COMPUTED_VALUE"""),"Shiraz Brodash")</f>
        <v>Shiraz Brodash</v>
      </c>
      <c r="M723" s="5"/>
    </row>
    <row r="724">
      <c r="A724" s="3">
        <f>IFERROR(__xludf.DUMMYFUNCTION("""COMPUTED_VALUE"""),516.0)</f>
        <v>516</v>
      </c>
      <c r="B724" s="4" t="str">
        <f>IFERROR(__xludf.DUMMYFUNCTION("""COMPUTED_VALUE"""),"גבאי מור")</f>
        <v>גבאי מור</v>
      </c>
      <c r="C724" s="3">
        <f>IFERROR(__xludf.DUMMYFUNCTION("""COMPUTED_VALUE"""),30.0)</f>
        <v>30</v>
      </c>
      <c r="D724" s="5" t="str">
        <f>IFERROR(__xludf.DUMMYFUNCTION("""COMPUTED_VALUE"""),"שדרות")</f>
        <v>שדרות</v>
      </c>
      <c r="E724" s="5" t="str">
        <f>IFERROR(__xludf.DUMMYFUNCTION("""COMPUTED_VALUE"""),"אישה")</f>
        <v>אישה</v>
      </c>
      <c r="F724" s="5" t="str">
        <f>IFERROR(__xludf.DUMMYFUNCTION("""COMPUTED_VALUE"""),"אזרחים")</f>
        <v>אזרחים</v>
      </c>
      <c r="G724" s="3"/>
      <c r="H724" s="3" t="str">
        <f>IFERROR(__xludf.DUMMYFUNCTION("""COMPUTED_VALUE"""),"07.10.2023")</f>
        <v>07.10.2023</v>
      </c>
      <c r="I724" s="4" t="str">
        <f>IFERROR(__xludf.DUMMYFUNCTION("""COMPUTED_VALUE"""),"צפונית לצומת שער הנגב")</f>
        <v>צפונית לצומת שער הנגב</v>
      </c>
      <c r="J724" s="2" t="str">
        <f>IFERROR(__xludf.DUMMYFUNCTION("""COMPUTED_VALUE"""),"אזרחים וכיתות כוננות")</f>
        <v>אזרחים וכיתות כוננות</v>
      </c>
      <c r="K724" s="5"/>
      <c r="L724" s="3" t="str">
        <f>IFERROR(__xludf.DUMMYFUNCTION("""COMPUTED_VALUE"""),"Mor Gabay")</f>
        <v>Mor Gabay</v>
      </c>
      <c r="M724" s="5"/>
    </row>
    <row r="725">
      <c r="A725" s="3">
        <f>IFERROR(__xludf.DUMMYFUNCTION("""COMPUTED_VALUE"""),1261.0)</f>
        <v>1261</v>
      </c>
      <c r="B725" s="4" t="str">
        <f>IFERROR(__xludf.DUMMYFUNCTION("""COMPUTED_VALUE"""),"ז'וקוב ולדימיר")</f>
        <v>ז'וקוב ולדימיר</v>
      </c>
      <c r="C725" s="3">
        <f>IFERROR(__xludf.DUMMYFUNCTION("""COMPUTED_VALUE"""),64.0)</f>
        <v>64</v>
      </c>
      <c r="D725" s="5" t="str">
        <f>IFERROR(__xludf.DUMMYFUNCTION("""COMPUTED_VALUE"""),"אשקלון")</f>
        <v>אשקלון</v>
      </c>
      <c r="E725" s="5" t="str">
        <f>IFERROR(__xludf.DUMMYFUNCTION("""COMPUTED_VALUE"""),"גבר")</f>
        <v>גבר</v>
      </c>
      <c r="F725" s="5" t="str">
        <f>IFERROR(__xludf.DUMMYFUNCTION("""COMPUTED_VALUE"""),"אזרחים")</f>
        <v>אזרחים</v>
      </c>
      <c r="G725" s="3"/>
      <c r="H725" s="3" t="str">
        <f>IFERROR(__xludf.DUMMYFUNCTION("""COMPUTED_VALUE"""),"07.10.2023")</f>
        <v>07.10.2023</v>
      </c>
      <c r="I725" s="4" t="str">
        <f>IFERROR(__xludf.DUMMYFUNCTION("""COMPUTED_VALUE"""),"חוף זיקים")</f>
        <v>חוף זיקים</v>
      </c>
      <c r="J725" s="2" t="str">
        <f>IFERROR(__xludf.DUMMYFUNCTION("""COMPUTED_VALUE"""),"אזרחים וכיתות כוננות")</f>
        <v>אזרחים וכיתות כוננות</v>
      </c>
      <c r="K725" s="5"/>
      <c r="L725" s="3" t="str">
        <f>IFERROR(__xludf.DUMMYFUNCTION("""COMPUTED_VALUE"""),"Vladimir Zukov")</f>
        <v>Vladimir Zukov</v>
      </c>
      <c r="M725" s="5"/>
    </row>
    <row r="726">
      <c r="A726" s="3">
        <f>IFERROR(__xludf.DUMMYFUNCTION("""COMPUTED_VALUE"""),1614.0)</f>
        <v>1614</v>
      </c>
      <c r="B726" s="4" t="str">
        <f>IFERROR(__xludf.DUMMYFUNCTION("""COMPUTED_VALUE"""),"חטאב יהושוע")</f>
        <v>חטאב יהושוע</v>
      </c>
      <c r="C726" s="3">
        <f>IFERROR(__xludf.DUMMYFUNCTION("""COMPUTED_VALUE"""),67.0)</f>
        <v>67</v>
      </c>
      <c r="D726" s="5" t="str">
        <f>IFERROR(__xludf.DUMMYFUNCTION("""COMPUTED_VALUE"""),"אשקלון")</f>
        <v>אשקלון</v>
      </c>
      <c r="E726" s="5" t="str">
        <f>IFERROR(__xludf.DUMMYFUNCTION("""COMPUTED_VALUE"""),"גבר")</f>
        <v>גבר</v>
      </c>
      <c r="F726" s="5" t="str">
        <f>IFERROR(__xludf.DUMMYFUNCTION("""COMPUTED_VALUE"""),"אזרחים")</f>
        <v>אזרחים</v>
      </c>
      <c r="G726" s="3"/>
      <c r="H726" s="3" t="str">
        <f>IFERROR(__xludf.DUMMYFUNCTION("""COMPUTED_VALUE"""),"07.10.2023")</f>
        <v>07.10.2023</v>
      </c>
      <c r="I726" s="4" t="str">
        <f>IFERROR(__xludf.DUMMYFUNCTION("""COMPUTED_VALUE"""),"אשקלון")</f>
        <v>אשקלון</v>
      </c>
      <c r="J726" s="2" t="str">
        <f>IFERROR(__xludf.DUMMYFUNCTION("""COMPUTED_VALUE"""),"ירי רקטי")</f>
        <v>ירי רקטי</v>
      </c>
      <c r="K726" s="5"/>
      <c r="L726" s="3" t="str">
        <f>IFERROR(__xludf.DUMMYFUNCTION("""COMPUTED_VALUE"""),"Yehoshua Hatab")</f>
        <v>Yehoshua Hatab</v>
      </c>
      <c r="M726" s="5"/>
    </row>
    <row r="727">
      <c r="A727" s="3">
        <f>IFERROR(__xludf.DUMMYFUNCTION("""COMPUTED_VALUE"""),1541.0)</f>
        <v>1541</v>
      </c>
      <c r="B727" s="4" t="str">
        <f>IFERROR(__xludf.DUMMYFUNCTION("""COMPUTED_VALUE"""),"מסקאלצ'י נתנאל")</f>
        <v>מסקאלצ'י נתנאל</v>
      </c>
      <c r="C727" s="3">
        <f>IFERROR(__xludf.DUMMYFUNCTION("""COMPUTED_VALUE"""),36.0)</f>
        <v>36</v>
      </c>
      <c r="D727" s="5" t="str">
        <f>IFERROR(__xludf.DUMMYFUNCTION("""COMPUTED_VALUE"""),"נתיבות")</f>
        <v>נתיבות</v>
      </c>
      <c r="E727" s="5" t="str">
        <f>IFERROR(__xludf.DUMMYFUNCTION("""COMPUTED_VALUE"""),"גבר")</f>
        <v>גבר</v>
      </c>
      <c r="F727" s="5" t="str">
        <f>IFERROR(__xludf.DUMMYFUNCTION("""COMPUTED_VALUE"""),"אזרחים")</f>
        <v>אזרחים</v>
      </c>
      <c r="G727" s="3"/>
      <c r="H727" s="3" t="str">
        <f>IFERROR(__xludf.DUMMYFUNCTION("""COMPUTED_VALUE"""),"07.10.2023")</f>
        <v>07.10.2023</v>
      </c>
      <c r="I727" s="4" t="str">
        <f>IFERROR(__xludf.DUMMYFUNCTION("""COMPUTED_VALUE"""),"נתיבות")</f>
        <v>נתיבות</v>
      </c>
      <c r="J727" s="4" t="str">
        <f>IFERROR(__xludf.DUMMYFUNCTION("""COMPUTED_VALUE"""),"ירי רקטי")</f>
        <v>ירי רקטי</v>
      </c>
      <c r="K727" s="5"/>
      <c r="L727" s="3" t="str">
        <f>IFERROR(__xludf.DUMMYFUNCTION("""COMPUTED_VALUE"""),"Rabbi Netanel Maskalatchi")</f>
        <v>Rabbi Netanel Maskalatchi</v>
      </c>
      <c r="M727" s="5"/>
    </row>
    <row r="728">
      <c r="A728" s="3">
        <f>IFERROR(__xludf.DUMMYFUNCTION("""COMPUTED_VALUE"""),1542.0)</f>
        <v>1542</v>
      </c>
      <c r="B728" s="4" t="str">
        <f>IFERROR(__xludf.DUMMYFUNCTION("""COMPUTED_VALUE"""),"מסקאלצ'י רפאל מאיר")</f>
        <v>מסקאלצ'י רפאל מאיר</v>
      </c>
      <c r="C728" s="3">
        <f>IFERROR(__xludf.DUMMYFUNCTION("""COMPUTED_VALUE"""),12.0)</f>
        <v>12</v>
      </c>
      <c r="D728" s="5" t="str">
        <f>IFERROR(__xludf.DUMMYFUNCTION("""COMPUTED_VALUE"""),"נתיבות")</f>
        <v>נתיבות</v>
      </c>
      <c r="E728" s="5" t="str">
        <f>IFERROR(__xludf.DUMMYFUNCTION("""COMPUTED_VALUE"""),"ילד")</f>
        <v>ילד</v>
      </c>
      <c r="F728" s="5" t="str">
        <f>IFERROR(__xludf.DUMMYFUNCTION("""COMPUTED_VALUE"""),"אזרחים")</f>
        <v>אזרחים</v>
      </c>
      <c r="G728" s="3"/>
      <c r="H728" s="3" t="str">
        <f>IFERROR(__xludf.DUMMYFUNCTION("""COMPUTED_VALUE"""),"07.10.2023")</f>
        <v>07.10.2023</v>
      </c>
      <c r="I728" s="4" t="str">
        <f>IFERROR(__xludf.DUMMYFUNCTION("""COMPUTED_VALUE"""),"נתיבות")</f>
        <v>נתיבות</v>
      </c>
      <c r="J728" s="4" t="str">
        <f>IFERROR(__xludf.DUMMYFUNCTION("""COMPUTED_VALUE"""),"ירי רקטי")</f>
        <v>ירי רקטי</v>
      </c>
      <c r="K728" s="5"/>
      <c r="L728" s="3" t="str">
        <f>IFERROR(__xludf.DUMMYFUNCTION("""COMPUTED_VALUE"""),"Rafael Meir Maskalatchi")</f>
        <v>Rafael Meir Maskalatchi</v>
      </c>
      <c r="M728" s="5"/>
    </row>
    <row r="729">
      <c r="A729" s="3">
        <f>IFERROR(__xludf.DUMMYFUNCTION("""COMPUTED_VALUE"""),1540.0)</f>
        <v>1540</v>
      </c>
      <c r="B729" s="4" t="str">
        <f>IFERROR(__xludf.DUMMYFUNCTION("""COMPUTED_VALUE"""),"פהימי רפאל")</f>
        <v>פהימי רפאל</v>
      </c>
      <c r="C729" s="3">
        <f>IFERROR(__xludf.DUMMYFUNCTION("""COMPUTED_VALUE"""),63.0)</f>
        <v>63</v>
      </c>
      <c r="D729" s="5" t="str">
        <f>IFERROR(__xludf.DUMMYFUNCTION("""COMPUTED_VALUE"""),"נתיבות")</f>
        <v>נתיבות</v>
      </c>
      <c r="E729" s="5" t="str">
        <f>IFERROR(__xludf.DUMMYFUNCTION("""COMPUTED_VALUE"""),"גבר")</f>
        <v>גבר</v>
      </c>
      <c r="F729" s="5" t="str">
        <f>IFERROR(__xludf.DUMMYFUNCTION("""COMPUTED_VALUE"""),"אזרחים")</f>
        <v>אזרחים</v>
      </c>
      <c r="G729" s="3"/>
      <c r="H729" s="3" t="str">
        <f>IFERROR(__xludf.DUMMYFUNCTION("""COMPUTED_VALUE"""),"07.10.2023")</f>
        <v>07.10.2023</v>
      </c>
      <c r="I729" s="4" t="str">
        <f>IFERROR(__xludf.DUMMYFUNCTION("""COMPUTED_VALUE"""),"נתיבות")</f>
        <v>נתיבות</v>
      </c>
      <c r="J729" s="2" t="str">
        <f>IFERROR(__xludf.DUMMYFUNCTION("""COMPUTED_VALUE"""),"ירי רקטי")</f>
        <v>ירי רקטי</v>
      </c>
      <c r="K729" s="5"/>
      <c r="L729" s="3" t="str">
        <f>IFERROR(__xludf.DUMMYFUNCTION("""COMPUTED_VALUE"""),"Rabbi Rafael Fahimi")</f>
        <v>Rabbi Rafael Fahimi</v>
      </c>
      <c r="M729" s="5"/>
    </row>
    <row r="730">
      <c r="A730" s="3">
        <f>IFERROR(__xludf.DUMMYFUNCTION("""COMPUTED_VALUE"""),1560.0)</f>
        <v>1560</v>
      </c>
      <c r="B730" s="4" t="str">
        <f>IFERROR(__xludf.DUMMYFUNCTION("""COMPUTED_VALUE"""),"פרץ אבשלום יאיר")</f>
        <v>פרץ אבשלום יאיר</v>
      </c>
      <c r="C730" s="3">
        <f>IFERROR(__xludf.DUMMYFUNCTION("""COMPUTED_VALUE"""),27.0)</f>
        <v>27</v>
      </c>
      <c r="D730" s="5" t="str">
        <f>IFERROR(__xludf.DUMMYFUNCTION("""COMPUTED_VALUE"""),"נתיבות")</f>
        <v>נתיבות</v>
      </c>
      <c r="E730" s="5" t="str">
        <f>IFERROR(__xludf.DUMMYFUNCTION("""COMPUTED_VALUE"""),"גבר")</f>
        <v>גבר</v>
      </c>
      <c r="F730" s="5" t="str">
        <f>IFERROR(__xludf.DUMMYFUNCTION("""COMPUTED_VALUE"""),"משטרה")</f>
        <v>משטרה</v>
      </c>
      <c r="G730" s="3" t="str">
        <f>IFERROR(__xludf.DUMMYFUNCTION("""COMPUTED_VALUE"""),"רס״מ")</f>
        <v>רס״מ</v>
      </c>
      <c r="H730" s="3" t="str">
        <f>IFERROR(__xludf.DUMMYFUNCTION("""COMPUTED_VALUE"""),"07.10.2023")</f>
        <v>07.10.2023</v>
      </c>
      <c r="I730" s="4" t="str">
        <f>IFERROR(__xludf.DUMMYFUNCTION("""COMPUTED_VALUE"""),"צומת שער הנגב")</f>
        <v>צומת שער הנגב</v>
      </c>
      <c r="J730" s="2" t="str">
        <f>IFERROR(__xludf.DUMMYFUNCTION("""COMPUTED_VALUE"""),"שוטרים וכוחות הצלה")</f>
        <v>שוטרים וכוחות הצלה</v>
      </c>
      <c r="K730" s="5"/>
      <c r="L730" s="3" t="str">
        <f>IFERROR(__xludf.DUMMYFUNCTION("""COMPUTED_VALUE"""),"Avshalom Yair Peretz")</f>
        <v>Avshalom Yair Peretz</v>
      </c>
      <c r="M730" s="5"/>
    </row>
    <row r="731">
      <c r="A731" s="3">
        <f>IFERROR(__xludf.DUMMYFUNCTION("""COMPUTED_VALUE"""),1182.0)</f>
        <v>1182</v>
      </c>
      <c r="B731" s="4" t="str">
        <f>IFERROR(__xludf.DUMMYFUNCTION("""COMPUTED_VALUE"""),"אבוהרון רוני")</f>
        <v>אבוהרון רוני</v>
      </c>
      <c r="C731" s="3">
        <f>IFERROR(__xludf.DUMMYFUNCTION("""COMPUTED_VALUE"""),39.0)</f>
        <v>39</v>
      </c>
      <c r="D731" s="5" t="str">
        <f>IFERROR(__xludf.DUMMYFUNCTION("""COMPUTED_VALUE"""),"אופקים")</f>
        <v>אופקים</v>
      </c>
      <c r="E731" s="5" t="str">
        <f>IFERROR(__xludf.DUMMYFUNCTION("""COMPUTED_VALUE"""),"גבר")</f>
        <v>גבר</v>
      </c>
      <c r="F731" s="5" t="str">
        <f>IFERROR(__xludf.DUMMYFUNCTION("""COMPUTED_VALUE"""),"משטרה")</f>
        <v>משטרה</v>
      </c>
      <c r="G731" s="3" t="str">
        <f>IFERROR(__xludf.DUMMYFUNCTION("""COMPUTED_VALUE"""),"רנ״ג")</f>
        <v>רנ״ג</v>
      </c>
      <c r="H731" s="3" t="str">
        <f>IFERROR(__xludf.DUMMYFUNCTION("""COMPUTED_VALUE"""),"07.10.2023")</f>
        <v>07.10.2023</v>
      </c>
      <c r="I731" s="4" t="str">
        <f>IFERROR(__xludf.DUMMYFUNCTION("""COMPUTED_VALUE"""),"אופקים")</f>
        <v>אופקים</v>
      </c>
      <c r="J731" s="2" t="str">
        <f>IFERROR(__xludf.DUMMYFUNCTION("""COMPUTED_VALUE"""),"שוטרים וכוחות הצלה")</f>
        <v>שוטרים וכוחות הצלה</v>
      </c>
      <c r="K731" s="5"/>
      <c r="L731" s="3" t="str">
        <f>IFERROR(__xludf.DUMMYFUNCTION("""COMPUTED_VALUE"""),"Roni Abuharon")</f>
        <v>Roni Abuharon</v>
      </c>
      <c r="M731" s="5"/>
    </row>
    <row r="732">
      <c r="A732" s="3">
        <f>IFERROR(__xludf.DUMMYFUNCTION("""COMPUTED_VALUE"""),990.0)</f>
        <v>990</v>
      </c>
      <c r="B732" s="4" t="str">
        <f>IFERROR(__xludf.DUMMYFUNCTION("""COMPUTED_VALUE"""),"אוחיון אליעד")</f>
        <v>אוחיון אליעד</v>
      </c>
      <c r="C732" s="3">
        <f>IFERROR(__xludf.DUMMYFUNCTION("""COMPUTED_VALUE"""),23.0)</f>
        <v>23</v>
      </c>
      <c r="D732" s="5" t="str">
        <f>IFERROR(__xludf.DUMMYFUNCTION("""COMPUTED_VALUE"""),"אופקים")</f>
        <v>אופקים</v>
      </c>
      <c r="E732" s="5" t="str">
        <f>IFERROR(__xludf.DUMMYFUNCTION("""COMPUTED_VALUE"""),"גבר")</f>
        <v>גבר</v>
      </c>
      <c r="F732" s="5" t="str">
        <f>IFERROR(__xludf.DUMMYFUNCTION("""COMPUTED_VALUE"""),"אזרחים")</f>
        <v>אזרחים</v>
      </c>
      <c r="G732" s="3"/>
      <c r="H732" s="3" t="str">
        <f>IFERROR(__xludf.DUMMYFUNCTION("""COMPUTED_VALUE"""),"07.10.2023")</f>
        <v>07.10.2023</v>
      </c>
      <c r="I732" s="4" t="str">
        <f>IFERROR(__xludf.DUMMYFUNCTION("""COMPUTED_VALUE"""),"אופקים")</f>
        <v>אופקים</v>
      </c>
      <c r="J732" s="2" t="str">
        <f>IFERROR(__xludf.DUMMYFUNCTION("""COMPUTED_VALUE"""),"אזרחים וכיתות כוננות")</f>
        <v>אזרחים וכיתות כוננות</v>
      </c>
      <c r="K732" s="5"/>
      <c r="L732" s="3" t="str">
        <f>IFERROR(__xludf.DUMMYFUNCTION("""COMPUTED_VALUE"""),"Eliad Ohayon")</f>
        <v>Eliad Ohayon</v>
      </c>
      <c r="M732" s="5"/>
    </row>
    <row r="733">
      <c r="A733" s="3">
        <f>IFERROR(__xludf.DUMMYFUNCTION("""COMPUTED_VALUE"""),991.0)</f>
        <v>991</v>
      </c>
      <c r="B733" s="4" t="str">
        <f>IFERROR(__xludf.DUMMYFUNCTION("""COMPUTED_VALUE"""),"אוחיון משה")</f>
        <v>אוחיון משה</v>
      </c>
      <c r="C733" s="3">
        <f>IFERROR(__xludf.DUMMYFUNCTION("""COMPUTED_VALUE"""),52.0)</f>
        <v>52</v>
      </c>
      <c r="D733" s="5" t="str">
        <f>IFERROR(__xludf.DUMMYFUNCTION("""COMPUTED_VALUE"""),"אופקים")</f>
        <v>אופקים</v>
      </c>
      <c r="E733" s="5" t="str">
        <f>IFERROR(__xludf.DUMMYFUNCTION("""COMPUTED_VALUE"""),"גבר")</f>
        <v>גבר</v>
      </c>
      <c r="F733" s="5" t="str">
        <f>IFERROR(__xludf.DUMMYFUNCTION("""COMPUTED_VALUE"""),"אזרחים")</f>
        <v>אזרחים</v>
      </c>
      <c r="G733" s="5"/>
      <c r="H733" s="3" t="str">
        <f>IFERROR(__xludf.DUMMYFUNCTION("""COMPUTED_VALUE"""),"07.10.2023")</f>
        <v>07.10.2023</v>
      </c>
      <c r="I733" s="4" t="str">
        <f>IFERROR(__xludf.DUMMYFUNCTION("""COMPUTED_VALUE"""),"אופקים")</f>
        <v>אופקים</v>
      </c>
      <c r="J733" s="2" t="str">
        <f>IFERROR(__xludf.DUMMYFUNCTION("""COMPUTED_VALUE"""),"אזרחים וכיתות כוננות")</f>
        <v>אזרחים וכיתות כוננות</v>
      </c>
      <c r="K733" s="5"/>
      <c r="L733" s="3" t="str">
        <f>IFERROR(__xludf.DUMMYFUNCTION("""COMPUTED_VALUE"""),"Moshe Ohayon")</f>
        <v>Moshe Ohayon</v>
      </c>
      <c r="M733" s="5"/>
    </row>
    <row r="734">
      <c r="A734" s="3">
        <f>IFERROR(__xludf.DUMMYFUNCTION("""COMPUTED_VALUE"""),986.0)</f>
        <v>986</v>
      </c>
      <c r="B734" s="2" t="str">
        <f>IFERROR(__xludf.DUMMYFUNCTION("""COMPUTED_VALUE"""),"אילוז יגאל")</f>
        <v>אילוז יגאל</v>
      </c>
      <c r="C734" s="3">
        <f>IFERROR(__xludf.DUMMYFUNCTION("""COMPUTED_VALUE"""),56.0)</f>
        <v>56</v>
      </c>
      <c r="D734" s="5" t="str">
        <f>IFERROR(__xludf.DUMMYFUNCTION("""COMPUTED_VALUE"""),"אופקים")</f>
        <v>אופקים</v>
      </c>
      <c r="E734" s="5" t="str">
        <f>IFERROR(__xludf.DUMMYFUNCTION("""COMPUTED_VALUE"""),"גבר")</f>
        <v>גבר</v>
      </c>
      <c r="F734" s="5" t="str">
        <f>IFERROR(__xludf.DUMMYFUNCTION("""COMPUTED_VALUE"""),"משטרה")</f>
        <v>משטרה</v>
      </c>
      <c r="G734" s="5" t="str">
        <f>IFERROR(__xludf.DUMMYFUNCTION("""COMPUTED_VALUE"""),"רנ״ג")</f>
        <v>רנ״ג</v>
      </c>
      <c r="H734" s="3" t="str">
        <f>IFERROR(__xludf.DUMMYFUNCTION("""COMPUTED_VALUE"""),"07.10.2023")</f>
        <v>07.10.2023</v>
      </c>
      <c r="I734" s="4" t="str">
        <f>IFERROR(__xludf.DUMMYFUNCTION("""COMPUTED_VALUE"""),"אופקים")</f>
        <v>אופקים</v>
      </c>
      <c r="J734" s="4" t="str">
        <f>IFERROR(__xludf.DUMMYFUNCTION("""COMPUTED_VALUE"""),"שוטרים וכוחות הצלה")</f>
        <v>שוטרים וכוחות הצלה</v>
      </c>
      <c r="K734" s="5"/>
      <c r="L734" s="3" t="str">
        <f>IFERROR(__xludf.DUMMYFUNCTION("""COMPUTED_VALUE"""),"Yigal Iluz")</f>
        <v>Yigal Iluz</v>
      </c>
      <c r="M734" s="5"/>
    </row>
    <row r="735">
      <c r="A735" s="3">
        <f>IFERROR(__xludf.DUMMYFUNCTION("""COMPUTED_VALUE"""),1640.0)</f>
        <v>1640</v>
      </c>
      <c r="B735" s="4" t="str">
        <f>IFERROR(__xludf.DUMMYFUNCTION("""COMPUTED_VALUE"""),"אלעזרי יונתן")</f>
        <v>אלעזרי יונתן</v>
      </c>
      <c r="C735" s="3">
        <f>IFERROR(__xludf.DUMMYFUNCTION("""COMPUTED_VALUE"""),19.0)</f>
        <v>19</v>
      </c>
      <c r="D735" s="5" t="str">
        <f>IFERROR(__xludf.DUMMYFUNCTION("""COMPUTED_VALUE"""),"אלון שבות")</f>
        <v>אלון שבות</v>
      </c>
      <c r="E735" s="5" t="str">
        <f>IFERROR(__xludf.DUMMYFUNCTION("""COMPUTED_VALUE"""),"גבר")</f>
        <v>גבר</v>
      </c>
      <c r="F735" s="5" t="str">
        <f>IFERROR(__xludf.DUMMYFUNCTION("""COMPUTED_VALUE"""),"צה""ל")</f>
        <v>צה"ל</v>
      </c>
      <c r="G735" s="5" t="str">
        <f>IFERROR(__xludf.DUMMYFUNCTION("""COMPUTED_VALUE"""),"רב״ט")</f>
        <v>רב״ט</v>
      </c>
      <c r="H735" s="3" t="str">
        <f>IFERROR(__xludf.DUMMYFUNCTION("""COMPUTED_VALUE"""),"07.10.2023")</f>
        <v>07.10.2023</v>
      </c>
      <c r="I735" s="4" t="str">
        <f>IFERROR(__xludf.DUMMYFUNCTION("""COMPUTED_VALUE"""),"אופקים")</f>
        <v>אופקים</v>
      </c>
      <c r="J735" s="4" t="str">
        <f>IFERROR(__xludf.DUMMYFUNCTION("""COMPUTED_VALUE"""),"אזרחים וכיתות כוננות")</f>
        <v>אזרחים וכיתות כוננות</v>
      </c>
      <c r="K735" s="5"/>
      <c r="L735" s="3" t="str">
        <f>IFERROR(__xludf.DUMMYFUNCTION("""COMPUTED_VALUE"""),"Yonatan Elazari")</f>
        <v>Yonatan Elazari</v>
      </c>
      <c r="M735" s="5"/>
    </row>
    <row r="736">
      <c r="A736" s="3">
        <f>IFERROR(__xludf.DUMMYFUNCTION("""COMPUTED_VALUE"""),977.0)</f>
        <v>977</v>
      </c>
      <c r="B736" s="4" t="str">
        <f>IFERROR(__xludf.DUMMYFUNCTION("""COMPUTED_VALUE"""),"בוזגלו אבי")</f>
        <v>בוזגלו אבי</v>
      </c>
      <c r="C736" s="3">
        <f>IFERROR(__xludf.DUMMYFUNCTION("""COMPUTED_VALUE"""),26.0)</f>
        <v>26</v>
      </c>
      <c r="D736" s="5" t="str">
        <f>IFERROR(__xludf.DUMMYFUNCTION("""COMPUTED_VALUE"""),"אופקים")</f>
        <v>אופקים</v>
      </c>
      <c r="E736" s="5" t="str">
        <f>IFERROR(__xludf.DUMMYFUNCTION("""COMPUTED_VALUE"""),"גבר")</f>
        <v>גבר</v>
      </c>
      <c r="F736" s="5" t="str">
        <f>IFERROR(__xludf.DUMMYFUNCTION("""COMPUTED_VALUE"""),"משטרה")</f>
        <v>משטרה</v>
      </c>
      <c r="G736" s="5" t="str">
        <f>IFERROR(__xludf.DUMMYFUNCTION("""COMPUTED_VALUE"""),"רס״ר")</f>
        <v>רס״ר</v>
      </c>
      <c r="H736" s="3" t="str">
        <f>IFERROR(__xludf.DUMMYFUNCTION("""COMPUTED_VALUE"""),"07.10.2023")</f>
        <v>07.10.2023</v>
      </c>
      <c r="I736" s="4" t="str">
        <f>IFERROR(__xludf.DUMMYFUNCTION("""COMPUTED_VALUE"""),"אופקים")</f>
        <v>אופקים</v>
      </c>
      <c r="J736" s="4" t="str">
        <f>IFERROR(__xludf.DUMMYFUNCTION("""COMPUTED_VALUE"""),"שוטרים וכוחות הצלה")</f>
        <v>שוטרים וכוחות הצלה</v>
      </c>
      <c r="K736" s="5"/>
      <c r="L736" s="3" t="str">
        <f>IFERROR(__xludf.DUMMYFUNCTION("""COMPUTED_VALUE"""),"Avi Buzaglo")</f>
        <v>Avi Buzaglo</v>
      </c>
      <c r="M736" s="5"/>
    </row>
    <row r="737">
      <c r="A737" s="3">
        <f>IFERROR(__xludf.DUMMYFUNCTION("""COMPUTED_VALUE"""),982.0)</f>
        <v>982</v>
      </c>
      <c r="B737" s="4" t="str">
        <f>IFERROR(__xludf.DUMMYFUNCTION("""COMPUTED_VALUE"""),"גורי אריאל רפאל")</f>
        <v>גורי אריאל רפאל</v>
      </c>
      <c r="C737" s="3">
        <f>IFERROR(__xludf.DUMMYFUNCTION("""COMPUTED_VALUE"""),30.0)</f>
        <v>30</v>
      </c>
      <c r="D737" s="5" t="str">
        <f>IFERROR(__xludf.DUMMYFUNCTION("""COMPUTED_VALUE"""),"אופקים")</f>
        <v>אופקים</v>
      </c>
      <c r="E737" s="5" t="str">
        <f>IFERROR(__xludf.DUMMYFUNCTION("""COMPUTED_VALUE"""),"גבר")</f>
        <v>גבר</v>
      </c>
      <c r="F737" s="5" t="str">
        <f>IFERROR(__xludf.DUMMYFUNCTION("""COMPUTED_VALUE"""),"אזרחים")</f>
        <v>אזרחים</v>
      </c>
      <c r="G737" s="3"/>
      <c r="H737" s="3" t="str">
        <f>IFERROR(__xludf.DUMMYFUNCTION("""COMPUTED_VALUE"""),"07.10.2023")</f>
        <v>07.10.2023</v>
      </c>
      <c r="I737" s="4" t="str">
        <f>IFERROR(__xludf.DUMMYFUNCTION("""COMPUTED_VALUE"""),"אופקים")</f>
        <v>אופקים</v>
      </c>
      <c r="J737" s="4" t="str">
        <f>IFERROR(__xludf.DUMMYFUNCTION("""COMPUTED_VALUE"""),"אזרחים וכיתות כוננות")</f>
        <v>אזרחים וכיתות כוננות</v>
      </c>
      <c r="K737" s="5"/>
      <c r="L737" s="3" t="str">
        <f>IFERROR(__xludf.DUMMYFUNCTION("""COMPUTED_VALUE"""),"Refael Ariel Guri")</f>
        <v>Refael Ariel Guri</v>
      </c>
      <c r="M737" s="5"/>
    </row>
    <row r="738">
      <c r="A738" s="3">
        <f>IFERROR(__xludf.DUMMYFUNCTION("""COMPUTED_VALUE"""),983.0)</f>
        <v>983</v>
      </c>
      <c r="B738" s="4" t="str">
        <f>IFERROR(__xludf.DUMMYFUNCTION("""COMPUTED_VALUE"""),"גורי רואי חיים")</f>
        <v>גורי רואי חיים</v>
      </c>
      <c r="C738" s="3">
        <f>IFERROR(__xludf.DUMMYFUNCTION("""COMPUTED_VALUE"""),21.0)</f>
        <v>21</v>
      </c>
      <c r="D738" s="5" t="str">
        <f>IFERROR(__xludf.DUMMYFUNCTION("""COMPUTED_VALUE"""),"אופקים")</f>
        <v>אופקים</v>
      </c>
      <c r="E738" s="5" t="str">
        <f>IFERROR(__xludf.DUMMYFUNCTION("""COMPUTED_VALUE"""),"גבר")</f>
        <v>גבר</v>
      </c>
      <c r="F738" s="5" t="str">
        <f>IFERROR(__xludf.DUMMYFUNCTION("""COMPUTED_VALUE"""),"צה""ל")</f>
        <v>צה"ל</v>
      </c>
      <c r="G738" s="5" t="str">
        <f>IFERROR(__xludf.DUMMYFUNCTION("""COMPUTED_VALUE"""),"סמ״ר")</f>
        <v>סמ״ר</v>
      </c>
      <c r="H738" s="3" t="str">
        <f>IFERROR(__xludf.DUMMYFUNCTION("""COMPUTED_VALUE"""),"07.10.2023")</f>
        <v>07.10.2023</v>
      </c>
      <c r="I738" s="4" t="str">
        <f>IFERROR(__xludf.DUMMYFUNCTION("""COMPUTED_VALUE"""),"אופקים")</f>
        <v>אופקים</v>
      </c>
      <c r="J738" s="4" t="str">
        <f>IFERROR(__xludf.DUMMYFUNCTION("""COMPUTED_VALUE"""),"אזרחים וכיתות כוננות")</f>
        <v>אזרחים וכיתות כוננות</v>
      </c>
      <c r="K738" s="5"/>
      <c r="L738" s="3" t="str">
        <f>IFERROR(__xludf.DUMMYFUNCTION("""COMPUTED_VALUE"""),"Roeh-Haim Guri")</f>
        <v>Roeh-Haim Guri</v>
      </c>
      <c r="M738" s="5"/>
    </row>
    <row r="739">
      <c r="A739" s="3">
        <f>IFERROR(__xludf.DUMMYFUNCTION("""COMPUTED_VALUE"""),1604.0)</f>
        <v>1604</v>
      </c>
      <c r="B739" s="4" t="str">
        <f>IFERROR(__xludf.DUMMYFUNCTION("""COMPUTED_VALUE"""),"לוגסי ניסים")</f>
        <v>לוגסי ניסים</v>
      </c>
      <c r="C739" s="3">
        <f>IFERROR(__xludf.DUMMYFUNCTION("""COMPUTED_VALUE"""),30.0)</f>
        <v>30</v>
      </c>
      <c r="D739" s="5" t="str">
        <f>IFERROR(__xludf.DUMMYFUNCTION("""COMPUTED_VALUE"""),"גילת")</f>
        <v>גילת</v>
      </c>
      <c r="E739" s="5" t="str">
        <f>IFERROR(__xludf.DUMMYFUNCTION("""COMPUTED_VALUE"""),"גבר")</f>
        <v>גבר</v>
      </c>
      <c r="F739" s="5" t="str">
        <f>IFERROR(__xludf.DUMMYFUNCTION("""COMPUTED_VALUE"""),"משטרה")</f>
        <v>משטרה</v>
      </c>
      <c r="G739" s="5" t="str">
        <f>IFERROR(__xludf.DUMMYFUNCTION("""COMPUTED_VALUE"""),"פקד")</f>
        <v>פקד</v>
      </c>
      <c r="H739" s="3" t="str">
        <f>IFERROR(__xludf.DUMMYFUNCTION("""COMPUTED_VALUE"""),"07.10.2023")</f>
        <v>07.10.2023</v>
      </c>
      <c r="I739" s="4" t="str">
        <f>IFERROR(__xludf.DUMMYFUNCTION("""COMPUTED_VALUE"""),"אופקים")</f>
        <v>אופקים</v>
      </c>
      <c r="J739" s="4" t="str">
        <f>IFERROR(__xludf.DUMMYFUNCTION("""COMPUTED_VALUE"""),"שוטרים וכוחות הצלה")</f>
        <v>שוטרים וכוחות הצלה</v>
      </c>
      <c r="K739" s="5"/>
      <c r="L739" s="3" t="str">
        <f>IFERROR(__xludf.DUMMYFUNCTION("""COMPUTED_VALUE"""),"Nisim Lugasi")</f>
        <v>Nisim Lugasi</v>
      </c>
      <c r="M739" s="5"/>
    </row>
    <row r="740">
      <c r="A740" s="3">
        <f>IFERROR(__xludf.DUMMYFUNCTION("""COMPUTED_VALUE"""),988.0)</f>
        <v>988</v>
      </c>
      <c r="B740" s="4" t="str">
        <f>IFERROR(__xludf.DUMMYFUNCTION("""COMPUTED_VALUE"""),"ליזמי מיכאל")</f>
        <v>ליזמי מיכאל</v>
      </c>
      <c r="C740" s="3">
        <f>IFERROR(__xludf.DUMMYFUNCTION("""COMPUTED_VALUE"""),28.0)</f>
        <v>28</v>
      </c>
      <c r="D740" s="5" t="str">
        <f>IFERROR(__xludf.DUMMYFUNCTION("""COMPUTED_VALUE"""),"אופקים")</f>
        <v>אופקים</v>
      </c>
      <c r="E740" s="5" t="str">
        <f>IFERROR(__xludf.DUMMYFUNCTION("""COMPUTED_VALUE"""),"גבר")</f>
        <v>גבר</v>
      </c>
      <c r="F740" s="5" t="str">
        <f>IFERROR(__xludf.DUMMYFUNCTION("""COMPUTED_VALUE"""),"משטרה")</f>
        <v>משטרה</v>
      </c>
      <c r="G740" s="5" t="str">
        <f>IFERROR(__xludf.DUMMYFUNCTION("""COMPUTED_VALUE"""),"רס״ר")</f>
        <v>רס״ר</v>
      </c>
      <c r="H740" s="3" t="str">
        <f>IFERROR(__xludf.DUMMYFUNCTION("""COMPUTED_VALUE"""),"07.10.2023")</f>
        <v>07.10.2023</v>
      </c>
      <c r="I740" s="4" t="str">
        <f>IFERROR(__xludf.DUMMYFUNCTION("""COMPUTED_VALUE"""),"אופקים")</f>
        <v>אופקים</v>
      </c>
      <c r="J740" s="4" t="str">
        <f>IFERROR(__xludf.DUMMYFUNCTION("""COMPUTED_VALUE"""),"שוטרים וכוחות הצלה")</f>
        <v>שוטרים וכוחות הצלה</v>
      </c>
      <c r="K740" s="5"/>
      <c r="L740" s="3" t="str">
        <f>IFERROR(__xludf.DUMMYFUNCTION("""COMPUTED_VALUE"""),"Michael Lizmi")</f>
        <v>Michael Lizmi</v>
      </c>
      <c r="M740" s="5"/>
    </row>
    <row r="741">
      <c r="A741" s="3">
        <f>IFERROR(__xludf.DUMMYFUNCTION("""COMPUTED_VALUE"""),993.0)</f>
        <v>993</v>
      </c>
      <c r="B741" s="4" t="str">
        <f>IFERROR(__xludf.DUMMYFUNCTION("""COMPUTED_VALUE"""),"סעיד נהוראי")</f>
        <v>סעיד נהוראי</v>
      </c>
      <c r="C741" s="3">
        <f>IFERROR(__xludf.DUMMYFUNCTION("""COMPUTED_VALUE"""),21.0)</f>
        <v>21</v>
      </c>
      <c r="D741" s="5" t="str">
        <f>IFERROR(__xludf.DUMMYFUNCTION("""COMPUTED_VALUE"""),"אופקים")</f>
        <v>אופקים</v>
      </c>
      <c r="E741" s="5" t="str">
        <f>IFERROR(__xludf.DUMMYFUNCTION("""COMPUTED_VALUE"""),"גבר")</f>
        <v>גבר</v>
      </c>
      <c r="F741" s="5" t="str">
        <f>IFERROR(__xludf.DUMMYFUNCTION("""COMPUTED_VALUE"""),"צה""ל")</f>
        <v>צה"ל</v>
      </c>
      <c r="G741" s="5" t="str">
        <f>IFERROR(__xludf.DUMMYFUNCTION("""COMPUTED_VALUE"""),"סמ״ר")</f>
        <v>סמ״ר</v>
      </c>
      <c r="H741" s="3" t="str">
        <f>IFERROR(__xludf.DUMMYFUNCTION("""COMPUTED_VALUE"""),"07.10.2023")</f>
        <v>07.10.2023</v>
      </c>
      <c r="I741" s="4" t="str">
        <f>IFERROR(__xludf.DUMMYFUNCTION("""COMPUTED_VALUE"""),"אופקים")</f>
        <v>אופקים</v>
      </c>
      <c r="J741" s="4" t="str">
        <f>IFERROR(__xludf.DUMMYFUNCTION("""COMPUTED_VALUE"""),"אזרחים וכיתות כוננות")</f>
        <v>אזרחים וכיתות כוננות</v>
      </c>
      <c r="K741" s="5"/>
      <c r="L741" s="3" t="str">
        <f>IFERROR(__xludf.DUMMYFUNCTION("""COMPUTED_VALUE"""),"Nehorai Said")</f>
        <v>Nehorai Said</v>
      </c>
      <c r="M741" s="5"/>
    </row>
    <row r="742">
      <c r="A742" s="3">
        <f>IFERROR(__xludf.DUMMYFUNCTION("""COMPUTED_VALUE"""),978.0)</f>
        <v>978</v>
      </c>
      <c r="B742" s="4" t="str">
        <f>IFERROR(__xludf.DUMMYFUNCTION("""COMPUTED_VALUE"""),"צ'אנה ישראל")</f>
        <v>צ'אנה ישראל</v>
      </c>
      <c r="C742" s="3">
        <f>IFERROR(__xludf.DUMMYFUNCTION("""COMPUTED_VALUE"""),30.0)</f>
        <v>30</v>
      </c>
      <c r="D742" s="5" t="str">
        <f>IFERROR(__xludf.DUMMYFUNCTION("""COMPUTED_VALUE"""),"אופקים")</f>
        <v>אופקים</v>
      </c>
      <c r="E742" s="5" t="str">
        <f>IFERROR(__xludf.DUMMYFUNCTION("""COMPUTED_VALUE"""),"גבר")</f>
        <v>גבר</v>
      </c>
      <c r="F742" s="5" t="str">
        <f>IFERROR(__xludf.DUMMYFUNCTION("""COMPUTED_VALUE"""),"אזרחים")</f>
        <v>אזרחים</v>
      </c>
      <c r="G742" s="5"/>
      <c r="H742" s="3" t="str">
        <f>IFERROR(__xludf.DUMMYFUNCTION("""COMPUTED_VALUE"""),"07.10.2023")</f>
        <v>07.10.2023</v>
      </c>
      <c r="I742" s="4" t="str">
        <f>IFERROR(__xludf.DUMMYFUNCTION("""COMPUTED_VALUE"""),"אופקים")</f>
        <v>אופקים</v>
      </c>
      <c r="J742" s="4" t="str">
        <f>IFERROR(__xludf.DUMMYFUNCTION("""COMPUTED_VALUE"""),"אזרחים וכיתות כוננות")</f>
        <v>אזרחים וכיתות כוננות</v>
      </c>
      <c r="K742" s="5"/>
      <c r="L742" s="3" t="str">
        <f>IFERROR(__xludf.DUMMYFUNCTION("""COMPUTED_VALUE"""),"Israel Chana")</f>
        <v>Israel Chana</v>
      </c>
      <c r="M742" s="5"/>
    </row>
    <row r="743">
      <c r="A743" s="3">
        <f>IFERROR(__xludf.DUMMYFUNCTION("""COMPUTED_VALUE"""),1716.0)</f>
        <v>1716</v>
      </c>
      <c r="B743" s="4" t="str">
        <f>IFERROR(__xludf.DUMMYFUNCTION("""COMPUTED_VALUE"""),"צידון אבי")</f>
        <v>צידון אבי</v>
      </c>
      <c r="C743" s="3">
        <f>IFERROR(__xludf.DUMMYFUNCTION("""COMPUTED_VALUE"""),50.0)</f>
        <v>50</v>
      </c>
      <c r="D743" s="5" t="str">
        <f>IFERROR(__xludf.DUMMYFUNCTION("""COMPUTED_VALUE"""),"יבול")</f>
        <v>יבול</v>
      </c>
      <c r="E743" s="5" t="str">
        <f>IFERROR(__xludf.DUMMYFUNCTION("""COMPUTED_VALUE"""),"גבר")</f>
        <v>גבר</v>
      </c>
      <c r="F743" s="5" t="str">
        <f>IFERROR(__xludf.DUMMYFUNCTION("""COMPUTED_VALUE"""),"משטרה")</f>
        <v>משטרה</v>
      </c>
      <c r="G743" s="5" t="str">
        <f>IFERROR(__xludf.DUMMYFUNCTION("""COMPUTED_VALUE"""),"רפ״ק")</f>
        <v>רפ״ק</v>
      </c>
      <c r="H743" s="3" t="str">
        <f>IFERROR(__xludf.DUMMYFUNCTION("""COMPUTED_VALUE"""),"07.10.2023")</f>
        <v>07.10.2023</v>
      </c>
      <c r="I743" s="4" t="str">
        <f>IFERROR(__xludf.DUMMYFUNCTION("""COMPUTED_VALUE"""),"פרי גן")</f>
        <v>פרי גן</v>
      </c>
      <c r="J743" s="4" t="str">
        <f>IFERROR(__xludf.DUMMYFUNCTION("""COMPUTED_VALUE"""),"שוטרים וכוחות הצלה")</f>
        <v>שוטרים וכוחות הצלה</v>
      </c>
      <c r="K743" s="5"/>
      <c r="L743" s="3" t="str">
        <f>IFERROR(__xludf.DUMMYFUNCTION("""COMPUTED_VALUE"""),"Avi Zidon")</f>
        <v>Avi Zidon</v>
      </c>
      <c r="M743" s="5"/>
    </row>
    <row r="744">
      <c r="A744" s="3">
        <f>IFERROR(__xludf.DUMMYFUNCTION("""COMPUTED_VALUE"""),1186.0)</f>
        <v>1186</v>
      </c>
      <c r="B744" s="4" t="str">
        <f>IFERROR(__xludf.DUMMYFUNCTION("""COMPUTED_VALUE"""),"אלטון דרור")</f>
        <v>אלטון דרור</v>
      </c>
      <c r="C744" s="3">
        <f>IFERROR(__xludf.DUMMYFUNCTION("""COMPUTED_VALUE"""),29.0)</f>
        <v>29</v>
      </c>
      <c r="D744" s="5" t="str">
        <f>IFERROR(__xludf.DUMMYFUNCTION("""COMPUTED_VALUE"""),"צורית")</f>
        <v>צורית</v>
      </c>
      <c r="E744" s="5" t="str">
        <f>IFERROR(__xludf.DUMMYFUNCTION("""COMPUTED_VALUE"""),"גבר")</f>
        <v>גבר</v>
      </c>
      <c r="F744" s="5" t="str">
        <f>IFERROR(__xludf.DUMMYFUNCTION("""COMPUTED_VALUE"""),"משטרה")</f>
        <v>משטרה</v>
      </c>
      <c r="G744" s="5" t="str">
        <f>IFERROR(__xludf.DUMMYFUNCTION("""COMPUTED_VALUE"""),"רס״מ")</f>
        <v>רס״מ</v>
      </c>
      <c r="H744" s="3" t="str">
        <f>IFERROR(__xludf.DUMMYFUNCTION("""COMPUTED_VALUE"""),"07.10.2023")</f>
        <v>07.10.2023</v>
      </c>
      <c r="I744" s="4" t="str">
        <f>IFERROR(__xludf.DUMMYFUNCTION("""COMPUTED_VALUE"""),"צומת שער הנגב")</f>
        <v>צומת שער הנגב</v>
      </c>
      <c r="J744" s="4" t="str">
        <f>IFERROR(__xludf.DUMMYFUNCTION("""COMPUTED_VALUE"""),"שוטרים וכוחות הצלה")</f>
        <v>שוטרים וכוחות הצלה</v>
      </c>
      <c r="K744" s="5"/>
      <c r="L744" s="3" t="str">
        <f>IFERROR(__xludf.DUMMYFUNCTION("""COMPUTED_VALUE"""),"Dror Alton")</f>
        <v>Dror Alton</v>
      </c>
      <c r="M744" s="5"/>
    </row>
    <row r="745">
      <c r="A745" s="3">
        <f>IFERROR(__xludf.DUMMYFUNCTION("""COMPUTED_VALUE"""),222.0)</f>
        <v>222</v>
      </c>
      <c r="B745" s="4" t="str">
        <f>IFERROR(__xludf.DUMMYFUNCTION("""COMPUTED_VALUE"""),"אלם מארו")</f>
        <v>אלם מארו</v>
      </c>
      <c r="C745" s="3">
        <f>IFERROR(__xludf.DUMMYFUNCTION("""COMPUTED_VALUE"""),20.0)</f>
        <v>20</v>
      </c>
      <c r="D745" s="5" t="str">
        <f>IFERROR(__xludf.DUMMYFUNCTION("""COMPUTED_VALUE"""),"אשקלון")</f>
        <v>אשקלון</v>
      </c>
      <c r="E745" s="5" t="str">
        <f>IFERROR(__xludf.DUMMYFUNCTION("""COMPUTED_VALUE"""),"גבר")</f>
        <v>גבר</v>
      </c>
      <c r="F745" s="5" t="str">
        <f>IFERROR(__xludf.DUMMYFUNCTION("""COMPUTED_VALUE"""),"צה""ל")</f>
        <v>צה"ל</v>
      </c>
      <c r="G745" s="5" t="str">
        <f>IFERROR(__xludf.DUMMYFUNCTION("""COMPUTED_VALUE"""),"סמ״ר")</f>
        <v>סמ״ר</v>
      </c>
      <c r="H745" s="3" t="str">
        <f>IFERROR(__xludf.DUMMYFUNCTION("""COMPUTED_VALUE"""),"07.10.2023")</f>
        <v>07.10.2023</v>
      </c>
      <c r="I745" s="4" t="str">
        <f>IFERROR(__xludf.DUMMYFUNCTION("""COMPUTED_VALUE"""),"מוצב הבית הלבן")</f>
        <v>מוצב הבית הלבן</v>
      </c>
      <c r="J745" s="4" t="str">
        <f>IFERROR(__xludf.DUMMYFUNCTION("""COMPUTED_VALUE"""),"חיילים")</f>
        <v>חיילים</v>
      </c>
      <c r="K745" s="5"/>
      <c r="L745" s="3" t="str">
        <f>IFERROR(__xludf.DUMMYFUNCTION("""COMPUTED_VALUE"""),"Maro Elem")</f>
        <v>Maro Elem</v>
      </c>
      <c r="M745" s="5"/>
    </row>
    <row r="746">
      <c r="A746" s="3">
        <f>IFERROR(__xludf.DUMMYFUNCTION("""COMPUTED_VALUE"""),479.0)</f>
        <v>479</v>
      </c>
      <c r="B746" s="4" t="str">
        <f>IFERROR(__xludf.DUMMYFUNCTION("""COMPUTED_VALUE"""),"אמיתי נהוראי לוי")</f>
        <v>אמיתי נהוראי לוי</v>
      </c>
      <c r="C746" s="3">
        <f>IFERROR(__xludf.DUMMYFUNCTION("""COMPUTED_VALUE"""),20.0)</f>
        <v>20</v>
      </c>
      <c r="D746" s="5" t="str">
        <f>IFERROR(__xludf.DUMMYFUNCTION("""COMPUTED_VALUE"""),"רינתיה")</f>
        <v>רינתיה</v>
      </c>
      <c r="E746" s="5" t="str">
        <f>IFERROR(__xludf.DUMMYFUNCTION("""COMPUTED_VALUE"""),"גבר")</f>
        <v>גבר</v>
      </c>
      <c r="F746" s="5" t="str">
        <f>IFERROR(__xludf.DUMMYFUNCTION("""COMPUTED_VALUE"""),"צה""ל")</f>
        <v>צה"ל</v>
      </c>
      <c r="G746" s="5" t="str">
        <f>IFERROR(__xludf.DUMMYFUNCTION("""COMPUTED_VALUE"""),"סמ״ר")</f>
        <v>סמ״ר</v>
      </c>
      <c r="H746" s="3" t="str">
        <f>IFERROR(__xludf.DUMMYFUNCTION("""COMPUTED_VALUE"""),"07.10.2023")</f>
        <v>07.10.2023</v>
      </c>
      <c r="I746" s="4" t="str">
        <f>IFERROR(__xludf.DUMMYFUNCTION("""COMPUTED_VALUE"""),"מוצב נחל עוז; מיגונית 13")</f>
        <v>מוצב נחל עוז; מיגונית 13</v>
      </c>
      <c r="J746" s="4" t="str">
        <f>IFERROR(__xludf.DUMMYFUNCTION("""COMPUTED_VALUE"""),"חיילים")</f>
        <v>חיילים</v>
      </c>
      <c r="K746" s="5"/>
      <c r="L746" s="3" t="str">
        <f>IFERROR(__xludf.DUMMYFUNCTION("""COMPUTED_VALUE"""),"Nehorai Levi Amitay")</f>
        <v>Nehorai Levi Amitay</v>
      </c>
      <c r="M746" s="5"/>
    </row>
    <row r="747">
      <c r="A747" s="3">
        <f>IFERROR(__xludf.DUMMYFUNCTION("""COMPUTED_VALUE"""),1556.0)</f>
        <v>1556</v>
      </c>
      <c r="B747" s="4" t="str">
        <f>IFERROR(__xludf.DUMMYFUNCTION("""COMPUTED_VALUE"""),"אמר רגב")</f>
        <v>אמר רגב</v>
      </c>
      <c r="C747" s="3">
        <f>IFERROR(__xludf.DUMMYFUNCTION("""COMPUTED_VALUE"""),20.0)</f>
        <v>20</v>
      </c>
      <c r="D747" s="5" t="str">
        <f>IFERROR(__xludf.DUMMYFUNCTION("""COMPUTED_VALUE"""),"שדה נחמיה")</f>
        <v>שדה נחמיה</v>
      </c>
      <c r="E747" s="5" t="str">
        <f>IFERROR(__xludf.DUMMYFUNCTION("""COMPUTED_VALUE"""),"גבר")</f>
        <v>גבר</v>
      </c>
      <c r="F747" s="5" t="str">
        <f>IFERROR(__xludf.DUMMYFUNCTION("""COMPUTED_VALUE"""),"צה""ל")</f>
        <v>צה"ל</v>
      </c>
      <c r="G747" s="5" t="str">
        <f>IFERROR(__xludf.DUMMYFUNCTION("""COMPUTED_VALUE"""),"סמ״ר")</f>
        <v>סמ״ר</v>
      </c>
      <c r="H747" s="3" t="str">
        <f>IFERROR(__xludf.DUMMYFUNCTION("""COMPUTED_VALUE"""),"07.10.2023")</f>
        <v>07.10.2023</v>
      </c>
      <c r="I747" s="4" t="str">
        <f>IFERROR(__xludf.DUMMYFUNCTION("""COMPUTED_VALUE"""),"כיסופים")</f>
        <v>כיסופים</v>
      </c>
      <c r="J747" s="4" t="str">
        <f>IFERROR(__xludf.DUMMYFUNCTION("""COMPUTED_VALUE"""),"חיילים")</f>
        <v>חיילים</v>
      </c>
      <c r="K747" s="5"/>
      <c r="L747" s="3" t="str">
        <f>IFERROR(__xludf.DUMMYFUNCTION("""COMPUTED_VALUE"""),"Regev Amar")</f>
        <v>Regev Amar</v>
      </c>
      <c r="M747" s="5"/>
    </row>
    <row r="748">
      <c r="A748" s="3">
        <f>IFERROR(__xludf.DUMMYFUNCTION("""COMPUTED_VALUE"""),224.0)</f>
        <v>224</v>
      </c>
      <c r="B748" s="4" t="str">
        <f>IFERROR(__xludf.DUMMYFUNCTION("""COMPUTED_VALUE"""),"אסתו אור")</f>
        <v>אסתו אור</v>
      </c>
      <c r="C748" s="3">
        <f>IFERROR(__xludf.DUMMYFUNCTION("""COMPUTED_VALUE"""),21.0)</f>
        <v>21</v>
      </c>
      <c r="D748" s="5" t="str">
        <f>IFERROR(__xludf.DUMMYFUNCTION("""COMPUTED_VALUE"""),"באר שבע")</f>
        <v>באר שבע</v>
      </c>
      <c r="E748" s="5" t="str">
        <f>IFERROR(__xludf.DUMMYFUNCTION("""COMPUTED_VALUE"""),"גבר")</f>
        <v>גבר</v>
      </c>
      <c r="F748" s="5" t="str">
        <f>IFERROR(__xludf.DUMMYFUNCTION("""COMPUTED_VALUE"""),"צה""ל")</f>
        <v>צה"ל</v>
      </c>
      <c r="G748" s="5" t="str">
        <f>IFERROR(__xludf.DUMMYFUNCTION("""COMPUTED_VALUE"""),"סמ״ר")</f>
        <v>סמ״ר</v>
      </c>
      <c r="H748" s="3" t="str">
        <f>IFERROR(__xludf.DUMMYFUNCTION("""COMPUTED_VALUE"""),"07.10.2023")</f>
        <v>07.10.2023</v>
      </c>
      <c r="I748" s="4" t="str">
        <f>IFERROR(__xludf.DUMMYFUNCTION("""COMPUTED_VALUE"""),"מוצב כיסופים; מיגונית")</f>
        <v>מוצב כיסופים; מיגונית</v>
      </c>
      <c r="J748" s="4" t="str">
        <f>IFERROR(__xludf.DUMMYFUNCTION("""COMPUTED_VALUE"""),"חיילים")</f>
        <v>חיילים</v>
      </c>
      <c r="K748" s="5"/>
      <c r="L748" s="3" t="str">
        <f>IFERROR(__xludf.DUMMYFUNCTION("""COMPUTED_VALUE"""),"Or Esto")</f>
        <v>Or Esto</v>
      </c>
      <c r="M748" s="5"/>
    </row>
    <row r="749">
      <c r="A749" s="3">
        <f>IFERROR(__xludf.DUMMYFUNCTION("""COMPUTED_VALUE"""),257.0)</f>
        <v>257</v>
      </c>
      <c r="B749" s="4" t="str">
        <f>IFERROR(__xludf.DUMMYFUNCTION("""COMPUTED_VALUE"""),"ארז אריאל")</f>
        <v>ארז אריאל</v>
      </c>
      <c r="C749" s="3">
        <f>IFERROR(__xludf.DUMMYFUNCTION("""COMPUTED_VALUE"""),19.0)</f>
        <v>19</v>
      </c>
      <c r="D749" s="5" t="str">
        <f>IFERROR(__xludf.DUMMYFUNCTION("""COMPUTED_VALUE"""),"עמקה")</f>
        <v>עמקה</v>
      </c>
      <c r="E749" s="5" t="str">
        <f>IFERROR(__xludf.DUMMYFUNCTION("""COMPUTED_VALUE"""),"גבר")</f>
        <v>גבר</v>
      </c>
      <c r="F749" s="5" t="str">
        <f>IFERROR(__xludf.DUMMYFUNCTION("""COMPUTED_VALUE"""),"צה""ל")</f>
        <v>צה"ל</v>
      </c>
      <c r="G749" s="5" t="str">
        <f>IFERROR(__xludf.DUMMYFUNCTION("""COMPUTED_VALUE"""),"סמל")</f>
        <v>סמל</v>
      </c>
      <c r="H749" s="3" t="str">
        <f>IFERROR(__xludf.DUMMYFUNCTION("""COMPUTED_VALUE"""),"07.10.2023")</f>
        <v>07.10.2023</v>
      </c>
      <c r="I749" s="4" t="str">
        <f>IFERROR(__xludf.DUMMYFUNCTION("""COMPUTED_VALUE"""),"מעבר ארז")</f>
        <v>מעבר ארז</v>
      </c>
      <c r="J749" s="4" t="str">
        <f>IFERROR(__xludf.DUMMYFUNCTION("""COMPUTED_VALUE"""),"חיילים")</f>
        <v>חיילים</v>
      </c>
      <c r="K749" s="5"/>
      <c r="L749" s="3" t="str">
        <f>IFERROR(__xludf.DUMMYFUNCTION("""COMPUTED_VALUE"""),"Ariel Erez")</f>
        <v>Ariel Erez</v>
      </c>
      <c r="M749" s="5"/>
    </row>
    <row r="750">
      <c r="A750" s="3">
        <f>IFERROR(__xludf.DUMMYFUNCTION("""COMPUTED_VALUE"""),407.0)</f>
        <v>407</v>
      </c>
      <c r="B750" s="4" t="str">
        <f>IFERROR(__xludf.DUMMYFUNCTION("""COMPUTED_VALUE"""),"באלוי עידן")</f>
        <v>באלוי עידן</v>
      </c>
      <c r="C750" s="3">
        <f>IFERROR(__xludf.DUMMYFUNCTION("""COMPUTED_VALUE"""),21.0)</f>
        <v>21</v>
      </c>
      <c r="D750" s="5" t="str">
        <f>IFERROR(__xludf.DUMMYFUNCTION("""COMPUTED_VALUE"""),"ראשון לציון")</f>
        <v>ראשון לציון</v>
      </c>
      <c r="E750" s="5" t="str">
        <f>IFERROR(__xludf.DUMMYFUNCTION("""COMPUTED_VALUE"""),"גבר")</f>
        <v>גבר</v>
      </c>
      <c r="F750" s="5" t="str">
        <f>IFERROR(__xludf.DUMMYFUNCTION("""COMPUTED_VALUE"""),"צה""ל")</f>
        <v>צה"ל</v>
      </c>
      <c r="G750" s="5" t="str">
        <f>IFERROR(__xludf.DUMMYFUNCTION("""COMPUTED_VALUE"""),"סרן")</f>
        <v>סרן</v>
      </c>
      <c r="H750" s="3" t="str">
        <f>IFERROR(__xludf.DUMMYFUNCTION("""COMPUTED_VALUE"""),"07.10.2023")</f>
        <v>07.10.2023</v>
      </c>
      <c r="I750" s="4" t="str">
        <f>IFERROR(__xludf.DUMMYFUNCTION("""COMPUTED_VALUE"""),"מוצב נחל עוז; חמ""ל")</f>
        <v>מוצב נחל עוז; חמ"ל</v>
      </c>
      <c r="J750" s="4" t="str">
        <f>IFERROR(__xludf.DUMMYFUNCTION("""COMPUTED_VALUE"""),"חיילים")</f>
        <v>חיילים</v>
      </c>
      <c r="K750" s="5"/>
      <c r="L750" s="3" t="str">
        <f>IFERROR(__xludf.DUMMYFUNCTION("""COMPUTED_VALUE"""),"Idan Balui")</f>
        <v>Idan Balui</v>
      </c>
      <c r="M750" s="5"/>
    </row>
    <row r="751">
      <c r="A751" s="3">
        <f>IFERROR(__xludf.DUMMYFUNCTION("""COMPUTED_VALUE"""),475.0)</f>
        <v>475</v>
      </c>
      <c r="B751" s="4" t="str">
        <f>IFERROR(__xludf.DUMMYFUNCTION("""COMPUTED_VALUE"""),"בוגלה אדיר אישטו")</f>
        <v>בוגלה אדיר אישטו</v>
      </c>
      <c r="C751" s="3">
        <f>IFERROR(__xludf.DUMMYFUNCTION("""COMPUTED_VALUE"""),20.0)</f>
        <v>20</v>
      </c>
      <c r="D751" s="5" t="str">
        <f>IFERROR(__xludf.DUMMYFUNCTION("""COMPUTED_VALUE"""),"אריאל")</f>
        <v>אריאל</v>
      </c>
      <c r="E751" s="5" t="str">
        <f>IFERROR(__xludf.DUMMYFUNCTION("""COMPUTED_VALUE"""),"גבר")</f>
        <v>גבר</v>
      </c>
      <c r="F751" s="5" t="str">
        <f>IFERROR(__xludf.DUMMYFUNCTION("""COMPUTED_VALUE"""),"צה""ל")</f>
        <v>צה"ל</v>
      </c>
      <c r="G751" s="5" t="str">
        <f>IFERROR(__xludf.DUMMYFUNCTION("""COMPUTED_VALUE"""),"סמ״ר")</f>
        <v>סמ״ר</v>
      </c>
      <c r="H751" s="3" t="str">
        <f>IFERROR(__xludf.DUMMYFUNCTION("""COMPUTED_VALUE"""),"07.10.2023")</f>
        <v>07.10.2023</v>
      </c>
      <c r="I751" s="4" t="str">
        <f>IFERROR(__xludf.DUMMYFUNCTION("""COMPUTED_VALUE"""),"מוצב נחל עוז; ש.ג.")</f>
        <v>מוצב נחל עוז; ש.ג.</v>
      </c>
      <c r="J751" s="4" t="str">
        <f>IFERROR(__xludf.DUMMYFUNCTION("""COMPUTED_VALUE"""),"חיילים")</f>
        <v>חיילים</v>
      </c>
      <c r="K751" s="5"/>
      <c r="L751" s="3" t="str">
        <f>IFERROR(__xludf.DUMMYFUNCTION("""COMPUTED_VALUE"""),"Adir Ishto Bogla")</f>
        <v>Adir Ishto Bogla</v>
      </c>
      <c r="M751" s="5"/>
    </row>
    <row r="752">
      <c r="A752" s="3">
        <f>IFERROR(__xludf.DUMMYFUNCTION("""COMPUTED_VALUE"""),1275.0)</f>
        <v>1275</v>
      </c>
      <c r="B752" s="4" t="str">
        <f>IFERROR(__xludf.DUMMYFUNCTION("""COMPUTED_VALUE"""),"בוחניק לביא")</f>
        <v>בוחניק לביא</v>
      </c>
      <c r="C752" s="3">
        <f>IFERROR(__xludf.DUMMYFUNCTION("""COMPUTED_VALUE"""),20.0)</f>
        <v>20</v>
      </c>
      <c r="D752" s="5" t="str">
        <f>IFERROR(__xludf.DUMMYFUNCTION("""COMPUTED_VALUE"""),"פדויים")</f>
        <v>פדויים</v>
      </c>
      <c r="E752" s="5" t="str">
        <f>IFERROR(__xludf.DUMMYFUNCTION("""COMPUTED_VALUE"""),"גבר")</f>
        <v>גבר</v>
      </c>
      <c r="F752" s="5" t="str">
        <f>IFERROR(__xludf.DUMMYFUNCTION("""COMPUTED_VALUE"""),"צה""ל")</f>
        <v>צה"ל</v>
      </c>
      <c r="G752" s="5" t="str">
        <f>IFERROR(__xludf.DUMMYFUNCTION("""COMPUTED_VALUE"""),"סמל")</f>
        <v>סמל</v>
      </c>
      <c r="H752" s="3" t="str">
        <f>IFERROR(__xludf.DUMMYFUNCTION("""COMPUTED_VALUE"""),"07.10.2023")</f>
        <v>07.10.2023</v>
      </c>
      <c r="I752" s="4" t="str">
        <f>IFERROR(__xludf.DUMMYFUNCTION("""COMPUTED_VALUE"""),"כיסופים")</f>
        <v>כיסופים</v>
      </c>
      <c r="J752" s="4" t="str">
        <f>IFERROR(__xludf.DUMMYFUNCTION("""COMPUTED_VALUE"""),"חיילים")</f>
        <v>חיילים</v>
      </c>
      <c r="K752" s="5"/>
      <c r="L752" s="3" t="str">
        <f>IFERROR(__xludf.DUMMYFUNCTION("""COMPUTED_VALUE"""),"Lavie Buchnik")</f>
        <v>Lavie Buchnik</v>
      </c>
      <c r="M752" s="5"/>
    </row>
    <row r="753">
      <c r="A753" s="3">
        <f>IFERROR(__xludf.DUMMYFUNCTION("""COMPUTED_VALUE"""),216.0)</f>
        <v>216</v>
      </c>
      <c r="B753" s="4" t="str">
        <f>IFERROR(__xludf.DUMMYFUNCTION("""COMPUTED_VALUE"""),"בזגודוב דניאל")</f>
        <v>בזגודוב דניאל</v>
      </c>
      <c r="C753" s="3">
        <f>IFERROR(__xludf.DUMMYFUNCTION("""COMPUTED_VALUE"""),22.0)</f>
        <v>22</v>
      </c>
      <c r="D753" s="5" t="str">
        <f>IFERROR(__xludf.DUMMYFUNCTION("""COMPUTED_VALUE"""),"עפולה")</f>
        <v>עפולה</v>
      </c>
      <c r="E753" s="5" t="str">
        <f>IFERROR(__xludf.DUMMYFUNCTION("""COMPUTED_VALUE"""),"גבר")</f>
        <v>גבר</v>
      </c>
      <c r="F753" s="5" t="str">
        <f>IFERROR(__xludf.DUMMYFUNCTION("""COMPUTED_VALUE"""),"צה""ל")</f>
        <v>צה"ל</v>
      </c>
      <c r="G753" s="5" t="str">
        <f>IFERROR(__xludf.DUMMYFUNCTION("""COMPUTED_VALUE"""),"סמ״ר")</f>
        <v>סמ״ר</v>
      </c>
      <c r="H753" s="3" t="str">
        <f>IFERROR(__xludf.DUMMYFUNCTION("""COMPUTED_VALUE"""),"07.10.2023")</f>
        <v>07.10.2023</v>
      </c>
      <c r="I753" s="4" t="str">
        <f>IFERROR(__xludf.DUMMYFUNCTION("""COMPUTED_VALUE"""),"מוצב סופה")</f>
        <v>מוצב סופה</v>
      </c>
      <c r="J753" s="4" t="str">
        <f>IFERROR(__xludf.DUMMYFUNCTION("""COMPUTED_VALUE"""),"חיילים")</f>
        <v>חיילים</v>
      </c>
      <c r="K753" s="5"/>
      <c r="L753" s="3" t="str">
        <f>IFERROR(__xludf.DUMMYFUNCTION("""COMPUTED_VALUE"""),"Daniel Bezgodov")</f>
        <v>Daniel Bezgodov</v>
      </c>
      <c r="M753" s="5"/>
    </row>
    <row r="754">
      <c r="A754" s="3">
        <f>IFERROR(__xludf.DUMMYFUNCTION("""COMPUTED_VALUE"""),1032.0)</f>
        <v>1032</v>
      </c>
      <c r="B754" s="4" t="str">
        <f>IFERROR(__xludf.DUMMYFUNCTION("""COMPUTED_VALUE"""),"ביבי אוריאל")</f>
        <v>ביבי אוריאל</v>
      </c>
      <c r="C754" s="3">
        <f>IFERROR(__xludf.DUMMYFUNCTION("""COMPUTED_VALUE"""),30.0)</f>
        <v>30</v>
      </c>
      <c r="D754" s="5" t="str">
        <f>IFERROR(__xludf.DUMMYFUNCTION("""COMPUTED_VALUE"""),"שלומית")</f>
        <v>שלומית</v>
      </c>
      <c r="E754" s="5" t="str">
        <f>IFERROR(__xludf.DUMMYFUNCTION("""COMPUTED_VALUE"""),"גבר")</f>
        <v>גבר</v>
      </c>
      <c r="F754" s="5" t="str">
        <f>IFERROR(__xludf.DUMMYFUNCTION("""COMPUTED_VALUE"""),"צה""ל")</f>
        <v>צה"ל</v>
      </c>
      <c r="G754" s="5" t="str">
        <f>IFERROR(__xludf.DUMMYFUNCTION("""COMPUTED_VALUE"""),"רס״ן")</f>
        <v>רס״ן</v>
      </c>
      <c r="H754" s="3" t="str">
        <f>IFERROR(__xludf.DUMMYFUNCTION("""COMPUTED_VALUE"""),"07.10.2023")</f>
        <v>07.10.2023</v>
      </c>
      <c r="I754" s="4" t="str">
        <f>IFERROR(__xludf.DUMMYFUNCTION("""COMPUTED_VALUE"""),"צומת מגן")</f>
        <v>צומת מגן</v>
      </c>
      <c r="J754" s="4" t="str">
        <f>IFERROR(__xludf.DUMMYFUNCTION("""COMPUTED_VALUE"""),"חיילים")</f>
        <v>חיילים</v>
      </c>
      <c r="K754" s="5"/>
      <c r="L754" s="3" t="str">
        <f>IFERROR(__xludf.DUMMYFUNCTION("""COMPUTED_VALUE"""),"Oriel Bibi")</f>
        <v>Oriel Bibi</v>
      </c>
      <c r="M754" s="5"/>
    </row>
    <row r="755">
      <c r="A755" s="3">
        <f>IFERROR(__xludf.DUMMYFUNCTION("""COMPUTED_VALUE"""),1354.0)</f>
        <v>1354</v>
      </c>
      <c r="B755" s="4" t="str">
        <f>IFERROR(__xludf.DUMMYFUNCTION("""COMPUTED_VALUE"""),"ביננשטוק עידו")</f>
        <v>ביננשטוק עידו</v>
      </c>
      <c r="C755" s="3">
        <f>IFERROR(__xludf.DUMMYFUNCTION("""COMPUTED_VALUE"""),19.0)</f>
        <v>19</v>
      </c>
      <c r="D755" s="5" t="str">
        <f>IFERROR(__xludf.DUMMYFUNCTION("""COMPUTED_VALUE"""),"רמת גן")</f>
        <v>רמת גן</v>
      </c>
      <c r="E755" s="5" t="str">
        <f>IFERROR(__xludf.DUMMYFUNCTION("""COMPUTED_VALUE"""),"גבר")</f>
        <v>גבר</v>
      </c>
      <c r="F755" s="5" t="str">
        <f>IFERROR(__xludf.DUMMYFUNCTION("""COMPUTED_VALUE"""),"צה""ל")</f>
        <v>צה"ל</v>
      </c>
      <c r="G755" s="5" t="str">
        <f>IFERROR(__xludf.DUMMYFUNCTION("""COMPUTED_VALUE"""),"סמל")</f>
        <v>סמל</v>
      </c>
      <c r="H755" s="3" t="str">
        <f>IFERROR(__xludf.DUMMYFUNCTION("""COMPUTED_VALUE"""),"07.10.2023")</f>
        <v>07.10.2023</v>
      </c>
      <c r="I755" s="4" t="str">
        <f>IFERROR(__xludf.DUMMYFUNCTION("""COMPUTED_VALUE"""),"מוצב פגה")</f>
        <v>מוצב פגה</v>
      </c>
      <c r="J755" s="4" t="str">
        <f>IFERROR(__xludf.DUMMYFUNCTION("""COMPUTED_VALUE"""),"חיילים")</f>
        <v>חיילים</v>
      </c>
      <c r="K755" s="5"/>
      <c r="L755" s="3" t="str">
        <f>IFERROR(__xludf.DUMMYFUNCTION("""COMPUTED_VALUE"""),"Ido Binenstock")</f>
        <v>Ido Binenstock</v>
      </c>
      <c r="M755" s="5"/>
    </row>
    <row r="756">
      <c r="A756" s="3">
        <f>IFERROR(__xludf.DUMMYFUNCTION("""COMPUTED_VALUE"""),53.0)</f>
        <v>53</v>
      </c>
      <c r="B756" s="4" t="str">
        <f>IFERROR(__xludf.DUMMYFUNCTION("""COMPUTED_VALUE"""),"בליך ודים")</f>
        <v>בליך ודים</v>
      </c>
      <c r="C756" s="3">
        <f>IFERROR(__xludf.DUMMYFUNCTION("""COMPUTED_VALUE"""),39.0)</f>
        <v>39</v>
      </c>
      <c r="D756" s="5" t="str">
        <f>IFERROR(__xludf.DUMMYFUNCTION("""COMPUTED_VALUE"""),"חיפה")</f>
        <v>חיפה</v>
      </c>
      <c r="E756" s="5" t="str">
        <f>IFERROR(__xludf.DUMMYFUNCTION("""COMPUTED_VALUE"""),"גבר")</f>
        <v>גבר</v>
      </c>
      <c r="F756" s="5" t="str">
        <f>IFERROR(__xludf.DUMMYFUNCTION("""COMPUTED_VALUE"""),"משטרה")</f>
        <v>משטרה</v>
      </c>
      <c r="G756" s="5" t="str">
        <f>IFERROR(__xludf.DUMMYFUNCTION("""COMPUTED_VALUE"""),"סנ״צ")</f>
        <v>סנ״צ</v>
      </c>
      <c r="H756" s="3" t="str">
        <f>IFERROR(__xludf.DUMMYFUNCTION("""COMPUTED_VALUE"""),"07.10.2023")</f>
        <v>07.10.2023</v>
      </c>
      <c r="I756" s="4" t="str">
        <f>IFERROR(__xludf.DUMMYFUNCTION("""COMPUTED_VALUE"""),"בארי")</f>
        <v>בארי</v>
      </c>
      <c r="J756" s="4" t="str">
        <f>IFERROR(__xludf.DUMMYFUNCTION("""COMPUTED_VALUE"""),"שוטרים וכוחות הצלה")</f>
        <v>שוטרים וכוחות הצלה</v>
      </c>
      <c r="K756" s="5"/>
      <c r="L756" s="3" t="str">
        <f>IFERROR(__xludf.DUMMYFUNCTION("""COMPUTED_VALUE"""),"Vadim Blich")</f>
        <v>Vadim Blich</v>
      </c>
      <c r="M756" s="5"/>
    </row>
    <row r="757">
      <c r="A757" s="3">
        <f>IFERROR(__xludf.DUMMYFUNCTION("""COMPUTED_VALUE"""),468.0)</f>
        <v>468</v>
      </c>
      <c r="B757" s="4" t="str">
        <f>IFERROR(__xludf.DUMMYFUNCTION("""COMPUTED_VALUE"""),"בן דוד ברק")</f>
        <v>בן דוד ברק</v>
      </c>
      <c r="C757" s="3">
        <f>IFERROR(__xludf.DUMMYFUNCTION("""COMPUTED_VALUE"""),19.0)</f>
        <v>19</v>
      </c>
      <c r="D757" s="5" t="str">
        <f>IFERROR(__xludf.DUMMYFUNCTION("""COMPUTED_VALUE"""),"דימונה")</f>
        <v>דימונה</v>
      </c>
      <c r="E757" s="5" t="str">
        <f>IFERROR(__xludf.DUMMYFUNCTION("""COMPUTED_VALUE"""),"גבר")</f>
        <v>גבר</v>
      </c>
      <c r="F757" s="5" t="str">
        <f>IFERROR(__xludf.DUMMYFUNCTION("""COMPUTED_VALUE"""),"צה""ל")</f>
        <v>צה"ל</v>
      </c>
      <c r="G757" s="5" t="str">
        <f>IFERROR(__xludf.DUMMYFUNCTION("""COMPUTED_VALUE"""),"סמ״ר")</f>
        <v>סמ״ר</v>
      </c>
      <c r="H757" s="3" t="str">
        <f>IFERROR(__xludf.DUMMYFUNCTION("""COMPUTED_VALUE"""),"07.10.2023")</f>
        <v>07.10.2023</v>
      </c>
      <c r="I757" s="4" t="str">
        <f>IFERROR(__xludf.DUMMYFUNCTION("""COMPUTED_VALUE"""),"מוצב נחל עוז; מיגונית 13")</f>
        <v>מוצב נחל עוז; מיגונית 13</v>
      </c>
      <c r="J757" s="4" t="str">
        <f>IFERROR(__xludf.DUMMYFUNCTION("""COMPUTED_VALUE"""),"חיילים")</f>
        <v>חיילים</v>
      </c>
      <c r="K757" s="5"/>
      <c r="L757" s="3" t="str">
        <f>IFERROR(__xludf.DUMMYFUNCTION("""COMPUTED_VALUE"""),"Barak Ben-David")</f>
        <v>Barak Ben-David</v>
      </c>
      <c r="M757" s="5"/>
    </row>
    <row r="758">
      <c r="A758" s="3">
        <f>IFERROR(__xludf.DUMMYFUNCTION("""COMPUTED_VALUE"""),470.0)</f>
        <v>470</v>
      </c>
      <c r="B758" s="4" t="str">
        <f>IFERROR(__xludf.DUMMYFUNCTION("""COMPUTED_VALUE"""),"בן יהודה איתמר")</f>
        <v>בן יהודה איתמר</v>
      </c>
      <c r="C758" s="3">
        <f>IFERROR(__xludf.DUMMYFUNCTION("""COMPUTED_VALUE"""),21.0)</f>
        <v>21</v>
      </c>
      <c r="D758" s="5" t="str">
        <f>IFERROR(__xludf.DUMMYFUNCTION("""COMPUTED_VALUE"""),"רחובות")</f>
        <v>רחובות</v>
      </c>
      <c r="E758" s="5" t="str">
        <f>IFERROR(__xludf.DUMMYFUNCTION("""COMPUTED_VALUE"""),"גבר")</f>
        <v>גבר</v>
      </c>
      <c r="F758" s="5" t="str">
        <f>IFERROR(__xludf.DUMMYFUNCTION("""COMPUTED_VALUE"""),"צה""ל")</f>
        <v>צה"ל</v>
      </c>
      <c r="G758" s="5" t="str">
        <f>IFERROR(__xludf.DUMMYFUNCTION("""COMPUTED_VALUE"""),"סמ״ר")</f>
        <v>סמ״ר</v>
      </c>
      <c r="H758" s="3" t="str">
        <f>IFERROR(__xludf.DUMMYFUNCTION("""COMPUTED_VALUE"""),"07.10.2023")</f>
        <v>07.10.2023</v>
      </c>
      <c r="I758" s="4" t="str">
        <f>IFERROR(__xludf.DUMMYFUNCTION("""COMPUTED_VALUE"""),"מוצב פגה")</f>
        <v>מוצב פגה</v>
      </c>
      <c r="J758" s="4" t="str">
        <f>IFERROR(__xludf.DUMMYFUNCTION("""COMPUTED_VALUE"""),"חיילים")</f>
        <v>חיילים</v>
      </c>
      <c r="K758" s="5"/>
      <c r="L758" s="3" t="str">
        <f>IFERROR(__xludf.DUMMYFUNCTION("""COMPUTED_VALUE"""),"Itamar Ben-Yehuda")</f>
        <v>Itamar Ben-Yehuda</v>
      </c>
      <c r="M758" s="5"/>
    </row>
    <row r="759">
      <c r="A759" s="3">
        <f>IFERROR(__xludf.DUMMYFUNCTION("""COMPUTED_VALUE"""),469.0)</f>
        <v>469</v>
      </c>
      <c r="B759" s="4" t="str">
        <f>IFERROR(__xludf.DUMMYFUNCTION("""COMPUTED_VALUE"""),"בן יעקב יעד")</f>
        <v>בן יעקב יעד</v>
      </c>
      <c r="C759" s="3">
        <f>IFERROR(__xludf.DUMMYFUNCTION("""COMPUTED_VALUE"""),20.0)</f>
        <v>20</v>
      </c>
      <c r="D759" s="5" t="str">
        <f>IFERROR(__xludf.DUMMYFUNCTION("""COMPUTED_VALUE"""),"פתח תקווה")</f>
        <v>פתח תקווה</v>
      </c>
      <c r="E759" s="5" t="str">
        <f>IFERROR(__xludf.DUMMYFUNCTION("""COMPUTED_VALUE"""),"גבר")</f>
        <v>גבר</v>
      </c>
      <c r="F759" s="5" t="str">
        <f>IFERROR(__xludf.DUMMYFUNCTION("""COMPUTED_VALUE"""),"צה""ל")</f>
        <v>צה"ל</v>
      </c>
      <c r="G759" s="5" t="str">
        <f>IFERROR(__xludf.DUMMYFUNCTION("""COMPUTED_VALUE"""),"סמ״ר")</f>
        <v>סמ״ר</v>
      </c>
      <c r="H759" s="3" t="str">
        <f>IFERROR(__xludf.DUMMYFUNCTION("""COMPUTED_VALUE"""),"07.10.2023")</f>
        <v>07.10.2023</v>
      </c>
      <c r="I759" s="4" t="str">
        <f>IFERROR(__xludf.DUMMYFUNCTION("""COMPUTED_VALUE"""),"מוצב נחל עוז; נמ""ר")</f>
        <v>מוצב נחל עוז; נמ"ר</v>
      </c>
      <c r="J759" s="4" t="str">
        <f>IFERROR(__xludf.DUMMYFUNCTION("""COMPUTED_VALUE"""),"חיילים")</f>
        <v>חיילים</v>
      </c>
      <c r="K759" s="5"/>
      <c r="L759" s="3" t="str">
        <f>IFERROR(__xludf.DUMMYFUNCTION("""COMPUTED_VALUE"""),"Ya'ad Ben-Yakov")</f>
        <v>Ya'ad Ben-Yakov</v>
      </c>
      <c r="M759" s="5"/>
    </row>
    <row r="760">
      <c r="A760" s="3">
        <f>IFERROR(__xludf.DUMMYFUNCTION("""COMPUTED_VALUE"""),1612.0)</f>
        <v>1612</v>
      </c>
      <c r="B760" s="4" t="str">
        <f>IFERROR(__xludf.DUMMYFUNCTION("""COMPUTED_VALUE"""),"בן משה (מושיאשוילי) מיכאל")</f>
        <v>בן משה (מושיאשוילי) מיכאל</v>
      </c>
      <c r="C760" s="3">
        <f>IFERROR(__xludf.DUMMYFUNCTION("""COMPUTED_VALUE"""),26.0)</f>
        <v>26</v>
      </c>
      <c r="D760" s="5" t="str">
        <f>IFERROR(__xludf.DUMMYFUNCTION("""COMPUTED_VALUE"""),"אשקלון")</f>
        <v>אשקלון</v>
      </c>
      <c r="E760" s="5" t="str">
        <f>IFERROR(__xludf.DUMMYFUNCTION("""COMPUTED_VALUE"""),"גבר")</f>
        <v>גבר</v>
      </c>
      <c r="F760" s="5" t="str">
        <f>IFERROR(__xludf.DUMMYFUNCTION("""COMPUTED_VALUE"""),"שב""כ")</f>
        <v>שב"כ</v>
      </c>
      <c r="G760" s="5"/>
      <c r="H760" s="3" t="str">
        <f>IFERROR(__xludf.DUMMYFUNCTION("""COMPUTED_VALUE"""),"07.10.2023")</f>
        <v>07.10.2023</v>
      </c>
      <c r="I760" s="4" t="str">
        <f>IFERROR(__xludf.DUMMYFUNCTION("""COMPUTED_VALUE"""),"מערבית לזיקים")</f>
        <v>מערבית לזיקים</v>
      </c>
      <c r="J760" s="4" t="str">
        <f>IFERROR(__xludf.DUMMYFUNCTION("""COMPUTED_VALUE"""),"שוטרים וכוחות הצלה")</f>
        <v>שוטרים וכוחות הצלה</v>
      </c>
      <c r="K760" s="5"/>
      <c r="L760" s="3" t="str">
        <f>IFERROR(__xludf.DUMMYFUNCTION("""COMPUTED_VALUE"""),"Michael Ben-Moshe (Moshiasvhili)")</f>
        <v>Michael Ben-Moshe (Moshiasvhili)</v>
      </c>
      <c r="M760" s="5"/>
    </row>
    <row r="761">
      <c r="A761" s="3">
        <f>IFERROR(__xludf.DUMMYFUNCTION("""COMPUTED_VALUE"""),401.0)</f>
        <v>401</v>
      </c>
      <c r="B761" s="4" t="str">
        <f>IFERROR(__xludf.DUMMYFUNCTION("""COMPUTED_VALUE"""),"בר (בן מוחה) ליאון")</f>
        <v>בר (בן מוחה) ליאון</v>
      </c>
      <c r="C761" s="3">
        <f>IFERROR(__xludf.DUMMYFUNCTION("""COMPUTED_VALUE"""),53.0)</f>
        <v>53</v>
      </c>
      <c r="D761" s="5" t="str">
        <f>IFERROR(__xludf.DUMMYFUNCTION("""COMPUTED_VALUE"""),"גדרה")</f>
        <v>גדרה</v>
      </c>
      <c r="E761" s="5" t="str">
        <f>IFERROR(__xludf.DUMMYFUNCTION("""COMPUTED_VALUE"""),"גבר")</f>
        <v>גבר</v>
      </c>
      <c r="F761" s="5" t="str">
        <f>IFERROR(__xludf.DUMMYFUNCTION("""COMPUTED_VALUE"""),"צה""ל (מיל')")</f>
        <v>צה"ל (מיל')</v>
      </c>
      <c r="G761" s="5" t="str">
        <f>IFERROR(__xludf.DUMMYFUNCTION("""COMPUTED_VALUE"""),"אל״ם")</f>
        <v>אל״ם</v>
      </c>
      <c r="H761" s="3" t="str">
        <f>IFERROR(__xludf.DUMMYFUNCTION("""COMPUTED_VALUE"""),"08.10.2023")</f>
        <v>08.10.2023</v>
      </c>
      <c r="I761" s="4" t="str">
        <f>IFERROR(__xludf.DUMMYFUNCTION("""COMPUTED_VALUE"""),"אנדרטת חץ שחור")</f>
        <v>אנדרטת חץ שחור</v>
      </c>
      <c r="J761" s="4" t="str">
        <f>IFERROR(__xludf.DUMMYFUNCTION("""COMPUTED_VALUE"""),"חיילים")</f>
        <v>חיילים</v>
      </c>
      <c r="K761" s="5"/>
      <c r="L761" s="3" t="str">
        <f>IFERROR(__xludf.DUMMYFUNCTION("""COMPUTED_VALUE"""),"Leon Bar")</f>
        <v>Leon Bar</v>
      </c>
      <c r="M761" s="5"/>
    </row>
    <row r="762">
      <c r="A762" s="3">
        <f>IFERROR(__xludf.DUMMYFUNCTION("""COMPUTED_VALUE"""),465.0)</f>
        <v>465</v>
      </c>
      <c r="B762" s="4" t="str">
        <f>IFERROR(__xludf.DUMMYFUNCTION("""COMPUTED_VALUE"""),"בר עם נטע")</f>
        <v>בר עם נטע</v>
      </c>
      <c r="C762" s="3">
        <f>IFERROR(__xludf.DUMMYFUNCTION("""COMPUTED_VALUE"""),21.0)</f>
        <v>21</v>
      </c>
      <c r="D762" s="5" t="str">
        <f>IFERROR(__xludf.DUMMYFUNCTION("""COMPUTED_VALUE"""),"חדרה")</f>
        <v>חדרה</v>
      </c>
      <c r="E762" s="5" t="str">
        <f>IFERROR(__xludf.DUMMYFUNCTION("""COMPUTED_VALUE"""),"גבר")</f>
        <v>גבר</v>
      </c>
      <c r="F762" s="5" t="str">
        <f>IFERROR(__xludf.DUMMYFUNCTION("""COMPUTED_VALUE"""),"צה""ל")</f>
        <v>צה"ל</v>
      </c>
      <c r="G762" s="5" t="str">
        <f>IFERROR(__xludf.DUMMYFUNCTION("""COMPUTED_VALUE"""),"סמ״ר")</f>
        <v>סמ״ר</v>
      </c>
      <c r="H762" s="3" t="str">
        <f>IFERROR(__xludf.DUMMYFUNCTION("""COMPUTED_VALUE"""),"07.10.2023")</f>
        <v>07.10.2023</v>
      </c>
      <c r="I762" s="4" t="str">
        <f>IFERROR(__xludf.DUMMYFUNCTION("""COMPUTED_VALUE"""),"מוצב נחל עוז; בלונאים")</f>
        <v>מוצב נחל עוז; בלונאים</v>
      </c>
      <c r="J762" s="4" t="str">
        <f>IFERROR(__xludf.DUMMYFUNCTION("""COMPUTED_VALUE"""),"חיילים")</f>
        <v>חיילים</v>
      </c>
      <c r="K762" s="5"/>
      <c r="L762" s="3" t="str">
        <f>IFERROR(__xludf.DUMMYFUNCTION("""COMPUTED_VALUE"""),"Neta Baram")</f>
        <v>Neta Baram</v>
      </c>
      <c r="M762" s="5"/>
    </row>
    <row r="763">
      <c r="A763" s="3">
        <f>IFERROR(__xludf.DUMMYFUNCTION("""COMPUTED_VALUE"""),1274.0)</f>
        <v>1274</v>
      </c>
      <c r="B763" s="4" t="str">
        <f>IFERROR(__xludf.DUMMYFUNCTION("""COMPUTED_VALUE"""),"ברנס שלו")</f>
        <v>ברנס שלו</v>
      </c>
      <c r="C763" s="3">
        <f>IFERROR(__xludf.DUMMYFUNCTION("""COMPUTED_VALUE"""),20.0)</f>
        <v>20</v>
      </c>
      <c r="D763" s="5" t="str">
        <f>IFERROR(__xludf.DUMMYFUNCTION("""COMPUTED_VALUE"""),"כפר ברוך")</f>
        <v>כפר ברוך</v>
      </c>
      <c r="E763" s="5" t="str">
        <f>IFERROR(__xludf.DUMMYFUNCTION("""COMPUTED_VALUE"""),"גבר")</f>
        <v>גבר</v>
      </c>
      <c r="F763" s="5" t="str">
        <f>IFERROR(__xludf.DUMMYFUNCTION("""COMPUTED_VALUE"""),"צה""ל")</f>
        <v>צה"ל</v>
      </c>
      <c r="G763" s="5" t="str">
        <f>IFERROR(__xludf.DUMMYFUNCTION("""COMPUTED_VALUE"""),"סמ״ר")</f>
        <v>סמ״ר</v>
      </c>
      <c r="H763" s="3" t="str">
        <f>IFERROR(__xludf.DUMMYFUNCTION("""COMPUTED_VALUE"""),"07.10.2023")</f>
        <v>07.10.2023</v>
      </c>
      <c r="I763" s="4" t="str">
        <f>IFERROR(__xludf.DUMMYFUNCTION("""COMPUTED_VALUE"""),"מוצב פגה")</f>
        <v>מוצב פגה</v>
      </c>
      <c r="J763" s="4" t="str">
        <f>IFERROR(__xludf.DUMMYFUNCTION("""COMPUTED_VALUE"""),"חיילים")</f>
        <v>חיילים</v>
      </c>
      <c r="K763" s="5"/>
      <c r="L763" s="3" t="str">
        <f>IFERROR(__xludf.DUMMYFUNCTION("""COMPUTED_VALUE"""),"Shalev Baranes")</f>
        <v>Shalev Baranes</v>
      </c>
      <c r="M763" s="5"/>
    </row>
    <row r="764">
      <c r="A764" s="3">
        <f>IFERROR(__xludf.DUMMYFUNCTION("""COMPUTED_VALUE"""),467.0)</f>
        <v>467</v>
      </c>
      <c r="B764" s="4" t="str">
        <f>IFERROR(__xludf.DUMMYFUNCTION("""COMPUTED_VALUE"""),"ברק תומר")</f>
        <v>ברק תומר</v>
      </c>
      <c r="C764" s="3">
        <f>IFERROR(__xludf.DUMMYFUNCTION("""COMPUTED_VALUE"""),20.0)</f>
        <v>20</v>
      </c>
      <c r="D764" s="5" t="str">
        <f>IFERROR(__xludf.DUMMYFUNCTION("""COMPUTED_VALUE"""),"פתח תקווה")</f>
        <v>פתח תקווה</v>
      </c>
      <c r="E764" s="5" t="str">
        <f>IFERROR(__xludf.DUMMYFUNCTION("""COMPUTED_VALUE"""),"גבר")</f>
        <v>גבר</v>
      </c>
      <c r="F764" s="5" t="str">
        <f>IFERROR(__xludf.DUMMYFUNCTION("""COMPUTED_VALUE"""),"צה""ל")</f>
        <v>צה"ל</v>
      </c>
      <c r="G764" s="5" t="str">
        <f>IFERROR(__xludf.DUMMYFUNCTION("""COMPUTED_VALUE"""),"סמ״ר")</f>
        <v>סמ״ר</v>
      </c>
      <c r="H764" s="3" t="str">
        <f>IFERROR(__xludf.DUMMYFUNCTION("""COMPUTED_VALUE"""),"07.10.2023")</f>
        <v>07.10.2023</v>
      </c>
      <c r="I764" s="2" t="str">
        <f>IFERROR(__xludf.DUMMYFUNCTION("""COMPUTED_VALUE"""),"מוצב פגה")</f>
        <v>מוצב פגה</v>
      </c>
      <c r="J764" s="4" t="str">
        <f>IFERROR(__xludf.DUMMYFUNCTION("""COMPUTED_VALUE"""),"חיילים")</f>
        <v>חיילים</v>
      </c>
      <c r="K764" s="5"/>
      <c r="L764" s="3" t="str">
        <f>IFERROR(__xludf.DUMMYFUNCTION("""COMPUTED_VALUE"""),"Tomer Barak")</f>
        <v>Tomer Barak</v>
      </c>
      <c r="M764" s="5"/>
    </row>
    <row r="765">
      <c r="A765" s="3">
        <f>IFERROR(__xludf.DUMMYFUNCTION("""COMPUTED_VALUE"""),1709.0)</f>
        <v>1709</v>
      </c>
      <c r="B765" s="4" t="str">
        <f>IFERROR(__xludf.DUMMYFUNCTION("""COMPUTED_VALUE"""),"גאורי אדיר")</f>
        <v>גאורי אדיר</v>
      </c>
      <c r="C765" s="3">
        <f>IFERROR(__xludf.DUMMYFUNCTION("""COMPUTED_VALUE"""),20.0)</f>
        <v>20</v>
      </c>
      <c r="D765" s="5" t="str">
        <f>IFERROR(__xludf.DUMMYFUNCTION("""COMPUTED_VALUE"""),"ירושלים")</f>
        <v>ירושלים</v>
      </c>
      <c r="E765" s="5" t="str">
        <f>IFERROR(__xludf.DUMMYFUNCTION("""COMPUTED_VALUE"""),"גבר")</f>
        <v>גבר</v>
      </c>
      <c r="F765" s="5" t="str">
        <f>IFERROR(__xludf.DUMMYFUNCTION("""COMPUTED_VALUE"""),"צה""ל")</f>
        <v>צה"ל</v>
      </c>
      <c r="G765" s="5" t="str">
        <f>IFERROR(__xludf.DUMMYFUNCTION("""COMPUTED_VALUE"""),"סגן")</f>
        <v>סגן</v>
      </c>
      <c r="H765" s="3" t="str">
        <f>IFERROR(__xludf.DUMMYFUNCTION("""COMPUTED_VALUE"""),"07.10.2023")</f>
        <v>07.10.2023</v>
      </c>
      <c r="I765" s="4" t="str">
        <f>IFERROR(__xludf.DUMMYFUNCTION("""COMPUTED_VALUE"""),"רעים")</f>
        <v>רעים</v>
      </c>
      <c r="J765" s="4" t="str">
        <f>IFERROR(__xludf.DUMMYFUNCTION("""COMPUTED_VALUE"""),"חיילים")</f>
        <v>חיילים</v>
      </c>
      <c r="K765" s="5"/>
      <c r="L765" s="3" t="str">
        <f>IFERROR(__xludf.DUMMYFUNCTION("""COMPUTED_VALUE"""),"Adir Gaori")</f>
        <v>Adir Gaori</v>
      </c>
    </row>
    <row r="766">
      <c r="A766" s="3">
        <f>IFERROR(__xludf.DUMMYFUNCTION("""COMPUTED_VALUE"""),226.0)</f>
        <v>226</v>
      </c>
      <c r="B766" s="4" t="str">
        <f>IFERROR(__xludf.DUMMYFUNCTION("""COMPUTED_VALUE"""),"גבאי יובל")</f>
        <v>גבאי יובל</v>
      </c>
      <c r="C766" s="3">
        <f>IFERROR(__xludf.DUMMYFUNCTION("""COMPUTED_VALUE"""),35.0)</f>
        <v>35</v>
      </c>
      <c r="D766" s="5" t="str">
        <f>IFERROR(__xludf.DUMMYFUNCTION("""COMPUTED_VALUE"""),"רחובות")</f>
        <v>רחובות</v>
      </c>
      <c r="E766" s="5" t="str">
        <f>IFERROR(__xludf.DUMMYFUNCTION("""COMPUTED_VALUE"""),"גבר")</f>
        <v>גבר</v>
      </c>
      <c r="F766" s="5" t="str">
        <f>IFERROR(__xludf.DUMMYFUNCTION("""COMPUTED_VALUE"""),"צה""ל (מיל')")</f>
        <v>צה"ל (מיל')</v>
      </c>
      <c r="G766" s="5" t="str">
        <f>IFERROR(__xludf.DUMMYFUNCTION("""COMPUTED_VALUE"""),"רס״ר")</f>
        <v>רס״ר</v>
      </c>
      <c r="H766" s="3" t="str">
        <f>IFERROR(__xludf.DUMMYFUNCTION("""COMPUTED_VALUE"""),"07.10.2023")</f>
        <v>07.10.2023</v>
      </c>
      <c r="I766" s="4" t="str">
        <f>IFERROR(__xludf.DUMMYFUNCTION("""COMPUTED_VALUE"""),"מזרחית למחנה עופר")</f>
        <v>מזרחית למחנה עופר</v>
      </c>
      <c r="J766" s="4" t="str">
        <f>IFERROR(__xludf.DUMMYFUNCTION("""COMPUTED_VALUE"""),"חיילים")</f>
        <v>חיילים</v>
      </c>
      <c r="K766" s="5"/>
      <c r="L766" s="3" t="str">
        <f>IFERROR(__xludf.DUMMYFUNCTION("""COMPUTED_VALUE"""),"Yuval Gabay")</f>
        <v>Yuval Gabay</v>
      </c>
      <c r="M766" s="5"/>
    </row>
    <row r="767">
      <c r="A767" s="3">
        <f>IFERROR(__xludf.DUMMYFUNCTION("""COMPUTED_VALUE"""),2008.0)</f>
        <v>2008</v>
      </c>
      <c r="B767" s="4" t="str">
        <f>IFERROR(__xludf.DUMMYFUNCTION("""COMPUTED_VALUE"""),"גברה עומר")</f>
        <v>גברה עומר</v>
      </c>
      <c r="C767" s="3">
        <f>IFERROR(__xludf.DUMMYFUNCTION("""COMPUTED_VALUE"""),26.0)</f>
        <v>26</v>
      </c>
      <c r="D767" s="5" t="str">
        <f>IFERROR(__xludf.DUMMYFUNCTION("""COMPUTED_VALUE"""),"גן יבנה")</f>
        <v>גן יבנה</v>
      </c>
      <c r="E767" s="5" t="str">
        <f>IFERROR(__xludf.DUMMYFUNCTION("""COMPUTED_VALUE"""),"גבר")</f>
        <v>גבר</v>
      </c>
      <c r="F767" s="5" t="str">
        <f>IFERROR(__xludf.DUMMYFUNCTION("""COMPUTED_VALUE"""),"שב""כ")</f>
        <v>שב"כ</v>
      </c>
      <c r="G767" s="5"/>
      <c r="H767" s="3" t="str">
        <f>IFERROR(__xludf.DUMMYFUNCTION("""COMPUTED_VALUE"""),"07.10.2023")</f>
        <v>07.10.2023</v>
      </c>
      <c r="I767" s="4" t="str">
        <f>IFERROR(__xludf.DUMMYFUNCTION("""COMPUTED_VALUE"""),"צומת שדרות דרום")</f>
        <v>צומת שדרות דרום</v>
      </c>
      <c r="J767" s="4" t="str">
        <f>IFERROR(__xludf.DUMMYFUNCTION("""COMPUTED_VALUE"""),"שוטרים וכוחות הצלה")</f>
        <v>שוטרים וכוחות הצלה</v>
      </c>
      <c r="K767" s="5"/>
      <c r="L767" s="3" t="str">
        <f>IFERROR(__xludf.DUMMYFUNCTION("""COMPUTED_VALUE"""),"Omer Gavra")</f>
        <v>Omer Gavra</v>
      </c>
      <c r="M767" s="5"/>
    </row>
    <row r="768">
      <c r="A768" s="3">
        <f>IFERROR(__xludf.DUMMYFUNCTION("""COMPUTED_VALUE"""),260.0)</f>
        <v>260</v>
      </c>
      <c r="B768" s="4" t="str">
        <f>IFERROR(__xludf.DUMMYFUNCTION("""COMPUTED_VALUE"""),"גדליה יוסף מלאכי")</f>
        <v>גדליה יוסף מלאכי</v>
      </c>
      <c r="C768" s="3">
        <f>IFERROR(__xludf.DUMMYFUNCTION("""COMPUTED_VALUE"""),22.0)</f>
        <v>22</v>
      </c>
      <c r="D768" s="5" t="str">
        <f>IFERROR(__xludf.DUMMYFUNCTION("""COMPUTED_VALUE"""),"ירושלים")</f>
        <v>ירושלים</v>
      </c>
      <c r="E768" s="5" t="str">
        <f>IFERROR(__xludf.DUMMYFUNCTION("""COMPUTED_VALUE"""),"גבר")</f>
        <v>גבר</v>
      </c>
      <c r="F768" s="5" t="str">
        <f>IFERROR(__xludf.DUMMYFUNCTION("""COMPUTED_VALUE"""),"צה""ל")</f>
        <v>צה"ל</v>
      </c>
      <c r="G768" s="5" t="str">
        <f>IFERROR(__xludf.DUMMYFUNCTION("""COMPUTED_VALUE"""),"רס״ל")</f>
        <v>רס״ל</v>
      </c>
      <c r="H768" s="3" t="str">
        <f>IFERROR(__xludf.DUMMYFUNCTION("""COMPUTED_VALUE"""),"07.10.2023")</f>
        <v>07.10.2023</v>
      </c>
      <c r="I768" s="4" t="str">
        <f>IFERROR(__xludf.DUMMYFUNCTION("""COMPUTED_VALUE"""),"כפר עזה")</f>
        <v>כפר עזה</v>
      </c>
      <c r="J768" s="4" t="str">
        <f>IFERROR(__xludf.DUMMYFUNCTION("""COMPUTED_VALUE"""),"חיילים")</f>
        <v>חיילים</v>
      </c>
      <c r="K768" s="5"/>
      <c r="L768" s="3" t="str">
        <f>IFERROR(__xludf.DUMMYFUNCTION("""COMPUTED_VALUE"""),"Yosef Malachi Guedalia")</f>
        <v>Yosef Malachi Guedalia</v>
      </c>
      <c r="M768" s="5"/>
    </row>
    <row r="769">
      <c r="A769" s="3">
        <f>IFERROR(__xludf.DUMMYFUNCTION("""COMPUTED_VALUE"""),230.0)</f>
        <v>230</v>
      </c>
      <c r="B769" s="4" t="str">
        <f>IFERROR(__xludf.DUMMYFUNCTION("""COMPUTED_VALUE"""),"גואטה עמית")</f>
        <v>גואטה עמית</v>
      </c>
      <c r="C769" s="3">
        <f>IFERROR(__xludf.DUMMYFUNCTION("""COMPUTED_VALUE"""),21.0)</f>
        <v>21</v>
      </c>
      <c r="D769" s="5" t="str">
        <f>IFERROR(__xludf.DUMMYFUNCTION("""COMPUTED_VALUE"""),"רחובות")</f>
        <v>רחובות</v>
      </c>
      <c r="E769" s="5" t="str">
        <f>IFERROR(__xludf.DUMMYFUNCTION("""COMPUTED_VALUE"""),"גבר")</f>
        <v>גבר</v>
      </c>
      <c r="F769" s="5" t="str">
        <f>IFERROR(__xludf.DUMMYFUNCTION("""COMPUTED_VALUE"""),"צה""ל")</f>
        <v>צה"ל</v>
      </c>
      <c r="G769" s="5" t="str">
        <f>IFERROR(__xludf.DUMMYFUNCTION("""COMPUTED_VALUE"""),"סמל")</f>
        <v>סמל</v>
      </c>
      <c r="H769" s="3" t="str">
        <f>IFERROR(__xludf.DUMMYFUNCTION("""COMPUTED_VALUE"""),"07.10.2023")</f>
        <v>07.10.2023</v>
      </c>
      <c r="I769" s="4" t="str">
        <f>IFERROR(__xludf.DUMMYFUNCTION("""COMPUTED_VALUE"""),"צומת שער הנגב")</f>
        <v>צומת שער הנגב</v>
      </c>
      <c r="J769" s="4" t="str">
        <f>IFERROR(__xludf.DUMMYFUNCTION("""COMPUTED_VALUE"""),"חיילים")</f>
        <v>חיילים</v>
      </c>
      <c r="K769" s="5"/>
      <c r="L769" s="3" t="str">
        <f>IFERROR(__xludf.DUMMYFUNCTION("""COMPUTED_VALUE"""),"Amit Gueta")</f>
        <v>Amit Gueta</v>
      </c>
      <c r="M769" s="5"/>
    </row>
    <row r="770">
      <c r="A770" s="3">
        <f>IFERROR(__xludf.DUMMYFUNCTION("""COMPUTED_VALUE"""),487.0)</f>
        <v>487</v>
      </c>
      <c r="B770" s="4" t="str">
        <f>IFERROR(__xludf.DUMMYFUNCTION("""COMPUTED_VALUE"""),"גליסקו איתי אופק")</f>
        <v>גליסקו איתי אופק</v>
      </c>
      <c r="C770" s="3">
        <f>IFERROR(__xludf.DUMMYFUNCTION("""COMPUTED_VALUE"""),20.0)</f>
        <v>20</v>
      </c>
      <c r="D770" s="5" t="str">
        <f>IFERROR(__xludf.DUMMYFUNCTION("""COMPUTED_VALUE"""),"יקנעם עילית")</f>
        <v>יקנעם עילית</v>
      </c>
      <c r="E770" s="5" t="str">
        <f>IFERROR(__xludf.DUMMYFUNCTION("""COMPUTED_VALUE"""),"גבר")</f>
        <v>גבר</v>
      </c>
      <c r="F770" s="5" t="str">
        <f>IFERROR(__xludf.DUMMYFUNCTION("""COMPUTED_VALUE"""),"צה""ל")</f>
        <v>צה"ל</v>
      </c>
      <c r="G770" s="5" t="str">
        <f>IFERROR(__xludf.DUMMYFUNCTION("""COMPUTED_VALUE"""),"סמ״ר")</f>
        <v>סמ״ר</v>
      </c>
      <c r="H770" s="3" t="str">
        <f>IFERROR(__xludf.DUMMYFUNCTION("""COMPUTED_VALUE"""),"07.10.2023")</f>
        <v>07.10.2023</v>
      </c>
      <c r="I770" s="2" t="str">
        <f>IFERROR(__xludf.DUMMYFUNCTION("""COMPUTED_VALUE"""),"מוצב פגה")</f>
        <v>מוצב פגה</v>
      </c>
      <c r="J770" s="4" t="str">
        <f>IFERROR(__xludf.DUMMYFUNCTION("""COMPUTED_VALUE"""),"חיילים")</f>
        <v>חיילים</v>
      </c>
      <c r="K770" s="5"/>
      <c r="L770" s="3" t="str">
        <f>IFERROR(__xludf.DUMMYFUNCTION("""COMPUTED_VALUE"""),"Itay Ofek Glisko")</f>
        <v>Itay Ofek Glisko</v>
      </c>
      <c r="M770" s="5"/>
    </row>
    <row r="771">
      <c r="A771" s="3">
        <f>IFERROR(__xludf.DUMMYFUNCTION("""COMPUTED_VALUE"""),228.0)</f>
        <v>228</v>
      </c>
      <c r="B771" s="4" t="str">
        <f>IFERROR(__xludf.DUMMYFUNCTION("""COMPUTED_VALUE"""),"גמזו אילי")</f>
        <v>גמזו אילי</v>
      </c>
      <c r="C771" s="3">
        <f>IFERROR(__xludf.DUMMYFUNCTION("""COMPUTED_VALUE"""),20.0)</f>
        <v>20</v>
      </c>
      <c r="D771" s="5" t="str">
        <f>IFERROR(__xludf.DUMMYFUNCTION("""COMPUTED_VALUE"""),"אשדוד")</f>
        <v>אשדוד</v>
      </c>
      <c r="E771" s="5" t="str">
        <f>IFERROR(__xludf.DUMMYFUNCTION("""COMPUTED_VALUE"""),"גבר")</f>
        <v>גבר</v>
      </c>
      <c r="F771" s="5" t="str">
        <f>IFERROR(__xludf.DUMMYFUNCTION("""COMPUTED_VALUE"""),"צה""ל")</f>
        <v>צה"ל</v>
      </c>
      <c r="G771" s="5" t="str">
        <f>IFERROR(__xludf.DUMMYFUNCTION("""COMPUTED_VALUE"""),"סמ״ר")</f>
        <v>סמ״ר</v>
      </c>
      <c r="H771" s="3" t="str">
        <f>IFERROR(__xludf.DUMMYFUNCTION("""COMPUTED_VALUE"""),"07.10.2023")</f>
        <v>07.10.2023</v>
      </c>
      <c r="I771" s="4" t="str">
        <f>IFERROR(__xludf.DUMMYFUNCTION("""COMPUTED_VALUE"""),"יד מרדכי - נתיב העשרה; קבוצת ריצה")</f>
        <v>יד מרדכי - נתיב העשרה; קבוצת ריצה</v>
      </c>
      <c r="J771" s="4" t="str">
        <f>IFERROR(__xludf.DUMMYFUNCTION("""COMPUTED_VALUE"""),"חיילים")</f>
        <v>חיילים</v>
      </c>
      <c r="K771" s="5"/>
      <c r="L771" s="3" t="str">
        <f>IFERROR(__xludf.DUMMYFUNCTION("""COMPUTED_VALUE"""),"ilay Gamzo")</f>
        <v>ilay Gamzo</v>
      </c>
    </row>
    <row r="772">
      <c r="A772" s="3">
        <f>IFERROR(__xludf.DUMMYFUNCTION("""COMPUTED_VALUE"""),669.0)</f>
        <v>669</v>
      </c>
      <c r="B772" s="4" t="str">
        <f>IFERROR(__xludf.DUMMYFUNCTION("""COMPUTED_VALUE"""),"דגן שלו")</f>
        <v>דגן שלו</v>
      </c>
      <c r="C772" s="3">
        <f>IFERROR(__xludf.DUMMYFUNCTION("""COMPUTED_VALUE"""),20.0)</f>
        <v>20</v>
      </c>
      <c r="D772" s="5" t="str">
        <f>IFERROR(__xludf.DUMMYFUNCTION("""COMPUTED_VALUE"""),"קריית ים")</f>
        <v>קריית ים</v>
      </c>
      <c r="E772" s="5" t="str">
        <f>IFERROR(__xludf.DUMMYFUNCTION("""COMPUTED_VALUE"""),"גבר")</f>
        <v>גבר</v>
      </c>
      <c r="F772" s="5" t="str">
        <f>IFERROR(__xludf.DUMMYFUNCTION("""COMPUTED_VALUE"""),"צה""ל")</f>
        <v>צה"ל</v>
      </c>
      <c r="G772" s="5" t="str">
        <f>IFERROR(__xludf.DUMMYFUNCTION("""COMPUTED_VALUE"""),"סמ״ר")</f>
        <v>סמ״ר</v>
      </c>
      <c r="H772" s="3" t="str">
        <f>IFERROR(__xludf.DUMMYFUNCTION("""COMPUTED_VALUE"""),"07.10.2023")</f>
        <v>07.10.2023</v>
      </c>
      <c r="I772" s="4" t="str">
        <f>IFERROR(__xludf.DUMMYFUNCTION("""COMPUTED_VALUE"""),"מוצב הבית הלבן")</f>
        <v>מוצב הבית הלבן</v>
      </c>
      <c r="J772" s="4" t="str">
        <f>IFERROR(__xludf.DUMMYFUNCTION("""COMPUTED_VALUE"""),"חיילים")</f>
        <v>חיילים</v>
      </c>
      <c r="K772" s="5"/>
      <c r="L772" s="3" t="str">
        <f>IFERROR(__xludf.DUMMYFUNCTION("""COMPUTED_VALUE"""),"Shalev Dagan")</f>
        <v>Shalev Dagan</v>
      </c>
      <c r="M772" s="5"/>
    </row>
    <row r="773">
      <c r="A773" s="3">
        <f>IFERROR(__xludf.DUMMYFUNCTION("""COMPUTED_VALUE"""),1666.0)</f>
        <v>1666</v>
      </c>
      <c r="B773" s="4" t="str">
        <f>IFERROR(__xludf.DUMMYFUNCTION("""COMPUTED_VALUE"""),"דהן שקד")</f>
        <v>דהן שקד</v>
      </c>
      <c r="C773" s="3">
        <f>IFERROR(__xludf.DUMMYFUNCTION("""COMPUTED_VALUE"""),19.0)</f>
        <v>19</v>
      </c>
      <c r="D773" s="5" t="str">
        <f>IFERROR(__xludf.DUMMYFUNCTION("""COMPUTED_VALUE"""),"עפולה")</f>
        <v>עפולה</v>
      </c>
      <c r="E773" s="5" t="str">
        <f>IFERROR(__xludf.DUMMYFUNCTION("""COMPUTED_VALUE"""),"גבר")</f>
        <v>גבר</v>
      </c>
      <c r="F773" s="5" t="str">
        <f>IFERROR(__xludf.DUMMYFUNCTION("""COMPUTED_VALUE"""),"צה""ל")</f>
        <v>צה"ל</v>
      </c>
      <c r="G773" s="5" t="str">
        <f>IFERROR(__xludf.DUMMYFUNCTION("""COMPUTED_VALUE"""),"סמל")</f>
        <v>סמל</v>
      </c>
      <c r="H773" s="3" t="str">
        <f>IFERROR(__xludf.DUMMYFUNCTION("""COMPUTED_VALUE"""),"07.10.2023")</f>
        <v>07.10.2023</v>
      </c>
      <c r="I773" s="4" t="str">
        <f>IFERROR(__xludf.DUMMYFUNCTION("""COMPUTED_VALUE"""),"בין ניר עוז לגבול")</f>
        <v>בין ניר עוז לגבול</v>
      </c>
      <c r="J773" s="4" t="str">
        <f>IFERROR(__xludf.DUMMYFUNCTION("""COMPUTED_VALUE"""),"חיילים")</f>
        <v>חיילים</v>
      </c>
      <c r="K773" s="5"/>
      <c r="L773" s="3" t="str">
        <f>IFERROR(__xludf.DUMMYFUNCTION("""COMPUTED_VALUE"""),"Shaked Dahan")</f>
        <v>Shaked Dahan</v>
      </c>
      <c r="M773" s="5"/>
    </row>
    <row r="774">
      <c r="A774" s="3">
        <f>IFERROR(__xludf.DUMMYFUNCTION("""COMPUTED_VALUE"""),1498.0)</f>
        <v>1498</v>
      </c>
      <c r="B774" s="4" t="str">
        <f>IFERROR(__xludf.DUMMYFUNCTION("""COMPUTED_VALUE"""),"דוידוביץ׳ שלומי")</f>
        <v>דוידוביץ׳ שלומי</v>
      </c>
      <c r="C774" s="3">
        <f>IFERROR(__xludf.DUMMYFUNCTION("""COMPUTED_VALUE"""),50.0)</f>
        <v>50</v>
      </c>
      <c r="D774" s="5" t="str">
        <f>IFERROR(__xludf.DUMMYFUNCTION("""COMPUTED_VALUE"""),"גבים")</f>
        <v>גבים</v>
      </c>
      <c r="E774" s="5" t="str">
        <f>IFERROR(__xludf.DUMMYFUNCTION("""COMPUTED_VALUE"""),"גבר")</f>
        <v>גבר</v>
      </c>
      <c r="F774" s="5" t="str">
        <f>IFERROR(__xludf.DUMMYFUNCTION("""COMPUTED_VALUE"""),"אזרחים")</f>
        <v>אזרחים</v>
      </c>
      <c r="G774" s="5"/>
      <c r="H774" s="3" t="str">
        <f>IFERROR(__xludf.DUMMYFUNCTION("""COMPUTED_VALUE"""),"07.10.2023")</f>
        <v>07.10.2023</v>
      </c>
      <c r="I774" s="4" t="str">
        <f>IFERROR(__xludf.DUMMYFUNCTION("""COMPUTED_VALUE"""),"מיגונית מפלסים")</f>
        <v>מיגונית מפלסים</v>
      </c>
      <c r="J774" s="4" t="str">
        <f>IFERROR(__xludf.DUMMYFUNCTION("""COMPUTED_VALUE"""),"אזרחים וכיתות כוננות")</f>
        <v>אזרחים וכיתות כוננות</v>
      </c>
      <c r="K774" s="5"/>
      <c r="L774" s="3" t="str">
        <f>IFERROR(__xludf.DUMMYFUNCTION("""COMPUTED_VALUE"""),"Shlomi Davidovich")</f>
        <v>Shlomi Davidovich</v>
      </c>
      <c r="M774" s="5"/>
    </row>
    <row r="775">
      <c r="A775" s="3">
        <f>IFERROR(__xludf.DUMMYFUNCTION("""COMPUTED_VALUE"""),1185.0)</f>
        <v>1185</v>
      </c>
      <c r="B775" s="4" t="str">
        <f>IFERROR(__xludf.DUMMYFUNCTION("""COMPUTED_VALUE"""),"דיין ירון מוריס")</f>
        <v>דיין ירון מוריס</v>
      </c>
      <c r="C775" s="3">
        <f>IFERROR(__xludf.DUMMYFUNCTION("""COMPUTED_VALUE"""),52.0)</f>
        <v>52</v>
      </c>
      <c r="D775" s="5" t="str">
        <f>IFERROR(__xludf.DUMMYFUNCTION("""COMPUTED_VALUE"""),"קריית גת")</f>
        <v>קריית גת</v>
      </c>
      <c r="E775" s="5" t="str">
        <f>IFERROR(__xludf.DUMMYFUNCTION("""COMPUTED_VALUE"""),"גבר")</f>
        <v>גבר</v>
      </c>
      <c r="F775" s="5" t="str">
        <f>IFERROR(__xludf.DUMMYFUNCTION("""COMPUTED_VALUE"""),"משטרה")</f>
        <v>משטרה</v>
      </c>
      <c r="G775" s="5" t="str">
        <f>IFERROR(__xludf.DUMMYFUNCTION("""COMPUTED_VALUE"""),"רנ״ג")</f>
        <v>רנ״ג</v>
      </c>
      <c r="H775" s="3" t="str">
        <f>IFERROR(__xludf.DUMMYFUNCTION("""COMPUTED_VALUE"""),"07.10.2023")</f>
        <v>07.10.2023</v>
      </c>
      <c r="I775" s="4" t="str">
        <f>IFERROR(__xludf.DUMMYFUNCTION("""COMPUTED_VALUE"""),"שדרות; תחנת משטרה")</f>
        <v>שדרות; תחנת משטרה</v>
      </c>
      <c r="J775" s="4" t="str">
        <f>IFERROR(__xludf.DUMMYFUNCTION("""COMPUTED_VALUE"""),"שוטרים וכוחות הצלה")</f>
        <v>שוטרים וכוחות הצלה</v>
      </c>
      <c r="K775" s="5"/>
      <c r="L775" s="3" t="str">
        <f>IFERROR(__xludf.DUMMYFUNCTION("""COMPUTED_VALUE"""),"Yaron Dayan Moris")</f>
        <v>Yaron Dayan Moris</v>
      </c>
      <c r="M775" s="5"/>
    </row>
    <row r="776">
      <c r="A776" s="3">
        <f>IFERROR(__xludf.DUMMYFUNCTION("""COMPUTED_VALUE"""),247.0)</f>
        <v>247</v>
      </c>
      <c r="B776" s="4" t="str">
        <f>IFERROR(__xludf.DUMMYFUNCTION("""COMPUTED_VALUE"""),"וולף עומר")</f>
        <v>וולף עומר</v>
      </c>
      <c r="C776" s="3">
        <f>IFERROR(__xludf.DUMMYFUNCTION("""COMPUTED_VALUE"""),22.0)</f>
        <v>22</v>
      </c>
      <c r="D776" s="5" t="str">
        <f>IFERROR(__xludf.DUMMYFUNCTION("""COMPUTED_VALUE"""),"גבעת חיים איחוד")</f>
        <v>גבעת חיים איחוד</v>
      </c>
      <c r="E776" s="5" t="str">
        <f>IFERROR(__xludf.DUMMYFUNCTION("""COMPUTED_VALUE"""),"גבר")</f>
        <v>גבר</v>
      </c>
      <c r="F776" s="5" t="str">
        <f>IFERROR(__xludf.DUMMYFUNCTION("""COMPUTED_VALUE"""),"צה""ל")</f>
        <v>צה"ל</v>
      </c>
      <c r="G776" s="5" t="str">
        <f>IFERROR(__xludf.DUMMYFUNCTION("""COMPUTED_VALUE"""),"סרן")</f>
        <v>סרן</v>
      </c>
      <c r="H776" s="3" t="str">
        <f>IFERROR(__xludf.DUMMYFUNCTION("""COMPUTED_VALUE"""),"07.10.2023")</f>
        <v>07.10.2023</v>
      </c>
      <c r="I776" s="4" t="str">
        <f>IFERROR(__xludf.DUMMYFUNCTION("""COMPUTED_VALUE"""),"מוצב הבית הלבן")</f>
        <v>מוצב הבית הלבן</v>
      </c>
      <c r="J776" s="4" t="str">
        <f>IFERROR(__xludf.DUMMYFUNCTION("""COMPUTED_VALUE"""),"חיילים")</f>
        <v>חיילים</v>
      </c>
      <c r="K776" s="5"/>
      <c r="L776" s="3" t="str">
        <f>IFERROR(__xludf.DUMMYFUNCTION("""COMPUTED_VALUE"""),"Omer Wolf")</f>
        <v>Omer Wolf</v>
      </c>
      <c r="M776" s="5"/>
    </row>
    <row r="777">
      <c r="A777" s="3">
        <f>IFERROR(__xludf.DUMMYFUNCTION("""COMPUTED_VALUE"""),253.0)</f>
        <v>253</v>
      </c>
      <c r="B777" s="4" t="str">
        <f>IFERROR(__xludf.DUMMYFUNCTION("""COMPUTED_VALUE"""),"זוהר ירון")</f>
        <v>זוהר ירון</v>
      </c>
      <c r="C777" s="3">
        <f>IFERROR(__xludf.DUMMYFUNCTION("""COMPUTED_VALUE"""),19.0)</f>
        <v>19</v>
      </c>
      <c r="D777" s="5" t="str">
        <f>IFERROR(__xludf.DUMMYFUNCTION("""COMPUTED_VALUE"""),"קריית אתא")</f>
        <v>קריית אתא</v>
      </c>
      <c r="E777" s="5" t="str">
        <f>IFERROR(__xludf.DUMMYFUNCTION("""COMPUTED_VALUE"""),"גבר")</f>
        <v>גבר</v>
      </c>
      <c r="F777" s="5" t="str">
        <f>IFERROR(__xludf.DUMMYFUNCTION("""COMPUTED_VALUE"""),"צה""ל")</f>
        <v>צה"ל</v>
      </c>
      <c r="G777" s="5" t="str">
        <f>IFERROR(__xludf.DUMMYFUNCTION("""COMPUTED_VALUE"""),"סמל")</f>
        <v>סמל</v>
      </c>
      <c r="H777" s="3" t="str">
        <f>IFERROR(__xludf.DUMMYFUNCTION("""COMPUTED_VALUE"""),"07.10.2023")</f>
        <v>07.10.2023</v>
      </c>
      <c r="I777" s="4" t="str">
        <f>IFERROR(__xludf.DUMMYFUNCTION("""COMPUTED_VALUE"""),"מוצב ק2")</f>
        <v>מוצב ק2</v>
      </c>
      <c r="J777" s="4" t="str">
        <f>IFERROR(__xludf.DUMMYFUNCTION("""COMPUTED_VALUE"""),"חיילים")</f>
        <v>חיילים</v>
      </c>
      <c r="K777" s="5"/>
      <c r="L777" s="3" t="str">
        <f>IFERROR(__xludf.DUMMYFUNCTION("""COMPUTED_VALUE"""),"Yaron Zohar")</f>
        <v>Yaron Zohar</v>
      </c>
      <c r="M777" s="5"/>
    </row>
    <row r="778">
      <c r="A778" s="3">
        <f>IFERROR(__xludf.DUMMYFUNCTION("""COMPUTED_VALUE"""),1582.0)</f>
        <v>1582</v>
      </c>
      <c r="B778" s="4" t="str">
        <f>IFERROR(__xludf.DUMMYFUNCTION("""COMPUTED_VALUE"""),"זכאי דביר")</f>
        <v>זכאי דביר</v>
      </c>
      <c r="C778" s="3">
        <f>IFERROR(__xludf.DUMMYFUNCTION("""COMPUTED_VALUE"""),20.0)</f>
        <v>20</v>
      </c>
      <c r="D778" s="5" t="str">
        <f>IFERROR(__xludf.DUMMYFUNCTION("""COMPUTED_VALUE"""),"טבריה")</f>
        <v>טבריה</v>
      </c>
      <c r="E778" s="5" t="str">
        <f>IFERROR(__xludf.DUMMYFUNCTION("""COMPUTED_VALUE"""),"גבר")</f>
        <v>גבר</v>
      </c>
      <c r="F778" s="5" t="str">
        <f>IFERROR(__xludf.DUMMYFUNCTION("""COMPUTED_VALUE"""),"צה""ל")</f>
        <v>צה"ל</v>
      </c>
      <c r="G778" s="5" t="str">
        <f>IFERROR(__xludf.DUMMYFUNCTION("""COMPUTED_VALUE"""),"סמ״ר")</f>
        <v>סמ״ר</v>
      </c>
      <c r="H778" s="3" t="str">
        <f>IFERROR(__xludf.DUMMYFUNCTION("""COMPUTED_VALUE"""),"07.10.2023")</f>
        <v>07.10.2023</v>
      </c>
      <c r="I778" s="4" t="str">
        <f>IFERROR(__xludf.DUMMYFUNCTION("""COMPUTED_VALUE"""),"מוצב נחל עוז; נמ""ר")</f>
        <v>מוצב נחל עוז; נמ"ר</v>
      </c>
      <c r="J778" s="4" t="str">
        <f>IFERROR(__xludf.DUMMYFUNCTION("""COMPUTED_VALUE"""),"חיילים")</f>
        <v>חיילים</v>
      </c>
      <c r="K778" s="5"/>
      <c r="L778" s="3" t="str">
        <f>IFERROR(__xludf.DUMMYFUNCTION("""COMPUTED_VALUE"""),"Dvir Zakai")</f>
        <v>Dvir Zakai</v>
      </c>
      <c r="M778" s="5"/>
    </row>
    <row r="779">
      <c r="A779" s="3">
        <f>IFERROR(__xludf.DUMMYFUNCTION("""COMPUTED_VALUE"""),234.0)</f>
        <v>234</v>
      </c>
      <c r="B779" s="4" t="str">
        <f>IFERROR(__xludf.DUMMYFUNCTION("""COMPUTED_VALUE"""),"חובלאשוילי אברהם")</f>
        <v>חובלאשוילי אברהם</v>
      </c>
      <c r="C779" s="3">
        <f>IFERROR(__xludf.DUMMYFUNCTION("""COMPUTED_VALUE"""),26.0)</f>
        <v>26</v>
      </c>
      <c r="D779" s="5" t="str">
        <f>IFERROR(__xludf.DUMMYFUNCTION("""COMPUTED_VALUE"""),"אשדוד")</f>
        <v>אשדוד</v>
      </c>
      <c r="E779" s="5" t="str">
        <f>IFERROR(__xludf.DUMMYFUNCTION("""COMPUTED_VALUE"""),"גבר")</f>
        <v>גבר</v>
      </c>
      <c r="F779" s="5" t="str">
        <f>IFERROR(__xludf.DUMMYFUNCTION("""COMPUTED_VALUE"""),"צה""ל")</f>
        <v>צה"ל</v>
      </c>
      <c r="G779" s="5" t="str">
        <f>IFERROR(__xludf.DUMMYFUNCTION("""COMPUTED_VALUE"""),"רס״ן")</f>
        <v>רס״ן</v>
      </c>
      <c r="H779" s="3" t="str">
        <f>IFERROR(__xludf.DUMMYFUNCTION("""COMPUTED_VALUE"""),"07.10.2023")</f>
        <v>07.10.2023</v>
      </c>
      <c r="I779" s="4" t="str">
        <f>IFERROR(__xludf.DUMMYFUNCTION("""COMPUTED_VALUE"""),"פסטיבל נובה")</f>
        <v>פסטיבל נובה</v>
      </c>
      <c r="J779" s="4" t="str">
        <f>IFERROR(__xludf.DUMMYFUNCTION("""COMPUTED_VALUE"""),"חיילים")</f>
        <v>חיילים</v>
      </c>
      <c r="K779" s="5"/>
      <c r="L779" s="3" t="str">
        <f>IFERROR(__xludf.DUMMYFUNCTION("""COMPUTED_VALUE"""),"Avraham Hobelashvili")</f>
        <v>Avraham Hobelashvili</v>
      </c>
      <c r="M779" s="5"/>
    </row>
    <row r="780">
      <c r="A780" s="3">
        <f>IFERROR(__xludf.DUMMYFUNCTION("""COMPUTED_VALUE"""),1693.0)</f>
        <v>1693</v>
      </c>
      <c r="B780" s="4" t="str">
        <f>IFERROR(__xludf.DUMMYFUNCTION("""COMPUTED_VALUE"""),"טהר יוסף (יוסי)")</f>
        <v>טהר יוסף (יוסי)</v>
      </c>
      <c r="C780" s="3">
        <f>IFERROR(__xludf.DUMMYFUNCTION("""COMPUTED_VALUE"""),39.0)</f>
        <v>39</v>
      </c>
      <c r="D780" s="5" t="str">
        <f>IFERROR(__xludf.DUMMYFUNCTION("""COMPUTED_VALUE"""),"ביצרון")</f>
        <v>ביצרון</v>
      </c>
      <c r="E780" s="5" t="str">
        <f>IFERROR(__xludf.DUMMYFUNCTION("""COMPUTED_VALUE"""),"גבר")</f>
        <v>גבר</v>
      </c>
      <c r="F780" s="5" t="str">
        <f>IFERROR(__xludf.DUMMYFUNCTION("""COMPUTED_VALUE"""),"שב""כ")</f>
        <v>שב"כ</v>
      </c>
      <c r="G780" s="5"/>
      <c r="H780" s="3" t="str">
        <f>IFERROR(__xludf.DUMMYFUNCTION("""COMPUTED_VALUE"""),"07.10.2023")</f>
        <v>07.10.2023</v>
      </c>
      <c r="I780" s="4" t="str">
        <f>IFERROR(__xludf.DUMMYFUNCTION("""COMPUTED_VALUE"""),"סמוך למפלסים")</f>
        <v>סמוך למפלסים</v>
      </c>
      <c r="J780" s="4" t="str">
        <f>IFERROR(__xludf.DUMMYFUNCTION("""COMPUTED_VALUE"""),"שוטרים וכוחות הצלה")</f>
        <v>שוטרים וכוחות הצלה</v>
      </c>
      <c r="K780" s="5"/>
      <c r="L780" s="3" t="str">
        <f>IFERROR(__xludf.DUMMYFUNCTION("""COMPUTED_VALUE"""),"Yossi Tahar")</f>
        <v>Yossi Tahar</v>
      </c>
      <c r="M780" s="5"/>
    </row>
    <row r="781">
      <c r="A781" s="3">
        <f>IFERROR(__xludf.DUMMYFUNCTION("""COMPUTED_VALUE"""),496.0)</f>
        <v>496</v>
      </c>
      <c r="B781" s="4" t="str">
        <f>IFERROR(__xludf.DUMMYFUNCTION("""COMPUTED_VALUE"""),"יאנג נתנאל")</f>
        <v>יאנג נתנאל</v>
      </c>
      <c r="C781" s="3">
        <f>IFERROR(__xludf.DUMMYFUNCTION("""COMPUTED_VALUE"""),20.0)</f>
        <v>20</v>
      </c>
      <c r="D781" s="5" t="str">
        <f>IFERROR(__xludf.DUMMYFUNCTION("""COMPUTED_VALUE"""),"תל אביב")</f>
        <v>תל אביב</v>
      </c>
      <c r="E781" s="5" t="str">
        <f>IFERROR(__xludf.DUMMYFUNCTION("""COMPUTED_VALUE"""),"גבר")</f>
        <v>גבר</v>
      </c>
      <c r="F781" s="5" t="str">
        <f>IFERROR(__xludf.DUMMYFUNCTION("""COMPUTED_VALUE"""),"צה""ל")</f>
        <v>צה"ל</v>
      </c>
      <c r="G781" s="5" t="str">
        <f>IFERROR(__xludf.DUMMYFUNCTION("""COMPUTED_VALUE"""),"סמל")</f>
        <v>סמל</v>
      </c>
      <c r="H781" s="3" t="str">
        <f>IFERROR(__xludf.DUMMYFUNCTION("""COMPUTED_VALUE"""),"07.10.2023")</f>
        <v>07.10.2023</v>
      </c>
      <c r="I781" s="4" t="str">
        <f>IFERROR(__xludf.DUMMYFUNCTION("""COMPUTED_VALUE"""),"מעבר ארז")</f>
        <v>מעבר ארז</v>
      </c>
      <c r="J781" s="4" t="str">
        <f>IFERROR(__xludf.DUMMYFUNCTION("""COMPUTED_VALUE"""),"חיילים")</f>
        <v>חיילים</v>
      </c>
      <c r="K781" s="5"/>
      <c r="L781" s="3" t="str">
        <f>IFERROR(__xludf.DUMMYFUNCTION("""COMPUTED_VALUE"""),"Nethanel Young")</f>
        <v>Nethanel Young</v>
      </c>
      <c r="M781" s="5"/>
    </row>
    <row r="782">
      <c r="A782" s="3">
        <f>IFERROR(__xludf.DUMMYFUNCTION("""COMPUTED_VALUE"""),1306.0)</f>
        <v>1306</v>
      </c>
      <c r="B782" s="4" t="str">
        <f>IFERROR(__xludf.DUMMYFUNCTION("""COMPUTED_VALUE"""),"יואב מיכאל")</f>
        <v>יואב מיכאל</v>
      </c>
      <c r="C782" s="3">
        <f>IFERROR(__xludf.DUMMYFUNCTION("""COMPUTED_VALUE"""),46.0)</f>
        <v>46</v>
      </c>
      <c r="D782" s="5" t="str">
        <f>IFERROR(__xludf.DUMMYFUNCTION("""COMPUTED_VALUE"""),"גבעת זאב")</f>
        <v>גבעת זאב</v>
      </c>
      <c r="E782" s="5" t="str">
        <f>IFERROR(__xludf.DUMMYFUNCTION("""COMPUTED_VALUE"""),"גבר")</f>
        <v>גבר</v>
      </c>
      <c r="F782" s="5" t="str">
        <f>IFERROR(__xludf.DUMMYFUNCTION("""COMPUTED_VALUE"""),"אזרחים")</f>
        <v>אזרחים</v>
      </c>
      <c r="G782" s="5"/>
      <c r="H782" s="3" t="str">
        <f>IFERROR(__xludf.DUMMYFUNCTION("""COMPUTED_VALUE"""),"07.10.2023")</f>
        <v>07.10.2023</v>
      </c>
      <c r="I782" s="4" t="str">
        <f>IFERROR(__xludf.DUMMYFUNCTION("""COMPUTED_VALUE"""),"סמוך למפלסים")</f>
        <v>סמוך למפלסים</v>
      </c>
      <c r="J782" s="4" t="str">
        <f>IFERROR(__xludf.DUMMYFUNCTION("""COMPUTED_VALUE"""),"אזרחים וכיתות כוננות")</f>
        <v>אזרחים וכיתות כוננות</v>
      </c>
      <c r="K782" s="5" t="str">
        <f>IFERROR(__xludf.DUMMYFUNCTION("""COMPUTED_VALUE"""),"פסטיבל נובה")</f>
        <v>פסטיבל נובה</v>
      </c>
      <c r="L782" s="3" t="str">
        <f>IFERROR(__xludf.DUMMYFUNCTION("""COMPUTED_VALUE"""),"Michael Yoav")</f>
        <v>Michael Yoav</v>
      </c>
      <c r="M782" s="5"/>
    </row>
    <row r="783">
      <c r="A783" s="3">
        <f>IFERROR(__xludf.DUMMYFUNCTION("""COMPUTED_VALUE"""),227.0)</f>
        <v>227</v>
      </c>
      <c r="B783" s="4" t="str">
        <f>IFERROR(__xludf.DUMMYFUNCTION("""COMPUTED_VALUE"""),"יונה בנימין גבריאל")</f>
        <v>יונה בנימין גבריאל</v>
      </c>
      <c r="C783" s="3">
        <f>IFERROR(__xludf.DUMMYFUNCTION("""COMPUTED_VALUE"""),19.0)</f>
        <v>19</v>
      </c>
      <c r="D783" s="5" t="str">
        <f>IFERROR(__xludf.DUMMYFUNCTION("""COMPUTED_VALUE"""),"ירושלים")</f>
        <v>ירושלים</v>
      </c>
      <c r="E783" s="5" t="str">
        <f>IFERROR(__xludf.DUMMYFUNCTION("""COMPUTED_VALUE"""),"גבר")</f>
        <v>גבר</v>
      </c>
      <c r="F783" s="5" t="str">
        <f>IFERROR(__xludf.DUMMYFUNCTION("""COMPUTED_VALUE"""),"צה""ל")</f>
        <v>צה"ל</v>
      </c>
      <c r="G783" s="5" t="str">
        <f>IFERROR(__xludf.DUMMYFUNCTION("""COMPUTED_VALUE"""),"סמל")</f>
        <v>סמל</v>
      </c>
      <c r="H783" s="3" t="str">
        <f>IFERROR(__xludf.DUMMYFUNCTION("""COMPUTED_VALUE"""),"07.10.2023")</f>
        <v>07.10.2023</v>
      </c>
      <c r="I783" s="4" t="str">
        <f>IFERROR(__xludf.DUMMYFUNCTION("""COMPUTED_VALUE"""),"סמוך לצומת רעים")</f>
        <v>סמוך לצומת רעים</v>
      </c>
      <c r="J783" s="4" t="str">
        <f>IFERROR(__xludf.DUMMYFUNCTION("""COMPUTED_VALUE"""),"חיילים")</f>
        <v>חיילים</v>
      </c>
      <c r="K783" s="5"/>
      <c r="L783" s="3" t="str">
        <f>IFERROR(__xludf.DUMMYFUNCTION("""COMPUTED_VALUE"""),"Benyamin Gabriel Yona")</f>
        <v>Benyamin Gabriel Yona</v>
      </c>
      <c r="M783" s="5"/>
    </row>
    <row r="784">
      <c r="A784" s="3">
        <f>IFERROR(__xludf.DUMMYFUNCTION("""COMPUTED_VALUE"""),1295.0)</f>
        <v>1295</v>
      </c>
      <c r="B784" s="4" t="str">
        <f>IFERROR(__xludf.DUMMYFUNCTION("""COMPUTED_VALUE"""),"יענקלוב בר")</f>
        <v>יענקלוב בר</v>
      </c>
      <c r="C784" s="3">
        <f>IFERROR(__xludf.DUMMYFUNCTION("""COMPUTED_VALUE"""),19.0)</f>
        <v>19</v>
      </c>
      <c r="D784" s="5" t="str">
        <f>IFERROR(__xludf.DUMMYFUNCTION("""COMPUTED_VALUE"""),"כרמיאל")</f>
        <v>כרמיאל</v>
      </c>
      <c r="E784" s="5" t="str">
        <f>IFERROR(__xludf.DUMMYFUNCTION("""COMPUTED_VALUE"""),"גבר")</f>
        <v>גבר</v>
      </c>
      <c r="F784" s="5" t="str">
        <f>IFERROR(__xludf.DUMMYFUNCTION("""COMPUTED_VALUE"""),"צה""ל")</f>
        <v>צה"ל</v>
      </c>
      <c r="G784" s="5" t="str">
        <f>IFERROR(__xludf.DUMMYFUNCTION("""COMPUTED_VALUE"""),"סמל")</f>
        <v>סמל</v>
      </c>
      <c r="H784" s="3" t="str">
        <f>IFERROR(__xludf.DUMMYFUNCTION("""COMPUTED_VALUE"""),"07.10.2023")</f>
        <v>07.10.2023</v>
      </c>
      <c r="I784" s="4" t="str">
        <f>IFERROR(__xludf.DUMMYFUNCTION("""COMPUTED_VALUE"""),"כיסופים")</f>
        <v>כיסופים</v>
      </c>
      <c r="J784" s="4" t="str">
        <f>IFERROR(__xludf.DUMMYFUNCTION("""COMPUTED_VALUE"""),"חיילים")</f>
        <v>חיילים</v>
      </c>
      <c r="K784" s="5"/>
      <c r="L784" s="3" t="str">
        <f>IFERROR(__xludf.DUMMYFUNCTION("""COMPUTED_VALUE"""),"Bar Yancolov")</f>
        <v>Bar Yancolov</v>
      </c>
      <c r="M784" s="5"/>
    </row>
    <row r="785">
      <c r="A785" s="3">
        <f>IFERROR(__xludf.DUMMYFUNCTION("""COMPUTED_VALUE"""),250.0)</f>
        <v>250</v>
      </c>
      <c r="B785" s="4" t="str">
        <f>IFERROR(__xludf.DUMMYFUNCTION("""COMPUTED_VALUE"""),"ירוחין אופיר")</f>
        <v>ירוחין אופיר</v>
      </c>
      <c r="C785" s="3">
        <f>IFERROR(__xludf.DUMMYFUNCTION("""COMPUTED_VALUE"""),19.0)</f>
        <v>19</v>
      </c>
      <c r="D785" s="5" t="str">
        <f>IFERROR(__xludf.DUMMYFUNCTION("""COMPUTED_VALUE"""),"גבעת שמואל")</f>
        <v>גבעת שמואל</v>
      </c>
      <c r="E785" s="5" t="str">
        <f>IFERROR(__xludf.DUMMYFUNCTION("""COMPUTED_VALUE"""),"גבר")</f>
        <v>גבר</v>
      </c>
      <c r="F785" s="5" t="str">
        <f>IFERROR(__xludf.DUMMYFUNCTION("""COMPUTED_VALUE"""),"צה""ל")</f>
        <v>צה"ל</v>
      </c>
      <c r="G785" s="5" t="str">
        <f>IFERROR(__xludf.DUMMYFUNCTION("""COMPUTED_VALUE"""),"סמל")</f>
        <v>סמל</v>
      </c>
      <c r="H785" s="3" t="str">
        <f>IFERROR(__xludf.DUMMYFUNCTION("""COMPUTED_VALUE"""),"09.10.2023")</f>
        <v>09.10.2023</v>
      </c>
      <c r="I785" s="4" t="str">
        <f>IFERROR(__xludf.DUMMYFUNCTION("""COMPUTED_VALUE"""),"מוצב ק2")</f>
        <v>מוצב ק2</v>
      </c>
      <c r="J785" s="4" t="str">
        <f>IFERROR(__xludf.DUMMYFUNCTION("""COMPUTED_VALUE"""),"חיילים")</f>
        <v>חיילים</v>
      </c>
      <c r="K785" s="5"/>
      <c r="L785" s="3" t="str">
        <f>IFERROR(__xludf.DUMMYFUNCTION("""COMPUTED_VALUE"""),"Ofir Yeruhin")</f>
        <v>Ofir Yeruhin</v>
      </c>
      <c r="M785" s="5"/>
    </row>
    <row r="786">
      <c r="A786" s="3">
        <f>IFERROR(__xludf.DUMMYFUNCTION("""COMPUTED_VALUE"""),1579.0)</f>
        <v>1579</v>
      </c>
      <c r="B786" s="4" t="str">
        <f>IFERROR(__xludf.DUMMYFUNCTION("""COMPUTED_VALUE"""),"כהן איתמר")</f>
        <v>כהן איתמר</v>
      </c>
      <c r="C786" s="3">
        <f>IFERROR(__xludf.DUMMYFUNCTION("""COMPUTED_VALUE"""),19.0)</f>
        <v>19</v>
      </c>
      <c r="D786" s="5" t="str">
        <f>IFERROR(__xludf.DUMMYFUNCTION("""COMPUTED_VALUE"""),"כרמיאל")</f>
        <v>כרמיאל</v>
      </c>
      <c r="E786" s="5" t="str">
        <f>IFERROR(__xludf.DUMMYFUNCTION("""COMPUTED_VALUE"""),"גבר")</f>
        <v>גבר</v>
      </c>
      <c r="F786" s="5" t="str">
        <f>IFERROR(__xludf.DUMMYFUNCTION("""COMPUTED_VALUE"""),"צה""ל")</f>
        <v>צה"ל</v>
      </c>
      <c r="G786" s="5" t="str">
        <f>IFERROR(__xludf.DUMMYFUNCTION("""COMPUTED_VALUE"""),"סמל")</f>
        <v>סמל</v>
      </c>
      <c r="H786" s="3" t="str">
        <f>IFERROR(__xludf.DUMMYFUNCTION("""COMPUTED_VALUE"""),"07.10.2023")</f>
        <v>07.10.2023</v>
      </c>
      <c r="I786" s="4" t="str">
        <f>IFERROR(__xludf.DUMMYFUNCTION("""COMPUTED_VALUE"""),"מוצב פגה")</f>
        <v>מוצב פגה</v>
      </c>
      <c r="J786" s="4" t="str">
        <f>IFERROR(__xludf.DUMMYFUNCTION("""COMPUTED_VALUE"""),"חיילים")</f>
        <v>חיילים</v>
      </c>
      <c r="K786" s="5"/>
      <c r="L786" s="3" t="str">
        <f>IFERROR(__xludf.DUMMYFUNCTION("""COMPUTED_VALUE"""),"Itamar Cohen")</f>
        <v>Itamar Cohen</v>
      </c>
      <c r="M786" s="5"/>
    </row>
    <row r="787">
      <c r="A787" s="3">
        <f>IFERROR(__xludf.DUMMYFUNCTION("""COMPUTED_VALUE"""),1137.0)</f>
        <v>1137</v>
      </c>
      <c r="B787" s="4" t="str">
        <f>IFERROR(__xludf.DUMMYFUNCTION("""COMPUTED_VALUE"""),"כהן דנית")</f>
        <v>כהן דנית</v>
      </c>
      <c r="C787" s="3">
        <f>IFERROR(__xludf.DUMMYFUNCTION("""COMPUTED_VALUE"""),19.0)</f>
        <v>19</v>
      </c>
      <c r="D787" s="5" t="str">
        <f>IFERROR(__xludf.DUMMYFUNCTION("""COMPUTED_VALUE"""),"שדרות")</f>
        <v>שדרות</v>
      </c>
      <c r="E787" s="5" t="str">
        <f>IFERROR(__xludf.DUMMYFUNCTION("""COMPUTED_VALUE"""),"אישה")</f>
        <v>אישה</v>
      </c>
      <c r="F787" s="5" t="str">
        <f>IFERROR(__xludf.DUMMYFUNCTION("""COMPUTED_VALUE"""),"צה""ל")</f>
        <v>צה"ל</v>
      </c>
      <c r="G787" s="5" t="str">
        <f>IFERROR(__xludf.DUMMYFUNCTION("""COMPUTED_VALUE"""),"סמל")</f>
        <v>סמל</v>
      </c>
      <c r="H787" s="3" t="str">
        <f>IFERROR(__xludf.DUMMYFUNCTION("""COMPUTED_VALUE"""),"07.10.2023")</f>
        <v>07.10.2023</v>
      </c>
      <c r="I787" s="4" t="str">
        <f>IFERROR(__xludf.DUMMYFUNCTION("""COMPUTED_VALUE"""),"מחנה אורים")</f>
        <v>מחנה אורים</v>
      </c>
      <c r="J787" s="4" t="str">
        <f>IFERROR(__xludf.DUMMYFUNCTION("""COMPUTED_VALUE"""),"חיילים")</f>
        <v>חיילים</v>
      </c>
      <c r="K787" s="5"/>
      <c r="L787" s="3" t="str">
        <f>IFERROR(__xludf.DUMMYFUNCTION("""COMPUTED_VALUE"""),"Danit Cohen")</f>
        <v>Danit Cohen</v>
      </c>
      <c r="M787" s="5"/>
    </row>
    <row r="788">
      <c r="A788" s="3">
        <f>IFERROR(__xludf.DUMMYFUNCTION("""COMPUTED_VALUE"""),235.0)</f>
        <v>235</v>
      </c>
      <c r="B788" s="4" t="str">
        <f>IFERROR(__xludf.DUMMYFUNCTION("""COMPUTED_VALUE"""),"לב בנימין")</f>
        <v>לב בנימין</v>
      </c>
      <c r="C788" s="3">
        <f>IFERROR(__xludf.DUMMYFUNCTION("""COMPUTED_VALUE"""),23.0)</f>
        <v>23</v>
      </c>
      <c r="D788" s="5" t="str">
        <f>IFERROR(__xludf.DUMMYFUNCTION("""COMPUTED_VALUE"""),"ירושלים")</f>
        <v>ירושלים</v>
      </c>
      <c r="E788" s="5" t="str">
        <f>IFERROR(__xludf.DUMMYFUNCTION("""COMPUTED_VALUE"""),"גבר")</f>
        <v>גבר</v>
      </c>
      <c r="F788" s="5" t="str">
        <f>IFERROR(__xludf.DUMMYFUNCTION("""COMPUTED_VALUE"""),"צה""ל")</f>
        <v>צה"ל</v>
      </c>
      <c r="G788" s="5" t="str">
        <f>IFERROR(__xludf.DUMMYFUNCTION("""COMPUTED_VALUE"""),"סמ״ר")</f>
        <v>סמ״ר</v>
      </c>
      <c r="H788" s="3" t="str">
        <f>IFERROR(__xludf.DUMMYFUNCTION("""COMPUTED_VALUE"""),"07.10.2023")</f>
        <v>07.10.2023</v>
      </c>
      <c r="I788" s="4" t="str">
        <f>IFERROR(__xludf.DUMMYFUNCTION("""COMPUTED_VALUE"""),"כפר עזה")</f>
        <v>כפר עזה</v>
      </c>
      <c r="J788" s="4" t="str">
        <f>IFERROR(__xludf.DUMMYFUNCTION("""COMPUTED_VALUE"""),"חיילים")</f>
        <v>חיילים</v>
      </c>
      <c r="K788" s="5"/>
      <c r="L788" s="3" t="str">
        <f>IFERROR(__xludf.DUMMYFUNCTION("""COMPUTED_VALUE"""),"Benyamin Lev")</f>
        <v>Benyamin Lev</v>
      </c>
      <c r="M788" s="5"/>
    </row>
    <row r="789">
      <c r="A789" s="3">
        <f>IFERROR(__xludf.DUMMYFUNCTION("""COMPUTED_VALUE"""),1179.0)</f>
        <v>1179</v>
      </c>
      <c r="B789" s="4" t="str">
        <f>IFERROR(__xludf.DUMMYFUNCTION("""COMPUTED_VALUE"""),"לביא אמיר")</f>
        <v>לביא אמיר</v>
      </c>
      <c r="C789" s="3">
        <f>IFERROR(__xludf.DUMMYFUNCTION("""COMPUTED_VALUE"""),19.0)</f>
        <v>19</v>
      </c>
      <c r="D789" s="5" t="str">
        <f>IFERROR(__xludf.DUMMYFUNCTION("""COMPUTED_VALUE"""),"ירושלים")</f>
        <v>ירושלים</v>
      </c>
      <c r="E789" s="5" t="str">
        <f>IFERROR(__xludf.DUMMYFUNCTION("""COMPUTED_VALUE"""),"גבר")</f>
        <v>גבר</v>
      </c>
      <c r="F789" s="5" t="str">
        <f>IFERROR(__xludf.DUMMYFUNCTION("""COMPUTED_VALUE"""),"צה""ל")</f>
        <v>צה"ל</v>
      </c>
      <c r="G789" s="5" t="str">
        <f>IFERROR(__xludf.DUMMYFUNCTION("""COMPUTED_VALUE"""),"סמל")</f>
        <v>סמל</v>
      </c>
      <c r="H789" s="3" t="str">
        <f>IFERROR(__xludf.DUMMYFUNCTION("""COMPUTED_VALUE"""),"07.10.2023")</f>
        <v>07.10.2023</v>
      </c>
      <c r="I789" s="4" t="str">
        <f>IFERROR(__xludf.DUMMYFUNCTION("""COMPUTED_VALUE"""),"מוצב סופה")</f>
        <v>מוצב סופה</v>
      </c>
      <c r="J789" s="4" t="str">
        <f>IFERROR(__xludf.DUMMYFUNCTION("""COMPUTED_VALUE"""),"חיילים")</f>
        <v>חיילים</v>
      </c>
      <c r="K789" s="5"/>
      <c r="L789" s="3" t="str">
        <f>IFERROR(__xludf.DUMMYFUNCTION("""COMPUTED_VALUE"""),"Amir Lavi")</f>
        <v>Amir Lavi</v>
      </c>
      <c r="M789" s="5"/>
    </row>
    <row r="790">
      <c r="A790" s="3">
        <f>IFERROR(__xludf.DUMMYFUNCTION("""COMPUTED_VALUE"""),481.0)</f>
        <v>481</v>
      </c>
      <c r="B790" s="4" t="str">
        <f>IFERROR(__xludf.DUMMYFUNCTION("""COMPUTED_VALUE"""),"לוגאסי שמעון יוחאי")</f>
        <v>לוגאסי שמעון יוחאי</v>
      </c>
      <c r="C790" s="3">
        <f>IFERROR(__xludf.DUMMYFUNCTION("""COMPUTED_VALUE"""),19.0)</f>
        <v>19</v>
      </c>
      <c r="D790" s="5" t="str">
        <f>IFERROR(__xludf.DUMMYFUNCTION("""COMPUTED_VALUE"""),"עכו")</f>
        <v>עכו</v>
      </c>
      <c r="E790" s="5" t="str">
        <f>IFERROR(__xludf.DUMMYFUNCTION("""COMPUTED_VALUE"""),"גבר")</f>
        <v>גבר</v>
      </c>
      <c r="F790" s="5" t="str">
        <f>IFERROR(__xludf.DUMMYFUNCTION("""COMPUTED_VALUE"""),"צה""ל")</f>
        <v>צה"ל</v>
      </c>
      <c r="G790" s="5" t="str">
        <f>IFERROR(__xludf.DUMMYFUNCTION("""COMPUTED_VALUE"""),"סמל")</f>
        <v>סמל</v>
      </c>
      <c r="H790" s="3" t="str">
        <f>IFERROR(__xludf.DUMMYFUNCTION("""COMPUTED_VALUE"""),"07.10.2023")</f>
        <v>07.10.2023</v>
      </c>
      <c r="I790" s="4" t="str">
        <f>IFERROR(__xludf.DUMMYFUNCTION("""COMPUTED_VALUE"""),"מוצב נחל עוז; בלונאים")</f>
        <v>מוצב נחל עוז; בלונאים</v>
      </c>
      <c r="J790" s="4" t="str">
        <f>IFERROR(__xludf.DUMMYFUNCTION("""COMPUTED_VALUE"""),"חיילים")</f>
        <v>חיילים</v>
      </c>
      <c r="K790" s="5"/>
      <c r="L790" s="3" t="str">
        <f>IFERROR(__xludf.DUMMYFUNCTION("""COMPUTED_VALUE"""),"Shimon Lugassi")</f>
        <v>Shimon Lugassi</v>
      </c>
      <c r="M790" s="5"/>
    </row>
    <row r="791">
      <c r="A791" s="3">
        <f>IFERROR(__xludf.DUMMYFUNCTION("""COMPUTED_VALUE"""),1714.0)</f>
        <v>1714</v>
      </c>
      <c r="B791" s="4" t="str">
        <f>IFERROR(__xludf.DUMMYFUNCTION("""COMPUTED_VALUE"""),"לוי טל")</f>
        <v>לוי טל</v>
      </c>
      <c r="C791" s="3">
        <f>IFERROR(__xludf.DUMMYFUNCTION("""COMPUTED_VALUE"""),21.0)</f>
        <v>21</v>
      </c>
      <c r="D791" s="5" t="str">
        <f>IFERROR(__xludf.DUMMYFUNCTION("""COMPUTED_VALUE"""),"ירושלים")</f>
        <v>ירושלים</v>
      </c>
      <c r="E791" s="5" t="str">
        <f>IFERROR(__xludf.DUMMYFUNCTION("""COMPUTED_VALUE"""),"גבר")</f>
        <v>גבר</v>
      </c>
      <c r="F791" s="5" t="str">
        <f>IFERROR(__xludf.DUMMYFUNCTION("""COMPUTED_VALUE"""),"צה""ל")</f>
        <v>צה"ל</v>
      </c>
      <c r="G791" s="5" t="str">
        <f>IFERROR(__xludf.DUMMYFUNCTION("""COMPUTED_VALUE"""),"סמ״ר")</f>
        <v>סמ״ר</v>
      </c>
      <c r="H791" s="3" t="str">
        <f>IFERROR(__xludf.DUMMYFUNCTION("""COMPUTED_VALUE"""),"07.10.2023")</f>
        <v>07.10.2023</v>
      </c>
      <c r="I791" s="4" t="str">
        <f>IFERROR(__xludf.DUMMYFUNCTION("""COMPUTED_VALUE"""),"מוצב סופה")</f>
        <v>מוצב סופה</v>
      </c>
      <c r="J791" s="4" t="str">
        <f>IFERROR(__xludf.DUMMYFUNCTION("""COMPUTED_VALUE"""),"חיילים")</f>
        <v>חיילים</v>
      </c>
      <c r="K791" s="5"/>
      <c r="L791" s="3" t="str">
        <f>IFERROR(__xludf.DUMMYFUNCTION("""COMPUTED_VALUE"""),"Tal Levi")</f>
        <v>Tal Levi</v>
      </c>
      <c r="M791" s="5"/>
    </row>
    <row r="792">
      <c r="A792" s="3">
        <f>IFERROR(__xludf.DUMMYFUNCTION("""COMPUTED_VALUE"""),480.0)</f>
        <v>480</v>
      </c>
      <c r="B792" s="4" t="str">
        <f>IFERROR(__xludf.DUMMYFUNCTION("""COMPUTED_VALUE"""),"לוי יקיר")</f>
        <v>לוי יקיר</v>
      </c>
      <c r="C792" s="3">
        <f>IFERROR(__xludf.DUMMYFUNCTION("""COMPUTED_VALUE"""),21.0)</f>
        <v>21</v>
      </c>
      <c r="D792" s="5" t="str">
        <f>IFERROR(__xludf.DUMMYFUNCTION("""COMPUTED_VALUE"""),"מורשת")</f>
        <v>מורשת</v>
      </c>
      <c r="E792" s="5" t="str">
        <f>IFERROR(__xludf.DUMMYFUNCTION("""COMPUTED_VALUE"""),"גבר")</f>
        <v>גבר</v>
      </c>
      <c r="F792" s="5" t="str">
        <f>IFERROR(__xludf.DUMMYFUNCTION("""COMPUTED_VALUE"""),"צה""ל")</f>
        <v>צה"ל</v>
      </c>
      <c r="G792" s="5" t="str">
        <f>IFERROR(__xludf.DUMMYFUNCTION("""COMPUTED_VALUE"""),"סמ״ר")</f>
        <v>סמ״ר</v>
      </c>
      <c r="H792" s="3" t="str">
        <f>IFERROR(__xludf.DUMMYFUNCTION("""COMPUTED_VALUE"""),"07.10.2023")</f>
        <v>07.10.2023</v>
      </c>
      <c r="I792" s="4" t="str">
        <f>IFERROR(__xludf.DUMMYFUNCTION("""COMPUTED_VALUE"""),"מוצב פגה")</f>
        <v>מוצב פגה</v>
      </c>
      <c r="J792" s="4" t="str">
        <f>IFERROR(__xludf.DUMMYFUNCTION("""COMPUTED_VALUE"""),"חיילים")</f>
        <v>חיילים</v>
      </c>
      <c r="K792" s="5"/>
      <c r="L792" s="3" t="str">
        <f>IFERROR(__xludf.DUMMYFUNCTION("""COMPUTED_VALUE"""),"Yakir Levy")</f>
        <v>Yakir Levy</v>
      </c>
      <c r="M792" s="5"/>
    </row>
    <row r="793">
      <c r="A793" s="3">
        <f>IFERROR(__xludf.DUMMYFUNCTION("""COMPUTED_VALUE"""),1280.0)</f>
        <v>1280</v>
      </c>
      <c r="B793" s="4" t="str">
        <f>IFERROR(__xludf.DUMMYFUNCTION("""COMPUTED_VALUE"""),"ליאר נתן חי")</f>
        <v>ליאר נתן חי</v>
      </c>
      <c r="C793" s="3">
        <f>IFERROR(__xludf.DUMMYFUNCTION("""COMPUTED_VALUE"""),20.0)</f>
        <v>20</v>
      </c>
      <c r="D793" s="5" t="str">
        <f>IFERROR(__xludf.DUMMYFUNCTION("""COMPUTED_VALUE"""),"נתניה")</f>
        <v>נתניה</v>
      </c>
      <c r="E793" s="5" t="str">
        <f>IFERROR(__xludf.DUMMYFUNCTION("""COMPUTED_VALUE"""),"גבר")</f>
        <v>גבר</v>
      </c>
      <c r="F793" s="5" t="str">
        <f>IFERROR(__xludf.DUMMYFUNCTION("""COMPUTED_VALUE"""),"צה""ל")</f>
        <v>צה"ל</v>
      </c>
      <c r="G793" s="5" t="str">
        <f>IFERROR(__xludf.DUMMYFUNCTION("""COMPUTED_VALUE"""),"סמל")</f>
        <v>סמל</v>
      </c>
      <c r="H793" s="3" t="str">
        <f>IFERROR(__xludf.DUMMYFUNCTION("""COMPUTED_VALUE"""),"07.10.2023")</f>
        <v>07.10.2023</v>
      </c>
      <c r="I793" s="4" t="str">
        <f>IFERROR(__xludf.DUMMYFUNCTION("""COMPUTED_VALUE"""),"כרם שלום")</f>
        <v>כרם שלום</v>
      </c>
      <c r="J793" s="4" t="str">
        <f>IFERROR(__xludf.DUMMYFUNCTION("""COMPUTED_VALUE"""),"חיילים")</f>
        <v>חיילים</v>
      </c>
      <c r="K793" s="5"/>
      <c r="L793" s="3" t="str">
        <f>IFERROR(__xludf.DUMMYFUNCTION("""COMPUTED_VALUE"""),"Natan Lier Chai")</f>
        <v>Natan Lier Chai</v>
      </c>
      <c r="M793" s="5"/>
    </row>
    <row r="794">
      <c r="A794" s="3">
        <f>IFERROR(__xludf.DUMMYFUNCTION("""COMPUTED_VALUE"""),484.0)</f>
        <v>484</v>
      </c>
      <c r="B794" s="4" t="str">
        <f>IFERROR(__xludf.DUMMYFUNCTION("""COMPUTED_VALUE"""),"מזרחי אור")</f>
        <v>מזרחי אור</v>
      </c>
      <c r="C794" s="3">
        <f>IFERROR(__xludf.DUMMYFUNCTION("""COMPUTED_VALUE"""),20.0)</f>
        <v>20</v>
      </c>
      <c r="D794" s="5" t="str">
        <f>IFERROR(__xludf.DUMMYFUNCTION("""COMPUTED_VALUE"""),"רמת גן")</f>
        <v>רמת גן</v>
      </c>
      <c r="E794" s="5" t="str">
        <f>IFERROR(__xludf.DUMMYFUNCTION("""COMPUTED_VALUE"""),"גבר")</f>
        <v>גבר</v>
      </c>
      <c r="F794" s="5" t="str">
        <f>IFERROR(__xludf.DUMMYFUNCTION("""COMPUTED_VALUE"""),"צה""ל")</f>
        <v>צה"ל</v>
      </c>
      <c r="G794" s="5" t="str">
        <f>IFERROR(__xludf.DUMMYFUNCTION("""COMPUTED_VALUE"""),"סמ״ר")</f>
        <v>סמ״ר</v>
      </c>
      <c r="H794" s="3" t="str">
        <f>IFERROR(__xludf.DUMMYFUNCTION("""COMPUTED_VALUE"""),"07.10.2023")</f>
        <v>07.10.2023</v>
      </c>
      <c r="I794" s="4" t="str">
        <f>IFERROR(__xludf.DUMMYFUNCTION("""COMPUTED_VALUE"""),"מעבר ארז")</f>
        <v>מעבר ארז</v>
      </c>
      <c r="J794" s="4" t="str">
        <f>IFERROR(__xludf.DUMMYFUNCTION("""COMPUTED_VALUE"""),"חיילים")</f>
        <v>חיילים</v>
      </c>
      <c r="K794" s="5"/>
      <c r="L794" s="3" t="str">
        <f>IFERROR(__xludf.DUMMYFUNCTION("""COMPUTED_VALUE"""),"Or Mizrahi")</f>
        <v>Or Mizrahi</v>
      </c>
      <c r="M794" s="5"/>
    </row>
    <row r="795">
      <c r="A795" s="3">
        <f>IFERROR(__xludf.DUMMYFUNCTION("""COMPUTED_VALUE"""),264.0)</f>
        <v>264</v>
      </c>
      <c r="B795" s="4" t="str">
        <f>IFERROR(__xludf.DUMMYFUNCTION("""COMPUTED_VALUE"""),"מזרחי אור")</f>
        <v>מזרחי אור</v>
      </c>
      <c r="C795" s="3">
        <f>IFERROR(__xludf.DUMMYFUNCTION("""COMPUTED_VALUE"""),21.0)</f>
        <v>21</v>
      </c>
      <c r="D795" s="5" t="str">
        <f>IFERROR(__xludf.DUMMYFUNCTION("""COMPUTED_VALUE"""),"פתח תקווה")</f>
        <v>פתח תקווה</v>
      </c>
      <c r="E795" s="5" t="str">
        <f>IFERROR(__xludf.DUMMYFUNCTION("""COMPUTED_VALUE"""),"גבר")</f>
        <v>גבר</v>
      </c>
      <c r="F795" s="5" t="str">
        <f>IFERROR(__xludf.DUMMYFUNCTION("""COMPUTED_VALUE"""),"צה""ל")</f>
        <v>צה"ל</v>
      </c>
      <c r="G795" s="5" t="str">
        <f>IFERROR(__xludf.DUMMYFUNCTION("""COMPUTED_VALUE"""),"סמ״ר")</f>
        <v>סמ״ר</v>
      </c>
      <c r="H795" s="3" t="str">
        <f>IFERROR(__xludf.DUMMYFUNCTION("""COMPUTED_VALUE"""),"07.10.2023")</f>
        <v>07.10.2023</v>
      </c>
      <c r="I795" s="4" t="str">
        <f>IFERROR(__xludf.DUMMYFUNCTION("""COMPUTED_VALUE"""),"מוצב כרם שלום")</f>
        <v>מוצב כרם שלום</v>
      </c>
      <c r="J795" s="4" t="str">
        <f>IFERROR(__xludf.DUMMYFUNCTION("""COMPUTED_VALUE"""),"חיילים")</f>
        <v>חיילים</v>
      </c>
      <c r="K795" s="5"/>
      <c r="L795" s="3" t="str">
        <f>IFERROR(__xludf.DUMMYFUNCTION("""COMPUTED_VALUE"""),"Or Mizrahi")</f>
        <v>Or Mizrahi</v>
      </c>
      <c r="M795" s="5"/>
    </row>
    <row r="796">
      <c r="A796" s="3">
        <f>IFERROR(__xludf.DUMMYFUNCTION("""COMPUTED_VALUE"""),2009.0)</f>
        <v>2009</v>
      </c>
      <c r="B796" s="4" t="str">
        <f>IFERROR(__xludf.DUMMYFUNCTION("""COMPUTED_VALUE"""),"מידאני סהר")</f>
        <v>מידאני סהר</v>
      </c>
      <c r="C796" s="3">
        <f>IFERROR(__xludf.DUMMYFUNCTION("""COMPUTED_VALUE"""),20.0)</f>
        <v>20</v>
      </c>
      <c r="D796" s="5" t="str">
        <f>IFERROR(__xludf.DUMMYFUNCTION("""COMPUTED_VALUE"""),"קריית עקרון")</f>
        <v>קריית עקרון</v>
      </c>
      <c r="E796" s="5" t="str">
        <f>IFERROR(__xludf.DUMMYFUNCTION("""COMPUTED_VALUE"""),"גבר")</f>
        <v>גבר</v>
      </c>
      <c r="F796" s="5" t="str">
        <f>IFERROR(__xludf.DUMMYFUNCTION("""COMPUTED_VALUE"""),"צה""ל")</f>
        <v>צה"ל</v>
      </c>
      <c r="G796" s="5" t="str">
        <f>IFERROR(__xludf.DUMMYFUNCTION("""COMPUTED_VALUE"""),"סמ״ר")</f>
        <v>סמ״ר</v>
      </c>
      <c r="H796" s="3" t="str">
        <f>IFERROR(__xludf.DUMMYFUNCTION("""COMPUTED_VALUE"""),"07.10.2023")</f>
        <v>07.10.2023</v>
      </c>
      <c r="I796" s="4" t="str">
        <f>IFERROR(__xludf.DUMMYFUNCTION("""COMPUTED_VALUE"""),"מוצב נחל עוז; מיגונית 13")</f>
        <v>מוצב נחל עוז; מיגונית 13</v>
      </c>
      <c r="J796" s="4" t="str">
        <f>IFERROR(__xludf.DUMMYFUNCTION("""COMPUTED_VALUE"""),"חיילים")</f>
        <v>חיילים</v>
      </c>
      <c r="K796" s="5"/>
      <c r="L796" s="3" t="str">
        <f>IFERROR(__xludf.DUMMYFUNCTION("""COMPUTED_VALUE"""),"Sahar Midani")</f>
        <v>Sahar Midani</v>
      </c>
      <c r="M796" s="5"/>
    </row>
    <row r="797">
      <c r="A797" s="3">
        <f>IFERROR(__xludf.DUMMYFUNCTION("""COMPUTED_VALUE"""),2010.0)</f>
        <v>2010</v>
      </c>
      <c r="B797" s="4" t="str">
        <f>IFERROR(__xludf.DUMMYFUNCTION("""COMPUTED_VALUE"""),"מלכה אור")</f>
        <v>מלכה אור</v>
      </c>
      <c r="C797" s="3">
        <f>IFERROR(__xludf.DUMMYFUNCTION("""COMPUTED_VALUE"""),21.0)</f>
        <v>21</v>
      </c>
      <c r="D797" s="5" t="str">
        <f>IFERROR(__xludf.DUMMYFUNCTION("""COMPUTED_VALUE"""),"עכו")</f>
        <v>עכו</v>
      </c>
      <c r="E797" s="5" t="str">
        <f>IFERROR(__xludf.DUMMYFUNCTION("""COMPUTED_VALUE"""),"גבר")</f>
        <v>גבר</v>
      </c>
      <c r="F797" s="5" t="str">
        <f>IFERROR(__xludf.DUMMYFUNCTION("""COMPUTED_VALUE"""),"צה""ל")</f>
        <v>צה"ל</v>
      </c>
      <c r="G797" s="5" t="str">
        <f>IFERROR(__xludf.DUMMYFUNCTION("""COMPUTED_VALUE"""),"סמ״ר")</f>
        <v>סמ״ר</v>
      </c>
      <c r="H797" s="3" t="str">
        <f>IFERROR(__xludf.DUMMYFUNCTION("""COMPUTED_VALUE"""),"07.10.2023")</f>
        <v>07.10.2023</v>
      </c>
      <c r="I797" s="4" t="str">
        <f>IFERROR(__xludf.DUMMYFUNCTION("""COMPUTED_VALUE"""),"מעבר ארז")</f>
        <v>מעבר ארז</v>
      </c>
      <c r="J797" s="4" t="str">
        <f>IFERROR(__xludf.DUMMYFUNCTION("""COMPUTED_VALUE"""),"חיילים")</f>
        <v>חיילים</v>
      </c>
      <c r="K797" s="5"/>
      <c r="L797" s="3" t="str">
        <f>IFERROR(__xludf.DUMMYFUNCTION("""COMPUTED_VALUE"""),"Dor Malka")</f>
        <v>Dor Malka</v>
      </c>
      <c r="M797" s="5"/>
    </row>
    <row r="798">
      <c r="A798" s="3">
        <f>IFERROR(__xludf.DUMMYFUNCTION("""COMPUTED_VALUE"""),403.0)</f>
        <v>403</v>
      </c>
      <c r="B798" s="4" t="str">
        <f>IFERROR(__xludf.DUMMYFUNCTION("""COMPUTED_VALUE"""),"ממן טל")</f>
        <v>ממן טל</v>
      </c>
      <c r="C798" s="3">
        <f>IFERROR(__xludf.DUMMYFUNCTION("""COMPUTED_VALUE"""),38.0)</f>
        <v>38</v>
      </c>
      <c r="D798" s="5" t="str">
        <f>IFERROR(__xludf.DUMMYFUNCTION("""COMPUTED_VALUE"""),"מבטחים")</f>
        <v>מבטחים</v>
      </c>
      <c r="E798" s="5" t="str">
        <f>IFERROR(__xludf.DUMMYFUNCTION("""COMPUTED_VALUE"""),"גבר")</f>
        <v>גבר</v>
      </c>
      <c r="F798" s="5" t="str">
        <f>IFERROR(__xludf.DUMMYFUNCTION("""COMPUTED_VALUE"""),"כיתות כוננות")</f>
        <v>כיתות כוננות</v>
      </c>
      <c r="G798" s="5" t="str">
        <f>IFERROR(__xludf.DUMMYFUNCTION("""COMPUTED_VALUE"""),"רס״ם")</f>
        <v>רס״ם</v>
      </c>
      <c r="H798" s="3" t="str">
        <f>IFERROR(__xludf.DUMMYFUNCTION("""COMPUTED_VALUE"""),"07.10.2023")</f>
        <v>07.10.2023</v>
      </c>
      <c r="I798" s="4" t="str">
        <f>IFERROR(__xludf.DUMMYFUNCTION("""COMPUTED_VALUE"""),"מבטחים")</f>
        <v>מבטחים</v>
      </c>
      <c r="J798" s="4" t="str">
        <f>IFERROR(__xludf.DUMMYFUNCTION("""COMPUTED_VALUE"""),"אזרחים וכיתות כוננות")</f>
        <v>אזרחים וכיתות כוננות</v>
      </c>
      <c r="K798" s="5"/>
      <c r="L798" s="3" t="str">
        <f>IFERROR(__xludf.DUMMYFUNCTION("""COMPUTED_VALUE"""),"Tal Maman")</f>
        <v>Tal Maman</v>
      </c>
      <c r="M798" s="5"/>
    </row>
    <row r="799">
      <c r="A799" s="3">
        <f>IFERROR(__xludf.DUMMYFUNCTION("""COMPUTED_VALUE"""),259.0)</f>
        <v>259</v>
      </c>
      <c r="B799" s="4" t="str">
        <f>IFERROR(__xludf.DUMMYFUNCTION("""COMPUTED_VALUE"""),"מקייס לידור")</f>
        <v>מקייס לידור</v>
      </c>
      <c r="C799" s="3">
        <f>IFERROR(__xludf.DUMMYFUNCTION("""COMPUTED_VALUE"""),19.0)</f>
        <v>19</v>
      </c>
      <c r="D799" s="5" t="str">
        <f>IFERROR(__xludf.DUMMYFUNCTION("""COMPUTED_VALUE"""),"אופקים")</f>
        <v>אופקים</v>
      </c>
      <c r="E799" s="5" t="str">
        <f>IFERROR(__xludf.DUMMYFUNCTION("""COMPUTED_VALUE"""),"גבר")</f>
        <v>גבר</v>
      </c>
      <c r="F799" s="5" t="str">
        <f>IFERROR(__xludf.DUMMYFUNCTION("""COMPUTED_VALUE"""),"צה""ל")</f>
        <v>צה"ל</v>
      </c>
      <c r="G799" s="5" t="str">
        <f>IFERROR(__xludf.DUMMYFUNCTION("""COMPUTED_VALUE"""),"רב״ט")</f>
        <v>רב״ט</v>
      </c>
      <c r="H799" s="3" t="str">
        <f>IFERROR(__xludf.DUMMYFUNCTION("""COMPUTED_VALUE"""),"07.10.2023")</f>
        <v>07.10.2023</v>
      </c>
      <c r="I799" s="4" t="str">
        <f>IFERROR(__xludf.DUMMYFUNCTION("""COMPUTED_VALUE"""),"מעבר ארז")</f>
        <v>מעבר ארז</v>
      </c>
      <c r="J799" s="4" t="str">
        <f>IFERROR(__xludf.DUMMYFUNCTION("""COMPUTED_VALUE"""),"חיילים")</f>
        <v>חיילים</v>
      </c>
      <c r="K799" s="5"/>
      <c r="L799" s="3" t="str">
        <f>IFERROR(__xludf.DUMMYFUNCTION("""COMPUTED_VALUE"""),"Lidor Makayes")</f>
        <v>Lidor Makayes</v>
      </c>
      <c r="M799" s="5"/>
    </row>
    <row r="800">
      <c r="A800" s="3">
        <f>IFERROR(__xludf.DUMMYFUNCTION("""COMPUTED_VALUE"""),1562.0)</f>
        <v>1562</v>
      </c>
      <c r="B800" s="4" t="str">
        <f>IFERROR(__xludf.DUMMYFUNCTION("""COMPUTED_VALUE"""),"מרציאנו אריק יהודה")</f>
        <v>מרציאנו אריק יהודה</v>
      </c>
      <c r="C800" s="3">
        <f>IFERROR(__xludf.DUMMYFUNCTION("""COMPUTED_VALUE"""),50.0)</f>
        <v>50</v>
      </c>
      <c r="D800" s="5" t="str">
        <f>IFERROR(__xludf.DUMMYFUNCTION("""COMPUTED_VALUE"""),"קריית גת")</f>
        <v>קריית גת</v>
      </c>
      <c r="E800" s="5" t="str">
        <f>IFERROR(__xludf.DUMMYFUNCTION("""COMPUTED_VALUE"""),"גבר")</f>
        <v>גבר</v>
      </c>
      <c r="F800" s="5" t="str">
        <f>IFERROR(__xludf.DUMMYFUNCTION("""COMPUTED_VALUE"""),"כבאות והצלה")</f>
        <v>כבאות והצלה</v>
      </c>
      <c r="G800" s="5" t="str">
        <f>IFERROR(__xludf.DUMMYFUNCTION("""COMPUTED_VALUE"""),"רס״ם")</f>
        <v>רס״ם</v>
      </c>
      <c r="H800" s="3" t="str">
        <f>IFERROR(__xludf.DUMMYFUNCTION("""COMPUTED_VALUE"""),"07.10.2023")</f>
        <v>07.10.2023</v>
      </c>
      <c r="I800" s="4" t="str">
        <f>IFERROR(__xludf.DUMMYFUNCTION("""COMPUTED_VALUE"""),"שדרות")</f>
        <v>שדרות</v>
      </c>
      <c r="J800" s="4" t="str">
        <f>IFERROR(__xludf.DUMMYFUNCTION("""COMPUTED_VALUE"""),"שוטרים וכוחות הצלה")</f>
        <v>שוטרים וכוחות הצלה</v>
      </c>
      <c r="K800" s="5"/>
      <c r="L800" s="3" t="str">
        <f>IFERROR(__xludf.DUMMYFUNCTION("""COMPUTED_VALUE"""),"Arik Yehuda Marciano")</f>
        <v>Arik Yehuda Marciano</v>
      </c>
      <c r="M800" s="5"/>
    </row>
    <row r="801">
      <c r="A801" s="3">
        <f>IFERROR(__xludf.DUMMYFUNCTION("""COMPUTED_VALUE"""),1282.0)</f>
        <v>1282</v>
      </c>
      <c r="B801" s="4" t="str">
        <f>IFERROR(__xludf.DUMMYFUNCTION("""COMPUTED_VALUE"""),"נגר תומר")</f>
        <v>נגר תומר</v>
      </c>
      <c r="C801" s="3">
        <f>IFERROR(__xludf.DUMMYFUNCTION("""COMPUTED_VALUE"""),20.0)</f>
        <v>20</v>
      </c>
      <c r="D801" s="5" t="str">
        <f>IFERROR(__xludf.DUMMYFUNCTION("""COMPUTED_VALUE"""),"אזור")</f>
        <v>אזור</v>
      </c>
      <c r="E801" s="5" t="str">
        <f>IFERROR(__xludf.DUMMYFUNCTION("""COMPUTED_VALUE"""),"גבר")</f>
        <v>גבר</v>
      </c>
      <c r="F801" s="5" t="str">
        <f>IFERROR(__xludf.DUMMYFUNCTION("""COMPUTED_VALUE"""),"צה""ל")</f>
        <v>צה"ל</v>
      </c>
      <c r="G801" s="5" t="str">
        <f>IFERROR(__xludf.DUMMYFUNCTION("""COMPUTED_VALUE"""),"סמל")</f>
        <v>סמל</v>
      </c>
      <c r="H801" s="3" t="str">
        <f>IFERROR(__xludf.DUMMYFUNCTION("""COMPUTED_VALUE"""),"07.10.2023")</f>
        <v>07.10.2023</v>
      </c>
      <c r="I801" s="4" t="str">
        <f>IFERROR(__xludf.DUMMYFUNCTION("""COMPUTED_VALUE"""),"סמוך למוצב כיסופים")</f>
        <v>סמוך למוצב כיסופים</v>
      </c>
      <c r="J801" s="4" t="str">
        <f>IFERROR(__xludf.DUMMYFUNCTION("""COMPUTED_VALUE"""),"חיילים")</f>
        <v>חיילים</v>
      </c>
      <c r="K801" s="5"/>
      <c r="L801" s="3" t="str">
        <f>IFERROR(__xludf.DUMMYFUNCTION("""COMPUTED_VALUE"""),"Tomer Nagar")</f>
        <v>Tomer Nagar</v>
      </c>
      <c r="M801" s="5"/>
    </row>
    <row r="802">
      <c r="A802" s="3">
        <f>IFERROR(__xludf.DUMMYFUNCTION("""COMPUTED_VALUE"""),1284.0)</f>
        <v>1284</v>
      </c>
      <c r="B802" s="4" t="str">
        <f>IFERROR(__xludf.DUMMYFUNCTION("""COMPUTED_VALUE"""),"נידם שוהם שלמה")</f>
        <v>נידם שוהם שלמה</v>
      </c>
      <c r="C802" s="3">
        <f>IFERROR(__xludf.DUMMYFUNCTION("""COMPUTED_VALUE"""),19.0)</f>
        <v>19</v>
      </c>
      <c r="D802" s="5" t="str">
        <f>IFERROR(__xludf.DUMMYFUNCTION("""COMPUTED_VALUE"""),"קריית שמונה")</f>
        <v>קריית שמונה</v>
      </c>
      <c r="E802" s="5" t="str">
        <f>IFERROR(__xludf.DUMMYFUNCTION("""COMPUTED_VALUE"""),"גבר")</f>
        <v>גבר</v>
      </c>
      <c r="F802" s="5" t="str">
        <f>IFERROR(__xludf.DUMMYFUNCTION("""COMPUTED_VALUE"""),"צה""ל")</f>
        <v>צה"ל</v>
      </c>
      <c r="G802" s="5" t="str">
        <f>IFERROR(__xludf.DUMMYFUNCTION("""COMPUTED_VALUE"""),"סמל")</f>
        <v>סמל</v>
      </c>
      <c r="H802" s="3" t="str">
        <f>IFERROR(__xludf.DUMMYFUNCTION("""COMPUTED_VALUE"""),"07.10.2023")</f>
        <v>07.10.2023</v>
      </c>
      <c r="I802" s="4" t="str">
        <f>IFERROR(__xludf.DUMMYFUNCTION("""COMPUTED_VALUE"""),"מוצב נחל עוז; סמוך לבלונאים")</f>
        <v>מוצב נחל עוז; סמוך לבלונאים</v>
      </c>
      <c r="J802" s="4" t="str">
        <f>IFERROR(__xludf.DUMMYFUNCTION("""COMPUTED_VALUE"""),"חיילים")</f>
        <v>חיילים</v>
      </c>
      <c r="K802" s="5"/>
      <c r="L802" s="3" t="str">
        <f>IFERROR(__xludf.DUMMYFUNCTION("""COMPUTED_VALUE"""),"Shoham Shlomo Nidam")</f>
        <v>Shoham Shlomo Nidam</v>
      </c>
      <c r="M802" s="5"/>
    </row>
    <row r="803">
      <c r="A803" s="3">
        <f>IFERROR(__xludf.DUMMYFUNCTION("""COMPUTED_VALUE"""),1723.0)</f>
        <v>1723</v>
      </c>
      <c r="B803" s="4" t="str">
        <f>IFERROR(__xludf.DUMMYFUNCTION("""COMPUTED_VALUE"""),"סמוילוב אמיל")</f>
        <v>סמוילוב אמיל</v>
      </c>
      <c r="C803" s="3">
        <f>IFERROR(__xludf.DUMMYFUNCTION("""COMPUTED_VALUE"""),22.0)</f>
        <v>22</v>
      </c>
      <c r="D803" s="5" t="str">
        <f>IFERROR(__xludf.DUMMYFUNCTION("""COMPUTED_VALUE"""),"קריית ים")</f>
        <v>קריית ים</v>
      </c>
      <c r="E803" s="5" t="str">
        <f>IFERROR(__xludf.DUMMYFUNCTION("""COMPUTED_VALUE"""),"גבר")</f>
        <v>גבר</v>
      </c>
      <c r="F803" s="5" t="str">
        <f>IFERROR(__xludf.DUMMYFUNCTION("""COMPUTED_VALUE"""),"צה""ל")</f>
        <v>צה"ל</v>
      </c>
      <c r="G803" s="5" t="str">
        <f>IFERROR(__xludf.DUMMYFUNCTION("""COMPUTED_VALUE"""),"סמל")</f>
        <v>סמל</v>
      </c>
      <c r="H803" s="3" t="str">
        <f>IFERROR(__xludf.DUMMYFUNCTION("""COMPUTED_VALUE"""),"07.10.2023")</f>
        <v>07.10.2023</v>
      </c>
      <c r="I803" s="4" t="str">
        <f>IFERROR(__xludf.DUMMYFUNCTION("""COMPUTED_VALUE"""),"מעבר ארז")</f>
        <v>מעבר ארז</v>
      </c>
      <c r="J803" s="4" t="str">
        <f>IFERROR(__xludf.DUMMYFUNCTION("""COMPUTED_VALUE"""),"חיילים")</f>
        <v>חיילים</v>
      </c>
      <c r="K803" s="5"/>
      <c r="L803" s="3" t="str">
        <f>IFERROR(__xludf.DUMMYFUNCTION("""COMPUTED_VALUE"""),"Emil Samoilov")</f>
        <v>Emil Samoilov</v>
      </c>
      <c r="M803" s="5"/>
    </row>
    <row r="804">
      <c r="A804" s="3">
        <f>IFERROR(__xludf.DUMMYFUNCTION("""COMPUTED_VALUE"""),1288.0)</f>
        <v>1288</v>
      </c>
      <c r="B804" s="4" t="str">
        <f>IFERROR(__xludf.DUMMYFUNCTION("""COMPUTED_VALUE"""),"סעודין סהר")</f>
        <v>סעודין סהר</v>
      </c>
      <c r="C804" s="3">
        <f>IFERROR(__xludf.DUMMYFUNCTION("""COMPUTED_VALUE"""),21.0)</f>
        <v>21</v>
      </c>
      <c r="D804" s="5" t="str">
        <f>IFERROR(__xludf.DUMMYFUNCTION("""COMPUTED_VALUE"""),"ראש העין")</f>
        <v>ראש העין</v>
      </c>
      <c r="E804" s="5" t="str">
        <f>IFERROR(__xludf.DUMMYFUNCTION("""COMPUTED_VALUE"""),"אישה")</f>
        <v>אישה</v>
      </c>
      <c r="F804" s="5" t="str">
        <f>IFERROR(__xludf.DUMMYFUNCTION("""COMPUTED_VALUE"""),"צה""ל")</f>
        <v>צה"ל</v>
      </c>
      <c r="G804" s="5" t="str">
        <f>IFERROR(__xludf.DUMMYFUNCTION("""COMPUTED_VALUE"""),"סרן")</f>
        <v>סרן</v>
      </c>
      <c r="H804" s="3" t="str">
        <f>IFERROR(__xludf.DUMMYFUNCTION("""COMPUTED_VALUE"""),"07.10.2023")</f>
        <v>07.10.2023</v>
      </c>
      <c r="I804" s="4" t="str">
        <f>IFERROR(__xludf.DUMMYFUNCTION("""COMPUTED_VALUE"""),"סמוך לצומת רעים")</f>
        <v>סמוך לצומת רעים</v>
      </c>
      <c r="J804" s="4" t="str">
        <f>IFERROR(__xludf.DUMMYFUNCTION("""COMPUTED_VALUE"""),"חיילים")</f>
        <v>חיילים</v>
      </c>
      <c r="K804" s="5"/>
      <c r="L804" s="3" t="str">
        <f>IFERROR(__xludf.DUMMYFUNCTION("""COMPUTED_VALUE"""),"Sahar Saudin")</f>
        <v>Sahar Saudin</v>
      </c>
      <c r="M804" s="5"/>
    </row>
    <row r="805">
      <c r="A805" s="3">
        <f>IFERROR(__xludf.DUMMYFUNCTION("""COMPUTED_VALUE"""),1437.0)</f>
        <v>1437</v>
      </c>
      <c r="B805" s="4" t="str">
        <f>IFERROR(__xludf.DUMMYFUNCTION("""COMPUTED_VALUE"""),"סקורי אמיר")</f>
        <v>סקורי אמיר</v>
      </c>
      <c r="C805" s="3">
        <f>IFERROR(__xludf.DUMMYFUNCTION("""COMPUTED_VALUE"""),31.0)</f>
        <v>31</v>
      </c>
      <c r="D805" s="5" t="str">
        <f>IFERROR(__xludf.DUMMYFUNCTION("""COMPUTED_VALUE"""),"ירושלים")</f>
        <v>ירושלים</v>
      </c>
      <c r="E805" s="5" t="str">
        <f>IFERROR(__xludf.DUMMYFUNCTION("""COMPUTED_VALUE"""),"גבר")</f>
        <v>גבר</v>
      </c>
      <c r="F805" s="5" t="str">
        <f>IFERROR(__xludf.DUMMYFUNCTION("""COMPUTED_VALUE"""),"צה""ל")</f>
        <v>צה"ל</v>
      </c>
      <c r="G805" s="5" t="str">
        <f>IFERROR(__xludf.DUMMYFUNCTION("""COMPUTED_VALUE"""),"רס״ן")</f>
        <v>רס״ן</v>
      </c>
      <c r="H805" s="3" t="str">
        <f>IFERROR(__xludf.DUMMYFUNCTION("""COMPUTED_VALUE"""),"07.10.2023")</f>
        <v>07.10.2023</v>
      </c>
      <c r="I805" s="4" t="str">
        <f>IFERROR(__xludf.DUMMYFUNCTION("""COMPUTED_VALUE"""),"בארי")</f>
        <v>בארי</v>
      </c>
      <c r="J805" s="4" t="str">
        <f>IFERROR(__xludf.DUMMYFUNCTION("""COMPUTED_VALUE"""),"חיילים")</f>
        <v>חיילים</v>
      </c>
      <c r="K805" s="5"/>
      <c r="L805" s="3" t="str">
        <f>IFERROR(__xludf.DUMMYFUNCTION("""COMPUTED_VALUE"""),"Amir Skoury")</f>
        <v>Amir Skoury</v>
      </c>
      <c r="M805" s="5"/>
    </row>
    <row r="806">
      <c r="A806" s="3">
        <f>IFERROR(__xludf.DUMMYFUNCTION("""COMPUTED_VALUE"""),1144.0)</f>
        <v>1144</v>
      </c>
      <c r="B806" s="4" t="str">
        <f>IFERROR(__xludf.DUMMYFUNCTION("""COMPUTED_VALUE"""),"סקיפקביץ' ויטלי")</f>
        <v>סקיפקביץ' ויטלי</v>
      </c>
      <c r="C806" s="3">
        <f>IFERROR(__xludf.DUMMYFUNCTION("""COMPUTED_VALUE"""),21.0)</f>
        <v>21</v>
      </c>
      <c r="D806" s="5" t="str">
        <f>IFERROR(__xludf.DUMMYFUNCTION("""COMPUTED_VALUE"""),"אריאל")</f>
        <v>אריאל</v>
      </c>
      <c r="E806" s="5" t="str">
        <f>IFERROR(__xludf.DUMMYFUNCTION("""COMPUTED_VALUE"""),"גבר")</f>
        <v>גבר</v>
      </c>
      <c r="F806" s="5" t="str">
        <f>IFERROR(__xludf.DUMMYFUNCTION("""COMPUTED_VALUE"""),"צה""ל")</f>
        <v>צה"ל</v>
      </c>
      <c r="G806" s="5" t="str">
        <f>IFERROR(__xludf.DUMMYFUNCTION("""COMPUTED_VALUE"""),"רס״ל")</f>
        <v>רס״ל</v>
      </c>
      <c r="H806" s="3" t="str">
        <f>IFERROR(__xludf.DUMMYFUNCTION("""COMPUTED_VALUE"""),"07.10.2023")</f>
        <v>07.10.2023</v>
      </c>
      <c r="I806" s="4" t="str">
        <f>IFERROR(__xludf.DUMMYFUNCTION("""COMPUTED_VALUE"""),"כיסופים")</f>
        <v>כיסופים</v>
      </c>
      <c r="J806" s="4" t="str">
        <f>IFERROR(__xludf.DUMMYFUNCTION("""COMPUTED_VALUE"""),"חיילים")</f>
        <v>חיילים</v>
      </c>
      <c r="K806" s="5"/>
      <c r="L806" s="3" t="str">
        <f>IFERROR(__xludf.DUMMYFUNCTION("""COMPUTED_VALUE"""),"Vitaly Skipkavich")</f>
        <v>Vitaly Skipkavich</v>
      </c>
      <c r="M806" s="5"/>
    </row>
    <row r="807">
      <c r="A807" s="3">
        <f>IFERROR(__xludf.DUMMYFUNCTION("""COMPUTED_VALUE"""),1554.0)</f>
        <v>1554</v>
      </c>
      <c r="B807" s="4" t="str">
        <f>IFERROR(__xludf.DUMMYFUNCTION("""COMPUTED_VALUE"""),"סקריסבסקי רודי")</f>
        <v>סקריסבסקי רודי</v>
      </c>
      <c r="C807" s="3">
        <f>IFERROR(__xludf.DUMMYFUNCTION("""COMPUTED_VALUE"""),57.0)</f>
        <v>57</v>
      </c>
      <c r="D807" s="5" t="str">
        <f>IFERROR(__xludf.DUMMYFUNCTION("""COMPUTED_VALUE"""),"אוהד")</f>
        <v>אוהד</v>
      </c>
      <c r="E807" s="5" t="str">
        <f>IFERROR(__xludf.DUMMYFUNCTION("""COMPUTED_VALUE"""),"גבר")</f>
        <v>גבר</v>
      </c>
      <c r="F807" s="5" t="str">
        <f>IFERROR(__xludf.DUMMYFUNCTION("""COMPUTED_VALUE"""),"אזרחים")</f>
        <v>אזרחים</v>
      </c>
      <c r="G807" s="5"/>
      <c r="H807" s="3" t="str">
        <f>IFERROR(__xludf.DUMMYFUNCTION("""COMPUTED_VALUE"""),"07.10.2023")</f>
        <v>07.10.2023</v>
      </c>
      <c r="I807" s="4" t="str">
        <f>IFERROR(__xludf.DUMMYFUNCTION("""COMPUTED_VALUE"""),"צומת מבטחים")</f>
        <v>צומת מבטחים</v>
      </c>
      <c r="J807" s="4" t="str">
        <f>IFERROR(__xludf.DUMMYFUNCTION("""COMPUTED_VALUE"""),"אזרחים וכיתות כוננות")</f>
        <v>אזרחים וכיתות כוננות</v>
      </c>
      <c r="K807" s="5"/>
      <c r="L807" s="3" t="str">
        <f>IFERROR(__xludf.DUMMYFUNCTION("""COMPUTED_VALUE"""),"Rodolfo (Rody) Fabián Skariszewski")</f>
        <v>Rodolfo (Rody) Fabián Skariszewski</v>
      </c>
      <c r="M807" s="5"/>
    </row>
    <row r="808">
      <c r="A808" s="3">
        <f>IFERROR(__xludf.DUMMYFUNCTION("""COMPUTED_VALUE"""),1704.0)</f>
        <v>1704</v>
      </c>
      <c r="B808" s="4" t="str">
        <f>IFERROR(__xludf.DUMMYFUNCTION("""COMPUTED_VALUE"""),"עדן חיים מאיר")</f>
        <v>עדן חיים מאיר</v>
      </c>
      <c r="C808" s="3">
        <f>IFERROR(__xludf.DUMMYFUNCTION("""COMPUTED_VALUE"""),20.0)</f>
        <v>20</v>
      </c>
      <c r="D808" s="5" t="str">
        <f>IFERROR(__xludf.DUMMYFUNCTION("""COMPUTED_VALUE"""),"רחובות")</f>
        <v>רחובות</v>
      </c>
      <c r="E808" s="5" t="str">
        <f>IFERROR(__xludf.DUMMYFUNCTION("""COMPUTED_VALUE"""),"גבר")</f>
        <v>גבר</v>
      </c>
      <c r="F808" s="5" t="str">
        <f>IFERROR(__xludf.DUMMYFUNCTION("""COMPUTED_VALUE"""),"צה""ל")</f>
        <v>צה"ל</v>
      </c>
      <c r="G808" s="5" t="str">
        <f>IFERROR(__xludf.DUMMYFUNCTION("""COMPUTED_VALUE"""),"סמ״ר")</f>
        <v>סמ״ר</v>
      </c>
      <c r="H808" s="3" t="str">
        <f>IFERROR(__xludf.DUMMYFUNCTION("""COMPUTED_VALUE"""),"07.10.2023")</f>
        <v>07.10.2023</v>
      </c>
      <c r="I808" s="4" t="str">
        <f>IFERROR(__xludf.DUMMYFUNCTION("""COMPUTED_VALUE"""),"מוצב פגה")</f>
        <v>מוצב פגה</v>
      </c>
      <c r="J808" s="4" t="str">
        <f>IFERROR(__xludf.DUMMYFUNCTION("""COMPUTED_VALUE"""),"חיילים")</f>
        <v>חיילים</v>
      </c>
      <c r="K808" s="5"/>
      <c r="L808" s="3" t="str">
        <f>IFERROR(__xludf.DUMMYFUNCTION("""COMPUTED_VALUE"""),"Haim Meir Eden")</f>
        <v>Haim Meir Eden</v>
      </c>
      <c r="M808" s="5"/>
    </row>
    <row r="809">
      <c r="A809" s="3">
        <f>IFERROR(__xludf.DUMMYFUNCTION("""COMPUTED_VALUE"""),1581.0)</f>
        <v>1581</v>
      </c>
      <c r="B809" s="4" t="str">
        <f>IFERROR(__xludf.DUMMYFUNCTION("""COMPUTED_VALUE"""),"עזיזוב ליאור")</f>
        <v>עזיזוב ליאור</v>
      </c>
      <c r="C809" s="3">
        <f>IFERROR(__xludf.DUMMYFUNCTION("""COMPUTED_VALUE"""),20.0)</f>
        <v>20</v>
      </c>
      <c r="D809" s="5" t="str">
        <f>IFERROR(__xludf.DUMMYFUNCTION("""COMPUTED_VALUE"""),"אשקלון")</f>
        <v>אשקלון</v>
      </c>
      <c r="E809" s="5" t="str">
        <f>IFERROR(__xludf.DUMMYFUNCTION("""COMPUTED_VALUE"""),"גבר")</f>
        <v>גבר</v>
      </c>
      <c r="F809" s="5" t="str">
        <f>IFERROR(__xludf.DUMMYFUNCTION("""COMPUTED_VALUE"""),"צה""ל")</f>
        <v>צה"ל</v>
      </c>
      <c r="G809" s="5" t="str">
        <f>IFERROR(__xludf.DUMMYFUNCTION("""COMPUTED_VALUE"""),"סמל")</f>
        <v>סמל</v>
      </c>
      <c r="H809" s="3" t="str">
        <f>IFERROR(__xludf.DUMMYFUNCTION("""COMPUTED_VALUE"""),"07.10.2023")</f>
        <v>07.10.2023</v>
      </c>
      <c r="I809" s="4" t="str">
        <f>IFERROR(__xludf.DUMMYFUNCTION("""COMPUTED_VALUE"""),"מוצב פגה")</f>
        <v>מוצב פגה</v>
      </c>
      <c r="J809" s="4" t="str">
        <f>IFERROR(__xludf.DUMMYFUNCTION("""COMPUTED_VALUE"""),"חיילים")</f>
        <v>חיילים</v>
      </c>
      <c r="K809" s="5"/>
      <c r="L809" s="3" t="str">
        <f>IFERROR(__xludf.DUMMYFUNCTION("""COMPUTED_VALUE"""),"Lior Azizov")</f>
        <v>Lior Azizov</v>
      </c>
      <c r="M809" s="5"/>
    </row>
    <row r="810">
      <c r="A810" s="3">
        <f>IFERROR(__xludf.DUMMYFUNCTION("""COMPUTED_VALUE"""),1555.0)</f>
        <v>1555</v>
      </c>
      <c r="B810" s="4" t="str">
        <f>IFERROR(__xludf.DUMMYFUNCTION("""COMPUTED_VALUE"""),"פרץ עמרי")</f>
        <v>פרץ עמרי</v>
      </c>
      <c r="C810" s="3">
        <f>IFERROR(__xludf.DUMMYFUNCTION("""COMPUTED_VALUE"""),20.0)</f>
        <v>20</v>
      </c>
      <c r="D810" s="5" t="str">
        <f>IFERROR(__xludf.DUMMYFUNCTION("""COMPUTED_VALUE"""),"אליכין")</f>
        <v>אליכין</v>
      </c>
      <c r="E810" s="5" t="str">
        <f>IFERROR(__xludf.DUMMYFUNCTION("""COMPUTED_VALUE"""),"גבר")</f>
        <v>גבר</v>
      </c>
      <c r="F810" s="5" t="str">
        <f>IFERROR(__xludf.DUMMYFUNCTION("""COMPUTED_VALUE"""),"צה""ל")</f>
        <v>צה"ל</v>
      </c>
      <c r="G810" s="5" t="str">
        <f>IFERROR(__xludf.DUMMYFUNCTION("""COMPUTED_VALUE"""),"סמ״ר")</f>
        <v>סמ״ר</v>
      </c>
      <c r="H810" s="3" t="str">
        <f>IFERROR(__xludf.DUMMYFUNCTION("""COMPUTED_VALUE"""),"07.10.2023")</f>
        <v>07.10.2023</v>
      </c>
      <c r="I810" s="4" t="str">
        <f>IFERROR(__xludf.DUMMYFUNCTION("""COMPUTED_VALUE"""),"כיסופים")</f>
        <v>כיסופים</v>
      </c>
      <c r="J810" s="4" t="str">
        <f>IFERROR(__xludf.DUMMYFUNCTION("""COMPUTED_VALUE"""),"חיילים")</f>
        <v>חיילים</v>
      </c>
      <c r="K810" s="5"/>
      <c r="L810" s="3" t="str">
        <f>IFERROR(__xludf.DUMMYFUNCTION("""COMPUTED_VALUE"""),"Omri Peretz")</f>
        <v>Omri Peretz</v>
      </c>
      <c r="M810" s="5"/>
    </row>
    <row r="811">
      <c r="A811" s="3">
        <f>IFERROR(__xludf.DUMMYFUNCTION("""COMPUTED_VALUE"""),1539.0)</f>
        <v>1539</v>
      </c>
      <c r="B811" s="4" t="str">
        <f>IFERROR(__xludf.DUMMYFUNCTION("""COMPUTED_VALUE"""),"צ'אפל רועי")</f>
        <v>צ'אפל רועי</v>
      </c>
      <c r="C811" s="3">
        <f>IFERROR(__xludf.DUMMYFUNCTION("""COMPUTED_VALUE"""),25.0)</f>
        <v>25</v>
      </c>
      <c r="D811" s="5" t="str">
        <f>IFERROR(__xludf.DUMMYFUNCTION("""COMPUTED_VALUE"""),"זכרון יעקב")</f>
        <v>זכרון יעקב</v>
      </c>
      <c r="E811" s="5" t="str">
        <f>IFERROR(__xludf.DUMMYFUNCTION("""COMPUTED_VALUE"""),"גבר")</f>
        <v>גבר</v>
      </c>
      <c r="F811" s="5" t="str">
        <f>IFERROR(__xludf.DUMMYFUNCTION("""COMPUTED_VALUE"""),"צה""ל")</f>
        <v>צה"ל</v>
      </c>
      <c r="G811" s="5" t="str">
        <f>IFERROR(__xludf.DUMMYFUNCTION("""COMPUTED_VALUE"""),"רס״ן")</f>
        <v>רס״ן</v>
      </c>
      <c r="H811" s="3" t="str">
        <f>IFERROR(__xludf.DUMMYFUNCTION("""COMPUTED_VALUE"""),"07.10.2023")</f>
        <v>07.10.2023</v>
      </c>
      <c r="I811" s="4" t="str">
        <f>IFERROR(__xludf.DUMMYFUNCTION("""COMPUTED_VALUE"""),"מוצב סופה")</f>
        <v>מוצב סופה</v>
      </c>
      <c r="J811" s="4" t="str">
        <f>IFERROR(__xludf.DUMMYFUNCTION("""COMPUTED_VALUE"""),"חיילים")</f>
        <v>חיילים</v>
      </c>
      <c r="K811" s="5"/>
      <c r="L811" s="3" t="str">
        <f>IFERROR(__xludf.DUMMYFUNCTION("""COMPUTED_VALUE"""),"Roey Chapell")</f>
        <v>Roey Chapell</v>
      </c>
      <c r="M811" s="5"/>
    </row>
    <row r="812">
      <c r="A812" s="3">
        <f>IFERROR(__xludf.DUMMYFUNCTION("""COMPUTED_VALUE"""),246.0)</f>
        <v>246</v>
      </c>
      <c r="B812" s="4" t="str">
        <f>IFERROR(__xludf.DUMMYFUNCTION("""COMPUTED_VALUE"""),"צור יהונתן")</f>
        <v>צור יהונתן</v>
      </c>
      <c r="C812" s="3">
        <f>IFERROR(__xludf.DUMMYFUNCTION("""COMPUTED_VALUE"""),33.0)</f>
        <v>33</v>
      </c>
      <c r="D812" s="5" t="str">
        <f>IFERROR(__xludf.DUMMYFUNCTION("""COMPUTED_VALUE"""),"קדומים")</f>
        <v>קדומים</v>
      </c>
      <c r="E812" s="5" t="str">
        <f>IFERROR(__xludf.DUMMYFUNCTION("""COMPUTED_VALUE"""),"גבר")</f>
        <v>גבר</v>
      </c>
      <c r="F812" s="5" t="str">
        <f>IFERROR(__xludf.DUMMYFUNCTION("""COMPUTED_VALUE"""),"צה""ל")</f>
        <v>צה"ל</v>
      </c>
      <c r="G812" s="5" t="str">
        <f>IFERROR(__xludf.DUMMYFUNCTION("""COMPUTED_VALUE"""),"סא״ל")</f>
        <v>סא״ל</v>
      </c>
      <c r="H812" s="3" t="str">
        <f>IFERROR(__xludf.DUMMYFUNCTION("""COMPUTED_VALUE"""),"07.10.2023")</f>
        <v>07.10.2023</v>
      </c>
      <c r="I812" s="4" t="str">
        <f>IFERROR(__xludf.DUMMYFUNCTION("""COMPUTED_VALUE"""),"מזרחית לצומת מעון")</f>
        <v>מזרחית לצומת מעון</v>
      </c>
      <c r="J812" s="4" t="str">
        <f>IFERROR(__xludf.DUMMYFUNCTION("""COMPUTED_VALUE"""),"חיילים")</f>
        <v>חיילים</v>
      </c>
      <c r="K812" s="5"/>
      <c r="L812" s="3" t="str">
        <f>IFERROR(__xludf.DUMMYFUNCTION("""COMPUTED_VALUE"""),"Yonatan Tzur")</f>
        <v>Yonatan Tzur</v>
      </c>
      <c r="M812" s="5"/>
    </row>
    <row r="813">
      <c r="A813" s="3">
        <f>IFERROR(__xludf.DUMMYFUNCTION("""COMPUTED_VALUE"""),382.0)</f>
        <v>382</v>
      </c>
      <c r="B813" s="4" t="str">
        <f>IFERROR(__xludf.DUMMYFUNCTION("""COMPUTED_VALUE"""),"צור עדי")</f>
        <v>צור עדי</v>
      </c>
      <c r="C813" s="3">
        <f>IFERROR(__xludf.DUMMYFUNCTION("""COMPUTED_VALUE"""),20.0)</f>
        <v>20</v>
      </c>
      <c r="D813" s="5" t="str">
        <f>IFERROR(__xludf.DUMMYFUNCTION("""COMPUTED_VALUE"""),"ירושלים")</f>
        <v>ירושלים</v>
      </c>
      <c r="E813" s="5" t="str">
        <f>IFERROR(__xludf.DUMMYFUNCTION("""COMPUTED_VALUE"""),"גבר")</f>
        <v>גבר</v>
      </c>
      <c r="F813" s="5" t="str">
        <f>IFERROR(__xludf.DUMMYFUNCTION("""COMPUTED_VALUE"""),"צה""ל")</f>
        <v>צה"ל</v>
      </c>
      <c r="G813" s="5" t="str">
        <f>IFERROR(__xludf.DUMMYFUNCTION("""COMPUTED_VALUE"""),"סמ״ר")</f>
        <v>סמ״ר</v>
      </c>
      <c r="H813" s="3" t="str">
        <f>IFERROR(__xludf.DUMMYFUNCTION("""COMPUTED_VALUE"""),"07.10.2023")</f>
        <v>07.10.2023</v>
      </c>
      <c r="I813" s="4" t="str">
        <f>IFERROR(__xludf.DUMMYFUNCTION("""COMPUTED_VALUE"""),"כיסופים")</f>
        <v>כיסופים</v>
      </c>
      <c r="J813" s="4" t="str">
        <f>IFERROR(__xludf.DUMMYFUNCTION("""COMPUTED_VALUE"""),"חיילים")</f>
        <v>חיילים</v>
      </c>
      <c r="K813" s="5"/>
      <c r="L813" s="3" t="str">
        <f>IFERROR(__xludf.DUMMYFUNCTION("""COMPUTED_VALUE"""),"Adi Tzur")</f>
        <v>Adi Tzur</v>
      </c>
      <c r="M813" s="5"/>
    </row>
    <row r="814">
      <c r="A814" s="3">
        <f>IFERROR(__xludf.DUMMYFUNCTION("""COMPUTED_VALUE"""),245.0)</f>
        <v>245</v>
      </c>
      <c r="B814" s="4" t="str">
        <f>IFERROR(__xludf.DUMMYFUNCTION("""COMPUTED_VALUE"""),"ציוני אופיר")</f>
        <v>ציוני אופיר</v>
      </c>
      <c r="C814" s="3">
        <f>IFERROR(__xludf.DUMMYFUNCTION("""COMPUTED_VALUE"""),21.0)</f>
        <v>21</v>
      </c>
      <c r="D814" s="5" t="str">
        <f>IFERROR(__xludf.DUMMYFUNCTION("""COMPUTED_VALUE"""),"יקנעם עילית")</f>
        <v>יקנעם עילית</v>
      </c>
      <c r="E814" s="5" t="str">
        <f>IFERROR(__xludf.DUMMYFUNCTION("""COMPUTED_VALUE"""),"גבר")</f>
        <v>גבר</v>
      </c>
      <c r="F814" s="5" t="str">
        <f>IFERROR(__xludf.DUMMYFUNCTION("""COMPUTED_VALUE"""),"צה""ל")</f>
        <v>צה"ל</v>
      </c>
      <c r="G814" s="5" t="str">
        <f>IFERROR(__xludf.DUMMYFUNCTION("""COMPUTED_VALUE"""),"סמ״ר")</f>
        <v>סמ״ר</v>
      </c>
      <c r="H814" s="3" t="str">
        <f>IFERROR(__xludf.DUMMYFUNCTION("""COMPUTED_VALUE"""),"07.10.2023")</f>
        <v>07.10.2023</v>
      </c>
      <c r="I814" s="4" t="str">
        <f>IFERROR(__xludf.DUMMYFUNCTION("""COMPUTED_VALUE"""),"מש""א ארז")</f>
        <v>מש"א ארז</v>
      </c>
      <c r="J814" s="4" t="str">
        <f>IFERROR(__xludf.DUMMYFUNCTION("""COMPUTED_VALUE"""),"חיילים")</f>
        <v>חיילים</v>
      </c>
      <c r="K814" s="5"/>
      <c r="L814" s="3" t="str">
        <f>IFERROR(__xludf.DUMMYFUNCTION("""COMPUTED_VALUE"""),"Ofir Tzioni")</f>
        <v>Ofir Tzioni</v>
      </c>
      <c r="M814" s="5"/>
    </row>
    <row r="815">
      <c r="A815" s="3">
        <f>IFERROR(__xludf.DUMMYFUNCTION("""COMPUTED_VALUE"""),252.0)</f>
        <v>252</v>
      </c>
      <c r="B815" s="4" t="str">
        <f>IFERROR(__xludf.DUMMYFUNCTION("""COMPUTED_VALUE"""),"צירינג אריה שלמה")</f>
        <v>צירינג אריה שלמה</v>
      </c>
      <c r="C815" s="3">
        <f>IFERROR(__xludf.DUMMYFUNCTION("""COMPUTED_VALUE"""),27.0)</f>
        <v>27</v>
      </c>
      <c r="D815" s="5" t="str">
        <f>IFERROR(__xludf.DUMMYFUNCTION("""COMPUTED_VALUE"""),"רעננה")</f>
        <v>רעננה</v>
      </c>
      <c r="E815" s="5" t="str">
        <f>IFERROR(__xludf.DUMMYFUNCTION("""COMPUTED_VALUE"""),"גבר")</f>
        <v>גבר</v>
      </c>
      <c r="F815" s="5" t="str">
        <f>IFERROR(__xludf.DUMMYFUNCTION("""COMPUTED_VALUE"""),"צה""ל")</f>
        <v>צה"ל</v>
      </c>
      <c r="G815" s="5" t="str">
        <f>IFERROR(__xludf.DUMMYFUNCTION("""COMPUTED_VALUE"""),"רס״ן")</f>
        <v>רס״ן</v>
      </c>
      <c r="H815" s="3" t="str">
        <f>IFERROR(__xludf.DUMMYFUNCTION("""COMPUTED_VALUE"""),"07.10.2023")</f>
        <v>07.10.2023</v>
      </c>
      <c r="I815" s="4" t="str">
        <f>IFERROR(__xludf.DUMMYFUNCTION("""COMPUTED_VALUE"""),"מוצב יפתח")</f>
        <v>מוצב יפתח</v>
      </c>
      <c r="J815" s="4" t="str">
        <f>IFERROR(__xludf.DUMMYFUNCTION("""COMPUTED_VALUE"""),"חיילים")</f>
        <v>חיילים</v>
      </c>
      <c r="K815" s="5"/>
      <c r="L815" s="3" t="str">
        <f>IFERROR(__xludf.DUMMYFUNCTION("""COMPUTED_VALUE"""),"Aryeh Shlomo Ziring")</f>
        <v>Aryeh Shlomo Ziring</v>
      </c>
      <c r="M815" s="5"/>
    </row>
    <row r="816">
      <c r="A816" s="3">
        <f>IFERROR(__xludf.DUMMYFUNCTION("""COMPUTED_VALUE"""),1609.0)</f>
        <v>1609</v>
      </c>
      <c r="B816" s="4" t="str">
        <f>IFERROR(__xludf.DUMMYFUNCTION("""COMPUTED_VALUE"""),"צפיר דדו")</f>
        <v>צפיר דדו</v>
      </c>
      <c r="C816" s="3">
        <f>IFERROR(__xludf.DUMMYFUNCTION("""COMPUTED_VALUE"""),45.0)</f>
        <v>45</v>
      </c>
      <c r="D816" s="5" t="str">
        <f>IFERROR(__xludf.DUMMYFUNCTION("""COMPUTED_VALUE"""),"אשקלון")</f>
        <v>אשקלון</v>
      </c>
      <c r="E816" s="5" t="str">
        <f>IFERROR(__xludf.DUMMYFUNCTION("""COMPUTED_VALUE"""),"גבר")</f>
        <v>גבר</v>
      </c>
      <c r="F816" s="5" t="str">
        <f>IFERROR(__xludf.DUMMYFUNCTION("""COMPUTED_VALUE"""),"אזרחים")</f>
        <v>אזרחים</v>
      </c>
      <c r="G816" s="5"/>
      <c r="H816" s="3" t="str">
        <f>IFERROR(__xludf.DUMMYFUNCTION("""COMPUTED_VALUE"""),"07.10.2023")</f>
        <v>07.10.2023</v>
      </c>
      <c r="I816" s="4" t="str">
        <f>IFERROR(__xludf.DUMMYFUNCTION("""COMPUTED_VALUE"""),"כביש שער הנגב מפלסים")</f>
        <v>כביש שער הנגב מפלסים</v>
      </c>
      <c r="J816" s="4" t="str">
        <f>IFERROR(__xludf.DUMMYFUNCTION("""COMPUTED_VALUE"""),"אזרחים וכיתות כוננות")</f>
        <v>אזרחים וכיתות כוננות</v>
      </c>
      <c r="K816" s="5" t="str">
        <f>IFERROR(__xludf.DUMMYFUNCTION("""COMPUTED_VALUE"""),"פסטיבל נובה")</f>
        <v>פסטיבל נובה</v>
      </c>
      <c r="L816" s="3" t="str">
        <f>IFERROR(__xludf.DUMMYFUNCTION("""COMPUTED_VALUE"""),"Dedo Tzafir")</f>
        <v>Dedo Tzafir</v>
      </c>
      <c r="M816" s="5"/>
    </row>
    <row r="817">
      <c r="A817" s="3">
        <f>IFERROR(__xludf.DUMMYFUNCTION("""COMPUTED_VALUE"""),418.0)</f>
        <v>418</v>
      </c>
      <c r="B817" s="4" t="str">
        <f>IFERROR(__xludf.DUMMYFUNCTION("""COMPUTED_VALUE"""),"קוצרו נתיב")</f>
        <v>קוצרו נתיב</v>
      </c>
      <c r="C817" s="3">
        <f>IFERROR(__xludf.DUMMYFUNCTION("""COMPUTED_VALUE"""),21.0)</f>
        <v>21</v>
      </c>
      <c r="D817" s="5" t="str">
        <f>IFERROR(__xludf.DUMMYFUNCTION("""COMPUTED_VALUE"""),"מעלה אדומים")</f>
        <v>מעלה אדומים</v>
      </c>
      <c r="E817" s="5" t="str">
        <f>IFERROR(__xludf.DUMMYFUNCTION("""COMPUTED_VALUE"""),"גבר")</f>
        <v>גבר</v>
      </c>
      <c r="F817" s="5" t="str">
        <f>IFERROR(__xludf.DUMMYFUNCTION("""COMPUTED_VALUE"""),"צה""ל")</f>
        <v>צה"ל</v>
      </c>
      <c r="G817" s="5" t="str">
        <f>IFERROR(__xludf.DUMMYFUNCTION("""COMPUTED_VALUE"""),"סמל")</f>
        <v>סמל</v>
      </c>
      <c r="H817" s="3" t="str">
        <f>IFERROR(__xludf.DUMMYFUNCTION("""COMPUTED_VALUE"""),"07.10.2023")</f>
        <v>07.10.2023</v>
      </c>
      <c r="I817" s="4" t="str">
        <f>IFERROR(__xludf.DUMMYFUNCTION("""COMPUTED_VALUE"""),"סמוך לצומת רעים")</f>
        <v>סמוך לצומת רעים</v>
      </c>
      <c r="J817" s="4" t="str">
        <f>IFERROR(__xludf.DUMMYFUNCTION("""COMPUTED_VALUE"""),"חיילים")</f>
        <v>חיילים</v>
      </c>
      <c r="K817" s="5"/>
      <c r="L817" s="3" t="str">
        <f>IFERROR(__xludf.DUMMYFUNCTION("""COMPUTED_VALUE"""),"Nativ Kotzro")</f>
        <v>Nativ Kotzro</v>
      </c>
      <c r="M817" s="5"/>
    </row>
    <row r="818">
      <c r="A818" s="3">
        <f>IFERROR(__xludf.DUMMYFUNCTION("""COMPUTED_VALUE"""),489.0)</f>
        <v>489</v>
      </c>
      <c r="B818" s="4" t="str">
        <f>IFERROR(__xludf.DUMMYFUNCTION("""COMPUTED_VALUE"""),"קיעאן חביב")</f>
        <v>קיעאן חביב</v>
      </c>
      <c r="C818" s="3">
        <f>IFERROR(__xludf.DUMMYFUNCTION("""COMPUTED_VALUE"""),21.0)</f>
        <v>21</v>
      </c>
      <c r="D818" s="5" t="str">
        <f>IFERROR(__xludf.DUMMYFUNCTION("""COMPUTED_VALUE"""),"חורה")</f>
        <v>חורה</v>
      </c>
      <c r="E818" s="5" t="str">
        <f>IFERROR(__xludf.DUMMYFUNCTION("""COMPUTED_VALUE"""),"גבר")</f>
        <v>גבר</v>
      </c>
      <c r="F818" s="5" t="str">
        <f>IFERROR(__xludf.DUMMYFUNCTION("""COMPUTED_VALUE"""),"צה""ל")</f>
        <v>צה"ל</v>
      </c>
      <c r="G818" s="5" t="str">
        <f>IFERROR(__xludf.DUMMYFUNCTION("""COMPUTED_VALUE"""),"סמל")</f>
        <v>סמל</v>
      </c>
      <c r="H818" s="3" t="str">
        <f>IFERROR(__xludf.DUMMYFUNCTION("""COMPUTED_VALUE"""),"07.10.2023")</f>
        <v>07.10.2023</v>
      </c>
      <c r="I818" s="4" t="str">
        <f>IFERROR(__xludf.DUMMYFUNCTION("""COMPUTED_VALUE"""),"מוצב פגה")</f>
        <v>מוצב פגה</v>
      </c>
      <c r="J818" s="4" t="str">
        <f>IFERROR(__xludf.DUMMYFUNCTION("""COMPUTED_VALUE"""),"חיילים")</f>
        <v>חיילים</v>
      </c>
      <c r="K818" s="5"/>
      <c r="L818" s="3" t="str">
        <f>IFERROR(__xludf.DUMMYFUNCTION("""COMPUTED_VALUE"""),"Haviv Qyan")</f>
        <v>Haviv Qyan</v>
      </c>
      <c r="M818" s="5"/>
    </row>
    <row r="819">
      <c r="A819" s="3">
        <f>IFERROR(__xludf.DUMMYFUNCTION("""COMPUTED_VALUE"""),1461.0)</f>
        <v>1461</v>
      </c>
      <c r="B819" s="4" t="str">
        <f>IFERROR(__xludf.DUMMYFUNCTION("""COMPUTED_VALUE"""),"ראשד דניאל")</f>
        <v>ראשד דניאל</v>
      </c>
      <c r="C819" s="3">
        <f>IFERROR(__xludf.DUMMYFUNCTION("""COMPUTED_VALUE"""),19.0)</f>
        <v>19</v>
      </c>
      <c r="D819" s="5" t="str">
        <f>IFERROR(__xludf.DUMMYFUNCTION("""COMPUTED_VALUE"""),"שפרעם")</f>
        <v>שפרעם</v>
      </c>
      <c r="E819" s="5" t="str">
        <f>IFERROR(__xludf.DUMMYFUNCTION("""COMPUTED_VALUE"""),"גבר")</f>
        <v>גבר</v>
      </c>
      <c r="F819" s="5" t="str">
        <f>IFERROR(__xludf.DUMMYFUNCTION("""COMPUTED_VALUE"""),"צה""ל")</f>
        <v>צה"ל</v>
      </c>
      <c r="G819" s="5" t="str">
        <f>IFERROR(__xludf.DUMMYFUNCTION("""COMPUTED_VALUE"""),"סמ״ר")</f>
        <v>סמ״ר</v>
      </c>
      <c r="H819" s="3" t="str">
        <f>IFERROR(__xludf.DUMMYFUNCTION("""COMPUTED_VALUE"""),"07.10.2023")</f>
        <v>07.10.2023</v>
      </c>
      <c r="I819" s="4" t="str">
        <f>IFERROR(__xludf.DUMMYFUNCTION("""COMPUTED_VALUE"""),"מוצב נחל עוז; חמ""ל")</f>
        <v>מוצב נחל עוז; חמ"ל</v>
      </c>
      <c r="J819" s="4" t="str">
        <f>IFERROR(__xludf.DUMMYFUNCTION("""COMPUTED_VALUE"""),"חיילים")</f>
        <v>חיילים</v>
      </c>
      <c r="K819" s="5"/>
      <c r="L819" s="3" t="str">
        <f>IFERROR(__xludf.DUMMYFUNCTION("""COMPUTED_VALUE"""),"Daniel Rashad")</f>
        <v>Daniel Rashad</v>
      </c>
      <c r="M819" s="5"/>
    </row>
    <row r="820">
      <c r="A820" s="3">
        <f>IFERROR(__xludf.DUMMYFUNCTION("""COMPUTED_VALUE"""),490.0)</f>
        <v>490</v>
      </c>
      <c r="B820" s="4" t="str">
        <f>IFERROR(__xludf.DUMMYFUNCTION("""COMPUTED_VALUE"""),"רבינוב מקס")</f>
        <v>רבינוב מקס</v>
      </c>
      <c r="C820" s="3">
        <f>IFERROR(__xludf.DUMMYFUNCTION("""COMPUTED_VALUE"""),21.0)</f>
        <v>21</v>
      </c>
      <c r="D820" s="5" t="str">
        <f>IFERROR(__xludf.DUMMYFUNCTION("""COMPUTED_VALUE"""),"אשדוד")</f>
        <v>אשדוד</v>
      </c>
      <c r="E820" s="5" t="str">
        <f>IFERROR(__xludf.DUMMYFUNCTION("""COMPUTED_VALUE"""),"גבר")</f>
        <v>גבר</v>
      </c>
      <c r="F820" s="5" t="str">
        <f>IFERROR(__xludf.DUMMYFUNCTION("""COMPUTED_VALUE"""),"צה""ל")</f>
        <v>צה"ל</v>
      </c>
      <c r="G820" s="5" t="str">
        <f>IFERROR(__xludf.DUMMYFUNCTION("""COMPUTED_VALUE"""),"סמ״ר")</f>
        <v>סמ״ר</v>
      </c>
      <c r="H820" s="3" t="str">
        <f>IFERROR(__xludf.DUMMYFUNCTION("""COMPUTED_VALUE"""),"07.10.2023")</f>
        <v>07.10.2023</v>
      </c>
      <c r="I820" s="4" t="str">
        <f>IFERROR(__xludf.DUMMYFUNCTION("""COMPUTED_VALUE"""),"מעבר ארז")</f>
        <v>מעבר ארז</v>
      </c>
      <c r="J820" s="4" t="str">
        <f>IFERROR(__xludf.DUMMYFUNCTION("""COMPUTED_VALUE"""),"חיילים")</f>
        <v>חיילים</v>
      </c>
      <c r="K820" s="5"/>
      <c r="L820" s="3" t="str">
        <f>IFERROR(__xludf.DUMMYFUNCTION("""COMPUTED_VALUE"""),"Max Rabinov")</f>
        <v>Max Rabinov</v>
      </c>
      <c r="M820" s="5"/>
    </row>
    <row r="821">
      <c r="A821" s="3">
        <f>IFERROR(__xludf.DUMMYFUNCTION("""COMPUTED_VALUE"""),493.0)</f>
        <v>493</v>
      </c>
      <c r="B821" s="4" t="str">
        <f>IFERROR(__xludf.DUMMYFUNCTION("""COMPUTED_VALUE"""),"רסלר דביר חיים")</f>
        <v>רסלר דביר חיים</v>
      </c>
      <c r="C821" s="3">
        <f>IFERROR(__xludf.DUMMYFUNCTION("""COMPUTED_VALUE"""),21.0)</f>
        <v>21</v>
      </c>
      <c r="D821" s="5" t="str">
        <f>IFERROR(__xludf.DUMMYFUNCTION("""COMPUTED_VALUE"""),"קדומים")</f>
        <v>קדומים</v>
      </c>
      <c r="E821" s="5" t="str">
        <f>IFERROR(__xludf.DUMMYFUNCTION("""COMPUTED_VALUE"""),"גבר")</f>
        <v>גבר</v>
      </c>
      <c r="F821" s="5" t="str">
        <f>IFERROR(__xludf.DUMMYFUNCTION("""COMPUTED_VALUE"""),"צה""ל")</f>
        <v>צה"ל</v>
      </c>
      <c r="G821" s="5" t="str">
        <f>IFERROR(__xludf.DUMMYFUNCTION("""COMPUTED_VALUE"""),"סמ״ר")</f>
        <v>סמ״ר</v>
      </c>
      <c r="H821" s="3" t="str">
        <f>IFERROR(__xludf.DUMMYFUNCTION("""COMPUTED_VALUE"""),"07.10.2023")</f>
        <v>07.10.2023</v>
      </c>
      <c r="I821" s="4" t="str">
        <f>IFERROR(__xludf.DUMMYFUNCTION("""COMPUTED_VALUE"""),"מו""פ דרום")</f>
        <v>מו"פ דרום</v>
      </c>
      <c r="J821" s="4" t="str">
        <f>IFERROR(__xludf.DUMMYFUNCTION("""COMPUTED_VALUE"""),"חיילים")</f>
        <v>חיילים</v>
      </c>
      <c r="K821" s="5"/>
      <c r="L821" s="3" t="str">
        <f>IFERROR(__xludf.DUMMYFUNCTION("""COMPUTED_VALUE"""),"Dvir Haim Resler")</f>
        <v>Dvir Haim Resler</v>
      </c>
      <c r="M821" s="5"/>
    </row>
    <row r="822">
      <c r="A822" s="3">
        <f>IFERROR(__xludf.DUMMYFUNCTION("""COMPUTED_VALUE"""),1298.0)</f>
        <v>1298</v>
      </c>
      <c r="B822" s="4" t="str">
        <f>IFERROR(__xludf.DUMMYFUNCTION("""COMPUTED_VALUE"""),"רפאל שלום מאור")</f>
        <v>רפאל שלום מאור</v>
      </c>
      <c r="C822" s="3">
        <f>IFERROR(__xludf.DUMMYFUNCTION("""COMPUTED_VALUE"""),47.0)</f>
        <v>47</v>
      </c>
      <c r="D822" s="5" t="str">
        <f>IFERROR(__xludf.DUMMYFUNCTION("""COMPUTED_VALUE"""),"ערוגות")</f>
        <v>ערוגות</v>
      </c>
      <c r="E822" s="5" t="str">
        <f>IFERROR(__xludf.DUMMYFUNCTION("""COMPUTED_VALUE"""),"גבר")</f>
        <v>גבר</v>
      </c>
      <c r="F822" s="5" t="str">
        <f>IFERROR(__xludf.DUMMYFUNCTION("""COMPUTED_VALUE"""),"שב""כ")</f>
        <v>שב"כ</v>
      </c>
      <c r="G822" s="5"/>
      <c r="H822" s="3" t="str">
        <f>IFERROR(__xludf.DUMMYFUNCTION("""COMPUTED_VALUE"""),"07.10.2023")</f>
        <v>07.10.2023</v>
      </c>
      <c r="I822" s="4" t="str">
        <f>IFERROR(__xludf.DUMMYFUNCTION("""COMPUTED_VALUE"""),"כפר עזה")</f>
        <v>כפר עזה</v>
      </c>
      <c r="J822" s="4" t="str">
        <f>IFERROR(__xludf.DUMMYFUNCTION("""COMPUTED_VALUE"""),"שוטרים וכוחות הצלה")</f>
        <v>שוטרים וכוחות הצלה</v>
      </c>
      <c r="K822" s="5"/>
      <c r="L822" s="3" t="str">
        <f>IFERROR(__xludf.DUMMYFUNCTION("""COMPUTED_VALUE"""),"Maor Shalom")</f>
        <v>Maor Shalom</v>
      </c>
      <c r="M822" s="5"/>
    </row>
    <row r="823">
      <c r="A823" s="3">
        <f>IFERROR(__xludf.DUMMYFUNCTION("""COMPUTED_VALUE"""),492.0)</f>
        <v>492</v>
      </c>
      <c r="B823" s="4" t="str">
        <f>IFERROR(__xludf.DUMMYFUNCTION("""COMPUTED_VALUE"""),"רשטניקוב שלמה")</f>
        <v>רשטניקוב שלמה</v>
      </c>
      <c r="C823" s="3">
        <f>IFERROR(__xludf.DUMMYFUNCTION("""COMPUTED_VALUE"""),20.0)</f>
        <v>20</v>
      </c>
      <c r="D823" s="5" t="str">
        <f>IFERROR(__xludf.DUMMYFUNCTION("""COMPUTED_VALUE"""),"חיפה")</f>
        <v>חיפה</v>
      </c>
      <c r="E823" s="5" t="str">
        <f>IFERROR(__xludf.DUMMYFUNCTION("""COMPUTED_VALUE"""),"גבר")</f>
        <v>גבר</v>
      </c>
      <c r="F823" s="5" t="str">
        <f>IFERROR(__xludf.DUMMYFUNCTION("""COMPUTED_VALUE"""),"צה""ל")</f>
        <v>צה"ל</v>
      </c>
      <c r="G823" s="5" t="str">
        <f>IFERROR(__xludf.DUMMYFUNCTION("""COMPUTED_VALUE"""),"סמ״ר")</f>
        <v>סמ״ר</v>
      </c>
      <c r="H823" s="3" t="str">
        <f>IFERROR(__xludf.DUMMYFUNCTION("""COMPUTED_VALUE"""),"07.10.2023")</f>
        <v>07.10.2023</v>
      </c>
      <c r="I823" s="4" t="str">
        <f>IFERROR(__xludf.DUMMYFUNCTION("""COMPUTED_VALUE"""),"מו""פ דרום")</f>
        <v>מו"פ דרום</v>
      </c>
      <c r="J823" s="4" t="str">
        <f>IFERROR(__xludf.DUMMYFUNCTION("""COMPUTED_VALUE"""),"חיילים")</f>
        <v>חיילים</v>
      </c>
      <c r="K823" s="5"/>
      <c r="L823" s="3" t="str">
        <f>IFERROR(__xludf.DUMMYFUNCTION("""COMPUTED_VALUE"""),"Shlomo Reshetnikov")</f>
        <v>Shlomo Reshetnikov</v>
      </c>
      <c r="M823" s="5"/>
    </row>
    <row r="824">
      <c r="A824" s="3">
        <f>IFERROR(__xludf.DUMMYFUNCTION("""COMPUTED_VALUE"""),491.0)</f>
        <v>491</v>
      </c>
      <c r="B824" s="4" t="str">
        <f>IFERROR(__xludf.DUMMYFUNCTION("""COMPUTED_VALUE"""),"רתנר דוד")</f>
        <v>רתנר דוד</v>
      </c>
      <c r="C824" s="3">
        <f>IFERROR(__xludf.DUMMYFUNCTION("""COMPUTED_VALUE"""),20.0)</f>
        <v>20</v>
      </c>
      <c r="D824" s="5" t="str">
        <f>IFERROR(__xludf.DUMMYFUNCTION("""COMPUTED_VALUE"""),"אשדוד")</f>
        <v>אשדוד</v>
      </c>
      <c r="E824" s="5" t="str">
        <f>IFERROR(__xludf.DUMMYFUNCTION("""COMPUTED_VALUE"""),"גבר")</f>
        <v>גבר</v>
      </c>
      <c r="F824" s="5" t="str">
        <f>IFERROR(__xludf.DUMMYFUNCTION("""COMPUTED_VALUE"""),"צה""ל")</f>
        <v>צה"ל</v>
      </c>
      <c r="G824" s="5" t="str">
        <f>IFERROR(__xludf.DUMMYFUNCTION("""COMPUTED_VALUE"""),"סמ״ר")</f>
        <v>סמ״ר</v>
      </c>
      <c r="H824" s="3" t="str">
        <f>IFERROR(__xludf.DUMMYFUNCTION("""COMPUTED_VALUE"""),"07.10.2023")</f>
        <v>07.10.2023</v>
      </c>
      <c r="I824" s="4" t="str">
        <f>IFERROR(__xludf.DUMMYFUNCTION("""COMPUTED_VALUE"""),"מוצב נחל עוז; מיגונית 13")</f>
        <v>מוצב נחל עוז; מיגונית 13</v>
      </c>
      <c r="J824" s="4" t="str">
        <f>IFERROR(__xludf.DUMMYFUNCTION("""COMPUTED_VALUE"""),"חיילים")</f>
        <v>חיילים</v>
      </c>
      <c r="K824" s="5"/>
      <c r="L824" s="3" t="str">
        <f>IFERROR(__xludf.DUMMYFUNCTION("""COMPUTED_VALUE"""),"David Rathner")</f>
        <v>David Rathner</v>
      </c>
      <c r="M824" s="5"/>
    </row>
    <row r="825">
      <c r="A825" s="3">
        <f>IFERROR(__xludf.DUMMYFUNCTION("""COMPUTED_VALUE"""),286.0)</f>
        <v>286</v>
      </c>
      <c r="B825" s="4" t="str">
        <f>IFERROR(__xludf.DUMMYFUNCTION("""COMPUTED_VALUE"""),"שי ירון אורי")</f>
        <v>שי ירון אורי</v>
      </c>
      <c r="C825" s="3">
        <f>IFERROR(__xludf.DUMMYFUNCTION("""COMPUTED_VALUE"""),21.0)</f>
        <v>21</v>
      </c>
      <c r="D825" s="5" t="str">
        <f>IFERROR(__xludf.DUMMYFUNCTION("""COMPUTED_VALUE"""),"קדימה צורן")</f>
        <v>קדימה צורן</v>
      </c>
      <c r="E825" s="5" t="str">
        <f>IFERROR(__xludf.DUMMYFUNCTION("""COMPUTED_VALUE"""),"גבר")</f>
        <v>גבר</v>
      </c>
      <c r="F825" s="5" t="str">
        <f>IFERROR(__xludf.DUMMYFUNCTION("""COMPUTED_VALUE"""),"צה""ל")</f>
        <v>צה"ל</v>
      </c>
      <c r="G825" s="5" t="str">
        <f>IFERROR(__xludf.DUMMYFUNCTION("""COMPUTED_VALUE"""),"סמ״ר")</f>
        <v>סמ״ר</v>
      </c>
      <c r="H825" s="3" t="str">
        <f>IFERROR(__xludf.DUMMYFUNCTION("""COMPUTED_VALUE"""),"07.10.2023")</f>
        <v>07.10.2023</v>
      </c>
      <c r="I825" s="4" t="str">
        <f>IFERROR(__xludf.DUMMYFUNCTION("""COMPUTED_VALUE"""),"כרם שלום")</f>
        <v>כרם שלום</v>
      </c>
      <c r="J825" s="4" t="str">
        <f>IFERROR(__xludf.DUMMYFUNCTION("""COMPUTED_VALUE"""),"חיילים")</f>
        <v>חיילים</v>
      </c>
      <c r="K825" s="5"/>
      <c r="L825" s="3" t="str">
        <f>IFERROR(__xludf.DUMMYFUNCTION("""COMPUTED_VALUE"""),"Yaron Oree Shay")</f>
        <v>Yaron Oree Shay</v>
      </c>
    </row>
    <row r="826">
      <c r="A826" s="3">
        <f>IFERROR(__xludf.DUMMYFUNCTION("""COMPUTED_VALUE"""),994.0)</f>
        <v>994</v>
      </c>
      <c r="B826" s="4" t="str">
        <f>IFERROR(__xludf.DUMMYFUNCTION("""COMPUTED_VALUE"""),"שלומי רום")</f>
        <v>שלומי רום</v>
      </c>
      <c r="C826" s="3">
        <f>IFERROR(__xludf.DUMMYFUNCTION("""COMPUTED_VALUE"""),23.0)</f>
        <v>23</v>
      </c>
      <c r="D826" s="5" t="str">
        <f>IFERROR(__xludf.DUMMYFUNCTION("""COMPUTED_VALUE"""),"גנות")</f>
        <v>גנות</v>
      </c>
      <c r="E826" s="5" t="str">
        <f>IFERROR(__xludf.DUMMYFUNCTION("""COMPUTED_VALUE"""),"גבר")</f>
        <v>גבר</v>
      </c>
      <c r="F826" s="5" t="str">
        <f>IFERROR(__xludf.DUMMYFUNCTION("""COMPUTED_VALUE"""),"צה""ל")</f>
        <v>צה"ל</v>
      </c>
      <c r="G826" s="5" t="str">
        <f>IFERROR(__xludf.DUMMYFUNCTION("""COMPUTED_VALUE"""),"סרן")</f>
        <v>סרן</v>
      </c>
      <c r="H826" s="3" t="str">
        <f>IFERROR(__xludf.DUMMYFUNCTION("""COMPUTED_VALUE"""),"07.10.2023")</f>
        <v>07.10.2023</v>
      </c>
      <c r="I826" s="4" t="str">
        <f>IFERROR(__xludf.DUMMYFUNCTION("""COMPUTED_VALUE"""),"מחנה רעים")</f>
        <v>מחנה רעים</v>
      </c>
      <c r="J826" s="4" t="str">
        <f>IFERROR(__xludf.DUMMYFUNCTION("""COMPUTED_VALUE"""),"חיילים")</f>
        <v>חיילים</v>
      </c>
      <c r="K826" s="5"/>
      <c r="L826" s="3" t="str">
        <f>IFERROR(__xludf.DUMMYFUNCTION("""COMPUTED_VALUE"""),"Rom Shlomi")</f>
        <v>Rom Shlomi</v>
      </c>
      <c r="M826" s="5"/>
    </row>
    <row r="827">
      <c r="A827" s="3">
        <f>IFERROR(__xludf.DUMMYFUNCTION("""COMPUTED_VALUE"""),1279.0)</f>
        <v>1279</v>
      </c>
      <c r="B827" s="4" t="str">
        <f>IFERROR(__xludf.DUMMYFUNCTION("""COMPUTED_VALUE"""),"ישראל שני עידו")</f>
        <v>ישראל שני עידו</v>
      </c>
      <c r="C827" s="3">
        <f>IFERROR(__xludf.DUMMYFUNCTION("""COMPUTED_VALUE"""),29.0)</f>
        <v>29</v>
      </c>
      <c r="D827" s="5" t="str">
        <f>IFERROR(__xludf.DUMMYFUNCTION("""COMPUTED_VALUE"""),"רמת גן")</f>
        <v>רמת גן</v>
      </c>
      <c r="E827" s="5" t="str">
        <f>IFERROR(__xludf.DUMMYFUNCTION("""COMPUTED_VALUE"""),"גבר")</f>
        <v>גבר</v>
      </c>
      <c r="F827" s="5" t="str">
        <f>IFERROR(__xludf.DUMMYFUNCTION("""COMPUTED_VALUE"""),"צה""ל")</f>
        <v>צה"ל</v>
      </c>
      <c r="G827" s="5" t="str">
        <f>IFERROR(__xludf.DUMMYFUNCTION("""COMPUTED_VALUE"""),"רס״ן")</f>
        <v>רס״ן</v>
      </c>
      <c r="H827" s="3" t="str">
        <f>IFERROR(__xludf.DUMMYFUNCTION("""COMPUTED_VALUE"""),"07.10.2023")</f>
        <v>07.10.2023</v>
      </c>
      <c r="I827" s="2" t="str">
        <f>IFERROR(__xludf.DUMMYFUNCTION("""COMPUTED_VALUE"""),"בין סופה לחולית")</f>
        <v>בין סופה לחולית</v>
      </c>
      <c r="J827" s="4" t="str">
        <f>IFERROR(__xludf.DUMMYFUNCTION("""COMPUTED_VALUE"""),"חיילים")</f>
        <v>חיילים</v>
      </c>
      <c r="K827" s="5"/>
      <c r="L827" s="3" t="str">
        <f>IFERROR(__xludf.DUMMYFUNCTION("""COMPUTED_VALUE"""),"Ido Israel-Shani")</f>
        <v>Ido Israel-Shani</v>
      </c>
      <c r="M827" s="5"/>
    </row>
    <row r="828">
      <c r="A828" s="3">
        <f>IFERROR(__xludf.DUMMYFUNCTION("""COMPUTED_VALUE"""),1496.0)</f>
        <v>1496</v>
      </c>
      <c r="B828" s="4" t="str">
        <f>IFERROR(__xludf.DUMMYFUNCTION("""COMPUTED_VALUE"""),"שפרבר דניאל")</f>
        <v>שפרבר דניאל</v>
      </c>
      <c r="C828" s="3">
        <f>IFERROR(__xludf.DUMMYFUNCTION("""COMPUTED_VALUE"""),20.0)</f>
        <v>20</v>
      </c>
      <c r="D828" s="5" t="str">
        <f>IFERROR(__xludf.DUMMYFUNCTION("""COMPUTED_VALUE"""),"יהוד מונוסון")</f>
        <v>יהוד מונוסון</v>
      </c>
      <c r="E828" s="5" t="str">
        <f>IFERROR(__xludf.DUMMYFUNCTION("""COMPUTED_VALUE"""),"גבר")</f>
        <v>גבר</v>
      </c>
      <c r="F828" s="5" t="str">
        <f>IFERROR(__xludf.DUMMYFUNCTION("""COMPUTED_VALUE"""),"צה""ל")</f>
        <v>צה"ל</v>
      </c>
      <c r="G828" s="5" t="str">
        <f>IFERROR(__xludf.DUMMYFUNCTION("""COMPUTED_VALUE"""),"סמ״ר")</f>
        <v>סמ״ר</v>
      </c>
      <c r="H828" s="3" t="str">
        <f>IFERROR(__xludf.DUMMYFUNCTION("""COMPUTED_VALUE"""),"07.10.2023")</f>
        <v>07.10.2023</v>
      </c>
      <c r="I828" s="4" t="str">
        <f>IFERROR(__xludf.DUMMYFUNCTION("""COMPUTED_VALUE"""),"מוצב נחל עוז; בלונאים")</f>
        <v>מוצב נחל עוז; בלונאים</v>
      </c>
      <c r="J828" s="4" t="str">
        <f>IFERROR(__xludf.DUMMYFUNCTION("""COMPUTED_VALUE"""),"חיילים")</f>
        <v>חיילים</v>
      </c>
      <c r="K828" s="5"/>
      <c r="L828" s="3" t="str">
        <f>IFERROR(__xludf.DUMMYFUNCTION("""COMPUTED_VALUE"""),"Daniel Shperber")</f>
        <v>Daniel Shperber</v>
      </c>
    </row>
    <row r="829">
      <c r="A829" s="3">
        <f>IFERROR(__xludf.DUMMYFUNCTION("""COMPUTED_VALUE"""),242.0)</f>
        <v>242</v>
      </c>
      <c r="B829" s="4" t="str">
        <f>IFERROR(__xludf.DUMMYFUNCTION("""COMPUTED_VALUE"""),"שקותאי גלי רועי")</f>
        <v>שקותאי גלי רועי</v>
      </c>
      <c r="C829" s="3">
        <f>IFERROR(__xludf.DUMMYFUNCTION("""COMPUTED_VALUE"""),21.0)</f>
        <v>21</v>
      </c>
      <c r="D829" s="5" t="str">
        <f>IFERROR(__xludf.DUMMYFUNCTION("""COMPUTED_VALUE"""),"צופר")</f>
        <v>צופר</v>
      </c>
      <c r="E829" s="5" t="str">
        <f>IFERROR(__xludf.DUMMYFUNCTION("""COMPUTED_VALUE"""),"גבר")</f>
        <v>גבר</v>
      </c>
      <c r="F829" s="5" t="str">
        <f>IFERROR(__xludf.DUMMYFUNCTION("""COMPUTED_VALUE"""),"צה""ל")</f>
        <v>צה"ל</v>
      </c>
      <c r="G829" s="5" t="str">
        <f>IFERROR(__xludf.DUMMYFUNCTION("""COMPUTED_VALUE"""),"סמ״ר")</f>
        <v>סמ״ר</v>
      </c>
      <c r="H829" s="3" t="str">
        <f>IFERROR(__xludf.DUMMYFUNCTION("""COMPUTED_VALUE"""),"07.10.2023")</f>
        <v>07.10.2023</v>
      </c>
      <c r="I829" s="4" t="str">
        <f>IFERROR(__xludf.DUMMYFUNCTION("""COMPUTED_VALUE"""),"מוצב סופה")</f>
        <v>מוצב סופה</v>
      </c>
      <c r="J829" s="4" t="str">
        <f>IFERROR(__xludf.DUMMYFUNCTION("""COMPUTED_VALUE"""),"חיילים")</f>
        <v>חיילים</v>
      </c>
      <c r="K829" s="5"/>
      <c r="L829" s="3" t="str">
        <f>IFERROR(__xludf.DUMMYFUNCTION("""COMPUTED_VALUE"""),"Gali Roi Shakotai")</f>
        <v>Gali Roi Shakotai</v>
      </c>
      <c r="M829" s="5"/>
    </row>
    <row r="830">
      <c r="A830" s="3">
        <f>IFERROR(__xludf.DUMMYFUNCTION("""COMPUTED_VALUE"""),1585.0)</f>
        <v>1585</v>
      </c>
      <c r="B830" s="4" t="str">
        <f>IFERROR(__xludf.DUMMYFUNCTION("""COMPUTED_VALUE"""),"טהר אדיר")</f>
        <v>טהר אדיר</v>
      </c>
      <c r="C830" s="3">
        <f>IFERROR(__xludf.DUMMYFUNCTION("""COMPUTED_VALUE"""),19.0)</f>
        <v>19</v>
      </c>
      <c r="D830" s="5" t="str">
        <f>IFERROR(__xludf.DUMMYFUNCTION("""COMPUTED_VALUE"""),"ירושלים")</f>
        <v>ירושלים</v>
      </c>
      <c r="E830" s="5" t="str">
        <f>IFERROR(__xludf.DUMMYFUNCTION("""COMPUTED_VALUE"""),"גבר")</f>
        <v>גבר</v>
      </c>
      <c r="F830" s="5" t="str">
        <f>IFERROR(__xludf.DUMMYFUNCTION("""COMPUTED_VALUE"""),"צה""ל")</f>
        <v>צה"ל</v>
      </c>
      <c r="G830" s="5" t="str">
        <f>IFERROR(__xludf.DUMMYFUNCTION("""COMPUTED_VALUE"""),"סמל")</f>
        <v>סמל</v>
      </c>
      <c r="H830" s="3" t="str">
        <f>IFERROR(__xludf.DUMMYFUNCTION("""COMPUTED_VALUE"""),"07.10.2023")</f>
        <v>07.10.2023</v>
      </c>
      <c r="I830" s="4" t="str">
        <f>IFERROR(__xludf.DUMMYFUNCTION("""COMPUTED_VALUE"""),"מעבר ארז")</f>
        <v>מעבר ארז</v>
      </c>
      <c r="J830" s="4" t="str">
        <f>IFERROR(__xludf.DUMMYFUNCTION("""COMPUTED_VALUE"""),"חיילים")</f>
        <v>חיילים</v>
      </c>
      <c r="K830" s="5"/>
      <c r="L830" s="3" t="str">
        <f>IFERROR(__xludf.DUMMYFUNCTION("""COMPUTED_VALUE"""),"Adir Tahar")</f>
        <v>Adir Tahar</v>
      </c>
      <c r="M830" s="5"/>
    </row>
    <row r="831">
      <c r="A831" s="3">
        <f>IFERROR(__xludf.DUMMYFUNCTION("""COMPUTED_VALUE"""),254.0)</f>
        <v>254</v>
      </c>
      <c r="B831" s="4" t="str">
        <f>IFERROR(__xludf.DUMMYFUNCTION("""COMPUTED_VALUE"""),"אהרן יוגב")</f>
        <v>אהרן יוגב</v>
      </c>
      <c r="C831" s="3">
        <f>IFERROR(__xludf.DUMMYFUNCTION("""COMPUTED_VALUE"""),20.0)</f>
        <v>20</v>
      </c>
      <c r="D831" s="5" t="str">
        <f>IFERROR(__xludf.DUMMYFUNCTION("""COMPUTED_VALUE"""),"פרדס חנה-כרכור")</f>
        <v>פרדס חנה-כרכור</v>
      </c>
      <c r="E831" s="5" t="str">
        <f>IFERROR(__xludf.DUMMYFUNCTION("""COMPUTED_VALUE"""),"גבר")</f>
        <v>גבר</v>
      </c>
      <c r="F831" s="5" t="str">
        <f>IFERROR(__xludf.DUMMYFUNCTION("""COMPUTED_VALUE"""),"צה""ל")</f>
        <v>צה"ל</v>
      </c>
      <c r="G831" s="5" t="str">
        <f>IFERROR(__xludf.DUMMYFUNCTION("""COMPUTED_VALUE"""),"סמ״ר")</f>
        <v>סמ״ר</v>
      </c>
      <c r="H831" s="3" t="str">
        <f>IFERROR(__xludf.DUMMYFUNCTION("""COMPUTED_VALUE"""),"07.10.2023")</f>
        <v>07.10.2023</v>
      </c>
      <c r="I831" s="4" t="str">
        <f>IFERROR(__xludf.DUMMYFUNCTION("""COMPUTED_VALUE"""),"מוצב כיסופים; מיגונית")</f>
        <v>מוצב כיסופים; מיגונית</v>
      </c>
      <c r="J831" s="4" t="str">
        <f>IFERROR(__xludf.DUMMYFUNCTION("""COMPUTED_VALUE"""),"חיילים")</f>
        <v>חיילים</v>
      </c>
      <c r="K831" s="5"/>
      <c r="L831" s="3" t="str">
        <f>IFERROR(__xludf.DUMMYFUNCTION("""COMPUTED_VALUE"""),"Yogev Aharon")</f>
        <v>Yogev Aharon</v>
      </c>
      <c r="M831" s="5"/>
    </row>
    <row r="832">
      <c r="A832" s="3">
        <f>IFERROR(__xludf.DUMMYFUNCTION("""COMPUTED_VALUE"""),1725.0)</f>
        <v>1725</v>
      </c>
      <c r="B832" s="4" t="str">
        <f>IFERROR(__xludf.DUMMYFUNCTION("""COMPUTED_VALUE"""),"אוחיון אביתר")</f>
        <v>אוחיון אביתר</v>
      </c>
      <c r="C832" s="3">
        <f>IFERROR(__xludf.DUMMYFUNCTION("""COMPUTED_VALUE"""),22.0)</f>
        <v>22</v>
      </c>
      <c r="D832" s="5" t="str">
        <f>IFERROR(__xludf.DUMMYFUNCTION("""COMPUTED_VALUE"""),"ירושלים")</f>
        <v>ירושלים</v>
      </c>
      <c r="E832" s="5" t="str">
        <f>IFERROR(__xludf.DUMMYFUNCTION("""COMPUTED_VALUE"""),"גבר")</f>
        <v>גבר</v>
      </c>
      <c r="F832" s="5" t="str">
        <f>IFERROR(__xludf.DUMMYFUNCTION("""COMPUTED_VALUE"""),"צה""ל")</f>
        <v>צה"ל</v>
      </c>
      <c r="G832" s="5" t="str">
        <f>IFERROR(__xludf.DUMMYFUNCTION("""COMPUTED_VALUE"""),"סמ״ר")</f>
        <v>סמ״ר</v>
      </c>
      <c r="H832" s="3" t="str">
        <f>IFERROR(__xludf.DUMMYFUNCTION("""COMPUTED_VALUE"""),"07.10.2023")</f>
        <v>07.10.2023</v>
      </c>
      <c r="I832" s="4" t="str">
        <f>IFERROR(__xludf.DUMMYFUNCTION("""COMPUTED_VALUE"""),"מוצב כיסופים; מיגונית")</f>
        <v>מוצב כיסופים; מיגונית</v>
      </c>
      <c r="J832" s="4" t="str">
        <f>IFERROR(__xludf.DUMMYFUNCTION("""COMPUTED_VALUE"""),"חיילים")</f>
        <v>חיילים</v>
      </c>
      <c r="K832" s="5"/>
      <c r="L832" s="3" t="str">
        <f>IFERROR(__xludf.DUMMYFUNCTION("""COMPUTED_VALUE"""),"Evyatar Ohayon")</f>
        <v>Evyatar Ohayon</v>
      </c>
      <c r="M832" s="5"/>
    </row>
    <row r="833">
      <c r="A833" s="3">
        <f>IFERROR(__xludf.DUMMYFUNCTION("""COMPUTED_VALUE"""),213.0)</f>
        <v>213</v>
      </c>
      <c r="B833" s="4" t="str">
        <f>IFERROR(__xludf.DUMMYFUNCTION("""COMPUTED_VALUE"""),"בזק גיא")</f>
        <v>בזק גיא</v>
      </c>
      <c r="C833" s="3">
        <f>IFERROR(__xludf.DUMMYFUNCTION("""COMPUTED_VALUE"""),19.0)</f>
        <v>19</v>
      </c>
      <c r="D833" s="5" t="str">
        <f>IFERROR(__xludf.DUMMYFUNCTION("""COMPUTED_VALUE"""),"כוכב יאיר")</f>
        <v>כוכב יאיר</v>
      </c>
      <c r="E833" s="5" t="str">
        <f>IFERROR(__xludf.DUMMYFUNCTION("""COMPUTED_VALUE"""),"גבר")</f>
        <v>גבר</v>
      </c>
      <c r="F833" s="5" t="str">
        <f>IFERROR(__xludf.DUMMYFUNCTION("""COMPUTED_VALUE"""),"צה""ל")</f>
        <v>צה"ל</v>
      </c>
      <c r="G833" s="5" t="str">
        <f>IFERROR(__xludf.DUMMYFUNCTION("""COMPUTED_VALUE"""),"סמל")</f>
        <v>סמל</v>
      </c>
      <c r="H833" s="3" t="str">
        <f>IFERROR(__xludf.DUMMYFUNCTION("""COMPUTED_VALUE"""),"07.10.2023")</f>
        <v>07.10.2023</v>
      </c>
      <c r="I833" s="4" t="str">
        <f>IFERROR(__xludf.DUMMYFUNCTION("""COMPUTED_VALUE"""),"כיסופים")</f>
        <v>כיסופים</v>
      </c>
      <c r="J833" s="4" t="str">
        <f>IFERROR(__xludf.DUMMYFUNCTION("""COMPUTED_VALUE"""),"חיילים")</f>
        <v>חיילים</v>
      </c>
      <c r="K833" s="5"/>
      <c r="L833" s="3" t="str">
        <f>IFERROR(__xludf.DUMMYFUNCTION("""COMPUTED_VALUE"""),"Guy Bazak")</f>
        <v>Guy Bazak</v>
      </c>
      <c r="M833" s="5"/>
    </row>
    <row r="834">
      <c r="A834" s="3">
        <f>IFERROR(__xludf.DUMMYFUNCTION("""COMPUTED_VALUE"""),483.0)</f>
        <v>483</v>
      </c>
      <c r="B834" s="4" t="str">
        <f>IFERROR(__xludf.DUMMYFUNCTION("""COMPUTED_VALUE"""),"בטיטו ראם מאיר")</f>
        <v>בטיטו ראם מאיר</v>
      </c>
      <c r="C834" s="3">
        <f>IFERROR(__xludf.DUMMYFUNCTION("""COMPUTED_VALUE"""),19.0)</f>
        <v>19</v>
      </c>
      <c r="D834" s="5" t="str">
        <f>IFERROR(__xludf.DUMMYFUNCTION("""COMPUTED_VALUE"""),"נתניה")</f>
        <v>נתניה</v>
      </c>
      <c r="E834" s="5" t="str">
        <f>IFERROR(__xludf.DUMMYFUNCTION("""COMPUTED_VALUE"""),"גבר")</f>
        <v>גבר</v>
      </c>
      <c r="F834" s="5" t="str">
        <f>IFERROR(__xludf.DUMMYFUNCTION("""COMPUTED_VALUE"""),"צה""ל")</f>
        <v>צה"ל</v>
      </c>
      <c r="G834" s="5" t="str">
        <f>IFERROR(__xludf.DUMMYFUNCTION("""COMPUTED_VALUE"""),"סמל")</f>
        <v>סמל</v>
      </c>
      <c r="H834" s="3" t="str">
        <f>IFERROR(__xludf.DUMMYFUNCTION("""COMPUTED_VALUE"""),"07.10.2023")</f>
        <v>07.10.2023</v>
      </c>
      <c r="I834" s="4" t="str">
        <f>IFERROR(__xludf.DUMMYFUNCTION("""COMPUTED_VALUE"""),"מוצב כיסופים")</f>
        <v>מוצב כיסופים</v>
      </c>
      <c r="J834" s="4" t="str">
        <f>IFERROR(__xludf.DUMMYFUNCTION("""COMPUTED_VALUE"""),"חיילים")</f>
        <v>חיילים</v>
      </c>
      <c r="K834" s="5"/>
      <c r="L834" s="3" t="str">
        <f>IFERROR(__xludf.DUMMYFUNCTION("""COMPUTED_VALUE"""),"Re'em Meir-Betito")</f>
        <v>Re'em Meir-Betito</v>
      </c>
      <c r="M834" s="5"/>
    </row>
    <row r="835">
      <c r="A835" s="3">
        <f>IFERROR(__xludf.DUMMYFUNCTION("""COMPUTED_VALUE"""),374.0)</f>
        <v>374</v>
      </c>
      <c r="B835" s="4" t="str">
        <f>IFERROR(__xludf.DUMMYFUNCTION("""COMPUTED_VALUE"""),"בלאי בנימין")</f>
        <v>בלאי בנימין</v>
      </c>
      <c r="C835" s="3">
        <f>IFERROR(__xludf.DUMMYFUNCTION("""COMPUTED_VALUE"""),20.0)</f>
        <v>20</v>
      </c>
      <c r="D835" s="5" t="str">
        <f>IFERROR(__xludf.DUMMYFUNCTION("""COMPUTED_VALUE"""),"רחובות")</f>
        <v>רחובות</v>
      </c>
      <c r="E835" s="5" t="str">
        <f>IFERROR(__xludf.DUMMYFUNCTION("""COMPUTED_VALUE"""),"גבר")</f>
        <v>גבר</v>
      </c>
      <c r="F835" s="5" t="str">
        <f>IFERROR(__xludf.DUMMYFUNCTION("""COMPUTED_VALUE"""),"צה""ל")</f>
        <v>צה"ל</v>
      </c>
      <c r="G835" s="5" t="str">
        <f>IFERROR(__xludf.DUMMYFUNCTION("""COMPUTED_VALUE"""),"סמ״ר")</f>
        <v>סמ״ר</v>
      </c>
      <c r="H835" s="3" t="str">
        <f>IFERROR(__xludf.DUMMYFUNCTION("""COMPUTED_VALUE"""),"07.10.2023")</f>
        <v>07.10.2023</v>
      </c>
      <c r="I835" s="4" t="str">
        <f>IFERROR(__xludf.DUMMYFUNCTION("""COMPUTED_VALUE"""),"מוצב כיסופים")</f>
        <v>מוצב כיסופים</v>
      </c>
      <c r="J835" s="4" t="str">
        <f>IFERROR(__xludf.DUMMYFUNCTION("""COMPUTED_VALUE"""),"חיילים")</f>
        <v>חיילים</v>
      </c>
      <c r="K835" s="5"/>
      <c r="L835" s="3" t="str">
        <f>IFERROR(__xludf.DUMMYFUNCTION("""COMPUTED_VALUE"""),"Benyamin Blay")</f>
        <v>Benyamin Blay</v>
      </c>
      <c r="M835" s="5"/>
    </row>
    <row r="836">
      <c r="A836" s="3">
        <f>IFERROR(__xludf.DUMMYFUNCTION("""COMPUTED_VALUE"""),1443.0)</f>
        <v>1443</v>
      </c>
      <c r="B836" s="4" t="str">
        <f>IFERROR(__xludf.DUMMYFUNCTION("""COMPUTED_VALUE"""),"בן חמו מיכאל")</f>
        <v>בן חמו מיכאל</v>
      </c>
      <c r="C836" s="3">
        <f>IFERROR(__xludf.DUMMYFUNCTION("""COMPUTED_VALUE"""),21.0)</f>
        <v>21</v>
      </c>
      <c r="D836" s="5" t="str">
        <f>IFERROR(__xludf.DUMMYFUNCTION("""COMPUTED_VALUE"""),"רחובות")</f>
        <v>רחובות</v>
      </c>
      <c r="E836" s="5" t="str">
        <f>IFERROR(__xludf.DUMMYFUNCTION("""COMPUTED_VALUE"""),"גבר")</f>
        <v>גבר</v>
      </c>
      <c r="F836" s="5" t="str">
        <f>IFERROR(__xludf.DUMMYFUNCTION("""COMPUTED_VALUE"""),"צה""ל")</f>
        <v>צה"ל</v>
      </c>
      <c r="G836" s="5" t="str">
        <f>IFERROR(__xludf.DUMMYFUNCTION("""COMPUTED_VALUE"""),"סמ״ר")</f>
        <v>סמ״ר</v>
      </c>
      <c r="H836" s="3" t="str">
        <f>IFERROR(__xludf.DUMMYFUNCTION("""COMPUTED_VALUE"""),"07.10.2023")</f>
        <v>07.10.2023</v>
      </c>
      <c r="I836" s="4" t="str">
        <f>IFERROR(__xludf.DUMMYFUNCTION("""COMPUTED_VALUE"""),"כיסופים")</f>
        <v>כיסופים</v>
      </c>
      <c r="J836" s="4" t="str">
        <f>IFERROR(__xludf.DUMMYFUNCTION("""COMPUTED_VALUE"""),"חיילים")</f>
        <v>חיילים</v>
      </c>
      <c r="K836" s="5"/>
      <c r="L836" s="3" t="str">
        <f>IFERROR(__xludf.DUMMYFUNCTION("""COMPUTED_VALUE"""),"Michael Ben Chemo")</f>
        <v>Michael Ben Chemo</v>
      </c>
      <c r="M836" s="5"/>
    </row>
    <row r="837">
      <c r="A837" s="3">
        <f>IFERROR(__xludf.DUMMYFUNCTION("""COMPUTED_VALUE"""),2011.0)</f>
        <v>2011</v>
      </c>
      <c r="B837" s="4" t="str">
        <f>IFERROR(__xludf.DUMMYFUNCTION("""COMPUTED_VALUE"""),"בן מוחה עילי נועם")</f>
        <v>בן מוחה עילי נועם</v>
      </c>
      <c r="C837" s="3">
        <f>IFERROR(__xludf.DUMMYFUNCTION("""COMPUTED_VALUE"""),20.0)</f>
        <v>20</v>
      </c>
      <c r="D837" s="5" t="str">
        <f>IFERROR(__xludf.DUMMYFUNCTION("""COMPUTED_VALUE"""),"אשדוד")</f>
        <v>אשדוד</v>
      </c>
      <c r="E837" s="5" t="str">
        <f>IFERROR(__xludf.DUMMYFUNCTION("""COMPUTED_VALUE"""),"גבר")</f>
        <v>גבר</v>
      </c>
      <c r="F837" s="5" t="str">
        <f>IFERROR(__xludf.DUMMYFUNCTION("""COMPUTED_VALUE"""),"צה""ל")</f>
        <v>צה"ל</v>
      </c>
      <c r="G837" s="5" t="str">
        <f>IFERROR(__xludf.DUMMYFUNCTION("""COMPUTED_VALUE"""),"סמל")</f>
        <v>סמל</v>
      </c>
      <c r="H837" s="3" t="str">
        <f>IFERROR(__xludf.DUMMYFUNCTION("""COMPUTED_VALUE"""),"07.10.2023")</f>
        <v>07.10.2023</v>
      </c>
      <c r="I837" s="4" t="str">
        <f>IFERROR(__xludf.DUMMYFUNCTION("""COMPUTED_VALUE"""),"מוצב כיסופים")</f>
        <v>מוצב כיסופים</v>
      </c>
      <c r="J837" s="4" t="str">
        <f>IFERROR(__xludf.DUMMYFUNCTION("""COMPUTED_VALUE"""),"חיילים")</f>
        <v>חיילים</v>
      </c>
      <c r="K837" s="5"/>
      <c r="L837" s="3" t="str">
        <f>IFERROR(__xludf.DUMMYFUNCTION("""COMPUTED_VALUE"""),"Ilay Noam Ben Muha")</f>
        <v>Ilay Noam Ben Muha</v>
      </c>
      <c r="M837" s="5"/>
    </row>
    <row r="838">
      <c r="A838" s="3">
        <f>IFERROR(__xludf.DUMMYFUNCTION("""COMPUTED_VALUE"""),1294.0)</f>
        <v>1294</v>
      </c>
      <c r="B838" s="4" t="str">
        <f>IFERROR(__xludf.DUMMYFUNCTION("""COMPUTED_VALUE"""),"טקה בנימין טשגר")</f>
        <v>טקה בנימין טשגר</v>
      </c>
      <c r="C838" s="3">
        <f>IFERROR(__xludf.DUMMYFUNCTION("""COMPUTED_VALUE"""),21.0)</f>
        <v>21</v>
      </c>
      <c r="D838" s="5" t="str">
        <f>IFERROR(__xludf.DUMMYFUNCTION("""COMPUTED_VALUE"""),"ירושלים")</f>
        <v>ירושלים</v>
      </c>
      <c r="E838" s="5" t="str">
        <f>IFERROR(__xludf.DUMMYFUNCTION("""COMPUTED_VALUE"""),"גבר")</f>
        <v>גבר</v>
      </c>
      <c r="F838" s="5" t="str">
        <f>IFERROR(__xludf.DUMMYFUNCTION("""COMPUTED_VALUE"""),"צה""ל")</f>
        <v>צה"ל</v>
      </c>
      <c r="G838" s="5" t="str">
        <f>IFERROR(__xludf.DUMMYFUNCTION("""COMPUTED_VALUE"""),"סמ״ר")</f>
        <v>סמ״ר</v>
      </c>
      <c r="H838" s="3" t="str">
        <f>IFERROR(__xludf.DUMMYFUNCTION("""COMPUTED_VALUE"""),"07.10.2023")</f>
        <v>07.10.2023</v>
      </c>
      <c r="I838" s="4" t="str">
        <f>IFERROR(__xludf.DUMMYFUNCTION("""COMPUTED_VALUE"""),"מוצב כיסופים; מיגונית")</f>
        <v>מוצב כיסופים; מיגונית</v>
      </c>
      <c r="J838" s="2" t="str">
        <f>IFERROR(__xludf.DUMMYFUNCTION("""COMPUTED_VALUE"""),"חיילים")</f>
        <v>חיילים</v>
      </c>
      <c r="K838" s="5"/>
      <c r="L838" s="3" t="str">
        <f>IFERROR(__xludf.DUMMYFUNCTION("""COMPUTED_VALUE"""),"Benjamin Taka Tashgar")</f>
        <v>Benjamin Taka Tashgar</v>
      </c>
      <c r="M838" s="5"/>
    </row>
    <row r="839">
      <c r="A839" s="3">
        <f>IFERROR(__xludf.DUMMYFUNCTION("""COMPUTED_VALUE"""),1712.0)</f>
        <v>1712</v>
      </c>
      <c r="B839" s="4" t="str">
        <f>IFERROR(__xludf.DUMMYFUNCTION("""COMPUTED_VALUE"""),"מיטלמן דוד")</f>
        <v>מיטלמן דוד</v>
      </c>
      <c r="C839" s="3">
        <f>IFERROR(__xludf.DUMMYFUNCTION("""COMPUTED_VALUE"""),20.0)</f>
        <v>20</v>
      </c>
      <c r="D839" s="5" t="str">
        <f>IFERROR(__xludf.DUMMYFUNCTION("""COMPUTED_VALUE"""),"מודיעין עילית")</f>
        <v>מודיעין עילית</v>
      </c>
      <c r="E839" s="5" t="str">
        <f>IFERROR(__xludf.DUMMYFUNCTION("""COMPUTED_VALUE"""),"גבר")</f>
        <v>גבר</v>
      </c>
      <c r="F839" s="5" t="str">
        <f>IFERROR(__xludf.DUMMYFUNCTION("""COMPUTED_VALUE"""),"צה""ל")</f>
        <v>צה"ל</v>
      </c>
      <c r="G839" s="5" t="str">
        <f>IFERROR(__xludf.DUMMYFUNCTION("""COMPUTED_VALUE"""),"סמל")</f>
        <v>סמל</v>
      </c>
      <c r="H839" s="3" t="str">
        <f>IFERROR(__xludf.DUMMYFUNCTION("""COMPUTED_VALUE"""),"07.10.2023")</f>
        <v>07.10.2023</v>
      </c>
      <c r="I839" s="4" t="str">
        <f>IFERROR(__xludf.DUMMYFUNCTION("""COMPUTED_VALUE"""),"מוצב כיסופים")</f>
        <v>מוצב כיסופים</v>
      </c>
      <c r="J839" s="4" t="str">
        <f>IFERROR(__xludf.DUMMYFUNCTION("""COMPUTED_VALUE"""),"חיילים")</f>
        <v>חיילים</v>
      </c>
      <c r="K839" s="5"/>
      <c r="L839" s="3" t="str">
        <f>IFERROR(__xludf.DUMMYFUNCTION("""COMPUTED_VALUE"""),"David Mittleman")</f>
        <v>David Mittleman</v>
      </c>
      <c r="M839" s="5"/>
    </row>
    <row r="840">
      <c r="A840" s="3">
        <f>IFERROR(__xludf.DUMMYFUNCTION("""COMPUTED_VALUE"""),392.0)</f>
        <v>392</v>
      </c>
      <c r="B840" s="4" t="str">
        <f>IFERROR(__xludf.DUMMYFUNCTION("""COMPUTED_VALUE"""),"סביצקי יונתן")</f>
        <v>סביצקי יונתן</v>
      </c>
      <c r="C840" s="3">
        <f>IFERROR(__xludf.DUMMYFUNCTION("""COMPUTED_VALUE"""),21.0)</f>
        <v>21</v>
      </c>
      <c r="D840" s="5" t="str">
        <f>IFERROR(__xludf.DUMMYFUNCTION("""COMPUTED_VALUE"""),"מודיעין מכבים רעות")</f>
        <v>מודיעין מכבים רעות</v>
      </c>
      <c r="E840" s="5" t="str">
        <f>IFERROR(__xludf.DUMMYFUNCTION("""COMPUTED_VALUE"""),"גבר")</f>
        <v>גבר</v>
      </c>
      <c r="F840" s="5" t="str">
        <f>IFERROR(__xludf.DUMMYFUNCTION("""COMPUTED_VALUE"""),"צה""ל")</f>
        <v>צה"ל</v>
      </c>
      <c r="G840" s="5" t="str">
        <f>IFERROR(__xludf.DUMMYFUNCTION("""COMPUTED_VALUE"""),"רס״ל")</f>
        <v>רס״ל</v>
      </c>
      <c r="H840" s="3" t="str">
        <f>IFERROR(__xludf.DUMMYFUNCTION("""COMPUTED_VALUE"""),"07.10.2023")</f>
        <v>07.10.2023</v>
      </c>
      <c r="I840" s="4" t="str">
        <f>IFERROR(__xludf.DUMMYFUNCTION("""COMPUTED_VALUE"""),"מוצב כיסופים")</f>
        <v>מוצב כיסופים</v>
      </c>
      <c r="J840" s="4" t="str">
        <f>IFERROR(__xludf.DUMMYFUNCTION("""COMPUTED_VALUE"""),"חיילים")</f>
        <v>חיילים</v>
      </c>
      <c r="K840" s="5"/>
      <c r="L840" s="3" t="str">
        <f>IFERROR(__xludf.DUMMYFUNCTION("""COMPUTED_VALUE"""),"Jonathan Savitsky")</f>
        <v>Jonathan Savitsky</v>
      </c>
      <c r="M840" s="5"/>
    </row>
    <row r="841">
      <c r="A841" s="3">
        <f>IFERROR(__xludf.DUMMYFUNCTION("""COMPUTED_VALUE"""),380.0)</f>
        <v>380</v>
      </c>
      <c r="B841" s="4" t="str">
        <f>IFERROR(__xludf.DUMMYFUNCTION("""COMPUTED_VALUE"""),"סגל אוריאל")</f>
        <v>סגל אוריאל</v>
      </c>
      <c r="C841" s="3">
        <f>IFERROR(__xludf.DUMMYFUNCTION("""COMPUTED_VALUE"""),19.0)</f>
        <v>19</v>
      </c>
      <c r="D841" s="5" t="str">
        <f>IFERROR(__xludf.DUMMYFUNCTION("""COMPUTED_VALUE"""),"פתח תקווה")</f>
        <v>פתח תקווה</v>
      </c>
      <c r="E841" s="5" t="str">
        <f>IFERROR(__xludf.DUMMYFUNCTION("""COMPUTED_VALUE"""),"גבר")</f>
        <v>גבר</v>
      </c>
      <c r="F841" s="5" t="str">
        <f>IFERROR(__xludf.DUMMYFUNCTION("""COMPUTED_VALUE"""),"צה""ל")</f>
        <v>צה"ל</v>
      </c>
      <c r="G841" s="5" t="str">
        <f>IFERROR(__xludf.DUMMYFUNCTION("""COMPUTED_VALUE"""),"סמל")</f>
        <v>סמל</v>
      </c>
      <c r="H841" s="3" t="str">
        <f>IFERROR(__xludf.DUMMYFUNCTION("""COMPUTED_VALUE"""),"07.10.2023")</f>
        <v>07.10.2023</v>
      </c>
      <c r="I841" s="4" t="str">
        <f>IFERROR(__xludf.DUMMYFUNCTION("""COMPUTED_VALUE"""),"מוצב כיסופים; מיגונית")</f>
        <v>מוצב כיסופים; מיגונית</v>
      </c>
      <c r="J841" s="4" t="str">
        <f>IFERROR(__xludf.DUMMYFUNCTION("""COMPUTED_VALUE"""),"חיילים")</f>
        <v>חיילים</v>
      </c>
      <c r="K841" s="5"/>
      <c r="L841" s="3" t="str">
        <f>IFERROR(__xludf.DUMMYFUNCTION("""COMPUTED_VALUE"""),"Uriel Segal")</f>
        <v>Uriel Segal</v>
      </c>
      <c r="M841" s="5"/>
    </row>
    <row r="842">
      <c r="A842" s="3">
        <f>IFERROR(__xludf.DUMMYFUNCTION("""COMPUTED_VALUE"""),397.0)</f>
        <v>397</v>
      </c>
      <c r="B842" s="4" t="str">
        <f>IFERROR(__xludf.DUMMYFUNCTION("""COMPUTED_VALUE"""),"פלד עמית")</f>
        <v>פלד עמית</v>
      </c>
      <c r="C842" s="3">
        <f>IFERROR(__xludf.DUMMYFUNCTION("""COMPUTED_VALUE"""),21.0)</f>
        <v>21</v>
      </c>
      <c r="D842" s="5" t="str">
        <f>IFERROR(__xludf.DUMMYFUNCTION("""COMPUTED_VALUE"""),"חיפה")</f>
        <v>חיפה</v>
      </c>
      <c r="E842" s="5" t="str">
        <f>IFERROR(__xludf.DUMMYFUNCTION("""COMPUTED_VALUE"""),"גבר")</f>
        <v>גבר</v>
      </c>
      <c r="F842" s="5" t="str">
        <f>IFERROR(__xludf.DUMMYFUNCTION("""COMPUTED_VALUE"""),"צה""ל")</f>
        <v>צה"ל</v>
      </c>
      <c r="G842" s="5" t="str">
        <f>IFERROR(__xludf.DUMMYFUNCTION("""COMPUTED_VALUE"""),"רס״ל")</f>
        <v>רס״ל</v>
      </c>
      <c r="H842" s="3" t="str">
        <f>IFERROR(__xludf.DUMMYFUNCTION("""COMPUTED_VALUE"""),"07.10.2023")</f>
        <v>07.10.2023</v>
      </c>
      <c r="I842" s="4" t="str">
        <f>IFERROR(__xludf.DUMMYFUNCTION("""COMPUTED_VALUE"""),"מוצב כיסופים")</f>
        <v>מוצב כיסופים</v>
      </c>
      <c r="J842" s="4" t="str">
        <f>IFERROR(__xludf.DUMMYFUNCTION("""COMPUTED_VALUE"""),"חיילים")</f>
        <v>חיילים</v>
      </c>
      <c r="K842" s="5"/>
      <c r="L842" s="3" t="str">
        <f>IFERROR(__xludf.DUMMYFUNCTION("""COMPUTED_VALUE"""),"Amit Peled")</f>
        <v>Amit Peled</v>
      </c>
      <c r="M842" s="5"/>
    </row>
    <row r="843">
      <c r="A843" s="3">
        <f>IFERROR(__xludf.DUMMYFUNCTION("""COMPUTED_VALUE"""),398.0)</f>
        <v>398</v>
      </c>
      <c r="B843" s="4" t="str">
        <f>IFERROR(__xludf.DUMMYFUNCTION("""COMPUTED_VALUE"""),"פרץ רז (רזיאל)")</f>
        <v>פרץ רז (רזיאל)</v>
      </c>
      <c r="C843" s="3">
        <f>IFERROR(__xludf.DUMMYFUNCTION("""COMPUTED_VALUE"""),24.0)</f>
        <v>24</v>
      </c>
      <c r="D843" s="5" t="str">
        <f>IFERROR(__xludf.DUMMYFUNCTION("""COMPUTED_VALUE"""),"עפולה")</f>
        <v>עפולה</v>
      </c>
      <c r="E843" s="5" t="str">
        <f>IFERROR(__xludf.DUMMYFUNCTION("""COMPUTED_VALUE"""),"גבר")</f>
        <v>גבר</v>
      </c>
      <c r="F843" s="5" t="str">
        <f>IFERROR(__xludf.DUMMYFUNCTION("""COMPUTED_VALUE"""),"צה""ל")</f>
        <v>צה"ל</v>
      </c>
      <c r="G843" s="5" t="str">
        <f>IFERROR(__xludf.DUMMYFUNCTION("""COMPUTED_VALUE"""),"רס״ן")</f>
        <v>רס״ן</v>
      </c>
      <c r="H843" s="3" t="str">
        <f>IFERROR(__xludf.DUMMYFUNCTION("""COMPUTED_VALUE"""),"07.10.2023")</f>
        <v>07.10.2023</v>
      </c>
      <c r="I843" s="4" t="str">
        <f>IFERROR(__xludf.DUMMYFUNCTION("""COMPUTED_VALUE"""),"מוצב כיסופים; מיגונית")</f>
        <v>מוצב כיסופים; מיגונית</v>
      </c>
      <c r="J843" s="2" t="str">
        <f>IFERROR(__xludf.DUMMYFUNCTION("""COMPUTED_VALUE"""),"חיילים")</f>
        <v>חיילים</v>
      </c>
      <c r="K843" s="5"/>
      <c r="L843" s="3" t="str">
        <f>IFERROR(__xludf.DUMMYFUNCTION("""COMPUTED_VALUE"""),"Raz Peretz")</f>
        <v>Raz Peretz</v>
      </c>
      <c r="M843" s="5"/>
    </row>
    <row r="844">
      <c r="A844" s="3">
        <f>IFERROR(__xludf.DUMMYFUNCTION("""COMPUTED_VALUE"""),1733.0)</f>
        <v>1733</v>
      </c>
      <c r="B844" s="4" t="str">
        <f>IFERROR(__xludf.DUMMYFUNCTION("""COMPUTED_VALUE"""),"רובין עמיחי שמעון")</f>
        <v>רובין עמיחי שמעון</v>
      </c>
      <c r="C844" s="3">
        <f>IFERROR(__xludf.DUMMYFUNCTION("""COMPUTED_VALUE"""),23.0)</f>
        <v>23</v>
      </c>
      <c r="D844" s="5" t="str">
        <f>IFERROR(__xludf.DUMMYFUNCTION("""COMPUTED_VALUE"""),"עכו")</f>
        <v>עכו</v>
      </c>
      <c r="E844" s="5" t="str">
        <f>IFERROR(__xludf.DUMMYFUNCTION("""COMPUTED_VALUE"""),"גבר")</f>
        <v>גבר</v>
      </c>
      <c r="F844" s="5" t="str">
        <f>IFERROR(__xludf.DUMMYFUNCTION("""COMPUTED_VALUE"""),"צה""ל")</f>
        <v>צה"ל</v>
      </c>
      <c r="G844" s="5" t="str">
        <f>IFERROR(__xludf.DUMMYFUNCTION("""COMPUTED_VALUE"""),"סמל")</f>
        <v>סמל</v>
      </c>
      <c r="H844" s="3" t="str">
        <f>IFERROR(__xludf.DUMMYFUNCTION("""COMPUTED_VALUE"""),"07.10.2023")</f>
        <v>07.10.2023</v>
      </c>
      <c r="I844" s="4" t="str">
        <f>IFERROR(__xludf.DUMMYFUNCTION("""COMPUTED_VALUE"""),"מו""פ דרום")</f>
        <v>מו"פ דרום</v>
      </c>
      <c r="J844" s="4" t="str">
        <f>IFERROR(__xludf.DUMMYFUNCTION("""COMPUTED_VALUE"""),"חיילים")</f>
        <v>חיילים</v>
      </c>
      <c r="K844" s="5"/>
      <c r="L844" s="3" t="str">
        <f>IFERROR(__xludf.DUMMYFUNCTION("""COMPUTED_VALUE"""),"Amichay Shimon Rubin")</f>
        <v>Amichay Shimon Rubin</v>
      </c>
      <c r="M844" s="5"/>
    </row>
    <row r="845">
      <c r="A845" s="3">
        <f>IFERROR(__xludf.DUMMYFUNCTION("""COMPUTED_VALUE"""),1285.0)</f>
        <v>1285</v>
      </c>
      <c r="B845" s="4" t="str">
        <f>IFERROR(__xludf.DUMMYFUNCTION("""COMPUTED_VALUE"""),"רוזנשטיין בר")</f>
        <v>רוזנשטיין בר</v>
      </c>
      <c r="C845" s="3">
        <f>IFERROR(__xludf.DUMMYFUNCTION("""COMPUTED_VALUE"""),20.0)</f>
        <v>20</v>
      </c>
      <c r="D845" s="5" t="str">
        <f>IFERROR(__xludf.DUMMYFUNCTION("""COMPUTED_VALUE"""),"ראשון לציון")</f>
        <v>ראשון לציון</v>
      </c>
      <c r="E845" s="5" t="str">
        <f>IFERROR(__xludf.DUMMYFUNCTION("""COMPUTED_VALUE"""),"גבר")</f>
        <v>גבר</v>
      </c>
      <c r="F845" s="5" t="str">
        <f>IFERROR(__xludf.DUMMYFUNCTION("""COMPUTED_VALUE"""),"צה""ל")</f>
        <v>צה"ל</v>
      </c>
      <c r="G845" s="5" t="str">
        <f>IFERROR(__xludf.DUMMYFUNCTION("""COMPUTED_VALUE"""),"סמ״ר")</f>
        <v>סמ״ר</v>
      </c>
      <c r="H845" s="3" t="str">
        <f>IFERROR(__xludf.DUMMYFUNCTION("""COMPUTED_VALUE"""),"07.10.2023")</f>
        <v>07.10.2023</v>
      </c>
      <c r="I845" s="4" t="str">
        <f>IFERROR(__xludf.DUMMYFUNCTION("""COMPUTED_VALUE"""),"סמוך לכביש 2424")</f>
        <v>סמוך לכביש 2424</v>
      </c>
      <c r="J845" s="4" t="str">
        <f>IFERROR(__xludf.DUMMYFUNCTION("""COMPUTED_VALUE"""),"חיילים")</f>
        <v>חיילים</v>
      </c>
      <c r="K845" s="5"/>
      <c r="L845" s="3" t="str">
        <f>IFERROR(__xludf.DUMMYFUNCTION("""COMPUTED_VALUE"""),"Bar Rosenstein")</f>
        <v>Bar Rosenstein</v>
      </c>
      <c r="M845" s="5"/>
    </row>
    <row r="846">
      <c r="A846" s="3">
        <f>IFERROR(__xludf.DUMMYFUNCTION("""COMPUTED_VALUE"""),2012.0)</f>
        <v>2012</v>
      </c>
      <c r="B846" s="4" t="str">
        <f>IFERROR(__xludf.DUMMYFUNCTION("""COMPUTED_VALUE"""),"שני אורי מרדכי")</f>
        <v>שני אורי מרדכי</v>
      </c>
      <c r="C846" s="3">
        <f>IFERROR(__xludf.DUMMYFUNCTION("""COMPUTED_VALUE"""),22.0)</f>
        <v>22</v>
      </c>
      <c r="D846" s="5" t="str">
        <f>IFERROR(__xludf.DUMMYFUNCTION("""COMPUTED_VALUE"""),"קריית ארבע")</f>
        <v>קריית ארבע</v>
      </c>
      <c r="E846" s="5" t="str">
        <f>IFERROR(__xludf.DUMMYFUNCTION("""COMPUTED_VALUE"""),"גבר")</f>
        <v>גבר</v>
      </c>
      <c r="F846" s="5" t="str">
        <f>IFERROR(__xludf.DUMMYFUNCTION("""COMPUTED_VALUE"""),"צה""ל")</f>
        <v>צה"ל</v>
      </c>
      <c r="G846" s="5" t="str">
        <f>IFERROR(__xludf.DUMMYFUNCTION("""COMPUTED_VALUE"""),"סרן")</f>
        <v>סרן</v>
      </c>
      <c r="H846" s="3" t="str">
        <f>IFERROR(__xludf.DUMMYFUNCTION("""COMPUTED_VALUE"""),"07.10.2023")</f>
        <v>07.10.2023</v>
      </c>
      <c r="I846" s="4" t="str">
        <f>IFERROR(__xludf.DUMMYFUNCTION("""COMPUTED_VALUE"""),"מוצב כיסופים")</f>
        <v>מוצב כיסופים</v>
      </c>
      <c r="J846" s="4" t="str">
        <f>IFERROR(__xludf.DUMMYFUNCTION("""COMPUTED_VALUE"""),"חיילים")</f>
        <v>חיילים</v>
      </c>
      <c r="K846" s="5"/>
      <c r="L846" s="3" t="str">
        <f>IFERROR(__xludf.DUMMYFUNCTION("""COMPUTED_VALUE"""),"Ori Mordechay Shani")</f>
        <v>Ori Mordechay Shani</v>
      </c>
      <c r="M846" s="5"/>
    </row>
    <row r="847">
      <c r="A847" s="3">
        <f>IFERROR(__xludf.DUMMYFUNCTION("""COMPUTED_VALUE"""),1287.0)</f>
        <v>1287</v>
      </c>
      <c r="B847" s="4" t="str">
        <f>IFERROR(__xludf.DUMMYFUNCTION("""COMPUTED_VALUE"""),"ששון אלעד מיכאל")</f>
        <v>ששון אלעד מיכאל</v>
      </c>
      <c r="C847" s="3">
        <f>IFERROR(__xludf.DUMMYFUNCTION("""COMPUTED_VALUE"""),21.0)</f>
        <v>21</v>
      </c>
      <c r="D847" s="5" t="str">
        <f>IFERROR(__xludf.DUMMYFUNCTION("""COMPUTED_VALUE"""),"מוצא עלית")</f>
        <v>מוצא עלית</v>
      </c>
      <c r="E847" s="5" t="str">
        <f>IFERROR(__xludf.DUMMYFUNCTION("""COMPUTED_VALUE"""),"גבר")</f>
        <v>גבר</v>
      </c>
      <c r="F847" s="5" t="str">
        <f>IFERROR(__xludf.DUMMYFUNCTION("""COMPUTED_VALUE"""),"צה""ל")</f>
        <v>צה"ל</v>
      </c>
      <c r="G847" s="5" t="str">
        <f>IFERROR(__xludf.DUMMYFUNCTION("""COMPUTED_VALUE"""),"רס״ל")</f>
        <v>רס״ל</v>
      </c>
      <c r="H847" s="3" t="str">
        <f>IFERROR(__xludf.DUMMYFUNCTION("""COMPUTED_VALUE"""),"07.10.2023")</f>
        <v>07.10.2023</v>
      </c>
      <c r="I847" s="4" t="str">
        <f>IFERROR(__xludf.DUMMYFUNCTION("""COMPUTED_VALUE"""),"מוצב כיסופים")</f>
        <v>מוצב כיסופים</v>
      </c>
      <c r="J847" s="4" t="str">
        <f>IFERROR(__xludf.DUMMYFUNCTION("""COMPUTED_VALUE"""),"חיילים")</f>
        <v>חיילים</v>
      </c>
      <c r="K847" s="5"/>
      <c r="L847" s="3" t="str">
        <f>IFERROR(__xludf.DUMMYFUNCTION("""COMPUTED_VALUE"""),"Elad Michael Sasson")</f>
        <v>Elad Michael Sasson</v>
      </c>
      <c r="M847" s="5"/>
    </row>
    <row r="848">
      <c r="A848" s="3">
        <f>IFERROR(__xludf.DUMMYFUNCTION("""COMPUTED_VALUE"""),1732.0)</f>
        <v>1732</v>
      </c>
      <c r="B848" s="4" t="str">
        <f>IFERROR(__xludf.DUMMYFUNCTION("""COMPUTED_VALUE"""),"ראוכברגר שילה")</f>
        <v>ראוכברגר שילה</v>
      </c>
      <c r="C848" s="3">
        <f>IFERROR(__xludf.DUMMYFUNCTION("""COMPUTED_VALUE"""),23.0)</f>
        <v>23</v>
      </c>
      <c r="D848" s="5" t="str">
        <f>IFERROR(__xludf.DUMMYFUNCTION("""COMPUTED_VALUE"""),"עלי")</f>
        <v>עלי</v>
      </c>
      <c r="E848" s="5" t="str">
        <f>IFERROR(__xludf.DUMMYFUNCTION("""COMPUTED_VALUE"""),"גבר")</f>
        <v>גבר</v>
      </c>
      <c r="F848" s="5" t="str">
        <f>IFERROR(__xludf.DUMMYFUNCTION("""COMPUTED_VALUE"""),"צה""ל")</f>
        <v>צה"ל</v>
      </c>
      <c r="G848" s="5" t="str">
        <f>IFERROR(__xludf.DUMMYFUNCTION("""COMPUTED_VALUE"""),"סרן")</f>
        <v>סרן</v>
      </c>
      <c r="H848" s="3" t="str">
        <f>IFERROR(__xludf.DUMMYFUNCTION("""COMPUTED_VALUE"""),"07.10.2023")</f>
        <v>07.10.2023</v>
      </c>
      <c r="I848" s="4" t="str">
        <f>IFERROR(__xludf.DUMMYFUNCTION("""COMPUTED_VALUE"""),"מו""פ דרום")</f>
        <v>מו"פ דרום</v>
      </c>
      <c r="J848" s="4" t="str">
        <f>IFERROR(__xludf.DUMMYFUNCTION("""COMPUTED_VALUE"""),"חיילים")</f>
        <v>חיילים</v>
      </c>
      <c r="K848" s="5"/>
      <c r="L848" s="3" t="str">
        <f>IFERROR(__xludf.DUMMYFUNCTION("""COMPUTED_VALUE"""),"Shilo Rauchberger")</f>
        <v>Shilo Rauchberger</v>
      </c>
      <c r="M848" s="5"/>
    </row>
    <row r="849">
      <c r="A849" s="3">
        <f>IFERROR(__xludf.DUMMYFUNCTION("""COMPUTED_VALUE"""),459.0)</f>
        <v>459</v>
      </c>
      <c r="B849" s="4" t="str">
        <f>IFERROR(__xludf.DUMMYFUNCTION("""COMPUTED_VALUE"""),"אברמוביץ' נועם")</f>
        <v>אברמוביץ' נועם</v>
      </c>
      <c r="C849" s="3">
        <f>IFERROR(__xludf.DUMMYFUNCTION("""COMPUTED_VALUE"""),19.0)</f>
        <v>19</v>
      </c>
      <c r="D849" s="5" t="str">
        <f>IFERROR(__xludf.DUMMYFUNCTION("""COMPUTED_VALUE"""),"גבעת ברנר")</f>
        <v>גבעת ברנר</v>
      </c>
      <c r="E849" s="5" t="str">
        <f>IFERROR(__xludf.DUMMYFUNCTION("""COMPUTED_VALUE"""),"אישה")</f>
        <v>אישה</v>
      </c>
      <c r="F849" s="5" t="str">
        <f>IFERROR(__xludf.DUMMYFUNCTION("""COMPUTED_VALUE"""),"צה""ל")</f>
        <v>צה"ל</v>
      </c>
      <c r="G849" s="5" t="str">
        <f>IFERROR(__xludf.DUMMYFUNCTION("""COMPUTED_VALUE"""),"רב״ט")</f>
        <v>רב״ט</v>
      </c>
      <c r="H849" s="3" t="str">
        <f>IFERROR(__xludf.DUMMYFUNCTION("""COMPUTED_VALUE"""),"07.10.2023")</f>
        <v>07.10.2023</v>
      </c>
      <c r="I849" s="4" t="str">
        <f>IFERROR(__xludf.DUMMYFUNCTION("""COMPUTED_VALUE"""),"מוצב נחל עוז; מיגונית בנות")</f>
        <v>מוצב נחל עוז; מיגונית בנות</v>
      </c>
      <c r="J849" s="4" t="str">
        <f>IFERROR(__xludf.DUMMYFUNCTION("""COMPUTED_VALUE"""),"חיילים")</f>
        <v>חיילים</v>
      </c>
      <c r="K849" s="5"/>
      <c r="L849" s="3" t="str">
        <f>IFERROR(__xludf.DUMMYFUNCTION("""COMPUTED_VALUE"""),"Noam Abramovich")</f>
        <v>Noam Abramovich</v>
      </c>
      <c r="M849" s="5"/>
    </row>
    <row r="850">
      <c r="A850" s="3">
        <f>IFERROR(__xludf.DUMMYFUNCTION("""COMPUTED_VALUE"""),473.0)</f>
        <v>473</v>
      </c>
      <c r="B850" s="4" t="str">
        <f>IFERROR(__xludf.DUMMYFUNCTION("""COMPUTED_VALUE"""),"איל אמיר")</f>
        <v>איל אמיר</v>
      </c>
      <c r="C850" s="3">
        <f>IFERROR(__xludf.DUMMYFUNCTION("""COMPUTED_VALUE"""),19.0)</f>
        <v>19</v>
      </c>
      <c r="D850" s="5" t="str">
        <f>IFERROR(__xludf.DUMMYFUNCTION("""COMPUTED_VALUE"""),"חיפה")</f>
        <v>חיפה</v>
      </c>
      <c r="E850" s="5" t="str">
        <f>IFERROR(__xludf.DUMMYFUNCTION("""COMPUTED_VALUE"""),"גבר")</f>
        <v>גבר</v>
      </c>
      <c r="F850" s="5" t="str">
        <f>IFERROR(__xludf.DUMMYFUNCTION("""COMPUTED_VALUE"""),"צה""ל")</f>
        <v>צה"ל</v>
      </c>
      <c r="G850" s="5" t="str">
        <f>IFERROR(__xludf.DUMMYFUNCTION("""COMPUTED_VALUE"""),"סמל")</f>
        <v>סמל</v>
      </c>
      <c r="H850" s="3" t="str">
        <f>IFERROR(__xludf.DUMMYFUNCTION("""COMPUTED_VALUE"""),"07.10.2023")</f>
        <v>07.10.2023</v>
      </c>
      <c r="I850" s="4" t="str">
        <f>IFERROR(__xludf.DUMMYFUNCTION("""COMPUTED_VALUE"""),"מוצב נחל עוז; בלונאים")</f>
        <v>מוצב נחל עוז; בלונאים</v>
      </c>
      <c r="J850" s="2" t="str">
        <f>IFERROR(__xludf.DUMMYFUNCTION("""COMPUTED_VALUE"""),"חיילים")</f>
        <v>חיילים</v>
      </c>
      <c r="K850" s="5"/>
      <c r="L850" s="3" t="str">
        <f>IFERROR(__xludf.DUMMYFUNCTION("""COMPUTED_VALUE"""),"Amir Eyal")</f>
        <v>Amir Eyal</v>
      </c>
      <c r="M850" s="5"/>
    </row>
    <row r="851">
      <c r="A851" s="3">
        <f>IFERROR(__xludf.DUMMYFUNCTION("""COMPUTED_VALUE"""),1544.0)</f>
        <v>1544</v>
      </c>
      <c r="B851" s="4" t="str">
        <f>IFERROR(__xludf.DUMMYFUNCTION("""COMPUTED_VALUE"""),"אילת שיר")</f>
        <v>אילת שיר</v>
      </c>
      <c r="C851" s="3">
        <f>IFERROR(__xludf.DUMMYFUNCTION("""COMPUTED_VALUE"""),20.0)</f>
        <v>20</v>
      </c>
      <c r="D851" s="5" t="str">
        <f>IFERROR(__xludf.DUMMYFUNCTION("""COMPUTED_VALUE"""),"כפר שמואל")</f>
        <v>כפר שמואל</v>
      </c>
      <c r="E851" s="5" t="str">
        <f>IFERROR(__xludf.DUMMYFUNCTION("""COMPUTED_VALUE"""),"אישה")</f>
        <v>אישה</v>
      </c>
      <c r="F851" s="5" t="str">
        <f>IFERROR(__xludf.DUMMYFUNCTION("""COMPUTED_VALUE"""),"צה""ל")</f>
        <v>צה"ל</v>
      </c>
      <c r="G851" s="5" t="str">
        <f>IFERROR(__xludf.DUMMYFUNCTION("""COMPUTED_VALUE"""),"סרן")</f>
        <v>סרן</v>
      </c>
      <c r="H851" s="3" t="str">
        <f>IFERROR(__xludf.DUMMYFUNCTION("""COMPUTED_VALUE"""),"07.10.2023")</f>
        <v>07.10.2023</v>
      </c>
      <c r="I851" s="4" t="str">
        <f>IFERROR(__xludf.DUMMYFUNCTION("""COMPUTED_VALUE"""),"מוצב נחל עוז; חמ""ל")</f>
        <v>מוצב נחל עוז; חמ"ל</v>
      </c>
      <c r="J851" s="4" t="str">
        <f>IFERROR(__xludf.DUMMYFUNCTION("""COMPUTED_VALUE"""),"חיילים")</f>
        <v>חיילים</v>
      </c>
      <c r="K851" s="5"/>
      <c r="L851" s="3" t="str">
        <f>IFERROR(__xludf.DUMMYFUNCTION("""COMPUTED_VALUE"""),"Shir Eilat")</f>
        <v>Shir Eilat</v>
      </c>
      <c r="M851" s="5"/>
    </row>
    <row r="852">
      <c r="A852" s="3">
        <f>IFERROR(__xludf.DUMMYFUNCTION("""COMPUTED_VALUE"""),1497.0)</f>
        <v>1497</v>
      </c>
      <c r="B852" s="4" t="str">
        <f>IFERROR(__xludf.DUMMYFUNCTION("""COMPUTED_VALUE"""),"אמויאל דולב")</f>
        <v>אמויאל דולב</v>
      </c>
      <c r="C852" s="3">
        <f>IFERROR(__xludf.DUMMYFUNCTION("""COMPUTED_VALUE"""),21.0)</f>
        <v>21</v>
      </c>
      <c r="D852" s="5" t="str">
        <f>IFERROR(__xludf.DUMMYFUNCTION("""COMPUTED_VALUE"""),"נתניה")</f>
        <v>נתניה</v>
      </c>
      <c r="E852" s="5" t="str">
        <f>IFERROR(__xludf.DUMMYFUNCTION("""COMPUTED_VALUE"""),"גבר")</f>
        <v>גבר</v>
      </c>
      <c r="F852" s="5" t="str">
        <f>IFERROR(__xludf.DUMMYFUNCTION("""COMPUTED_VALUE"""),"צה""ל")</f>
        <v>צה"ל</v>
      </c>
      <c r="G852" s="5" t="str">
        <f>IFERROR(__xludf.DUMMYFUNCTION("""COMPUTED_VALUE"""),"סמ״ר")</f>
        <v>סמ״ר</v>
      </c>
      <c r="H852" s="3" t="str">
        <f>IFERROR(__xludf.DUMMYFUNCTION("""COMPUTED_VALUE"""),"07.10.2023")</f>
        <v>07.10.2023</v>
      </c>
      <c r="I852" s="4" t="str">
        <f>IFERROR(__xludf.DUMMYFUNCTION("""COMPUTED_VALUE"""),"מוצב פגה")</f>
        <v>מוצב פגה</v>
      </c>
      <c r="J852" s="4" t="str">
        <f>IFERROR(__xludf.DUMMYFUNCTION("""COMPUTED_VALUE"""),"חיילים")</f>
        <v>חיילים</v>
      </c>
      <c r="K852" s="5"/>
      <c r="L852" s="3" t="str">
        <f>IFERROR(__xludf.DUMMYFUNCTION("""COMPUTED_VALUE"""),"Dolev Amouyal")</f>
        <v>Dolev Amouyal</v>
      </c>
      <c r="M852" s="5"/>
    </row>
    <row r="853">
      <c r="A853" s="3">
        <f>IFERROR(__xludf.DUMMYFUNCTION("""COMPUTED_VALUE"""),464.0)</f>
        <v>464</v>
      </c>
      <c r="B853" s="4" t="str">
        <f>IFERROR(__xludf.DUMMYFUNCTION("""COMPUTED_VALUE"""),"אסראף סיון שמחה")</f>
        <v>אסראף סיון שמחה</v>
      </c>
      <c r="C853" s="3">
        <f>IFERROR(__xludf.DUMMYFUNCTION("""COMPUTED_VALUE"""),20.0)</f>
        <v>20</v>
      </c>
      <c r="D853" s="5" t="str">
        <f>IFERROR(__xludf.DUMMYFUNCTION("""COMPUTED_VALUE"""),"אשקלון")</f>
        <v>אשקלון</v>
      </c>
      <c r="E853" s="5" t="str">
        <f>IFERROR(__xludf.DUMMYFUNCTION("""COMPUTED_VALUE"""),"אישה")</f>
        <v>אישה</v>
      </c>
      <c r="F853" s="5" t="str">
        <f>IFERROR(__xludf.DUMMYFUNCTION("""COMPUTED_VALUE"""),"צה""ל")</f>
        <v>צה"ל</v>
      </c>
      <c r="G853" s="5" t="str">
        <f>IFERROR(__xludf.DUMMYFUNCTION("""COMPUTED_VALUE"""),"סמ״ר")</f>
        <v>סמ״ר</v>
      </c>
      <c r="H853" s="3" t="str">
        <f>IFERROR(__xludf.DUMMYFUNCTION("""COMPUTED_VALUE"""),"07.10.2023")</f>
        <v>07.10.2023</v>
      </c>
      <c r="I853" s="4" t="str">
        <f>IFERROR(__xludf.DUMMYFUNCTION("""COMPUTED_VALUE"""),"מוצב נחל עוז; מיגונית בנות")</f>
        <v>מוצב נחל עוז; מיגונית בנות</v>
      </c>
      <c r="J853" s="4" t="str">
        <f>IFERROR(__xludf.DUMMYFUNCTION("""COMPUTED_VALUE"""),"חיילים")</f>
        <v>חיילים</v>
      </c>
      <c r="K853" s="5"/>
      <c r="L853" s="3" t="str">
        <f>IFERROR(__xludf.DUMMYFUNCTION("""COMPUTED_VALUE"""),"Sivan Asraf")</f>
        <v>Sivan Asraf</v>
      </c>
      <c r="M853" s="5"/>
    </row>
    <row r="854">
      <c r="A854" s="3">
        <f>IFERROR(__xludf.DUMMYFUNCTION("""COMPUTED_VALUE"""),1313.0)</f>
        <v>1313</v>
      </c>
      <c r="B854" s="4" t="str">
        <f>IFERROR(__xludf.DUMMYFUNCTION("""COMPUTED_VALUE"""),"אשל רוני")</f>
        <v>אשל רוני</v>
      </c>
      <c r="C854" s="3">
        <f>IFERROR(__xludf.DUMMYFUNCTION("""COMPUTED_VALUE"""),19.0)</f>
        <v>19</v>
      </c>
      <c r="D854" s="5" t="str">
        <f>IFERROR(__xludf.DUMMYFUNCTION("""COMPUTED_VALUE"""),"צור יצחק")</f>
        <v>צור יצחק</v>
      </c>
      <c r="E854" s="5" t="str">
        <f>IFERROR(__xludf.DUMMYFUNCTION("""COMPUTED_VALUE"""),"אישה")</f>
        <v>אישה</v>
      </c>
      <c r="F854" s="5" t="str">
        <f>IFERROR(__xludf.DUMMYFUNCTION("""COMPUTED_VALUE"""),"צה""ל")</f>
        <v>צה"ל</v>
      </c>
      <c r="G854" s="5" t="str">
        <f>IFERROR(__xludf.DUMMYFUNCTION("""COMPUTED_VALUE"""),"סמל")</f>
        <v>סמל</v>
      </c>
      <c r="H854" s="3" t="str">
        <f>IFERROR(__xludf.DUMMYFUNCTION("""COMPUTED_VALUE"""),"07.10.2023")</f>
        <v>07.10.2023</v>
      </c>
      <c r="I854" s="4" t="str">
        <f>IFERROR(__xludf.DUMMYFUNCTION("""COMPUTED_VALUE"""),"מוצב נחל עוז; חמ""ל")</f>
        <v>מוצב נחל עוז; חמ"ל</v>
      </c>
      <c r="J854" s="4" t="str">
        <f>IFERROR(__xludf.DUMMYFUNCTION("""COMPUTED_VALUE"""),"חיילים")</f>
        <v>חיילים</v>
      </c>
      <c r="K854" s="5"/>
      <c r="L854" s="3" t="str">
        <f>IFERROR(__xludf.DUMMYFUNCTION("""COMPUTED_VALUE"""),"Roni Eshel")</f>
        <v>Roni Eshel</v>
      </c>
      <c r="M854" s="5"/>
    </row>
    <row r="855">
      <c r="A855" s="3">
        <f>IFERROR(__xludf.DUMMYFUNCTION("""COMPUTED_VALUE"""),463.0)</f>
        <v>463</v>
      </c>
      <c r="B855" s="4" t="str">
        <f>IFERROR(__xludf.DUMMYFUNCTION("""COMPUTED_VALUE"""),"אשרם שי")</f>
        <v>אשרם שי</v>
      </c>
      <c r="C855" s="3">
        <f>IFERROR(__xludf.DUMMYFUNCTION("""COMPUTED_VALUE"""),19.0)</f>
        <v>19</v>
      </c>
      <c r="D855" s="5" t="str">
        <f>IFERROR(__xludf.DUMMYFUNCTION("""COMPUTED_VALUE"""),"רחובות")</f>
        <v>רחובות</v>
      </c>
      <c r="E855" s="5" t="str">
        <f>IFERROR(__xludf.DUMMYFUNCTION("""COMPUTED_VALUE"""),"אישה")</f>
        <v>אישה</v>
      </c>
      <c r="F855" s="5" t="str">
        <f>IFERROR(__xludf.DUMMYFUNCTION("""COMPUTED_VALUE"""),"צה""ל")</f>
        <v>צה"ל</v>
      </c>
      <c r="G855" s="5" t="str">
        <f>IFERROR(__xludf.DUMMYFUNCTION("""COMPUTED_VALUE"""),"סמל")</f>
        <v>סמל</v>
      </c>
      <c r="H855" s="3" t="str">
        <f>IFERROR(__xludf.DUMMYFUNCTION("""COMPUTED_VALUE"""),"07.10.2023")</f>
        <v>07.10.2023</v>
      </c>
      <c r="I855" s="4" t="str">
        <f>IFERROR(__xludf.DUMMYFUNCTION("""COMPUTED_VALUE"""),"מוצב נחל עוז; מיגונית בנות")</f>
        <v>מוצב נחל עוז; מיגונית בנות</v>
      </c>
      <c r="J855" s="4" t="str">
        <f>IFERROR(__xludf.DUMMYFUNCTION("""COMPUTED_VALUE"""),"חיילים")</f>
        <v>חיילים</v>
      </c>
      <c r="K855" s="5"/>
      <c r="L855" s="3" t="str">
        <f>IFERROR(__xludf.DUMMYFUNCTION("""COMPUTED_VALUE"""),"Shai Ashram")</f>
        <v>Shai Ashram</v>
      </c>
      <c r="M855" s="5"/>
    </row>
    <row r="856">
      <c r="A856" s="3">
        <f>IFERROR(__xludf.DUMMYFUNCTION("""COMPUTED_VALUE"""),217.0)</f>
        <v>217</v>
      </c>
      <c r="B856" s="4" t="str">
        <f>IFERROR(__xludf.DUMMYFUNCTION("""COMPUTED_VALUE"""),"ביטון שיר")</f>
        <v>ביטון שיר</v>
      </c>
      <c r="C856" s="3">
        <f>IFERROR(__xludf.DUMMYFUNCTION("""COMPUTED_VALUE"""),19.0)</f>
        <v>19</v>
      </c>
      <c r="D856" s="5" t="str">
        <f>IFERROR(__xludf.DUMMYFUNCTION("""COMPUTED_VALUE"""),"אשדוד")</f>
        <v>אשדוד</v>
      </c>
      <c r="E856" s="5" t="str">
        <f>IFERROR(__xludf.DUMMYFUNCTION("""COMPUTED_VALUE"""),"אישה")</f>
        <v>אישה</v>
      </c>
      <c r="F856" s="5" t="str">
        <f>IFERROR(__xludf.DUMMYFUNCTION("""COMPUTED_VALUE"""),"צה""ל")</f>
        <v>צה"ל</v>
      </c>
      <c r="G856" s="5" t="str">
        <f>IFERROR(__xludf.DUMMYFUNCTION("""COMPUTED_VALUE"""),"סמל")</f>
        <v>סמל</v>
      </c>
      <c r="H856" s="3" t="str">
        <f>IFERROR(__xludf.DUMMYFUNCTION("""COMPUTED_VALUE"""),"07.10.2023")</f>
        <v>07.10.2023</v>
      </c>
      <c r="I856" s="4" t="str">
        <f>IFERROR(__xludf.DUMMYFUNCTION("""COMPUTED_VALUE"""),"מוצב נחל עוז; מגורים")</f>
        <v>מוצב נחל עוז; מגורים</v>
      </c>
      <c r="J856" s="4" t="str">
        <f>IFERROR(__xludf.DUMMYFUNCTION("""COMPUTED_VALUE"""),"חיילים")</f>
        <v>חיילים</v>
      </c>
      <c r="K856" s="5"/>
      <c r="L856" s="3" t="str">
        <f>IFERROR(__xludf.DUMMYFUNCTION("""COMPUTED_VALUE"""),"Shir Biton")</f>
        <v>Shir Biton</v>
      </c>
      <c r="M856" s="5"/>
    </row>
    <row r="857">
      <c r="A857" s="3">
        <f>IFERROR(__xludf.DUMMYFUNCTION("""COMPUTED_VALUE"""),1378.0)</f>
        <v>1378</v>
      </c>
      <c r="B857" s="4" t="str">
        <f>IFERROR(__xludf.DUMMYFUNCTION("""COMPUTED_VALUE"""),"בן שטרית שמעון אלרואי")</f>
        <v>בן שטרית שמעון אלרואי</v>
      </c>
      <c r="C857" s="3">
        <f>IFERROR(__xludf.DUMMYFUNCTION("""COMPUTED_VALUE"""),20.0)</f>
        <v>20</v>
      </c>
      <c r="D857" s="5" t="str">
        <f>IFERROR(__xludf.DUMMYFUNCTION("""COMPUTED_VALUE"""),"בית שאן")</f>
        <v>בית שאן</v>
      </c>
      <c r="E857" s="5" t="str">
        <f>IFERROR(__xludf.DUMMYFUNCTION("""COMPUTED_VALUE"""),"גבר")</f>
        <v>גבר</v>
      </c>
      <c r="F857" s="5" t="str">
        <f>IFERROR(__xludf.DUMMYFUNCTION("""COMPUTED_VALUE"""),"צה""ל")</f>
        <v>צה"ל</v>
      </c>
      <c r="G857" s="5" t="str">
        <f>IFERROR(__xludf.DUMMYFUNCTION("""COMPUTED_VALUE"""),"סמ״ר")</f>
        <v>סמ״ר</v>
      </c>
      <c r="H857" s="3" t="str">
        <f>IFERROR(__xludf.DUMMYFUNCTION("""COMPUTED_VALUE"""),"07.10.2023")</f>
        <v>07.10.2023</v>
      </c>
      <c r="I857" s="4" t="str">
        <f>IFERROR(__xludf.DUMMYFUNCTION("""COMPUTED_VALUE"""),"מוצב נחל עוז; בלונאים")</f>
        <v>מוצב נחל עוז; בלונאים</v>
      </c>
      <c r="J857" s="4" t="str">
        <f>IFERROR(__xludf.DUMMYFUNCTION("""COMPUTED_VALUE"""),"חיילים")</f>
        <v>חיילים</v>
      </c>
      <c r="K857" s="5"/>
      <c r="L857" s="3" t="str">
        <f>IFERROR(__xludf.DUMMYFUNCTION("""COMPUTED_VALUE"""),"Elroy Ben Shitrit")</f>
        <v>Elroy Ben Shitrit</v>
      </c>
      <c r="M857" s="5"/>
    </row>
    <row r="858">
      <c r="A858" s="3">
        <f>IFERROR(__xludf.DUMMYFUNCTION("""COMPUTED_VALUE"""),1495.0)</f>
        <v>1495</v>
      </c>
      <c r="B858" s="4" t="str">
        <f>IFERROR(__xludf.DUMMYFUNCTION("""COMPUTED_VALUE"""),"גלס ים")</f>
        <v>גלס ים</v>
      </c>
      <c r="C858" s="3">
        <f>IFERROR(__xludf.DUMMYFUNCTION("""COMPUTED_VALUE"""),20.0)</f>
        <v>20</v>
      </c>
      <c r="D858" s="5" t="str">
        <f>IFERROR(__xludf.DUMMYFUNCTION("""COMPUTED_VALUE"""),"מודיעין מכבים רעות")</f>
        <v>מודיעין מכבים רעות</v>
      </c>
      <c r="E858" s="5" t="str">
        <f>IFERROR(__xludf.DUMMYFUNCTION("""COMPUTED_VALUE"""),"אישה")</f>
        <v>אישה</v>
      </c>
      <c r="F858" s="5" t="str">
        <f>IFERROR(__xludf.DUMMYFUNCTION("""COMPUTED_VALUE"""),"צה""ל")</f>
        <v>צה"ל</v>
      </c>
      <c r="G858" s="5" t="str">
        <f>IFERROR(__xludf.DUMMYFUNCTION("""COMPUTED_VALUE"""),"סמ״ר")</f>
        <v>סמ״ר</v>
      </c>
      <c r="H858" s="3" t="str">
        <f>IFERROR(__xludf.DUMMYFUNCTION("""COMPUTED_VALUE"""),"07.10.2023")</f>
        <v>07.10.2023</v>
      </c>
      <c r="I858" s="4" t="str">
        <f>IFERROR(__xludf.DUMMYFUNCTION("""COMPUTED_VALUE"""),"מוצב נחל עוז; חמ""ל")</f>
        <v>מוצב נחל עוז; חמ"ל</v>
      </c>
      <c r="J858" s="4" t="str">
        <f>IFERROR(__xludf.DUMMYFUNCTION("""COMPUTED_VALUE"""),"חיילים")</f>
        <v>חיילים</v>
      </c>
      <c r="K858" s="5"/>
      <c r="L858" s="3" t="str">
        <f>IFERROR(__xludf.DUMMYFUNCTION("""COMPUTED_VALUE"""),"Yam Glass")</f>
        <v>Yam Glass</v>
      </c>
      <c r="M858" s="5"/>
    </row>
    <row r="859">
      <c r="A859" s="3">
        <f>IFERROR(__xludf.DUMMYFUNCTION("""COMPUTED_VALUE"""),474.0)</f>
        <v>474</v>
      </c>
      <c r="B859" s="4" t="str">
        <f>IFERROR(__xludf.DUMMYFUNCTION("""COMPUTED_VALUE"""),"גרומן עדי")</f>
        <v>גרומן עדי</v>
      </c>
      <c r="C859" s="3">
        <f>IFERROR(__xludf.DUMMYFUNCTION("""COMPUTED_VALUE"""),19.0)</f>
        <v>19</v>
      </c>
      <c r="D859" s="5" t="str">
        <f>IFERROR(__xludf.DUMMYFUNCTION("""COMPUTED_VALUE"""),"חוגלה")</f>
        <v>חוגלה</v>
      </c>
      <c r="E859" s="5" t="str">
        <f>IFERROR(__xludf.DUMMYFUNCTION("""COMPUTED_VALUE"""),"אישה")</f>
        <v>אישה</v>
      </c>
      <c r="F859" s="5" t="str">
        <f>IFERROR(__xludf.DUMMYFUNCTION("""COMPUTED_VALUE"""),"צה""ל")</f>
        <v>צה"ל</v>
      </c>
      <c r="G859" s="5" t="str">
        <f>IFERROR(__xludf.DUMMYFUNCTION("""COMPUTED_VALUE"""),"סמל")</f>
        <v>סמל</v>
      </c>
      <c r="H859" s="3" t="str">
        <f>IFERROR(__xludf.DUMMYFUNCTION("""COMPUTED_VALUE"""),"07.10.2023")</f>
        <v>07.10.2023</v>
      </c>
      <c r="I859" s="4" t="str">
        <f>IFERROR(__xludf.DUMMYFUNCTION("""COMPUTED_VALUE"""),"מחנה אורים")</f>
        <v>מחנה אורים</v>
      </c>
      <c r="J859" s="4" t="str">
        <f>IFERROR(__xludf.DUMMYFUNCTION("""COMPUTED_VALUE"""),"חיילים")</f>
        <v>חיילים</v>
      </c>
      <c r="K859" s="5"/>
      <c r="L859" s="3" t="str">
        <f>IFERROR(__xludf.DUMMYFUNCTION("""COMPUTED_VALUE"""),"Adi Gruman")</f>
        <v>Adi Gruman</v>
      </c>
      <c r="M859" s="5"/>
    </row>
    <row r="860">
      <c r="A860" s="3">
        <f>IFERROR(__xludf.DUMMYFUNCTION("""COMPUTED_VALUE"""),1605.0)</f>
        <v>1605</v>
      </c>
      <c r="B860" s="4" t="str">
        <f>IFERROR(__xludf.DUMMYFUNCTION("""COMPUTED_VALUE"""),"דוכן יוחאי")</f>
        <v>דוכן יוחאי</v>
      </c>
      <c r="C860" s="3">
        <f>IFERROR(__xludf.DUMMYFUNCTION("""COMPUTED_VALUE"""),26.0)</f>
        <v>26</v>
      </c>
      <c r="D860" s="5" t="str">
        <f>IFERROR(__xludf.DUMMYFUNCTION("""COMPUTED_VALUE"""),"קריית ארבע")</f>
        <v>קריית ארבע</v>
      </c>
      <c r="E860" s="5" t="str">
        <f>IFERROR(__xludf.DUMMYFUNCTION("""COMPUTED_VALUE"""),"גבר")</f>
        <v>גבר</v>
      </c>
      <c r="F860" s="5" t="str">
        <f>IFERROR(__xludf.DUMMYFUNCTION("""COMPUTED_VALUE"""),"צה""ל")</f>
        <v>צה"ל</v>
      </c>
      <c r="G860" s="5" t="str">
        <f>IFERROR(__xludf.DUMMYFUNCTION("""COMPUTED_VALUE"""),"סגן")</f>
        <v>סגן</v>
      </c>
      <c r="H860" s="3" t="str">
        <f>IFERROR(__xludf.DUMMYFUNCTION("""COMPUTED_VALUE"""),"07.10.2023")</f>
        <v>07.10.2023</v>
      </c>
      <c r="I860" s="4" t="str">
        <f>IFERROR(__xludf.DUMMYFUNCTION("""COMPUTED_VALUE"""),"מוצב נחל עוז; חמ""ל")</f>
        <v>מוצב נחל עוז; חמ"ל</v>
      </c>
      <c r="J860" s="4" t="str">
        <f>IFERROR(__xludf.DUMMYFUNCTION("""COMPUTED_VALUE"""),"חיילים")</f>
        <v>חיילים</v>
      </c>
      <c r="K860" s="5"/>
      <c r="L860" s="3" t="str">
        <f>IFERROR(__xludf.DUMMYFUNCTION("""COMPUTED_VALUE"""),"Yohai Dukhan")</f>
        <v>Yohai Dukhan</v>
      </c>
      <c r="M860" s="5"/>
    </row>
    <row r="861">
      <c r="A861" s="3">
        <f>IFERROR(__xludf.DUMMYFUNCTION("""COMPUTED_VALUE"""),416.0)</f>
        <v>416</v>
      </c>
      <c r="B861" s="4" t="str">
        <f>IFERROR(__xludf.DUMMYFUNCTION("""COMPUTED_VALUE"""),"הר אבן שילה")</f>
        <v>הר אבן שילה</v>
      </c>
      <c r="C861" s="3">
        <f>IFERROR(__xludf.DUMMYFUNCTION("""COMPUTED_VALUE"""),25.0)</f>
        <v>25</v>
      </c>
      <c r="D861" s="5" t="str">
        <f>IFERROR(__xludf.DUMMYFUNCTION("""COMPUTED_VALUE"""),"עלמון")</f>
        <v>עלמון</v>
      </c>
      <c r="E861" s="5" t="str">
        <f>IFERROR(__xludf.DUMMYFUNCTION("""COMPUTED_VALUE"""),"גבר")</f>
        <v>גבר</v>
      </c>
      <c r="F861" s="5" t="str">
        <f>IFERROR(__xludf.DUMMYFUNCTION("""COMPUTED_VALUE"""),"צה""ל")</f>
        <v>צה"ל</v>
      </c>
      <c r="G861" s="5" t="str">
        <f>IFERROR(__xludf.DUMMYFUNCTION("""COMPUTED_VALUE"""),"רס״ן")</f>
        <v>רס״ן</v>
      </c>
      <c r="H861" s="3" t="str">
        <f>IFERROR(__xludf.DUMMYFUNCTION("""COMPUTED_VALUE"""),"07.10.2023")</f>
        <v>07.10.2023</v>
      </c>
      <c r="I861" s="4" t="str">
        <f>IFERROR(__xludf.DUMMYFUNCTION("""COMPUTED_VALUE"""),"מוצב נחל עוז; נמ""ר")</f>
        <v>מוצב נחל עוז; נמ"ר</v>
      </c>
      <c r="J861" s="4" t="str">
        <f>IFERROR(__xludf.DUMMYFUNCTION("""COMPUTED_VALUE"""),"חיילים")</f>
        <v>חיילים</v>
      </c>
      <c r="K861" s="5"/>
      <c r="L861" s="3" t="str">
        <f>IFERROR(__xludf.DUMMYFUNCTION("""COMPUTED_VALUE"""),"Shilo Har-Even")</f>
        <v>Shilo Har-Even</v>
      </c>
      <c r="M861" s="5"/>
    </row>
    <row r="862">
      <c r="A862" s="3">
        <f>IFERROR(__xludf.DUMMYFUNCTION("""COMPUTED_VALUE"""),1642.0)</f>
        <v>1642</v>
      </c>
      <c r="B862" s="4" t="str">
        <f>IFERROR(__xludf.DUMMYFUNCTION("""COMPUTED_VALUE"""),"ויאלובו פולו מיה")</f>
        <v>ויאלובו פולו מיה</v>
      </c>
      <c r="C862" s="3">
        <f>IFERROR(__xludf.DUMMYFUNCTION("""COMPUTED_VALUE"""),19.0)</f>
        <v>19</v>
      </c>
      <c r="D862" s="5" t="str">
        <f>IFERROR(__xludf.DUMMYFUNCTION("""COMPUTED_VALUE"""),"גבעתיים")</f>
        <v>גבעתיים</v>
      </c>
      <c r="E862" s="5" t="str">
        <f>IFERROR(__xludf.DUMMYFUNCTION("""COMPUTED_VALUE"""),"אישה")</f>
        <v>אישה</v>
      </c>
      <c r="F862" s="5" t="str">
        <f>IFERROR(__xludf.DUMMYFUNCTION("""COMPUTED_VALUE"""),"צה""ל")</f>
        <v>צה"ל</v>
      </c>
      <c r="G862" s="5" t="str">
        <f>IFERROR(__xludf.DUMMYFUNCTION("""COMPUTED_VALUE"""),"רב״ט")</f>
        <v>רב״ט</v>
      </c>
      <c r="H862" s="3" t="str">
        <f>IFERROR(__xludf.DUMMYFUNCTION("""COMPUTED_VALUE"""),"07.10.2023")</f>
        <v>07.10.2023</v>
      </c>
      <c r="I862" s="4" t="str">
        <f>IFERROR(__xludf.DUMMYFUNCTION("""COMPUTED_VALUE"""),"מוצב נחל עוז; חמ""ל")</f>
        <v>מוצב נחל עוז; חמ"ל</v>
      </c>
      <c r="J862" s="4" t="str">
        <f>IFERROR(__xludf.DUMMYFUNCTION("""COMPUTED_VALUE"""),"חיילים")</f>
        <v>חיילים</v>
      </c>
      <c r="K862" s="5"/>
      <c r="L862" s="3" t="str">
        <f>IFERROR(__xludf.DUMMYFUNCTION("""COMPUTED_VALUE"""),"Mia Viallovo Polo")</f>
        <v>Mia Viallovo Polo</v>
      </c>
      <c r="M862" s="5"/>
    </row>
    <row r="863">
      <c r="A863" s="3">
        <f>IFERROR(__xludf.DUMMYFUNCTION("""COMPUTED_VALUE"""),1641.0)</f>
        <v>1641</v>
      </c>
      <c r="B863" s="4" t="str">
        <f>IFERROR(__xludf.DUMMYFUNCTION("""COMPUTED_VALUE"""),"חג'ג' אביב")</f>
        <v>חג'ג' אביב</v>
      </c>
      <c r="C863" s="3">
        <f>IFERROR(__xludf.DUMMYFUNCTION("""COMPUTED_VALUE"""),19.0)</f>
        <v>19</v>
      </c>
      <c r="D863" s="5" t="str">
        <f>IFERROR(__xludf.DUMMYFUNCTION("""COMPUTED_VALUE"""),"גילת")</f>
        <v>גילת</v>
      </c>
      <c r="E863" s="5" t="str">
        <f>IFERROR(__xludf.DUMMYFUNCTION("""COMPUTED_VALUE"""),"אישה")</f>
        <v>אישה</v>
      </c>
      <c r="F863" s="5" t="str">
        <f>IFERROR(__xludf.DUMMYFUNCTION("""COMPUTED_VALUE"""),"צה""ל")</f>
        <v>צה"ל</v>
      </c>
      <c r="G863" s="5" t="str">
        <f>IFERROR(__xludf.DUMMYFUNCTION("""COMPUTED_VALUE"""),"סמל")</f>
        <v>סמל</v>
      </c>
      <c r="H863" s="3" t="str">
        <f>IFERROR(__xludf.DUMMYFUNCTION("""COMPUTED_VALUE"""),"07.10.2023")</f>
        <v>07.10.2023</v>
      </c>
      <c r="I863" s="4" t="str">
        <f>IFERROR(__xludf.DUMMYFUNCTION("""COMPUTED_VALUE"""),"מוצב נחל עוז; מיגונית בנות")</f>
        <v>מוצב נחל עוז; מיגונית בנות</v>
      </c>
      <c r="J863" s="4" t="str">
        <f>IFERROR(__xludf.DUMMYFUNCTION("""COMPUTED_VALUE"""),"חיילים")</f>
        <v>חיילים</v>
      </c>
      <c r="K863" s="5"/>
      <c r="L863" s="3" t="str">
        <f>IFERROR(__xludf.DUMMYFUNCTION("""COMPUTED_VALUE"""),"Aviv Hajaj")</f>
        <v>Aviv Hajaj</v>
      </c>
      <c r="M863" s="5"/>
    </row>
    <row r="864">
      <c r="A864" s="3">
        <f>IFERROR(__xludf.DUMMYFUNCTION("""COMPUTED_VALUE"""),1394.0)</f>
        <v>1394</v>
      </c>
      <c r="B864" s="4" t="str">
        <f>IFERROR(__xludf.DUMMYFUNCTION("""COMPUTED_VALUE"""),"חיים פור שיראל")</f>
        <v>חיים פור שיראל</v>
      </c>
      <c r="C864" s="3">
        <f>IFERROR(__xludf.DUMMYFUNCTION("""COMPUTED_VALUE"""),20.0)</f>
        <v>20</v>
      </c>
      <c r="D864" s="5" t="str">
        <f>IFERROR(__xludf.DUMMYFUNCTION("""COMPUTED_VALUE"""),"ראשון לציון")</f>
        <v>ראשון לציון</v>
      </c>
      <c r="E864" s="5" t="str">
        <f>IFERROR(__xludf.DUMMYFUNCTION("""COMPUTED_VALUE"""),"אישה")</f>
        <v>אישה</v>
      </c>
      <c r="F864" s="5" t="str">
        <f>IFERROR(__xludf.DUMMYFUNCTION("""COMPUTED_VALUE"""),"צה""ל")</f>
        <v>צה"ל</v>
      </c>
      <c r="G864" s="5" t="str">
        <f>IFERROR(__xludf.DUMMYFUNCTION("""COMPUTED_VALUE"""),"סמ״ר")</f>
        <v>סמ״ר</v>
      </c>
      <c r="H864" s="3" t="str">
        <f>IFERROR(__xludf.DUMMYFUNCTION("""COMPUTED_VALUE"""),"07.10.2023")</f>
        <v>07.10.2023</v>
      </c>
      <c r="I864" s="4" t="str">
        <f>IFERROR(__xludf.DUMMYFUNCTION("""COMPUTED_VALUE"""),"מוצב נחל עוז; חמ""ל")</f>
        <v>מוצב נחל עוז; חמ"ל</v>
      </c>
      <c r="J864" s="2" t="str">
        <f>IFERROR(__xludf.DUMMYFUNCTION("""COMPUTED_VALUE"""),"חיילים")</f>
        <v>חיילים</v>
      </c>
      <c r="K864" s="5"/>
      <c r="L864" s="3" t="str">
        <f>IFERROR(__xludf.DUMMYFUNCTION("""COMPUTED_VALUE"""),"Shirel Haim Pour")</f>
        <v>Shirel Haim Pour</v>
      </c>
      <c r="M864" s="5"/>
    </row>
    <row r="865">
      <c r="A865" s="3">
        <f>IFERROR(__xludf.DUMMYFUNCTION("""COMPUTED_VALUE"""),1181.0)</f>
        <v>1181</v>
      </c>
      <c r="B865" s="4" t="str">
        <f>IFERROR(__xludf.DUMMYFUNCTION("""COMPUTED_VALUE"""),"יוגב בועז מנשה")</f>
        <v>יוגב בועז מנשה</v>
      </c>
      <c r="C865" s="3">
        <f>IFERROR(__xludf.DUMMYFUNCTION("""COMPUTED_VALUE"""),19.0)</f>
        <v>19</v>
      </c>
      <c r="D865" s="5" t="str">
        <f>IFERROR(__xludf.DUMMYFUNCTION("""COMPUTED_VALUE"""),"טלמון")</f>
        <v>טלמון</v>
      </c>
      <c r="E865" s="5" t="str">
        <f>IFERROR(__xludf.DUMMYFUNCTION("""COMPUTED_VALUE"""),"גבר")</f>
        <v>גבר</v>
      </c>
      <c r="F865" s="5" t="str">
        <f>IFERROR(__xludf.DUMMYFUNCTION("""COMPUTED_VALUE"""),"צה""ל")</f>
        <v>צה"ל</v>
      </c>
      <c r="G865" s="5" t="str">
        <f>IFERROR(__xludf.DUMMYFUNCTION("""COMPUTED_VALUE"""),"סמל")</f>
        <v>סמל</v>
      </c>
      <c r="H865" s="3" t="str">
        <f>IFERROR(__xludf.DUMMYFUNCTION("""COMPUTED_VALUE"""),"07.10.2023")</f>
        <v>07.10.2023</v>
      </c>
      <c r="I865" s="4" t="str">
        <f>IFERROR(__xludf.DUMMYFUNCTION("""COMPUTED_VALUE"""),"מוצב נחל עוז; מיגונית צמא")</f>
        <v>מוצב נחל עוז; מיגונית צמא</v>
      </c>
      <c r="J865" s="4" t="str">
        <f>IFERROR(__xludf.DUMMYFUNCTION("""COMPUTED_VALUE"""),"חיילים")</f>
        <v>חיילים</v>
      </c>
      <c r="K865" s="5"/>
      <c r="L865" s="3" t="str">
        <f>IFERROR(__xludf.DUMMYFUNCTION("""COMPUTED_VALUE"""),"Boaz Menashe Yoggev")</f>
        <v>Boaz Menashe Yoggev</v>
      </c>
      <c r="M865" s="5"/>
    </row>
    <row r="866">
      <c r="A866" s="3">
        <f>IFERROR(__xludf.DUMMYFUNCTION("""COMPUTED_VALUE"""),248.0)</f>
        <v>248</v>
      </c>
      <c r="B866" s="4" t="str">
        <f>IFERROR(__xludf.DUMMYFUNCTION("""COMPUTED_VALUE"""),"יעבץ יפתח")</f>
        <v>יעבץ יפתח</v>
      </c>
      <c r="C866" s="3">
        <f>IFERROR(__xludf.DUMMYFUNCTION("""COMPUTED_VALUE"""),23.0)</f>
        <v>23</v>
      </c>
      <c r="D866" s="5" t="str">
        <f>IFERROR(__xludf.DUMMYFUNCTION("""COMPUTED_VALUE"""),"רמת השרון")</f>
        <v>רמת השרון</v>
      </c>
      <c r="E866" s="5" t="str">
        <f>IFERROR(__xludf.DUMMYFUNCTION("""COMPUTED_VALUE"""),"גבר")</f>
        <v>גבר</v>
      </c>
      <c r="F866" s="5" t="str">
        <f>IFERROR(__xludf.DUMMYFUNCTION("""COMPUTED_VALUE"""),"צה""ל")</f>
        <v>צה"ל</v>
      </c>
      <c r="G866" s="5" t="str">
        <f>IFERROR(__xludf.DUMMYFUNCTION("""COMPUTED_VALUE"""),"סרן")</f>
        <v>סרן</v>
      </c>
      <c r="H866" s="3" t="str">
        <f>IFERROR(__xludf.DUMMYFUNCTION("""COMPUTED_VALUE"""),"07.10.2023")</f>
        <v>07.10.2023</v>
      </c>
      <c r="I866" s="4" t="str">
        <f>IFERROR(__xludf.DUMMYFUNCTION("""COMPUTED_VALUE"""),"כביש סעד - נחל עוז")</f>
        <v>כביש סעד - נחל עוז</v>
      </c>
      <c r="J866" s="4" t="str">
        <f>IFERROR(__xludf.DUMMYFUNCTION("""COMPUTED_VALUE"""),"חיילים")</f>
        <v>חיילים</v>
      </c>
      <c r="K866" s="5"/>
      <c r="L866" s="3" t="str">
        <f>IFERROR(__xludf.DUMMYFUNCTION("""COMPUTED_VALUE"""),"Yiftach Yavetz")</f>
        <v>Yiftach Yavetz</v>
      </c>
      <c r="M866" s="5"/>
    </row>
    <row r="867">
      <c r="A867" s="3">
        <f>IFERROR(__xludf.DUMMYFUNCTION("""COMPUTED_VALUE"""),472.0)</f>
        <v>472</v>
      </c>
      <c r="B867" s="4" t="str">
        <f>IFERROR(__xludf.DUMMYFUNCTION("""COMPUTED_VALUE"""),"כהן הדר מרים")</f>
        <v>כהן הדר מרים</v>
      </c>
      <c r="C867" s="3">
        <f>IFERROR(__xludf.DUMMYFUNCTION("""COMPUTED_VALUE"""),18.0)</f>
        <v>18</v>
      </c>
      <c r="D867" s="5" t="str">
        <f>IFERROR(__xludf.DUMMYFUNCTION("""COMPUTED_VALUE"""),"זיתן")</f>
        <v>זיתן</v>
      </c>
      <c r="E867" s="5" t="str">
        <f>IFERROR(__xludf.DUMMYFUNCTION("""COMPUTED_VALUE"""),"אישה")</f>
        <v>אישה</v>
      </c>
      <c r="F867" s="5" t="str">
        <f>IFERROR(__xludf.DUMMYFUNCTION("""COMPUTED_VALUE"""),"צה""ל")</f>
        <v>צה"ל</v>
      </c>
      <c r="G867" s="5" t="str">
        <f>IFERROR(__xludf.DUMMYFUNCTION("""COMPUTED_VALUE"""),"רב״ט")</f>
        <v>רב״ט</v>
      </c>
      <c r="H867" s="3" t="str">
        <f>IFERROR(__xludf.DUMMYFUNCTION("""COMPUTED_VALUE"""),"07.10.2023")</f>
        <v>07.10.2023</v>
      </c>
      <c r="I867" s="4" t="str">
        <f>IFERROR(__xludf.DUMMYFUNCTION("""COMPUTED_VALUE"""),"מוצב נחל עוז; מיגונית בנות")</f>
        <v>מוצב נחל עוז; מיגונית בנות</v>
      </c>
      <c r="J867" s="2" t="str">
        <f>IFERROR(__xludf.DUMMYFUNCTION("""COMPUTED_VALUE"""),"חיילים")</f>
        <v>חיילים</v>
      </c>
      <c r="K867" s="5"/>
      <c r="L867" s="3" t="str">
        <f>IFERROR(__xludf.DUMMYFUNCTION("""COMPUTED_VALUE"""),"Hadar Miriam Cohen")</f>
        <v>Hadar Miriam Cohen</v>
      </c>
      <c r="M867" s="5"/>
    </row>
    <row r="868">
      <c r="A868" s="3">
        <f>IFERROR(__xludf.DUMMYFUNCTION("""COMPUTED_VALUE"""),476.0)</f>
        <v>476</v>
      </c>
      <c r="B868" s="4" t="str">
        <f>IFERROR(__xludf.DUMMYFUNCTION("""COMPUTED_VALUE"""),"כרמי אורי")</f>
        <v>כרמי אורי</v>
      </c>
      <c r="C868" s="3">
        <f>IFERROR(__xludf.DUMMYFUNCTION("""COMPUTED_VALUE"""),20.0)</f>
        <v>20</v>
      </c>
      <c r="D868" s="5" t="str">
        <f>IFERROR(__xludf.DUMMYFUNCTION("""COMPUTED_VALUE"""),"ראשון לציון")</f>
        <v>ראשון לציון</v>
      </c>
      <c r="E868" s="5" t="str">
        <f>IFERROR(__xludf.DUMMYFUNCTION("""COMPUTED_VALUE"""),"גבר")</f>
        <v>גבר</v>
      </c>
      <c r="F868" s="5" t="str">
        <f>IFERROR(__xludf.DUMMYFUNCTION("""COMPUTED_VALUE"""),"צה""ל")</f>
        <v>צה"ל</v>
      </c>
      <c r="G868" s="5" t="str">
        <f>IFERROR(__xludf.DUMMYFUNCTION("""COMPUTED_VALUE"""),"סמ״ר")</f>
        <v>סמ״ר</v>
      </c>
      <c r="H868" s="3" t="str">
        <f>IFERROR(__xludf.DUMMYFUNCTION("""COMPUTED_VALUE"""),"07.10.2023")</f>
        <v>07.10.2023</v>
      </c>
      <c r="I868" s="4" t="str">
        <f>IFERROR(__xludf.DUMMYFUNCTION("""COMPUTED_VALUE"""),"מוצב נחל עוז; ש.ג.")</f>
        <v>מוצב נחל עוז; ש.ג.</v>
      </c>
      <c r="J868" s="4" t="str">
        <f>IFERROR(__xludf.DUMMYFUNCTION("""COMPUTED_VALUE"""),"חיילים")</f>
        <v>חיילים</v>
      </c>
      <c r="K868" s="5"/>
      <c r="L868" s="3" t="str">
        <f>IFERROR(__xludf.DUMMYFUNCTION("""COMPUTED_VALUE"""),"Ori Karmi")</f>
        <v>Ori Karmi</v>
      </c>
      <c r="M868" s="5"/>
    </row>
    <row r="869">
      <c r="A869" s="3">
        <f>IFERROR(__xludf.DUMMYFUNCTION("""COMPUTED_VALUE"""),477.0)</f>
        <v>477</v>
      </c>
      <c r="B869" s="4" t="str">
        <f>IFERROR(__xludf.DUMMYFUNCTION("""COMPUTED_VALUE"""),"לזימי דור")</f>
        <v>לזימי דור</v>
      </c>
      <c r="C869" s="3">
        <f>IFERROR(__xludf.DUMMYFUNCTION("""COMPUTED_VALUE"""),21.0)</f>
        <v>21</v>
      </c>
      <c r="D869" s="5" t="str">
        <f>IFERROR(__xludf.DUMMYFUNCTION("""COMPUTED_VALUE"""),"כפר תבור")</f>
        <v>כפר תבור</v>
      </c>
      <c r="E869" s="5" t="str">
        <f>IFERROR(__xludf.DUMMYFUNCTION("""COMPUTED_VALUE"""),"גבר")</f>
        <v>גבר</v>
      </c>
      <c r="F869" s="5" t="str">
        <f>IFERROR(__xludf.DUMMYFUNCTION("""COMPUTED_VALUE"""),"צה""ל")</f>
        <v>צה"ל</v>
      </c>
      <c r="G869" s="5" t="str">
        <f>IFERROR(__xludf.DUMMYFUNCTION("""COMPUTED_VALUE"""),"סמ״ר")</f>
        <v>סמ״ר</v>
      </c>
      <c r="H869" s="3" t="str">
        <f>IFERROR(__xludf.DUMMYFUNCTION("""COMPUTED_VALUE"""),"07.10.2023")</f>
        <v>07.10.2023</v>
      </c>
      <c r="I869" s="4" t="str">
        <f>IFERROR(__xludf.DUMMYFUNCTION("""COMPUTED_VALUE"""),"מוצב נחל עוז; ש.ג.")</f>
        <v>מוצב נחל עוז; ש.ג.</v>
      </c>
      <c r="J869" s="4" t="str">
        <f>IFERROR(__xludf.DUMMYFUNCTION("""COMPUTED_VALUE"""),"חיילים")</f>
        <v>חיילים</v>
      </c>
      <c r="K869" s="5"/>
      <c r="L869" s="3" t="str">
        <f>IFERROR(__xludf.DUMMYFUNCTION("""COMPUTED_VALUE"""),"Dor Lazimi")</f>
        <v>Dor Lazimi</v>
      </c>
      <c r="M869" s="5"/>
    </row>
    <row r="870">
      <c r="A870" s="3">
        <f>IFERROR(__xludf.DUMMYFUNCTION("""COMPUTED_VALUE"""),478.0)</f>
        <v>478</v>
      </c>
      <c r="B870" s="4" t="str">
        <f>IFERROR(__xludf.DUMMYFUNCTION("""COMPUTED_VALUE"""),"לייבושור יעל")</f>
        <v>לייבושור יעל</v>
      </c>
      <c r="C870" s="3">
        <f>IFERROR(__xludf.DUMMYFUNCTION("""COMPUTED_VALUE"""),20.0)</f>
        <v>20</v>
      </c>
      <c r="D870" s="5" t="str">
        <f>IFERROR(__xludf.DUMMYFUNCTION("""COMPUTED_VALUE"""),"גיאה")</f>
        <v>גיאה</v>
      </c>
      <c r="E870" s="5" t="str">
        <f>IFERROR(__xludf.DUMMYFUNCTION("""COMPUTED_VALUE"""),"אישה")</f>
        <v>אישה</v>
      </c>
      <c r="F870" s="5" t="str">
        <f>IFERROR(__xludf.DUMMYFUNCTION("""COMPUTED_VALUE"""),"צה""ל")</f>
        <v>צה"ל</v>
      </c>
      <c r="G870" s="5" t="str">
        <f>IFERROR(__xludf.DUMMYFUNCTION("""COMPUTED_VALUE"""),"סמל")</f>
        <v>סמל</v>
      </c>
      <c r="H870" s="3" t="str">
        <f>IFERROR(__xludf.DUMMYFUNCTION("""COMPUTED_VALUE"""),"07.10.2023")</f>
        <v>07.10.2023</v>
      </c>
      <c r="I870" s="4" t="str">
        <f>IFERROR(__xludf.DUMMYFUNCTION("""COMPUTED_VALUE"""),"מוצב נחל עוז; חמ""ל")</f>
        <v>מוצב נחל עוז; חמ"ל</v>
      </c>
      <c r="J870" s="4" t="str">
        <f>IFERROR(__xludf.DUMMYFUNCTION("""COMPUTED_VALUE"""),"חיילים")</f>
        <v>חיילים</v>
      </c>
      <c r="K870" s="5"/>
      <c r="L870" s="3" t="str">
        <f>IFERROR(__xludf.DUMMYFUNCTION("""COMPUTED_VALUE"""),"Yael Leibushor")</f>
        <v>Yael Leibushor</v>
      </c>
      <c r="M870" s="5"/>
    </row>
    <row r="871">
      <c r="A871" s="3">
        <f>IFERROR(__xludf.DUMMYFUNCTION("""COMPUTED_VALUE"""),1518.0)</f>
        <v>1518</v>
      </c>
      <c r="B871" s="4" t="str">
        <f>IFERROR(__xludf.DUMMYFUNCTION("""COMPUTED_VALUE"""),"לנדמן עדי")</f>
        <v>לנדמן עדי</v>
      </c>
      <c r="C871" s="3">
        <f>IFERROR(__xludf.DUMMYFUNCTION("""COMPUTED_VALUE"""),19.0)</f>
        <v>19</v>
      </c>
      <c r="D871" s="5" t="str">
        <f>IFERROR(__xludf.DUMMYFUNCTION("""COMPUTED_VALUE"""),"יקנעם עילית")</f>
        <v>יקנעם עילית</v>
      </c>
      <c r="E871" s="5" t="str">
        <f>IFERROR(__xludf.DUMMYFUNCTION("""COMPUTED_VALUE"""),"אישה")</f>
        <v>אישה</v>
      </c>
      <c r="F871" s="5" t="str">
        <f>IFERROR(__xludf.DUMMYFUNCTION("""COMPUTED_VALUE"""),"צה""ל")</f>
        <v>צה"ל</v>
      </c>
      <c r="G871" s="5" t="str">
        <f>IFERROR(__xludf.DUMMYFUNCTION("""COMPUTED_VALUE"""),"סמ״ר")</f>
        <v>סמ״ר</v>
      </c>
      <c r="H871" s="3" t="str">
        <f>IFERROR(__xludf.DUMMYFUNCTION("""COMPUTED_VALUE"""),"07.10.2023")</f>
        <v>07.10.2023</v>
      </c>
      <c r="I871" s="4" t="str">
        <f>IFERROR(__xludf.DUMMYFUNCTION("""COMPUTED_VALUE"""),"מוצב נחל עוז; חמ""ל")</f>
        <v>מוצב נחל עוז; חמ"ל</v>
      </c>
      <c r="J871" s="4" t="str">
        <f>IFERROR(__xludf.DUMMYFUNCTION("""COMPUTED_VALUE"""),"חיילים")</f>
        <v>חיילים</v>
      </c>
      <c r="K871" s="5"/>
      <c r="L871" s="3" t="str">
        <f>IFERROR(__xludf.DUMMYFUNCTION("""COMPUTED_VALUE"""),"Adi Landman")</f>
        <v>Adi Landman</v>
      </c>
      <c r="M871" s="5"/>
    </row>
    <row r="872">
      <c r="A872" s="3">
        <f>IFERROR(__xludf.DUMMYFUNCTION("""COMPUTED_VALUE"""),1543.0)</f>
        <v>1543</v>
      </c>
      <c r="B872" s="4" t="str">
        <f>IFERROR(__xludf.DUMMYFUNCTION("""COMPUTED_VALUE"""),"מור שיראל")</f>
        <v>מור שיראל</v>
      </c>
      <c r="C872" s="3">
        <f>IFERROR(__xludf.DUMMYFUNCTION("""COMPUTED_VALUE"""),19.0)</f>
        <v>19</v>
      </c>
      <c r="D872" s="5" t="str">
        <f>IFERROR(__xludf.DUMMYFUNCTION("""COMPUTED_VALUE"""),"רעננה")</f>
        <v>רעננה</v>
      </c>
      <c r="E872" s="5" t="str">
        <f>IFERROR(__xludf.DUMMYFUNCTION("""COMPUTED_VALUE"""),"אישה")</f>
        <v>אישה</v>
      </c>
      <c r="F872" s="5" t="str">
        <f>IFERROR(__xludf.DUMMYFUNCTION("""COMPUTED_VALUE"""),"צה""ל")</f>
        <v>צה"ל</v>
      </c>
      <c r="G872" s="5" t="str">
        <f>IFERROR(__xludf.DUMMYFUNCTION("""COMPUTED_VALUE"""),"סמל")</f>
        <v>סמל</v>
      </c>
      <c r="H872" s="3" t="str">
        <f>IFERROR(__xludf.DUMMYFUNCTION("""COMPUTED_VALUE"""),"07.10.2023")</f>
        <v>07.10.2023</v>
      </c>
      <c r="I872" s="4" t="str">
        <f>IFERROR(__xludf.DUMMYFUNCTION("""COMPUTED_VALUE"""),"מוצב נחל עוז; חמ""ל")</f>
        <v>מוצב נחל עוז; חמ"ל</v>
      </c>
      <c r="J872" s="4" t="str">
        <f>IFERROR(__xludf.DUMMYFUNCTION("""COMPUTED_VALUE"""),"חיילים")</f>
        <v>חיילים</v>
      </c>
      <c r="K872" s="5"/>
      <c r="L872" s="3" t="str">
        <f>IFERROR(__xludf.DUMMYFUNCTION("""COMPUTED_VALUE"""),"Shirel Mor")</f>
        <v>Shirel Mor</v>
      </c>
      <c r="M872" s="5"/>
    </row>
    <row r="873">
      <c r="A873" s="3">
        <f>IFERROR(__xludf.DUMMYFUNCTION("""COMPUTED_VALUE"""),1475.0)</f>
        <v>1475</v>
      </c>
      <c r="B873" s="4" t="str">
        <f>IFERROR(__xludf.DUMMYFUNCTION("""COMPUTED_VALUE"""),"נימרי עדן")</f>
        <v>נימרי עדן</v>
      </c>
      <c r="C873" s="3">
        <f>IFERROR(__xludf.DUMMYFUNCTION("""COMPUTED_VALUE"""),22.0)</f>
        <v>22</v>
      </c>
      <c r="D873" s="5" t="str">
        <f>IFERROR(__xludf.DUMMYFUNCTION("""COMPUTED_VALUE"""),"מודיעין מכבים רעות")</f>
        <v>מודיעין מכבים רעות</v>
      </c>
      <c r="E873" s="5" t="str">
        <f>IFERROR(__xludf.DUMMYFUNCTION("""COMPUTED_VALUE"""),"אישה")</f>
        <v>אישה</v>
      </c>
      <c r="F873" s="5" t="str">
        <f>IFERROR(__xludf.DUMMYFUNCTION("""COMPUTED_VALUE"""),"צה""ל")</f>
        <v>צה"ל</v>
      </c>
      <c r="G873" s="5" t="str">
        <f>IFERROR(__xludf.DUMMYFUNCTION("""COMPUTED_VALUE"""),"סרן")</f>
        <v>סרן</v>
      </c>
      <c r="H873" s="3" t="str">
        <f>IFERROR(__xludf.DUMMYFUNCTION("""COMPUTED_VALUE"""),"07.10.2023")</f>
        <v>07.10.2023</v>
      </c>
      <c r="I873" s="4" t="str">
        <f>IFERROR(__xludf.DUMMYFUNCTION("""COMPUTED_VALUE"""),"מוצב נחל עוז; מיגונית בנות")</f>
        <v>מוצב נחל עוז; מיגונית בנות</v>
      </c>
      <c r="J873" s="4" t="str">
        <f>IFERROR(__xludf.DUMMYFUNCTION("""COMPUTED_VALUE"""),"חיילים")</f>
        <v>חיילים</v>
      </c>
      <c r="K873" s="5"/>
      <c r="L873" s="3" t="str">
        <f>IFERROR(__xludf.DUMMYFUNCTION("""COMPUTED_VALUE"""),"Eden Nimri")</f>
        <v>Eden Nimri</v>
      </c>
      <c r="M873" s="5"/>
    </row>
    <row r="874">
      <c r="A874" s="3">
        <f>IFERROR(__xludf.DUMMYFUNCTION("""COMPUTED_VALUE"""),486.0)</f>
        <v>486</v>
      </c>
      <c r="B874" s="4" t="str">
        <f>IFERROR(__xludf.DUMMYFUNCTION("""COMPUTED_VALUE"""),"ניסני שחף")</f>
        <v>ניסני שחף</v>
      </c>
      <c r="C874" s="3">
        <f>IFERROR(__xludf.DUMMYFUNCTION("""COMPUTED_VALUE"""),20.0)</f>
        <v>20</v>
      </c>
      <c r="D874" s="5" t="str">
        <f>IFERROR(__xludf.DUMMYFUNCTION("""COMPUTED_VALUE"""),"אשקלון")</f>
        <v>אשקלון</v>
      </c>
      <c r="E874" s="5" t="str">
        <f>IFERROR(__xludf.DUMMYFUNCTION("""COMPUTED_VALUE"""),"אישה")</f>
        <v>אישה</v>
      </c>
      <c r="F874" s="5" t="str">
        <f>IFERROR(__xludf.DUMMYFUNCTION("""COMPUTED_VALUE"""),"צה""ל")</f>
        <v>צה"ל</v>
      </c>
      <c r="G874" s="5" t="str">
        <f>IFERROR(__xludf.DUMMYFUNCTION("""COMPUTED_VALUE"""),"סמ״ר")</f>
        <v>סמ״ר</v>
      </c>
      <c r="H874" s="3" t="str">
        <f>IFERROR(__xludf.DUMMYFUNCTION("""COMPUTED_VALUE"""),"07.10.2023")</f>
        <v>07.10.2023</v>
      </c>
      <c r="I874" s="4" t="str">
        <f>IFERROR(__xludf.DUMMYFUNCTION("""COMPUTED_VALUE"""),"מוצב נחל עוז; מיגונית בנות")</f>
        <v>מוצב נחל עוז; מיגונית בנות</v>
      </c>
      <c r="J874" s="4" t="str">
        <f>IFERROR(__xludf.DUMMYFUNCTION("""COMPUTED_VALUE"""),"חיילים")</f>
        <v>חיילים</v>
      </c>
      <c r="K874" s="5"/>
      <c r="L874" s="3" t="str">
        <f>IFERROR(__xludf.DUMMYFUNCTION("""COMPUTED_VALUE"""),"Shahaf Nissani")</f>
        <v>Shahaf Nissani</v>
      </c>
      <c r="M874" s="5"/>
    </row>
    <row r="875">
      <c r="A875" s="3">
        <f>IFERROR(__xludf.DUMMYFUNCTION("""COMPUTED_VALUE"""),495.0)</f>
        <v>495</v>
      </c>
      <c r="B875" s="4" t="str">
        <f>IFERROR(__xludf.DUMMYFUNCTION("""COMPUTED_VALUE"""),"סיבוני נאור")</f>
        <v>סיבוני נאור</v>
      </c>
      <c r="C875" s="3">
        <f>IFERROR(__xludf.DUMMYFUNCTION("""COMPUTED_VALUE"""),20.0)</f>
        <v>20</v>
      </c>
      <c r="D875" s="5" t="str">
        <f>IFERROR(__xludf.DUMMYFUNCTION("""COMPUTED_VALUE"""),"גילת")</f>
        <v>גילת</v>
      </c>
      <c r="E875" s="5" t="str">
        <f>IFERROR(__xludf.DUMMYFUNCTION("""COMPUTED_VALUE"""),"גבר")</f>
        <v>גבר</v>
      </c>
      <c r="F875" s="5" t="str">
        <f>IFERROR(__xludf.DUMMYFUNCTION("""COMPUTED_VALUE"""),"צה""ל")</f>
        <v>צה"ל</v>
      </c>
      <c r="G875" s="5" t="str">
        <f>IFERROR(__xludf.DUMMYFUNCTION("""COMPUTED_VALUE"""),"סמ״ר")</f>
        <v>סמ״ר</v>
      </c>
      <c r="H875" s="3" t="str">
        <f>IFERROR(__xludf.DUMMYFUNCTION("""COMPUTED_VALUE"""),"07.10.2023")</f>
        <v>07.10.2023</v>
      </c>
      <c r="I875" s="4" t="str">
        <f>IFERROR(__xludf.DUMMYFUNCTION("""COMPUTED_VALUE"""),"מוצב נחל עוז; מיגונית 13")</f>
        <v>מוצב נחל עוז; מיגונית 13</v>
      </c>
      <c r="J875" s="4" t="str">
        <f>IFERROR(__xludf.DUMMYFUNCTION("""COMPUTED_VALUE"""),"חיילים")</f>
        <v>חיילים</v>
      </c>
      <c r="K875" s="5"/>
      <c r="L875" s="3" t="str">
        <f>IFERROR(__xludf.DUMMYFUNCTION("""COMPUTED_VALUE"""),"Naor Sivoni")</f>
        <v>Naor Sivoni</v>
      </c>
      <c r="M875" s="5"/>
    </row>
    <row r="876">
      <c r="A876" s="3">
        <f>IFERROR(__xludf.DUMMYFUNCTION("""COMPUTED_VALUE"""),461.0)</f>
        <v>461</v>
      </c>
      <c r="B876" s="4" t="str">
        <f>IFERROR(__xludf.DUMMYFUNCTION("""COMPUTED_VALUE"""),"עמר שירת ים")</f>
        <v>עמר שירת ים</v>
      </c>
      <c r="C876" s="3">
        <f>IFERROR(__xludf.DUMMYFUNCTION("""COMPUTED_VALUE"""),18.0)</f>
        <v>18</v>
      </c>
      <c r="D876" s="5" t="str">
        <f>IFERROR(__xludf.DUMMYFUNCTION("""COMPUTED_VALUE"""),"קריית אונו")</f>
        <v>קריית אונו</v>
      </c>
      <c r="E876" s="5" t="str">
        <f>IFERROR(__xludf.DUMMYFUNCTION("""COMPUTED_VALUE"""),"אישה")</f>
        <v>אישה</v>
      </c>
      <c r="F876" s="5" t="str">
        <f>IFERROR(__xludf.DUMMYFUNCTION("""COMPUTED_VALUE"""),"צה""ל")</f>
        <v>צה"ל</v>
      </c>
      <c r="G876" s="5" t="str">
        <f>IFERROR(__xludf.DUMMYFUNCTION("""COMPUTED_VALUE"""),"רב״ט")</f>
        <v>רב״ט</v>
      </c>
      <c r="H876" s="3" t="str">
        <f>IFERROR(__xludf.DUMMYFUNCTION("""COMPUTED_VALUE"""),"07.10.2023")</f>
        <v>07.10.2023</v>
      </c>
      <c r="I876" s="4" t="str">
        <f>IFERROR(__xludf.DUMMYFUNCTION("""COMPUTED_VALUE"""),"מוצב נחל עוז; מיגונית בנות")</f>
        <v>מוצב נחל עוז; מיגונית בנות</v>
      </c>
      <c r="J876" s="2" t="str">
        <f>IFERROR(__xludf.DUMMYFUNCTION("""COMPUTED_VALUE"""),"חיילים")</f>
        <v>חיילים</v>
      </c>
      <c r="K876" s="5"/>
      <c r="L876" s="3" t="str">
        <f>IFERROR(__xludf.DUMMYFUNCTION("""COMPUTED_VALUE"""),"Shirat-Yam Amar")</f>
        <v>Shirat-Yam Amar</v>
      </c>
      <c r="M876" s="5"/>
    </row>
    <row r="877">
      <c r="A877" s="3">
        <f>IFERROR(__xludf.DUMMYFUNCTION("""COMPUTED_VALUE"""),414.0)</f>
        <v>414</v>
      </c>
      <c r="B877" s="4" t="str">
        <f>IFERROR(__xludf.DUMMYFUNCTION("""COMPUTED_VALUE"""),"פיטוסי ישי")</f>
        <v>פיטוסי ישי</v>
      </c>
      <c r="C877" s="3">
        <f>IFERROR(__xludf.DUMMYFUNCTION("""COMPUTED_VALUE"""),21.0)</f>
        <v>21</v>
      </c>
      <c r="D877" s="5" t="str">
        <f>IFERROR(__xludf.DUMMYFUNCTION("""COMPUTED_VALUE"""),"טלמון")</f>
        <v>טלמון</v>
      </c>
      <c r="E877" s="5" t="str">
        <f>IFERROR(__xludf.DUMMYFUNCTION("""COMPUTED_VALUE"""),"גבר")</f>
        <v>גבר</v>
      </c>
      <c r="F877" s="5" t="str">
        <f>IFERROR(__xludf.DUMMYFUNCTION("""COMPUTED_VALUE"""),"צה""ל")</f>
        <v>צה"ל</v>
      </c>
      <c r="G877" s="5" t="str">
        <f>IFERROR(__xludf.DUMMYFUNCTION("""COMPUTED_VALUE"""),"סמ״ר")</f>
        <v>סמ״ר</v>
      </c>
      <c r="H877" s="3" t="str">
        <f>IFERROR(__xludf.DUMMYFUNCTION("""COMPUTED_VALUE"""),"07.10.2023")</f>
        <v>07.10.2023</v>
      </c>
      <c r="I877" s="4" t="str">
        <f>IFERROR(__xludf.DUMMYFUNCTION("""COMPUTED_VALUE"""),"מוצב נחל עוז; נמ""ר")</f>
        <v>מוצב נחל עוז; נמ"ר</v>
      </c>
      <c r="J877" s="2" t="str">
        <f>IFERROR(__xludf.DUMMYFUNCTION("""COMPUTED_VALUE"""),"חיילים")</f>
        <v>חיילים</v>
      </c>
      <c r="K877" s="5"/>
      <c r="L877" s="3" t="str">
        <f>IFERROR(__xludf.DUMMYFUNCTION("""COMPUTED_VALUE"""),"Yishai Fitussi")</f>
        <v>Yishai Fitussi</v>
      </c>
      <c r="M877" s="5"/>
    </row>
    <row r="878">
      <c r="A878" s="3">
        <f>IFERROR(__xludf.DUMMYFUNCTION("""COMPUTED_VALUE"""),420.0)</f>
        <v>420</v>
      </c>
      <c r="B878" s="4" t="str">
        <f>IFERROR(__xludf.DUMMYFUNCTION("""COMPUTED_VALUE"""),"פלד ירין מארי")</f>
        <v>פלד ירין מארי</v>
      </c>
      <c r="C878" s="3">
        <f>IFERROR(__xludf.DUMMYFUNCTION("""COMPUTED_VALUE"""),20.0)</f>
        <v>20</v>
      </c>
      <c r="D878" s="5" t="str">
        <f>IFERROR(__xludf.DUMMYFUNCTION("""COMPUTED_VALUE"""),"בארי")</f>
        <v>בארי</v>
      </c>
      <c r="E878" s="5" t="str">
        <f>IFERROR(__xludf.DUMMYFUNCTION("""COMPUTED_VALUE"""),"אישה")</f>
        <v>אישה</v>
      </c>
      <c r="F878" s="5" t="str">
        <f>IFERROR(__xludf.DUMMYFUNCTION("""COMPUTED_VALUE"""),"צה""ל")</f>
        <v>צה"ל</v>
      </c>
      <c r="G878" s="5" t="str">
        <f>IFERROR(__xludf.DUMMYFUNCTION("""COMPUTED_VALUE"""),"סמ״ר")</f>
        <v>סמ״ר</v>
      </c>
      <c r="H878" s="3" t="str">
        <f>IFERROR(__xludf.DUMMYFUNCTION("""COMPUTED_VALUE"""),"07.10.2023")</f>
        <v>07.10.2023</v>
      </c>
      <c r="I878" s="4" t="str">
        <f>IFERROR(__xludf.DUMMYFUNCTION("""COMPUTED_VALUE"""),"מוצב נחל עוז; מגורים")</f>
        <v>מוצב נחל עוז; מגורים</v>
      </c>
      <c r="J878" s="2" t="str">
        <f>IFERROR(__xludf.DUMMYFUNCTION("""COMPUTED_VALUE"""),"חיילים")</f>
        <v>חיילים</v>
      </c>
      <c r="K878" s="5"/>
      <c r="L878" s="3" t="str">
        <f>IFERROR(__xludf.DUMMYFUNCTION("""COMPUTED_VALUE"""),"Yarin Marie Peled")</f>
        <v>Yarin Marie Peled</v>
      </c>
      <c r="M878" s="5"/>
    </row>
    <row r="879">
      <c r="A879" s="3">
        <f>IFERROR(__xludf.DUMMYFUNCTION("""COMPUTED_VALUE"""),488.0)</f>
        <v>488</v>
      </c>
      <c r="B879" s="4" t="str">
        <f>IFERROR(__xludf.DUMMYFUNCTION("""COMPUTED_VALUE"""),"פרייס נועה")</f>
        <v>פרייס נועה</v>
      </c>
      <c r="C879" s="3">
        <f>IFERROR(__xludf.DUMMYFUNCTION("""COMPUTED_VALUE"""),20.0)</f>
        <v>20</v>
      </c>
      <c r="D879" s="5" t="str">
        <f>IFERROR(__xludf.DUMMYFUNCTION("""COMPUTED_VALUE"""),"מבועים")</f>
        <v>מבועים</v>
      </c>
      <c r="E879" s="5" t="str">
        <f>IFERROR(__xludf.DUMMYFUNCTION("""COMPUTED_VALUE"""),"אישה")</f>
        <v>אישה</v>
      </c>
      <c r="F879" s="5" t="str">
        <f>IFERROR(__xludf.DUMMYFUNCTION("""COMPUTED_VALUE"""),"צה""ל")</f>
        <v>צה"ל</v>
      </c>
      <c r="G879" s="5" t="str">
        <f>IFERROR(__xludf.DUMMYFUNCTION("""COMPUTED_VALUE"""),"סמ״ר")</f>
        <v>סמ״ר</v>
      </c>
      <c r="H879" s="3" t="str">
        <f>IFERROR(__xludf.DUMMYFUNCTION("""COMPUTED_VALUE"""),"07.10.2023")</f>
        <v>07.10.2023</v>
      </c>
      <c r="I879" s="4" t="str">
        <f>IFERROR(__xludf.DUMMYFUNCTION("""COMPUTED_VALUE"""),"מוצב נחל עוז; מיגונית בנות")</f>
        <v>מוצב נחל עוז; מיגונית בנות</v>
      </c>
      <c r="J879" s="4" t="str">
        <f>IFERROR(__xludf.DUMMYFUNCTION("""COMPUTED_VALUE"""),"חיילים")</f>
        <v>חיילים</v>
      </c>
      <c r="K879" s="5"/>
      <c r="L879" s="3" t="str">
        <f>IFERROR(__xludf.DUMMYFUNCTION("""COMPUTED_VALUE"""),"Noa Price")</f>
        <v>Noa Price</v>
      </c>
      <c r="M879" s="5"/>
    </row>
    <row r="880">
      <c r="A880" s="3">
        <f>IFERROR(__xludf.DUMMYFUNCTION("""COMPUTED_VALUE"""),1139.0)</f>
        <v>1139</v>
      </c>
      <c r="B880" s="4" t="str">
        <f>IFERROR(__xludf.DUMMYFUNCTION("""COMPUTED_VALUE"""),"קרסנינסקי יעקב (יענקי) שלמה")</f>
        <v>קרסנינסקי יעקב (יענקי) שלמה</v>
      </c>
      <c r="C880" s="3">
        <f>IFERROR(__xludf.DUMMYFUNCTION("""COMPUTED_VALUE"""),23.0)</f>
        <v>23</v>
      </c>
      <c r="D880" s="5" t="str">
        <f>IFERROR(__xludf.DUMMYFUNCTION("""COMPUTED_VALUE"""),"ירושלים")</f>
        <v>ירושלים</v>
      </c>
      <c r="E880" s="5" t="str">
        <f>IFERROR(__xludf.DUMMYFUNCTION("""COMPUTED_VALUE"""),"גבר")</f>
        <v>גבר</v>
      </c>
      <c r="F880" s="5" t="str">
        <f>IFERROR(__xludf.DUMMYFUNCTION("""COMPUTED_VALUE"""),"משטרה")</f>
        <v>משטרה</v>
      </c>
      <c r="G880" s="5" t="str">
        <f>IFERROR(__xludf.DUMMYFUNCTION("""COMPUTED_VALUE"""),"רס״מ")</f>
        <v>רס״מ</v>
      </c>
      <c r="H880" s="3" t="str">
        <f>IFERROR(__xludf.DUMMYFUNCTION("""COMPUTED_VALUE"""),"07.10.2023")</f>
        <v>07.10.2023</v>
      </c>
      <c r="I880" s="4" t="str">
        <f>IFERROR(__xludf.DUMMYFUNCTION("""COMPUTED_VALUE"""),"נחל עוז")</f>
        <v>נחל עוז</v>
      </c>
      <c r="J880" s="2" t="str">
        <f>IFERROR(__xludf.DUMMYFUNCTION("""COMPUTED_VALUE"""),"שוטרים וכוחות הצלה")</f>
        <v>שוטרים וכוחות הצלה</v>
      </c>
      <c r="K880" s="5"/>
      <c r="L880" s="3" t="str">
        <f>IFERROR(__xludf.DUMMYFUNCTION("""COMPUTED_VALUE"""),"Yakov Shlomo Karsninski")</f>
        <v>Yakov Shlomo Karsninski</v>
      </c>
      <c r="M880" s="5"/>
    </row>
    <row r="881">
      <c r="A881" s="3">
        <f>IFERROR(__xludf.DUMMYFUNCTION("""COMPUTED_VALUE"""),1606.0)</f>
        <v>1606</v>
      </c>
      <c r="B881" s="4" t="str">
        <f>IFERROR(__xludf.DUMMYFUNCTION("""COMPUTED_VALUE"""),"רון איתי אברהם")</f>
        <v>רון איתי אברהם</v>
      </c>
      <c r="C881" s="3">
        <f>IFERROR(__xludf.DUMMYFUNCTION("""COMPUTED_VALUE"""),20.0)</f>
        <v>20</v>
      </c>
      <c r="D881" s="5" t="str">
        <f>IFERROR(__xludf.DUMMYFUNCTION("""COMPUTED_VALUE"""),"נס ציונה")</f>
        <v>נס ציונה</v>
      </c>
      <c r="E881" s="5" t="str">
        <f>IFERROR(__xludf.DUMMYFUNCTION("""COMPUTED_VALUE"""),"גבר")</f>
        <v>גבר</v>
      </c>
      <c r="F881" s="5" t="str">
        <f>IFERROR(__xludf.DUMMYFUNCTION("""COMPUTED_VALUE"""),"צה""ל")</f>
        <v>צה"ל</v>
      </c>
      <c r="G881" s="5" t="str">
        <f>IFERROR(__xludf.DUMMYFUNCTION("""COMPUTED_VALUE"""),"סמ״ר")</f>
        <v>סמ״ר</v>
      </c>
      <c r="H881" s="3" t="str">
        <f>IFERROR(__xludf.DUMMYFUNCTION("""COMPUTED_VALUE"""),"07.10.2023")</f>
        <v>07.10.2023</v>
      </c>
      <c r="I881" s="4" t="str">
        <f>IFERROR(__xludf.DUMMYFUNCTION("""COMPUTED_VALUE"""),"מוצב נחל עוז; חמ""ל")</f>
        <v>מוצב נחל עוז; חמ"ל</v>
      </c>
      <c r="J881" s="4" t="str">
        <f>IFERROR(__xludf.DUMMYFUNCTION("""COMPUTED_VALUE"""),"חיילים")</f>
        <v>חיילים</v>
      </c>
      <c r="K881" s="5"/>
      <c r="L881" s="3" t="str">
        <f>IFERROR(__xludf.DUMMYFUNCTION("""COMPUTED_VALUE"""),"Itay Ron")</f>
        <v>Itay Ron</v>
      </c>
      <c r="M881" s="5"/>
    </row>
    <row r="882">
      <c r="A882" s="3">
        <f>IFERROR(__xludf.DUMMYFUNCTION("""COMPUTED_VALUE"""),494.0)</f>
        <v>494</v>
      </c>
      <c r="B882" s="4" t="str">
        <f>IFERROR(__xludf.DUMMYFUNCTION("""COMPUTED_VALUE"""),"שוחט שירה")</f>
        <v>שוחט שירה</v>
      </c>
      <c r="C882" s="3">
        <f>IFERROR(__xludf.DUMMYFUNCTION("""COMPUTED_VALUE"""),19.0)</f>
        <v>19</v>
      </c>
      <c r="D882" s="5" t="str">
        <f>IFERROR(__xludf.DUMMYFUNCTION("""COMPUTED_VALUE"""),"מודיעין מכבים רעות")</f>
        <v>מודיעין מכבים רעות</v>
      </c>
      <c r="E882" s="5" t="str">
        <f>IFERROR(__xludf.DUMMYFUNCTION("""COMPUTED_VALUE"""),"אישה")</f>
        <v>אישה</v>
      </c>
      <c r="F882" s="5" t="str">
        <f>IFERROR(__xludf.DUMMYFUNCTION("""COMPUTED_VALUE"""),"צה""ל")</f>
        <v>צה"ל</v>
      </c>
      <c r="G882" s="5" t="str">
        <f>IFERROR(__xludf.DUMMYFUNCTION("""COMPUTED_VALUE"""),"סמל")</f>
        <v>סמל</v>
      </c>
      <c r="H882" s="3" t="str">
        <f>IFERROR(__xludf.DUMMYFUNCTION("""COMPUTED_VALUE"""),"07.10.2023")</f>
        <v>07.10.2023</v>
      </c>
      <c r="I882" s="4" t="str">
        <f>IFERROR(__xludf.DUMMYFUNCTION("""COMPUTED_VALUE"""),"מוצב נחל עוז; חמ""ל")</f>
        <v>מוצב נחל עוז; חמ"ל</v>
      </c>
      <c r="J882" s="2" t="str">
        <f>IFERROR(__xludf.DUMMYFUNCTION("""COMPUTED_VALUE"""),"חיילים")</f>
        <v>חיילים</v>
      </c>
      <c r="K882" s="5"/>
      <c r="L882" s="3" t="str">
        <f>IFERROR(__xludf.DUMMYFUNCTION("""COMPUTED_VALUE"""),"Shira Shohat")</f>
        <v>Shira Shohat</v>
      </c>
      <c r="M882" s="5"/>
    </row>
    <row r="883">
      <c r="A883" s="3">
        <f>IFERROR(__xludf.DUMMYFUNCTION("""COMPUTED_VALUE"""),221.0)</f>
        <v>221</v>
      </c>
      <c r="B883" s="4" t="str">
        <f>IFERROR(__xludf.DUMMYFUNCTION("""COMPUTED_VALUE"""),"דקל נחמן")</f>
        <v>דקל נחמן</v>
      </c>
      <c r="C883" s="3">
        <f>IFERROR(__xludf.DUMMYFUNCTION("""COMPUTED_VALUE"""),20.0)</f>
        <v>20</v>
      </c>
      <c r="D883" s="5" t="str">
        <f>IFERROR(__xludf.DUMMYFUNCTION("""COMPUTED_VALUE"""),"עמנואל")</f>
        <v>עמנואל</v>
      </c>
      <c r="E883" s="5" t="str">
        <f>IFERROR(__xludf.DUMMYFUNCTION("""COMPUTED_VALUE"""),"גבר")</f>
        <v>גבר</v>
      </c>
      <c r="F883" s="5" t="str">
        <f>IFERROR(__xludf.DUMMYFUNCTION("""COMPUTED_VALUE"""),"צה""ל")</f>
        <v>צה"ל</v>
      </c>
      <c r="G883" s="5" t="str">
        <f>IFERROR(__xludf.DUMMYFUNCTION("""COMPUTED_VALUE"""),"סמל")</f>
        <v>סמל</v>
      </c>
      <c r="H883" s="3" t="str">
        <f>IFERROR(__xludf.DUMMYFUNCTION("""COMPUTED_VALUE"""),"07.10.2023")</f>
        <v>07.10.2023</v>
      </c>
      <c r="I883" s="4" t="str">
        <f>IFERROR(__xludf.DUMMYFUNCTION("""COMPUTED_VALUE"""),"מוצב סופה")</f>
        <v>מוצב סופה</v>
      </c>
      <c r="J883" s="4" t="str">
        <f>IFERROR(__xludf.DUMMYFUNCTION("""COMPUTED_VALUE"""),"חיילים")</f>
        <v>חיילים</v>
      </c>
      <c r="K883" s="5"/>
      <c r="L883" s="3" t="str">
        <f>IFERROR(__xludf.DUMMYFUNCTION("""COMPUTED_VALUE"""),"Nahman Dekel")</f>
        <v>Nahman Dekel</v>
      </c>
      <c r="M883" s="5"/>
    </row>
    <row r="884">
      <c r="A884" s="3">
        <f>IFERROR(__xludf.DUMMYFUNCTION("""COMPUTED_VALUE"""),1715.0)</f>
        <v>1715</v>
      </c>
      <c r="B884" s="4" t="str">
        <f>IFERROR(__xludf.DUMMYFUNCTION("""COMPUTED_VALUE"""),"מוסט עמית")</f>
        <v>מוסט עמית</v>
      </c>
      <c r="C884" s="3">
        <f>IFERROR(__xludf.DUMMYFUNCTION("""COMPUTED_VALUE"""),20.0)</f>
        <v>20</v>
      </c>
      <c r="D884" s="5" t="str">
        <f>IFERROR(__xludf.DUMMYFUNCTION("""COMPUTED_VALUE"""),"מודיעין מכבים רעות")</f>
        <v>מודיעין מכבים רעות</v>
      </c>
      <c r="E884" s="5" t="str">
        <f>IFERROR(__xludf.DUMMYFUNCTION("""COMPUTED_VALUE"""),"גבר")</f>
        <v>גבר</v>
      </c>
      <c r="F884" s="5" t="str">
        <f>IFERROR(__xludf.DUMMYFUNCTION("""COMPUTED_VALUE"""),"צה""ל")</f>
        <v>צה"ל</v>
      </c>
      <c r="G884" s="5" t="str">
        <f>IFERROR(__xludf.DUMMYFUNCTION("""COMPUTED_VALUE"""),"סמ״ר")</f>
        <v>סמ״ר</v>
      </c>
      <c r="H884" s="3" t="str">
        <f>IFERROR(__xludf.DUMMYFUNCTION("""COMPUTED_VALUE"""),"07.10.2023")</f>
        <v>07.10.2023</v>
      </c>
      <c r="I884" s="4" t="str">
        <f>IFERROR(__xludf.DUMMYFUNCTION("""COMPUTED_VALUE"""),"מוצב סופה")</f>
        <v>מוצב סופה</v>
      </c>
      <c r="J884" s="4" t="str">
        <f>IFERROR(__xludf.DUMMYFUNCTION("""COMPUTED_VALUE"""),"חיילים")</f>
        <v>חיילים</v>
      </c>
      <c r="K884" s="5"/>
      <c r="L884" s="3" t="str">
        <f>IFERROR(__xludf.DUMMYFUNCTION("""COMPUTED_VALUE"""),"Amit Most")</f>
        <v>Amit Most</v>
      </c>
      <c r="M884" s="5"/>
    </row>
    <row r="885">
      <c r="A885" s="3">
        <f>IFERROR(__xludf.DUMMYFUNCTION("""COMPUTED_VALUE"""),1180.0)</f>
        <v>1180</v>
      </c>
      <c r="B885" s="4" t="str">
        <f>IFERROR(__xludf.DUMMYFUNCTION("""COMPUTED_VALUE"""),"מלמן אופיר")</f>
        <v>מלמן אופיר</v>
      </c>
      <c r="C885" s="3">
        <f>IFERROR(__xludf.DUMMYFUNCTION("""COMPUTED_VALUE"""),21.0)</f>
        <v>21</v>
      </c>
      <c r="D885" s="5" t="str">
        <f>IFERROR(__xludf.DUMMYFUNCTION("""COMPUTED_VALUE"""),"ניר יצחק")</f>
        <v>ניר יצחק</v>
      </c>
      <c r="E885" s="5" t="str">
        <f>IFERROR(__xludf.DUMMYFUNCTION("""COMPUTED_VALUE"""),"גבר")</f>
        <v>גבר</v>
      </c>
      <c r="F885" s="5" t="str">
        <f>IFERROR(__xludf.DUMMYFUNCTION("""COMPUTED_VALUE"""),"צה""ל")</f>
        <v>צה"ל</v>
      </c>
      <c r="G885" s="5" t="str">
        <f>IFERROR(__xludf.DUMMYFUNCTION("""COMPUTED_VALUE"""),"סמ״ר")</f>
        <v>סמ״ר</v>
      </c>
      <c r="H885" s="3" t="str">
        <f>IFERROR(__xludf.DUMMYFUNCTION("""COMPUTED_VALUE"""),"07.10.2023")</f>
        <v>07.10.2023</v>
      </c>
      <c r="I885" s="4" t="str">
        <f>IFERROR(__xludf.DUMMYFUNCTION("""COMPUTED_VALUE"""),"מוצב סופה")</f>
        <v>מוצב סופה</v>
      </c>
      <c r="J885" s="2" t="str">
        <f>IFERROR(__xludf.DUMMYFUNCTION("""COMPUTED_VALUE"""),"חיילים")</f>
        <v>חיילים</v>
      </c>
      <c r="K885" s="5"/>
      <c r="L885" s="3" t="str">
        <f>IFERROR(__xludf.DUMMYFUNCTION("""COMPUTED_VALUE"""),"Ofir Melman")</f>
        <v>Ofir Melman</v>
      </c>
      <c r="M885" s="5"/>
    </row>
    <row r="886">
      <c r="A886" s="3">
        <f>IFERROR(__xludf.DUMMYFUNCTION("""COMPUTED_VALUE"""),1659.0)</f>
        <v>1659</v>
      </c>
      <c r="B886" s="4" t="str">
        <f>IFERROR(__xludf.DUMMYFUNCTION("""COMPUTED_VALUE"""),"סעדון הלל שמואל")</f>
        <v>סעדון הלל שמואל</v>
      </c>
      <c r="C886" s="3">
        <f>IFERROR(__xludf.DUMMYFUNCTION("""COMPUTED_VALUE"""),21.0)</f>
        <v>21</v>
      </c>
      <c r="D886" s="5" t="str">
        <f>IFERROR(__xludf.DUMMYFUNCTION("""COMPUTED_VALUE"""),"מעלה מכמש")</f>
        <v>מעלה מכמש</v>
      </c>
      <c r="E886" s="5" t="str">
        <f>IFERROR(__xludf.DUMMYFUNCTION("""COMPUTED_VALUE"""),"גבר")</f>
        <v>גבר</v>
      </c>
      <c r="F886" s="5" t="str">
        <f>IFERROR(__xludf.DUMMYFUNCTION("""COMPUTED_VALUE"""),"צה""ל")</f>
        <v>צה"ל</v>
      </c>
      <c r="G886" s="5" t="str">
        <f>IFERROR(__xludf.DUMMYFUNCTION("""COMPUTED_VALUE"""),"סמ״ר")</f>
        <v>סמ״ר</v>
      </c>
      <c r="H886" s="3" t="str">
        <f>IFERROR(__xludf.DUMMYFUNCTION("""COMPUTED_VALUE"""),"07.10.2023")</f>
        <v>07.10.2023</v>
      </c>
      <c r="I886" s="4" t="str">
        <f>IFERROR(__xludf.DUMMYFUNCTION("""COMPUTED_VALUE"""),"מוצב סופה")</f>
        <v>מוצב סופה</v>
      </c>
      <c r="J886" s="4" t="str">
        <f>IFERROR(__xludf.DUMMYFUNCTION("""COMPUTED_VALUE"""),"חיילים")</f>
        <v>חיילים</v>
      </c>
      <c r="K886" s="5"/>
      <c r="L886" s="3" t="str">
        <f>IFERROR(__xludf.DUMMYFUNCTION("""COMPUTED_VALUE"""),"Hallel Shmuel Saadon")</f>
        <v>Hallel Shmuel Saadon</v>
      </c>
      <c r="M886" s="5"/>
    </row>
    <row r="887">
      <c r="A887" s="3">
        <f>IFERROR(__xludf.DUMMYFUNCTION("""COMPUTED_VALUE"""),1289.0)</f>
        <v>1289</v>
      </c>
      <c r="B887" s="4" t="str">
        <f>IFERROR(__xludf.DUMMYFUNCTION("""COMPUTED_VALUE"""),"שוורץ שגב")</f>
        <v>שוורץ שגב</v>
      </c>
      <c r="C887" s="3">
        <f>IFERROR(__xludf.DUMMYFUNCTION("""COMPUTED_VALUE"""),20.0)</f>
        <v>20</v>
      </c>
      <c r="D887" s="5" t="str">
        <f>IFERROR(__xludf.DUMMYFUNCTION("""COMPUTED_VALUE"""),"בית שאן")</f>
        <v>בית שאן</v>
      </c>
      <c r="E887" s="5" t="str">
        <f>IFERROR(__xludf.DUMMYFUNCTION("""COMPUTED_VALUE"""),"גבר")</f>
        <v>גבר</v>
      </c>
      <c r="F887" s="5" t="str">
        <f>IFERROR(__xludf.DUMMYFUNCTION("""COMPUTED_VALUE"""),"צה""ל")</f>
        <v>צה"ל</v>
      </c>
      <c r="G887" s="5" t="str">
        <f>IFERROR(__xludf.DUMMYFUNCTION("""COMPUTED_VALUE"""),"סמל")</f>
        <v>סמל</v>
      </c>
      <c r="H887" s="3" t="str">
        <f>IFERROR(__xludf.DUMMYFUNCTION("""COMPUTED_VALUE"""),"07.10.2023")</f>
        <v>07.10.2023</v>
      </c>
      <c r="I887" s="4" t="str">
        <f>IFERROR(__xludf.DUMMYFUNCTION("""COMPUTED_VALUE"""),"מוצב סופה")</f>
        <v>מוצב סופה</v>
      </c>
      <c r="J887" s="4" t="str">
        <f>IFERROR(__xludf.DUMMYFUNCTION("""COMPUTED_VALUE"""),"חיילים")</f>
        <v>חיילים</v>
      </c>
      <c r="K887" s="5"/>
      <c r="L887" s="3" t="str">
        <f>IFERROR(__xludf.DUMMYFUNCTION("""COMPUTED_VALUE"""),"Segev Schwartz")</f>
        <v>Segev Schwartz</v>
      </c>
      <c r="M887" s="5"/>
    </row>
    <row r="888">
      <c r="A888" s="3">
        <f>IFERROR(__xludf.DUMMYFUNCTION("""COMPUTED_VALUE"""),1293.0)</f>
        <v>1293</v>
      </c>
      <c r="B888" s="4" t="str">
        <f>IFERROR(__xludf.DUMMYFUNCTION("""COMPUTED_VALUE"""),"סויסה דקל")</f>
        <v>סויסה דקל</v>
      </c>
      <c r="C888" s="3">
        <f>IFERROR(__xludf.DUMMYFUNCTION("""COMPUTED_VALUE"""),23.0)</f>
        <v>23</v>
      </c>
      <c r="D888" s="5" t="str">
        <f>IFERROR(__xludf.DUMMYFUNCTION("""COMPUTED_VALUE"""),"בר-גיורא")</f>
        <v>בר-גיורא</v>
      </c>
      <c r="E888" s="5" t="str">
        <f>IFERROR(__xludf.DUMMYFUNCTION("""COMPUTED_VALUE"""),"גבר")</f>
        <v>גבר</v>
      </c>
      <c r="F888" s="5" t="str">
        <f>IFERROR(__xludf.DUMMYFUNCTION("""COMPUTED_VALUE"""),"צה""ל")</f>
        <v>צה"ל</v>
      </c>
      <c r="G888" s="5" t="str">
        <f>IFERROR(__xludf.DUMMYFUNCTION("""COMPUTED_VALUE"""),"סרן")</f>
        <v>סרן</v>
      </c>
      <c r="H888" s="3" t="str">
        <f>IFERROR(__xludf.DUMMYFUNCTION("""COMPUTED_VALUE"""),"07.10.2023")</f>
        <v>07.10.2023</v>
      </c>
      <c r="I888" s="4" t="str">
        <f>IFERROR(__xludf.DUMMYFUNCTION("""COMPUTED_VALUE"""),"מוצב פגה")</f>
        <v>מוצב פגה</v>
      </c>
      <c r="J888" s="4" t="str">
        <f>IFERROR(__xludf.DUMMYFUNCTION("""COMPUTED_VALUE"""),"חיילים")</f>
        <v>חיילים</v>
      </c>
      <c r="K888" s="5"/>
      <c r="L888" s="3" t="str">
        <f>IFERROR(__xludf.DUMMYFUNCTION("""COMPUTED_VALUE"""),"Dekel Swisa")</f>
        <v>Dekel Swisa</v>
      </c>
      <c r="M888" s="5"/>
    </row>
    <row r="889">
      <c r="A889" s="3">
        <f>IFERROR(__xludf.DUMMYFUNCTION("""COMPUTED_VALUE"""),422.0)</f>
        <v>422</v>
      </c>
      <c r="B889" s="4" t="str">
        <f>IFERROR(__xludf.DUMMYFUNCTION("""COMPUTED_VALUE"""),"פרי רועי")</f>
        <v>פרי רועי</v>
      </c>
      <c r="C889" s="3">
        <f>IFERROR(__xludf.DUMMYFUNCTION("""COMPUTED_VALUE"""),19.0)</f>
        <v>19</v>
      </c>
      <c r="D889" s="5" t="str">
        <f>IFERROR(__xludf.DUMMYFUNCTION("""COMPUTED_VALUE"""),"שוהם")</f>
        <v>שוהם</v>
      </c>
      <c r="E889" s="5" t="str">
        <f>IFERROR(__xludf.DUMMYFUNCTION("""COMPUTED_VALUE"""),"גבר")</f>
        <v>גבר</v>
      </c>
      <c r="F889" s="5" t="str">
        <f>IFERROR(__xludf.DUMMYFUNCTION("""COMPUTED_VALUE"""),"צה""ל")</f>
        <v>צה"ל</v>
      </c>
      <c r="G889" s="5" t="str">
        <f>IFERROR(__xludf.DUMMYFUNCTION("""COMPUTED_VALUE"""),"סמל")</f>
        <v>סמל</v>
      </c>
      <c r="H889" s="3" t="str">
        <f>IFERROR(__xludf.DUMMYFUNCTION("""COMPUTED_VALUE"""),"07.10.2023")</f>
        <v>07.10.2023</v>
      </c>
      <c r="I889" s="4" t="str">
        <f>IFERROR(__xludf.DUMMYFUNCTION("""COMPUTED_VALUE"""),"מוצב פגה")</f>
        <v>מוצב פגה</v>
      </c>
      <c r="J889" s="4" t="str">
        <f>IFERROR(__xludf.DUMMYFUNCTION("""COMPUTED_VALUE"""),"חיילים")</f>
        <v>חיילים</v>
      </c>
      <c r="K889" s="5"/>
      <c r="L889" s="3" t="str">
        <f>IFERROR(__xludf.DUMMYFUNCTION("""COMPUTED_VALUE"""),"Roey Peri")</f>
        <v>Roey Peri</v>
      </c>
      <c r="M889" s="5"/>
    </row>
    <row r="890">
      <c r="A890" s="3">
        <f>IFERROR(__xludf.DUMMYFUNCTION("""COMPUTED_VALUE"""),1191.0)</f>
        <v>1191</v>
      </c>
      <c r="B890" s="4" t="str">
        <f>IFERROR(__xludf.DUMMYFUNCTION("""COMPUTED_VALUE"""),"אסייג רווית חנה")</f>
        <v>אסייג רווית חנה</v>
      </c>
      <c r="C890" s="3">
        <f>IFERROR(__xludf.DUMMYFUNCTION("""COMPUTED_VALUE"""),19.0)</f>
        <v>19</v>
      </c>
      <c r="D890" s="5" t="str">
        <f>IFERROR(__xludf.DUMMYFUNCTION("""COMPUTED_VALUE"""),"אשדוד")</f>
        <v>אשדוד</v>
      </c>
      <c r="E890" s="5" t="str">
        <f>IFERROR(__xludf.DUMMYFUNCTION("""COMPUTED_VALUE"""),"אישה")</f>
        <v>אישה</v>
      </c>
      <c r="F890" s="5" t="str">
        <f>IFERROR(__xludf.DUMMYFUNCTION("""COMPUTED_VALUE"""),"משטרה")</f>
        <v>משטרה</v>
      </c>
      <c r="G890" s="5" t="str">
        <f>IFERROR(__xludf.DUMMYFUNCTION("""COMPUTED_VALUE"""),"סמ״ש")</f>
        <v>סמ״ש</v>
      </c>
      <c r="H890" s="3" t="str">
        <f>IFERROR(__xludf.DUMMYFUNCTION("""COMPUTED_VALUE"""),"07.10.2023")</f>
        <v>07.10.2023</v>
      </c>
      <c r="I890" s="4" t="str">
        <f>IFERROR(__xludf.DUMMYFUNCTION("""COMPUTED_VALUE"""),"יכיני")</f>
        <v>יכיני</v>
      </c>
      <c r="J890" s="4" t="str">
        <f>IFERROR(__xludf.DUMMYFUNCTION("""COMPUTED_VALUE"""),"שוטרים וכוחות הצלה")</f>
        <v>שוטרים וכוחות הצלה</v>
      </c>
      <c r="K890" s="5"/>
      <c r="L890" s="3" t="str">
        <f>IFERROR(__xludf.DUMMYFUNCTION("""COMPUTED_VALUE"""),"Ravit Hana Assayag")</f>
        <v>Ravit Hana Assayag</v>
      </c>
      <c r="M890" s="5"/>
    </row>
    <row r="891">
      <c r="A891" s="3">
        <f>IFERROR(__xludf.DUMMYFUNCTION("""COMPUTED_VALUE"""),1192.0)</f>
        <v>1192</v>
      </c>
      <c r="B891" s="4" t="str">
        <f>IFERROR(__xludf.DUMMYFUNCTION("""COMPUTED_VALUE"""),"סאלם פלג")</f>
        <v>סאלם פלג</v>
      </c>
      <c r="C891" s="3">
        <f>IFERROR(__xludf.DUMMYFUNCTION("""COMPUTED_VALUE"""),30.0)</f>
        <v>30</v>
      </c>
      <c r="D891" s="5" t="str">
        <f>IFERROR(__xludf.DUMMYFUNCTION("""COMPUTED_VALUE"""),"יכיני")</f>
        <v>יכיני</v>
      </c>
      <c r="E891" s="5" t="str">
        <f>IFERROR(__xludf.DUMMYFUNCTION("""COMPUTED_VALUE"""),"גבר")</f>
        <v>גבר</v>
      </c>
      <c r="F891" s="5" t="str">
        <f>IFERROR(__xludf.DUMMYFUNCTION("""COMPUTED_VALUE"""),"צה""ל")</f>
        <v>צה"ל</v>
      </c>
      <c r="G891" s="5" t="str">
        <f>IFERROR(__xludf.DUMMYFUNCTION("""COMPUTED_VALUE"""),"רס״ן")</f>
        <v>רס״ן</v>
      </c>
      <c r="H891" s="3" t="str">
        <f>IFERROR(__xludf.DUMMYFUNCTION("""COMPUTED_VALUE"""),"07.10.2023")</f>
        <v>07.10.2023</v>
      </c>
      <c r="I891" s="4" t="str">
        <f>IFERROR(__xludf.DUMMYFUNCTION("""COMPUTED_VALUE"""),"יכיני")</f>
        <v>יכיני</v>
      </c>
      <c r="J891" s="4" t="str">
        <f>IFERROR(__xludf.DUMMYFUNCTION("""COMPUTED_VALUE"""),"אזרחים וכיתות כוננות")</f>
        <v>אזרחים וכיתות כוננות</v>
      </c>
      <c r="K891" s="5"/>
      <c r="L891" s="3" t="str">
        <f>IFERROR(__xludf.DUMMYFUNCTION("""COMPUTED_VALUE"""),"Peleg Salem")</f>
        <v>Peleg Salem</v>
      </c>
      <c r="M891" s="5"/>
    </row>
    <row r="892">
      <c r="A892" s="3">
        <f>IFERROR(__xludf.DUMMYFUNCTION("""COMPUTED_VALUE"""),1204.0)</f>
        <v>1204</v>
      </c>
      <c r="B892" s="4" t="str">
        <f>IFERROR(__xludf.DUMMYFUNCTION("""COMPUTED_VALUE"""),"אביטל גיל")</f>
        <v>אביטל גיל</v>
      </c>
      <c r="C892" s="3">
        <f>IFERROR(__xludf.DUMMYFUNCTION("""COMPUTED_VALUE"""),56.0)</f>
        <v>56</v>
      </c>
      <c r="D892" s="5" t="str">
        <f>IFERROR(__xludf.DUMMYFUNCTION("""COMPUTED_VALUE"""),"ישע")</f>
        <v>ישע</v>
      </c>
      <c r="E892" s="5" t="str">
        <f>IFERROR(__xludf.DUMMYFUNCTION("""COMPUTED_VALUE"""),"גבר")</f>
        <v>גבר</v>
      </c>
      <c r="F892" s="5" t="str">
        <f>IFERROR(__xludf.DUMMYFUNCTION("""COMPUTED_VALUE"""),"כיתות כוננות")</f>
        <v>כיתות כוננות</v>
      </c>
      <c r="G892" s="5" t="str">
        <f>IFERROR(__xludf.DUMMYFUNCTION("""COMPUTED_VALUE"""),"רס״ם")</f>
        <v>רס״ם</v>
      </c>
      <c r="H892" s="3" t="str">
        <f>IFERROR(__xludf.DUMMYFUNCTION("""COMPUTED_VALUE"""),"07.10.2023")</f>
        <v>07.10.2023</v>
      </c>
      <c r="I892" s="4" t="str">
        <f>IFERROR(__xludf.DUMMYFUNCTION("""COMPUTED_VALUE"""),"מבטחים")</f>
        <v>מבטחים</v>
      </c>
      <c r="J892" s="4" t="str">
        <f>IFERROR(__xludf.DUMMYFUNCTION("""COMPUTED_VALUE"""),"אזרחים וכיתות כוננות")</f>
        <v>אזרחים וכיתות כוננות</v>
      </c>
      <c r="K892" s="5"/>
      <c r="L892" s="3" t="str">
        <f>IFERROR(__xludf.DUMMYFUNCTION("""COMPUTED_VALUE"""),"Gil Avital")</f>
        <v>Gil Avital</v>
      </c>
      <c r="M892" s="5"/>
    </row>
    <row r="893">
      <c r="A893" s="3">
        <f>IFERROR(__xludf.DUMMYFUNCTION("""COMPUTED_VALUE"""),1206.0)</f>
        <v>1206</v>
      </c>
      <c r="B893" s="4" t="str">
        <f>IFERROR(__xludf.DUMMYFUNCTION("""COMPUTED_VALUE"""),"בן יעקב ליאור")</f>
        <v>בן יעקב ליאור</v>
      </c>
      <c r="C893" s="3">
        <f>IFERROR(__xludf.DUMMYFUNCTION("""COMPUTED_VALUE"""),44.0)</f>
        <v>44</v>
      </c>
      <c r="D893" s="5" t="str">
        <f>IFERROR(__xludf.DUMMYFUNCTION("""COMPUTED_VALUE"""),"ישע")</f>
        <v>ישע</v>
      </c>
      <c r="E893" s="5" t="str">
        <f>IFERROR(__xludf.DUMMYFUNCTION("""COMPUTED_VALUE"""),"גבר")</f>
        <v>גבר</v>
      </c>
      <c r="F893" s="5" t="str">
        <f>IFERROR(__xludf.DUMMYFUNCTION("""COMPUTED_VALUE"""),"כיתות כוננות")</f>
        <v>כיתות כוננות</v>
      </c>
      <c r="G893" s="5" t="str">
        <f>IFERROR(__xludf.DUMMYFUNCTION("""COMPUTED_VALUE"""),"רס״ם")</f>
        <v>רס״ם</v>
      </c>
      <c r="H893" s="3" t="str">
        <f>IFERROR(__xludf.DUMMYFUNCTION("""COMPUTED_VALUE"""),"07.10.2023")</f>
        <v>07.10.2023</v>
      </c>
      <c r="I893" s="4" t="str">
        <f>IFERROR(__xludf.DUMMYFUNCTION("""COMPUTED_VALUE"""),"מבטחים")</f>
        <v>מבטחים</v>
      </c>
      <c r="J893" s="4" t="str">
        <f>IFERROR(__xludf.DUMMYFUNCTION("""COMPUTED_VALUE"""),"אזרחים וכיתות כוננות")</f>
        <v>אזרחים וכיתות כוננות</v>
      </c>
      <c r="K893" s="5"/>
      <c r="L893" s="3" t="str">
        <f>IFERROR(__xludf.DUMMYFUNCTION("""COMPUTED_VALUE"""),"Lior Ben-Yakov")</f>
        <v>Lior Ben-Yakov</v>
      </c>
      <c r="M893" s="5"/>
    </row>
    <row r="894">
      <c r="A894" s="3">
        <f>IFERROR(__xludf.DUMMYFUNCTION("""COMPUTED_VALUE"""),1364.0)</f>
        <v>1364</v>
      </c>
      <c r="B894" s="4" t="str">
        <f>IFERROR(__xludf.DUMMYFUNCTION("""COMPUTED_VALUE"""),"אסולין דן")</f>
        <v>אסולין דן</v>
      </c>
      <c r="C894" s="3">
        <f>IFERROR(__xludf.DUMMYFUNCTION("""COMPUTED_VALUE"""),38.0)</f>
        <v>38</v>
      </c>
      <c r="D894" s="5" t="str">
        <f>IFERROR(__xludf.DUMMYFUNCTION("""COMPUTED_VALUE"""),"מבטחים")</f>
        <v>מבטחים</v>
      </c>
      <c r="E894" s="5" t="str">
        <f>IFERROR(__xludf.DUMMYFUNCTION("""COMPUTED_VALUE"""),"גבר")</f>
        <v>גבר</v>
      </c>
      <c r="F894" s="5" t="str">
        <f>IFERROR(__xludf.DUMMYFUNCTION("""COMPUTED_VALUE"""),"כיתות כוננות")</f>
        <v>כיתות כוננות</v>
      </c>
      <c r="G894" s="5" t="str">
        <f>IFERROR(__xludf.DUMMYFUNCTION("""COMPUTED_VALUE"""),"רס״ר")</f>
        <v>רס״ר</v>
      </c>
      <c r="H894" s="3" t="str">
        <f>IFERROR(__xludf.DUMMYFUNCTION("""COMPUTED_VALUE"""),"07.10.2023")</f>
        <v>07.10.2023</v>
      </c>
      <c r="I894" s="4" t="str">
        <f>IFERROR(__xludf.DUMMYFUNCTION("""COMPUTED_VALUE"""),"מבטחים")</f>
        <v>מבטחים</v>
      </c>
      <c r="J894" s="4" t="str">
        <f>IFERROR(__xludf.DUMMYFUNCTION("""COMPUTED_VALUE"""),"אזרחים וכיתות כוננות")</f>
        <v>אזרחים וכיתות כוננות</v>
      </c>
      <c r="K894" s="5"/>
      <c r="L894" s="3" t="str">
        <f>IFERROR(__xludf.DUMMYFUNCTION("""COMPUTED_VALUE"""),"Dan Asulin")</f>
        <v>Dan Asulin</v>
      </c>
      <c r="M894" s="5"/>
    </row>
    <row r="895">
      <c r="A895" s="3">
        <f>IFERROR(__xludf.DUMMYFUNCTION("""COMPUTED_VALUE"""),1366.0)</f>
        <v>1366</v>
      </c>
      <c r="B895" s="4" t="str">
        <f>IFERROR(__xludf.DUMMYFUNCTION("""COMPUTED_VALUE"""),"נחמיאס איתי")</f>
        <v>נחמיאס איתי</v>
      </c>
      <c r="C895" s="3">
        <f>IFERROR(__xludf.DUMMYFUNCTION("""COMPUTED_VALUE"""),20.0)</f>
        <v>20</v>
      </c>
      <c r="D895" s="5" t="str">
        <f>IFERROR(__xludf.DUMMYFUNCTION("""COMPUTED_VALUE"""),"ישע")</f>
        <v>ישע</v>
      </c>
      <c r="E895" s="5" t="str">
        <f>IFERROR(__xludf.DUMMYFUNCTION("""COMPUTED_VALUE"""),"גבר")</f>
        <v>גבר</v>
      </c>
      <c r="F895" s="5" t="str">
        <f>IFERROR(__xludf.DUMMYFUNCTION("""COMPUTED_VALUE"""),"צה""ל")</f>
        <v>צה"ל</v>
      </c>
      <c r="G895" s="5" t="str">
        <f>IFERROR(__xludf.DUMMYFUNCTION("""COMPUTED_VALUE"""),"סמ״ר")</f>
        <v>סמ״ר</v>
      </c>
      <c r="H895" s="3" t="str">
        <f>IFERROR(__xludf.DUMMYFUNCTION("""COMPUTED_VALUE"""),"07.10.2023")</f>
        <v>07.10.2023</v>
      </c>
      <c r="I895" s="4" t="str">
        <f>IFERROR(__xludf.DUMMYFUNCTION("""COMPUTED_VALUE"""),"מבטחים")</f>
        <v>מבטחים</v>
      </c>
      <c r="J895" s="4" t="str">
        <f>IFERROR(__xludf.DUMMYFUNCTION("""COMPUTED_VALUE"""),"חיילים")</f>
        <v>חיילים</v>
      </c>
      <c r="K895" s="5"/>
      <c r="L895" s="3" t="str">
        <f>IFERROR(__xludf.DUMMYFUNCTION("""COMPUTED_VALUE"""),"Itay Nahmias")</f>
        <v>Itay Nahmias</v>
      </c>
      <c r="M895" s="5"/>
    </row>
    <row r="896">
      <c r="A896" s="3">
        <f>IFERROR(__xludf.DUMMYFUNCTION("""COMPUTED_VALUE"""),505.0)</f>
        <v>505</v>
      </c>
      <c r="B896" s="4" t="str">
        <f>IFERROR(__xludf.DUMMYFUNCTION("""COMPUTED_VALUE"""),"בהרב רבינוביץ' עדי")</f>
        <v>בהרב רבינוביץ' עדי</v>
      </c>
      <c r="C896" s="3">
        <f>IFERROR(__xludf.DUMMYFUNCTION("""COMPUTED_VALUE"""),62.0)</f>
        <v>62</v>
      </c>
      <c r="D896" s="5" t="str">
        <f>IFERROR(__xludf.DUMMYFUNCTION("""COMPUTED_VALUE"""),"נתיב העשרה")</f>
        <v>נתיב העשרה</v>
      </c>
      <c r="E896" s="5" t="str">
        <f>IFERROR(__xludf.DUMMYFUNCTION("""COMPUTED_VALUE"""),"גבר")</f>
        <v>גבר</v>
      </c>
      <c r="F896" s="5" t="str">
        <f>IFERROR(__xludf.DUMMYFUNCTION("""COMPUTED_VALUE"""),"כיתות כוננות")</f>
        <v>כיתות כוננות</v>
      </c>
      <c r="G896" s="5" t="str">
        <f>IFERROR(__xludf.DUMMYFUNCTION("""COMPUTED_VALUE"""),"סרן")</f>
        <v>סרן</v>
      </c>
      <c r="H896" s="3" t="str">
        <f>IFERROR(__xludf.DUMMYFUNCTION("""COMPUTED_VALUE"""),"07.10.2023")</f>
        <v>07.10.2023</v>
      </c>
      <c r="I896" s="4" t="str">
        <f>IFERROR(__xludf.DUMMYFUNCTION("""COMPUTED_VALUE"""),"נתיב העשרה")</f>
        <v>נתיב העשרה</v>
      </c>
      <c r="J896" s="4" t="str">
        <f>IFERROR(__xludf.DUMMYFUNCTION("""COMPUTED_VALUE"""),"אזרחים וכיתות כוננות")</f>
        <v>אזרחים וכיתות כוננות</v>
      </c>
      <c r="K896" s="5"/>
      <c r="L896" s="3" t="str">
        <f>IFERROR(__xludf.DUMMYFUNCTION("""COMPUTED_VALUE"""),"Adi Baharav")</f>
        <v>Adi Baharav</v>
      </c>
      <c r="M896" s="5"/>
    </row>
    <row r="897">
      <c r="A897" s="3">
        <f>IFERROR(__xludf.DUMMYFUNCTION("""COMPUTED_VALUE"""),1615.0)</f>
        <v>1615</v>
      </c>
      <c r="B897" s="4" t="str">
        <f>IFERROR(__xludf.DUMMYFUNCTION("""COMPUTED_VALUE"""),"דולב תומר")</f>
        <v>דולב תומר</v>
      </c>
      <c r="C897" s="3">
        <f>IFERROR(__xludf.DUMMYFUNCTION("""COMPUTED_VALUE"""),34.0)</f>
        <v>34</v>
      </c>
      <c r="D897" s="5" t="str">
        <f>IFERROR(__xludf.DUMMYFUNCTION("""COMPUTED_VALUE"""),"אשקלון")</f>
        <v>אשקלון</v>
      </c>
      <c r="E897" s="5" t="str">
        <f>IFERROR(__xludf.DUMMYFUNCTION("""COMPUTED_VALUE"""),"גבר")</f>
        <v>גבר</v>
      </c>
      <c r="F897" s="5" t="str">
        <f>IFERROR(__xludf.DUMMYFUNCTION("""COMPUTED_VALUE"""),"צה""ל (מיל')")</f>
        <v>צה"ל (מיל')</v>
      </c>
      <c r="G897" s="5" t="str">
        <f>IFERROR(__xludf.DUMMYFUNCTION("""COMPUTED_VALUE"""),"רס״ר")</f>
        <v>רס״ר</v>
      </c>
      <c r="H897" s="3" t="str">
        <f>IFERROR(__xludf.DUMMYFUNCTION("""COMPUTED_VALUE"""),"08.10.2023")</f>
        <v>08.10.2023</v>
      </c>
      <c r="I897" s="4" t="str">
        <f>IFERROR(__xludf.DUMMYFUNCTION("""COMPUTED_VALUE"""),"ירי בשוגג בדרך לנתיב העשרה")</f>
        <v>ירי בשוגג בדרך לנתיב העשרה</v>
      </c>
      <c r="J897" s="4" t="str">
        <f>IFERROR(__xludf.DUMMYFUNCTION("""COMPUTED_VALUE"""),"חיילים")</f>
        <v>חיילים</v>
      </c>
      <c r="K897" s="5"/>
      <c r="L897" s="3" t="str">
        <f>IFERROR(__xludf.DUMMYFUNCTION("""COMPUTED_VALUE"""),"Tomer Dolev")</f>
        <v>Tomer Dolev</v>
      </c>
      <c r="M897" s="5"/>
    </row>
    <row r="898">
      <c r="A898" s="3">
        <f>IFERROR(__xludf.DUMMYFUNCTION("""COMPUTED_VALUE"""),530.0)</f>
        <v>530</v>
      </c>
      <c r="B898" s="4" t="str">
        <f>IFERROR(__xludf.DUMMYFUNCTION("""COMPUTED_VALUE"""),"וקס יגאל")</f>
        <v>וקס יגאל</v>
      </c>
      <c r="C898" s="3">
        <f>IFERROR(__xludf.DUMMYFUNCTION("""COMPUTED_VALUE"""),53.0)</f>
        <v>53</v>
      </c>
      <c r="D898" s="5" t="str">
        <f>IFERROR(__xludf.DUMMYFUNCTION("""COMPUTED_VALUE"""),"נתיב העשרה")</f>
        <v>נתיב העשרה</v>
      </c>
      <c r="E898" s="5" t="str">
        <f>IFERROR(__xludf.DUMMYFUNCTION("""COMPUTED_VALUE"""),"גבר")</f>
        <v>גבר</v>
      </c>
      <c r="F898" s="5" t="str">
        <f>IFERROR(__xludf.DUMMYFUNCTION("""COMPUTED_VALUE"""),"אזרחים")</f>
        <v>אזרחים</v>
      </c>
      <c r="G898" s="5"/>
      <c r="H898" s="3" t="str">
        <f>IFERROR(__xludf.DUMMYFUNCTION("""COMPUTED_VALUE"""),"07.10.2023")</f>
        <v>07.10.2023</v>
      </c>
      <c r="I898" s="4" t="str">
        <f>IFERROR(__xludf.DUMMYFUNCTION("""COMPUTED_VALUE"""),"נתיב העשרה")</f>
        <v>נתיב העשרה</v>
      </c>
      <c r="J898" s="4" t="str">
        <f>IFERROR(__xludf.DUMMYFUNCTION("""COMPUTED_VALUE"""),"אזרחים וכיתות כוננות")</f>
        <v>אזרחים וכיתות כוננות</v>
      </c>
      <c r="K898" s="5"/>
      <c r="L898" s="3" t="str">
        <f>IFERROR(__xludf.DUMMYFUNCTION("""COMPUTED_VALUE"""),"Yigal Vaks")</f>
        <v>Yigal Vaks</v>
      </c>
      <c r="M898" s="5"/>
    </row>
    <row r="899">
      <c r="A899" s="3">
        <f>IFERROR(__xludf.DUMMYFUNCTION("""COMPUTED_VALUE"""),529.0)</f>
        <v>529</v>
      </c>
      <c r="B899" s="4" t="str">
        <f>IFERROR(__xludf.DUMMYFUNCTION("""COMPUTED_VALUE"""),"וקס עמית")</f>
        <v>וקס עמית</v>
      </c>
      <c r="C899" s="3">
        <f>IFERROR(__xludf.DUMMYFUNCTION("""COMPUTED_VALUE"""),48.0)</f>
        <v>48</v>
      </c>
      <c r="D899" s="5" t="str">
        <f>IFERROR(__xludf.DUMMYFUNCTION("""COMPUTED_VALUE"""),"נתיב העשרה")</f>
        <v>נתיב העשרה</v>
      </c>
      <c r="E899" s="5" t="str">
        <f>IFERROR(__xludf.DUMMYFUNCTION("""COMPUTED_VALUE"""),"גבר")</f>
        <v>גבר</v>
      </c>
      <c r="F899" s="5" t="str">
        <f>IFERROR(__xludf.DUMMYFUNCTION("""COMPUTED_VALUE"""),"כיתות כוננות")</f>
        <v>כיתות כוננות</v>
      </c>
      <c r="G899" s="5" t="str">
        <f>IFERROR(__xludf.DUMMYFUNCTION("""COMPUTED_VALUE"""),"רס״ב")</f>
        <v>רס״ב</v>
      </c>
      <c r="H899" s="3" t="str">
        <f>IFERROR(__xludf.DUMMYFUNCTION("""COMPUTED_VALUE"""),"07.10.2023")</f>
        <v>07.10.2023</v>
      </c>
      <c r="I899" s="4" t="str">
        <f>IFERROR(__xludf.DUMMYFUNCTION("""COMPUTED_VALUE"""),"נתיב העשרה")</f>
        <v>נתיב העשרה</v>
      </c>
      <c r="J899" s="2" t="str">
        <f>IFERROR(__xludf.DUMMYFUNCTION("""COMPUTED_VALUE"""),"אזרחים וכיתות כוננות")</f>
        <v>אזרחים וכיתות כוננות</v>
      </c>
      <c r="K899" s="5"/>
      <c r="L899" s="3" t="str">
        <f>IFERROR(__xludf.DUMMYFUNCTION("""COMPUTED_VALUE"""),"Amit Vaks")</f>
        <v>Amit Vaks</v>
      </c>
      <c r="M899" s="5"/>
    </row>
    <row r="900">
      <c r="A900" s="3">
        <f>IFERROR(__xludf.DUMMYFUNCTION("""COMPUTED_VALUE"""),513.0)</f>
        <v>513</v>
      </c>
      <c r="B900" s="4" t="str">
        <f>IFERROR(__xludf.DUMMYFUNCTION("""COMPUTED_VALUE"""),"שטרן אורן")</f>
        <v>שטרן אורן</v>
      </c>
      <c r="C900" s="3">
        <f>IFERROR(__xludf.DUMMYFUNCTION("""COMPUTED_VALUE"""),49.0)</f>
        <v>49</v>
      </c>
      <c r="D900" s="5" t="str">
        <f>IFERROR(__xludf.DUMMYFUNCTION("""COMPUTED_VALUE"""),"נתיב העשרה")</f>
        <v>נתיב העשרה</v>
      </c>
      <c r="E900" s="5" t="str">
        <f>IFERROR(__xludf.DUMMYFUNCTION("""COMPUTED_VALUE"""),"גבר")</f>
        <v>גבר</v>
      </c>
      <c r="F900" s="5" t="str">
        <f>IFERROR(__xludf.DUMMYFUNCTION("""COMPUTED_VALUE"""),"כיתות כוננות")</f>
        <v>כיתות כוננות</v>
      </c>
      <c r="G900" s="5" t="str">
        <f>IFERROR(__xludf.DUMMYFUNCTION("""COMPUTED_VALUE"""),"רס״ן")</f>
        <v>רס״ן</v>
      </c>
      <c r="H900" s="3" t="str">
        <f>IFERROR(__xludf.DUMMYFUNCTION("""COMPUTED_VALUE"""),"07.10.2023")</f>
        <v>07.10.2023</v>
      </c>
      <c r="I900" s="4" t="str">
        <f>IFERROR(__xludf.DUMMYFUNCTION("""COMPUTED_VALUE"""),"נתיב העשרה")</f>
        <v>נתיב העשרה</v>
      </c>
      <c r="J900" s="4" t="str">
        <f>IFERROR(__xludf.DUMMYFUNCTION("""COMPUTED_VALUE"""),"אזרחים וכיתות כוננות")</f>
        <v>אזרחים וכיתות כוננות</v>
      </c>
      <c r="K900" s="5"/>
      <c r="L900" s="3" t="str">
        <f>IFERROR(__xludf.DUMMYFUNCTION("""COMPUTED_VALUE"""),"Oren Stern")</f>
        <v>Oren Stern</v>
      </c>
      <c r="M900" s="5"/>
    </row>
    <row r="901">
      <c r="A901" s="3">
        <f>IFERROR(__xludf.DUMMYFUNCTION("""COMPUTED_VALUE"""),514.0)</f>
        <v>514</v>
      </c>
      <c r="B901" s="4" t="str">
        <f>IFERROR(__xludf.DUMMYFUNCTION("""COMPUTED_VALUE"""),"תעסה גיל")</f>
        <v>תעסה גיל</v>
      </c>
      <c r="C901" s="3">
        <f>IFERROR(__xludf.DUMMYFUNCTION("""COMPUTED_VALUE"""),46.0)</f>
        <v>46</v>
      </c>
      <c r="D901" s="5" t="str">
        <f>IFERROR(__xludf.DUMMYFUNCTION("""COMPUTED_VALUE"""),"נתיב העשרה")</f>
        <v>נתיב העשרה</v>
      </c>
      <c r="E901" s="5" t="str">
        <f>IFERROR(__xludf.DUMMYFUNCTION("""COMPUTED_VALUE"""),"גבר")</f>
        <v>גבר</v>
      </c>
      <c r="F901" s="5" t="str">
        <f>IFERROR(__xludf.DUMMYFUNCTION("""COMPUTED_VALUE"""),"כיתות כוננות")</f>
        <v>כיתות כוננות</v>
      </c>
      <c r="G901" s="5" t="str">
        <f>IFERROR(__xludf.DUMMYFUNCTION("""COMPUTED_VALUE"""),"רס״ר")</f>
        <v>רס״ר</v>
      </c>
      <c r="H901" s="3" t="str">
        <f>IFERROR(__xludf.DUMMYFUNCTION("""COMPUTED_VALUE"""),"07.10.2023")</f>
        <v>07.10.2023</v>
      </c>
      <c r="I901" s="4" t="str">
        <f>IFERROR(__xludf.DUMMYFUNCTION("""COMPUTED_VALUE"""),"נתיב העשרה")</f>
        <v>נתיב העשרה</v>
      </c>
      <c r="J901" s="4" t="str">
        <f>IFERROR(__xludf.DUMMYFUNCTION("""COMPUTED_VALUE"""),"אזרחים וכיתות כוננות")</f>
        <v>אזרחים וכיתות כוננות</v>
      </c>
      <c r="K901" s="5"/>
      <c r="L901" s="3" t="str">
        <f>IFERROR(__xludf.DUMMYFUNCTION("""COMPUTED_VALUE"""),"Gil Tasa")</f>
        <v>Gil Tasa</v>
      </c>
      <c r="M901" s="5"/>
    </row>
    <row r="902">
      <c r="A902" s="3">
        <f>IFERROR(__xludf.DUMMYFUNCTION("""COMPUTED_VALUE"""),1033.0)</f>
        <v>1033</v>
      </c>
      <c r="B902" s="4" t="str">
        <f>IFERROR(__xludf.DUMMYFUNCTION("""COMPUTED_VALUE"""),"כהן אביעד גד")</f>
        <v>כהן אביעד גד</v>
      </c>
      <c r="C902" s="3">
        <f>IFERROR(__xludf.DUMMYFUNCTION("""COMPUTED_VALUE"""),41.0)</f>
        <v>41</v>
      </c>
      <c r="D902" s="5" t="str">
        <f>IFERROR(__xludf.DUMMYFUNCTION("""COMPUTED_VALUE"""),"שלומית")</f>
        <v>שלומית</v>
      </c>
      <c r="E902" s="5" t="str">
        <f>IFERROR(__xludf.DUMMYFUNCTION("""COMPUTED_VALUE"""),"גבר")</f>
        <v>גבר</v>
      </c>
      <c r="F902" s="5" t="str">
        <f>IFERROR(__xludf.DUMMYFUNCTION("""COMPUTED_VALUE"""),"כיתות כוננות")</f>
        <v>כיתות כוננות</v>
      </c>
      <c r="G902" s="5" t="str">
        <f>IFERROR(__xludf.DUMMYFUNCTION("""COMPUTED_VALUE"""),"רס״ם")</f>
        <v>רס״ם</v>
      </c>
      <c r="H902" s="3" t="str">
        <f>IFERROR(__xludf.DUMMYFUNCTION("""COMPUTED_VALUE"""),"07.10.2023")</f>
        <v>07.10.2023</v>
      </c>
      <c r="I902" s="4" t="str">
        <f>IFERROR(__xludf.DUMMYFUNCTION("""COMPUTED_VALUE"""),"פרי גן")</f>
        <v>פרי גן</v>
      </c>
      <c r="J902" s="4" t="str">
        <f>IFERROR(__xludf.DUMMYFUNCTION("""COMPUTED_VALUE"""),"אזרחים וכיתות כוננות")</f>
        <v>אזרחים וכיתות כוננות</v>
      </c>
      <c r="K902" s="5"/>
      <c r="L902" s="3" t="str">
        <f>IFERROR(__xludf.DUMMYFUNCTION("""COMPUTED_VALUE"""),"Aviad Gad Cohen")</f>
        <v>Aviad Gad Cohen</v>
      </c>
      <c r="M902" s="5"/>
    </row>
    <row r="903">
      <c r="A903" s="3">
        <f>IFERROR(__xludf.DUMMYFUNCTION("""COMPUTED_VALUE"""),1035.0)</f>
        <v>1035</v>
      </c>
      <c r="B903" s="4" t="str">
        <f>IFERROR(__xludf.DUMMYFUNCTION("""COMPUTED_VALUE"""),"סויד בכור חי")</f>
        <v>סויד בכור חי</v>
      </c>
      <c r="C903" s="3">
        <f>IFERROR(__xludf.DUMMYFUNCTION("""COMPUTED_VALUE"""),32.0)</f>
        <v>32</v>
      </c>
      <c r="D903" s="5" t="str">
        <f>IFERROR(__xludf.DUMMYFUNCTION("""COMPUTED_VALUE"""),"שלומית")</f>
        <v>שלומית</v>
      </c>
      <c r="E903" s="5" t="str">
        <f>IFERROR(__xludf.DUMMYFUNCTION("""COMPUTED_VALUE"""),"גבר")</f>
        <v>גבר</v>
      </c>
      <c r="F903" s="5" t="str">
        <f>IFERROR(__xludf.DUMMYFUNCTION("""COMPUTED_VALUE"""),"כיתות כוננות")</f>
        <v>כיתות כוננות</v>
      </c>
      <c r="G903" s="5" t="str">
        <f>IFERROR(__xludf.DUMMYFUNCTION("""COMPUTED_VALUE"""),"רס״ר")</f>
        <v>רס״ר</v>
      </c>
      <c r="H903" s="3" t="str">
        <f>IFERROR(__xludf.DUMMYFUNCTION("""COMPUTED_VALUE"""),"07.10.2023")</f>
        <v>07.10.2023</v>
      </c>
      <c r="I903" s="4" t="str">
        <f>IFERROR(__xludf.DUMMYFUNCTION("""COMPUTED_VALUE"""),"צומת מגן")</f>
        <v>צומת מגן</v>
      </c>
      <c r="J903" s="4" t="str">
        <f>IFERROR(__xludf.DUMMYFUNCTION("""COMPUTED_VALUE"""),"אזרחים וכיתות כוננות")</f>
        <v>אזרחים וכיתות כוננות</v>
      </c>
      <c r="K903" s="5"/>
      <c r="L903" s="3" t="str">
        <f>IFERROR(__xludf.DUMMYFUNCTION("""COMPUTED_VALUE"""),"Bechor Sueid")</f>
        <v>Bechor Sueid</v>
      </c>
      <c r="M903" s="5"/>
    </row>
    <row r="904">
      <c r="A904" s="3">
        <f>IFERROR(__xludf.DUMMYFUNCTION("""COMPUTED_VALUE"""),1034.0)</f>
        <v>1034</v>
      </c>
      <c r="B904" s="4" t="str">
        <f>IFERROR(__xludf.DUMMYFUNCTION("""COMPUTED_VALUE"""),"שישפורטיש ראובן")</f>
        <v>שישפורטיש ראובן</v>
      </c>
      <c r="C904" s="3">
        <f>IFERROR(__xludf.DUMMYFUNCTION("""COMPUTED_VALUE"""),36.0)</f>
        <v>36</v>
      </c>
      <c r="D904" s="5" t="str">
        <f>IFERROR(__xludf.DUMMYFUNCTION("""COMPUTED_VALUE"""),"שלומית")</f>
        <v>שלומית</v>
      </c>
      <c r="E904" s="5" t="str">
        <f>IFERROR(__xludf.DUMMYFUNCTION("""COMPUTED_VALUE"""),"גבר")</f>
        <v>גבר</v>
      </c>
      <c r="F904" s="5" t="str">
        <f>IFERROR(__xludf.DUMMYFUNCTION("""COMPUTED_VALUE"""),"כיתות כוננות")</f>
        <v>כיתות כוננות</v>
      </c>
      <c r="G904" s="5" t="str">
        <f>IFERROR(__xludf.DUMMYFUNCTION("""COMPUTED_VALUE"""),"רס״ם")</f>
        <v>רס״ם</v>
      </c>
      <c r="H904" s="3" t="str">
        <f>IFERROR(__xludf.DUMMYFUNCTION("""COMPUTED_VALUE"""),"07.10.2023")</f>
        <v>07.10.2023</v>
      </c>
      <c r="I904" s="4" t="str">
        <f>IFERROR(__xludf.DUMMYFUNCTION("""COMPUTED_VALUE"""),"פרי גן")</f>
        <v>פרי גן</v>
      </c>
      <c r="J904" s="4" t="str">
        <f>IFERROR(__xludf.DUMMYFUNCTION("""COMPUTED_VALUE"""),"אזרחים וכיתות כוננות")</f>
        <v>אזרחים וכיתות כוננות</v>
      </c>
      <c r="K904" s="5"/>
      <c r="L904" s="3" t="str">
        <f>IFERROR(__xludf.DUMMYFUNCTION("""COMPUTED_VALUE"""),"Reuven Shishportish")</f>
        <v>Reuven Shishportish</v>
      </c>
      <c r="M904" s="5"/>
    </row>
    <row r="905">
      <c r="A905" s="3">
        <f>IFERROR(__xludf.DUMMYFUNCTION("""COMPUTED_VALUE"""),220.0)</f>
        <v>220</v>
      </c>
      <c r="B905" s="4" t="str">
        <f>IFERROR(__xludf.DUMMYFUNCTION("""COMPUTED_VALUE"""),"דוידיאן אופיר")</f>
        <v>דוידיאן אופיר</v>
      </c>
      <c r="C905" s="3">
        <f>IFERROR(__xludf.DUMMYFUNCTION("""COMPUTED_VALUE"""),18.0)</f>
        <v>18</v>
      </c>
      <c r="D905" s="5" t="str">
        <f>IFERROR(__xludf.DUMMYFUNCTION("""COMPUTED_VALUE"""),"פטיש")</f>
        <v>פטיש</v>
      </c>
      <c r="E905" s="5" t="str">
        <f>IFERROR(__xludf.DUMMYFUNCTION("""COMPUTED_VALUE"""),"אישה")</f>
        <v>אישה</v>
      </c>
      <c r="F905" s="5" t="str">
        <f>IFERROR(__xludf.DUMMYFUNCTION("""COMPUTED_VALUE"""),"צה""ל")</f>
        <v>צה"ל</v>
      </c>
      <c r="G905" s="5" t="str">
        <f>IFERROR(__xludf.DUMMYFUNCTION("""COMPUTED_VALUE"""),"רב״ט")</f>
        <v>רב״ט</v>
      </c>
      <c r="H905" s="3" t="str">
        <f>IFERROR(__xludf.DUMMYFUNCTION("""COMPUTED_VALUE"""),"07.10.2023")</f>
        <v>07.10.2023</v>
      </c>
      <c r="I905" s="4" t="str">
        <f>IFERROR(__xludf.DUMMYFUNCTION("""COMPUTED_VALUE"""),"מחנה אורים")</f>
        <v>מחנה אורים</v>
      </c>
      <c r="J905" s="4" t="str">
        <f>IFERROR(__xludf.DUMMYFUNCTION("""COMPUTED_VALUE"""),"חיילים")</f>
        <v>חיילים</v>
      </c>
      <c r="K905" s="5"/>
      <c r="L905" s="3" t="str">
        <f>IFERROR(__xludf.DUMMYFUNCTION("""COMPUTED_VALUE"""),"Ofir Davidyan")</f>
        <v>Ofir Davidyan</v>
      </c>
      <c r="M905" s="5"/>
    </row>
    <row r="906">
      <c r="A906" s="3">
        <f>IFERROR(__xludf.DUMMYFUNCTION("""COMPUTED_VALUE"""),236.0)</f>
        <v>236</v>
      </c>
      <c r="B906" s="4" t="str">
        <f>IFERROR(__xludf.DUMMYFUNCTION("""COMPUTED_VALUE"""),"לוי ליאור")</f>
        <v>לוי ליאור</v>
      </c>
      <c r="C906" s="3">
        <f>IFERROR(__xludf.DUMMYFUNCTION("""COMPUTED_VALUE"""),19.0)</f>
        <v>19</v>
      </c>
      <c r="D906" s="5" t="str">
        <f>IFERROR(__xludf.DUMMYFUNCTION("""COMPUTED_VALUE"""),"דימונה")</f>
        <v>דימונה</v>
      </c>
      <c r="E906" s="5" t="str">
        <f>IFERROR(__xludf.DUMMYFUNCTION("""COMPUTED_VALUE"""),"אישה")</f>
        <v>אישה</v>
      </c>
      <c r="F906" s="5" t="str">
        <f>IFERROR(__xludf.DUMMYFUNCTION("""COMPUTED_VALUE"""),"צה""ל")</f>
        <v>צה"ל</v>
      </c>
      <c r="G906" s="5" t="str">
        <f>IFERROR(__xludf.DUMMYFUNCTION("""COMPUTED_VALUE"""),"רב״ט")</f>
        <v>רב״ט</v>
      </c>
      <c r="H906" s="3" t="str">
        <f>IFERROR(__xludf.DUMMYFUNCTION("""COMPUTED_VALUE"""),"07.10.2023")</f>
        <v>07.10.2023</v>
      </c>
      <c r="I906" s="4" t="str">
        <f>IFERROR(__xludf.DUMMYFUNCTION("""COMPUTED_VALUE"""),"מחנה אורים")</f>
        <v>מחנה אורים</v>
      </c>
      <c r="J906" s="4" t="str">
        <f>IFERROR(__xludf.DUMMYFUNCTION("""COMPUTED_VALUE"""),"חיילים")</f>
        <v>חיילים</v>
      </c>
      <c r="K906" s="5"/>
      <c r="L906" s="3" t="str">
        <f>IFERROR(__xludf.DUMMYFUNCTION("""COMPUTED_VALUE"""),"Lior Levy")</f>
        <v>Lior Levy</v>
      </c>
      <c r="M906" s="5"/>
    </row>
    <row r="907">
      <c r="A907" s="3">
        <f>IFERROR(__xludf.DUMMYFUNCTION("""COMPUTED_VALUE"""),212.0)</f>
        <v>212</v>
      </c>
      <c r="B907" s="4" t="str">
        <f>IFERROR(__xludf.DUMMYFUNCTION("""COMPUTED_VALUE"""),"עיש איתמר")</f>
        <v>עיש איתמר</v>
      </c>
      <c r="C907" s="3">
        <f>IFERROR(__xludf.DUMMYFUNCTION("""COMPUTED_VALUE"""),19.0)</f>
        <v>19</v>
      </c>
      <c r="D907" s="5" t="str">
        <f>IFERROR(__xludf.DUMMYFUNCTION("""COMPUTED_VALUE"""),"קריית גת")</f>
        <v>קריית גת</v>
      </c>
      <c r="E907" s="5" t="str">
        <f>IFERROR(__xludf.DUMMYFUNCTION("""COMPUTED_VALUE"""),"גבר")</f>
        <v>גבר</v>
      </c>
      <c r="F907" s="5" t="str">
        <f>IFERROR(__xludf.DUMMYFUNCTION("""COMPUTED_VALUE"""),"צה""ל")</f>
        <v>צה"ל</v>
      </c>
      <c r="G907" s="5" t="str">
        <f>IFERROR(__xludf.DUMMYFUNCTION("""COMPUTED_VALUE"""),"סמל")</f>
        <v>סמל</v>
      </c>
      <c r="H907" s="3" t="str">
        <f>IFERROR(__xludf.DUMMYFUNCTION("""COMPUTED_VALUE"""),"07.10.2023")</f>
        <v>07.10.2023</v>
      </c>
      <c r="I907" s="4" t="str">
        <f>IFERROR(__xludf.DUMMYFUNCTION("""COMPUTED_VALUE"""),"מחנה אורים")</f>
        <v>מחנה אורים</v>
      </c>
      <c r="J907" s="4" t="str">
        <f>IFERROR(__xludf.DUMMYFUNCTION("""COMPUTED_VALUE"""),"חיילים")</f>
        <v>חיילים</v>
      </c>
      <c r="K907" s="5"/>
      <c r="L907" s="3" t="str">
        <f>IFERROR(__xludf.DUMMYFUNCTION("""COMPUTED_VALUE"""),"Itamar Ayish")</f>
        <v>Itamar Ayish</v>
      </c>
      <c r="M907" s="5"/>
    </row>
    <row r="908">
      <c r="A908" s="3">
        <f>IFERROR(__xludf.DUMMYFUNCTION("""COMPUTED_VALUE"""),1460.0)</f>
        <v>1460</v>
      </c>
      <c r="B908" s="4" t="str">
        <f>IFERROR(__xludf.DUMMYFUNCTION("""COMPUTED_VALUE"""),"פרבוסודובה אלינה")</f>
        <v>פרבוסודובה אלינה</v>
      </c>
      <c r="C908" s="3">
        <f>IFERROR(__xludf.DUMMYFUNCTION("""COMPUTED_VALUE"""),23.0)</f>
        <v>23</v>
      </c>
      <c r="D908" s="5" t="str">
        <f>IFERROR(__xludf.DUMMYFUNCTION("""COMPUTED_VALUE"""),"חיפה")</f>
        <v>חיפה</v>
      </c>
      <c r="E908" s="5" t="str">
        <f>IFERROR(__xludf.DUMMYFUNCTION("""COMPUTED_VALUE"""),"אישה")</f>
        <v>אישה</v>
      </c>
      <c r="F908" s="5" t="str">
        <f>IFERROR(__xludf.DUMMYFUNCTION("""COMPUTED_VALUE"""),"צה""ל")</f>
        <v>צה"ל</v>
      </c>
      <c r="G908" s="5" t="str">
        <f>IFERROR(__xludf.DUMMYFUNCTION("""COMPUTED_VALUE"""),"סרן")</f>
        <v>סרן</v>
      </c>
      <c r="H908" s="3" t="str">
        <f>IFERROR(__xludf.DUMMYFUNCTION("""COMPUTED_VALUE"""),"07.10.2023")</f>
        <v>07.10.2023</v>
      </c>
      <c r="I908" s="4" t="str">
        <f>IFERROR(__xludf.DUMMYFUNCTION("""COMPUTED_VALUE"""),"מחנה אורים")</f>
        <v>מחנה אורים</v>
      </c>
      <c r="J908" s="4" t="str">
        <f>IFERROR(__xludf.DUMMYFUNCTION("""COMPUTED_VALUE"""),"חיילים")</f>
        <v>חיילים</v>
      </c>
      <c r="K908" s="5"/>
      <c r="L908" s="3" t="str">
        <f>IFERROR(__xludf.DUMMYFUNCTION("""COMPUTED_VALUE"""),"Alina Pravosudova")</f>
        <v>Alina Pravosudova</v>
      </c>
      <c r="M908" s="5"/>
    </row>
    <row r="909">
      <c r="A909" s="3">
        <f>IFERROR(__xludf.DUMMYFUNCTION("""COMPUTED_VALUE"""),980.0)</f>
        <v>980</v>
      </c>
      <c r="B909" s="4" t="str">
        <f>IFERROR(__xludf.DUMMYFUNCTION("""COMPUTED_VALUE"""),"פרש אהרון")</f>
        <v>פרש אהרון</v>
      </c>
      <c r="C909" s="3">
        <f>IFERROR(__xludf.DUMMYFUNCTION("""COMPUTED_VALUE"""),36.0)</f>
        <v>36</v>
      </c>
      <c r="D909" s="5" t="str">
        <f>IFERROR(__xludf.DUMMYFUNCTION("""COMPUTED_VALUE"""),"אופקים")</f>
        <v>אופקים</v>
      </c>
      <c r="E909" s="5" t="str">
        <f>IFERROR(__xludf.DUMMYFUNCTION("""COMPUTED_VALUE"""),"גבר")</f>
        <v>גבר</v>
      </c>
      <c r="F909" s="5" t="str">
        <f>IFERROR(__xludf.DUMMYFUNCTION("""COMPUTED_VALUE"""),"צה""ל")</f>
        <v>צה"ל</v>
      </c>
      <c r="G909" s="5" t="str">
        <f>IFERROR(__xludf.DUMMYFUNCTION("""COMPUTED_VALUE"""),"רס״ם")</f>
        <v>רס״ם</v>
      </c>
      <c r="H909" s="3" t="str">
        <f>IFERROR(__xludf.DUMMYFUNCTION("""COMPUTED_VALUE"""),"07.10.2023")</f>
        <v>07.10.2023</v>
      </c>
      <c r="I909" s="4" t="str">
        <f>IFERROR(__xludf.DUMMYFUNCTION("""COMPUTED_VALUE"""),"מחנה אורים")</f>
        <v>מחנה אורים</v>
      </c>
      <c r="J909" s="4" t="str">
        <f>IFERROR(__xludf.DUMMYFUNCTION("""COMPUTED_VALUE"""),"חיילים")</f>
        <v>חיילים</v>
      </c>
      <c r="K909" s="5"/>
      <c r="L909" s="3" t="str">
        <f>IFERROR(__xludf.DUMMYFUNCTION("""COMPUTED_VALUE"""),"Aharon Fresh")</f>
        <v>Aharon Fresh</v>
      </c>
      <c r="M909" s="5"/>
    </row>
    <row r="910">
      <c r="A910" s="3">
        <f>IFERROR(__xludf.DUMMYFUNCTION("""COMPUTED_VALUE"""),1291.0)</f>
        <v>1291</v>
      </c>
      <c r="B910" s="4" t="str">
        <f>IFERROR(__xludf.DUMMYFUNCTION("""COMPUTED_VALUE"""),"שלמה שיר")</f>
        <v>שלמה שיר</v>
      </c>
      <c r="C910" s="3">
        <f>IFERROR(__xludf.DUMMYFUNCTION("""COMPUTED_VALUE"""),19.0)</f>
        <v>19</v>
      </c>
      <c r="D910" s="5" t="str">
        <f>IFERROR(__xludf.DUMMYFUNCTION("""COMPUTED_VALUE"""),"נתניה")</f>
        <v>נתניה</v>
      </c>
      <c r="E910" s="5" t="str">
        <f>IFERROR(__xludf.DUMMYFUNCTION("""COMPUTED_VALUE"""),"אישה")</f>
        <v>אישה</v>
      </c>
      <c r="F910" s="5" t="str">
        <f>IFERROR(__xludf.DUMMYFUNCTION("""COMPUTED_VALUE"""),"צה""ל")</f>
        <v>צה"ל</v>
      </c>
      <c r="G910" s="5" t="str">
        <f>IFERROR(__xludf.DUMMYFUNCTION("""COMPUTED_VALUE"""),"סמל")</f>
        <v>סמל</v>
      </c>
      <c r="H910" s="3" t="str">
        <f>IFERROR(__xludf.DUMMYFUNCTION("""COMPUTED_VALUE"""),"07.10.2023")</f>
        <v>07.10.2023</v>
      </c>
      <c r="I910" s="4" t="str">
        <f>IFERROR(__xludf.DUMMYFUNCTION("""COMPUTED_VALUE"""),"מחנה אורים")</f>
        <v>מחנה אורים</v>
      </c>
      <c r="J910" s="4" t="str">
        <f>IFERROR(__xludf.DUMMYFUNCTION("""COMPUTED_VALUE"""),"חיילים")</f>
        <v>חיילים</v>
      </c>
      <c r="K910" s="5"/>
      <c r="L910" s="3" t="str">
        <f>IFERROR(__xludf.DUMMYFUNCTION("""COMPUTED_VALUE"""),"Shir Shlomo")</f>
        <v>Shir Shlomo</v>
      </c>
      <c r="M910" s="5"/>
    </row>
    <row r="911">
      <c r="A911" s="3">
        <f>IFERROR(__xludf.DUMMYFUNCTION("""COMPUTED_VALUE"""),211.0)</f>
        <v>211</v>
      </c>
      <c r="B911" s="4" t="str">
        <f>IFERROR(__xludf.DUMMYFUNCTION("""COMPUTED_VALUE"""),"אביטל אור")</f>
        <v>אביטל אור</v>
      </c>
      <c r="C911" s="3">
        <f>IFERROR(__xludf.DUMMYFUNCTION("""COMPUTED_VALUE"""),20.0)</f>
        <v>20</v>
      </c>
      <c r="D911" s="5" t="str">
        <f>IFERROR(__xludf.DUMMYFUNCTION("""COMPUTED_VALUE"""),"מרום גולן")</f>
        <v>מרום גולן</v>
      </c>
      <c r="E911" s="5" t="str">
        <f>IFERROR(__xludf.DUMMYFUNCTION("""COMPUTED_VALUE"""),"גבר")</f>
        <v>גבר</v>
      </c>
      <c r="F911" s="5" t="str">
        <f>IFERROR(__xludf.DUMMYFUNCTION("""COMPUTED_VALUE"""),"צה""ל")</f>
        <v>צה"ל</v>
      </c>
      <c r="G911" s="5" t="str">
        <f>IFERROR(__xludf.DUMMYFUNCTION("""COMPUTED_VALUE"""),"סמל")</f>
        <v>סמל</v>
      </c>
      <c r="H911" s="3" t="str">
        <f>IFERROR(__xludf.DUMMYFUNCTION("""COMPUTED_VALUE"""),"07.10.2023")</f>
        <v>07.10.2023</v>
      </c>
      <c r="I911" s="4" t="str">
        <f>IFERROR(__xludf.DUMMYFUNCTION("""COMPUTED_VALUE"""),"מוצב נחל עוז; טנק א")</f>
        <v>מוצב נחל עוז; טנק א</v>
      </c>
      <c r="J911" s="4" t="str">
        <f>IFERROR(__xludf.DUMMYFUNCTION("""COMPUTED_VALUE"""),"חיילים")</f>
        <v>חיילים</v>
      </c>
      <c r="K911" s="5"/>
      <c r="L911" s="3" t="str">
        <f>IFERROR(__xludf.DUMMYFUNCTION("""COMPUTED_VALUE"""),"Or Avital")</f>
        <v>Or Avital</v>
      </c>
      <c r="M911" s="5"/>
    </row>
    <row r="912">
      <c r="A912" s="3">
        <f>IFERROR(__xludf.DUMMYFUNCTION("""COMPUTED_VALUE"""),1262.0)</f>
        <v>1262</v>
      </c>
      <c r="B912" s="4" t="str">
        <f>IFERROR(__xludf.DUMMYFUNCTION("""COMPUTED_VALUE"""),"אלון לוי עדן")</f>
        <v>אלון לוי עדן</v>
      </c>
      <c r="C912" s="3">
        <f>IFERROR(__xludf.DUMMYFUNCTION("""COMPUTED_VALUE"""),19.0)</f>
        <v>19</v>
      </c>
      <c r="D912" s="5" t="str">
        <f>IFERROR(__xludf.DUMMYFUNCTION("""COMPUTED_VALUE"""),"נירית")</f>
        <v>נירית</v>
      </c>
      <c r="E912" s="5" t="str">
        <f>IFERROR(__xludf.DUMMYFUNCTION("""COMPUTED_VALUE"""),"אישה")</f>
        <v>אישה</v>
      </c>
      <c r="F912" s="5" t="str">
        <f>IFERROR(__xludf.DUMMYFUNCTION("""COMPUTED_VALUE"""),"צה""ל")</f>
        <v>צה"ל</v>
      </c>
      <c r="G912" s="5" t="str">
        <f>IFERROR(__xludf.DUMMYFUNCTION("""COMPUTED_VALUE"""),"סמ״ר")</f>
        <v>סמ״ר</v>
      </c>
      <c r="H912" s="3" t="str">
        <f>IFERROR(__xludf.DUMMYFUNCTION("""COMPUTED_VALUE"""),"07.10.2023")</f>
        <v>07.10.2023</v>
      </c>
      <c r="I912" s="4" t="str">
        <f>IFERROR(__xludf.DUMMYFUNCTION("""COMPUTED_VALUE"""),"מחנה זיקים")</f>
        <v>מחנה זיקים</v>
      </c>
      <c r="J912" s="4" t="str">
        <f>IFERROR(__xludf.DUMMYFUNCTION("""COMPUTED_VALUE"""),"חיילים")</f>
        <v>חיילים</v>
      </c>
      <c r="K912" s="5"/>
      <c r="L912" s="3" t="str">
        <f>IFERROR(__xludf.DUMMYFUNCTION("""COMPUTED_VALUE"""),"Eden Alon-Levy")</f>
        <v>Eden Alon-Levy</v>
      </c>
      <c r="M912" s="5"/>
    </row>
    <row r="913">
      <c r="A913" s="3">
        <f>IFERROR(__xludf.DUMMYFUNCTION("""COMPUTED_VALUE"""),1264.0)</f>
        <v>1264</v>
      </c>
      <c r="B913" s="4" t="str">
        <f>IFERROR(__xludf.DUMMYFUNCTION("""COMPUTED_VALUE"""),"בוני נעמה")</f>
        <v>בוני נעמה</v>
      </c>
      <c r="C913" s="3">
        <f>IFERROR(__xludf.DUMMYFUNCTION("""COMPUTED_VALUE"""),19.0)</f>
        <v>19</v>
      </c>
      <c r="D913" s="5" t="str">
        <f>IFERROR(__xludf.DUMMYFUNCTION("""COMPUTED_VALUE"""),"עפולה")</f>
        <v>עפולה</v>
      </c>
      <c r="E913" s="5" t="str">
        <f>IFERROR(__xludf.DUMMYFUNCTION("""COMPUTED_VALUE"""),"אישה")</f>
        <v>אישה</v>
      </c>
      <c r="F913" s="5" t="str">
        <f>IFERROR(__xludf.DUMMYFUNCTION("""COMPUTED_VALUE"""),"צה""ל")</f>
        <v>צה"ל</v>
      </c>
      <c r="G913" s="5" t="str">
        <f>IFERROR(__xludf.DUMMYFUNCTION("""COMPUTED_VALUE"""),"רב״ט")</f>
        <v>רב״ט</v>
      </c>
      <c r="H913" s="3" t="str">
        <f>IFERROR(__xludf.DUMMYFUNCTION("""COMPUTED_VALUE"""),"07.10.2023")</f>
        <v>07.10.2023</v>
      </c>
      <c r="I913" s="4" t="str">
        <f>IFERROR(__xludf.DUMMYFUNCTION("""COMPUTED_VALUE"""),"מוצב יפתח")</f>
        <v>מוצב יפתח</v>
      </c>
      <c r="J913" s="4" t="str">
        <f>IFERROR(__xludf.DUMMYFUNCTION("""COMPUTED_VALUE"""),"חיילים")</f>
        <v>חיילים</v>
      </c>
      <c r="K913" s="5"/>
      <c r="L913" s="3" t="str">
        <f>IFERROR(__xludf.DUMMYFUNCTION("""COMPUTED_VALUE"""),"Naama Boni")</f>
        <v>Naama Boni</v>
      </c>
      <c r="M913" s="5"/>
    </row>
    <row r="914">
      <c r="A914" s="3">
        <f>IFERROR(__xludf.DUMMYFUNCTION("""COMPUTED_VALUE"""),1263.0)</f>
        <v>1263</v>
      </c>
      <c r="B914" s="4" t="str">
        <f>IFERROR(__xludf.DUMMYFUNCTION("""COMPUTED_VALUE"""),"בן סימון אדר")</f>
        <v>בן סימון אדר</v>
      </c>
      <c r="C914" s="3">
        <f>IFERROR(__xludf.DUMMYFUNCTION("""COMPUTED_VALUE"""),20.0)</f>
        <v>20</v>
      </c>
      <c r="D914" s="5" t="str">
        <f>IFERROR(__xludf.DUMMYFUNCTION("""COMPUTED_VALUE"""),"נווה זיו")</f>
        <v>נווה זיו</v>
      </c>
      <c r="E914" s="5" t="str">
        <f>IFERROR(__xludf.DUMMYFUNCTION("""COMPUTED_VALUE"""),"אישה")</f>
        <v>אישה</v>
      </c>
      <c r="F914" s="5" t="str">
        <f>IFERROR(__xludf.DUMMYFUNCTION("""COMPUTED_VALUE"""),"צה""ל")</f>
        <v>צה"ל</v>
      </c>
      <c r="G914" s="5" t="str">
        <f>IFERROR(__xludf.DUMMYFUNCTION("""COMPUTED_VALUE"""),"סגן")</f>
        <v>סגן</v>
      </c>
      <c r="H914" s="3" t="str">
        <f>IFERROR(__xludf.DUMMYFUNCTION("""COMPUTED_VALUE"""),"07.10.2023")</f>
        <v>07.10.2023</v>
      </c>
      <c r="I914" s="4" t="str">
        <f>IFERROR(__xludf.DUMMYFUNCTION("""COMPUTED_VALUE"""),"מחנה זיקים")</f>
        <v>מחנה זיקים</v>
      </c>
      <c r="J914" s="4" t="str">
        <f>IFERROR(__xludf.DUMMYFUNCTION("""COMPUTED_VALUE"""),"חיילים")</f>
        <v>חיילים</v>
      </c>
      <c r="K914" s="5"/>
      <c r="L914" s="3" t="str">
        <f>IFERROR(__xludf.DUMMYFUNCTION("""COMPUTED_VALUE"""),"Adar Ben-Simon")</f>
        <v>Adar Ben-Simon</v>
      </c>
      <c r="M914" s="5"/>
    </row>
    <row r="915">
      <c r="A915" s="3">
        <f>IFERROR(__xludf.DUMMYFUNCTION("""COMPUTED_VALUE"""),466.0)</f>
        <v>466</v>
      </c>
      <c r="B915" s="4" t="str">
        <f>IFERROR(__xludf.DUMMYFUNCTION("""COMPUTED_VALUE"""),"בר שדה עילי")</f>
        <v>בר שדה עילי</v>
      </c>
      <c r="C915" s="3">
        <f>IFERROR(__xludf.DUMMYFUNCTION("""COMPUTED_VALUE"""),19.0)</f>
        <v>19</v>
      </c>
      <c r="D915" s="5" t="str">
        <f>IFERROR(__xludf.DUMMYFUNCTION("""COMPUTED_VALUE"""),"רמת גן")</f>
        <v>רמת גן</v>
      </c>
      <c r="E915" s="5" t="str">
        <f>IFERROR(__xludf.DUMMYFUNCTION("""COMPUTED_VALUE"""),"גבר")</f>
        <v>גבר</v>
      </c>
      <c r="F915" s="5" t="str">
        <f>IFERROR(__xludf.DUMMYFUNCTION("""COMPUTED_VALUE"""),"צה""ל")</f>
        <v>צה"ל</v>
      </c>
      <c r="G915" s="5" t="str">
        <f>IFERROR(__xludf.DUMMYFUNCTION("""COMPUTED_VALUE"""),"סמל")</f>
        <v>סמל</v>
      </c>
      <c r="H915" s="3" t="str">
        <f>IFERROR(__xludf.DUMMYFUNCTION("""COMPUTED_VALUE"""),"07.10.2023")</f>
        <v>07.10.2023</v>
      </c>
      <c r="I915" s="4" t="str">
        <f>IFERROR(__xludf.DUMMYFUNCTION("""COMPUTED_VALUE"""),"מוצב יפתח")</f>
        <v>מוצב יפתח</v>
      </c>
      <c r="J915" s="2" t="str">
        <f>IFERROR(__xludf.DUMMYFUNCTION("""COMPUTED_VALUE"""),"חיילים")</f>
        <v>חיילים</v>
      </c>
      <c r="K915" s="5"/>
      <c r="L915" s="3" t="str">
        <f>IFERROR(__xludf.DUMMYFUNCTION("""COMPUTED_VALUE"""),"Ilai Bar-Sadeh")</f>
        <v>Ilai Bar-Sadeh</v>
      </c>
      <c r="M915" s="5"/>
    </row>
    <row r="916">
      <c r="A916" s="3">
        <f>IFERROR(__xludf.DUMMYFUNCTION("""COMPUTED_VALUE"""),229.0)</f>
        <v>229</v>
      </c>
      <c r="B916" s="4" t="str">
        <f>IFERROR(__xludf.DUMMYFUNCTION("""COMPUTED_VALUE"""),"גולן יונתן")</f>
        <v>גולן יונתן</v>
      </c>
      <c r="C916" s="3">
        <f>IFERROR(__xludf.DUMMYFUNCTION("""COMPUTED_VALUE"""),21.0)</f>
        <v>21</v>
      </c>
      <c r="D916" s="5" t="str">
        <f>IFERROR(__xludf.DUMMYFUNCTION("""COMPUTED_VALUE"""),"יהוד מונוסון")</f>
        <v>יהוד מונוסון</v>
      </c>
      <c r="E916" s="5" t="str">
        <f>IFERROR(__xludf.DUMMYFUNCTION("""COMPUTED_VALUE"""),"גבר")</f>
        <v>גבר</v>
      </c>
      <c r="F916" s="5" t="str">
        <f>IFERROR(__xludf.DUMMYFUNCTION("""COMPUTED_VALUE"""),"צה""ל")</f>
        <v>צה"ל</v>
      </c>
      <c r="G916" s="5" t="str">
        <f>IFERROR(__xludf.DUMMYFUNCTION("""COMPUTED_VALUE"""),"סמ״ר")</f>
        <v>סמ״ר</v>
      </c>
      <c r="H916" s="3" t="str">
        <f>IFERROR(__xludf.DUMMYFUNCTION("""COMPUTED_VALUE"""),"07.10.2023")</f>
        <v>07.10.2023</v>
      </c>
      <c r="I916" s="4" t="str">
        <f>IFERROR(__xludf.DUMMYFUNCTION("""COMPUTED_VALUE"""),"מוצב נחל עוז; טנק א")</f>
        <v>מוצב נחל עוז; טנק א</v>
      </c>
      <c r="J916" s="4" t="str">
        <f>IFERROR(__xludf.DUMMYFUNCTION("""COMPUTED_VALUE"""),"חיילים")</f>
        <v>חיילים</v>
      </c>
      <c r="K916" s="5"/>
      <c r="L916" s="3" t="str">
        <f>IFERROR(__xludf.DUMMYFUNCTION("""COMPUTED_VALUE"""),"Yonatan Golan")</f>
        <v>Yonatan Golan</v>
      </c>
      <c r="M916" s="5"/>
    </row>
    <row r="917">
      <c r="A917" s="3">
        <f>IFERROR(__xludf.DUMMYFUNCTION("""COMPUTED_VALUE"""),266.0)</f>
        <v>266</v>
      </c>
      <c r="B917" s="4" t="str">
        <f>IFERROR(__xludf.DUMMYFUNCTION("""COMPUTED_VALUE"""),"טל סהר")</f>
        <v>טל סהר</v>
      </c>
      <c r="C917" s="3">
        <f>IFERROR(__xludf.DUMMYFUNCTION("""COMPUTED_VALUE"""),20.0)</f>
        <v>20</v>
      </c>
      <c r="D917" s="5" t="str">
        <f>IFERROR(__xludf.DUMMYFUNCTION("""COMPUTED_VALUE"""),"צרעה")</f>
        <v>צרעה</v>
      </c>
      <c r="E917" s="5" t="str">
        <f>IFERROR(__xludf.DUMMYFUNCTION("""COMPUTED_VALUE"""),"גבר")</f>
        <v>גבר</v>
      </c>
      <c r="F917" s="5" t="str">
        <f>IFERROR(__xludf.DUMMYFUNCTION("""COMPUTED_VALUE"""),"צה""ל")</f>
        <v>צה"ל</v>
      </c>
      <c r="G917" s="5" t="str">
        <f>IFERROR(__xludf.DUMMYFUNCTION("""COMPUTED_VALUE"""),"סגן")</f>
        <v>סגן</v>
      </c>
      <c r="H917" s="3" t="str">
        <f>IFERROR(__xludf.DUMMYFUNCTION("""COMPUTED_VALUE"""),"07.10.2023")</f>
        <v>07.10.2023</v>
      </c>
      <c r="I917" s="4" t="str">
        <f>IFERROR(__xludf.DUMMYFUNCTION("""COMPUTED_VALUE"""),"מוצב יפתח")</f>
        <v>מוצב יפתח</v>
      </c>
      <c r="J917" s="4" t="str">
        <f>IFERROR(__xludf.DUMMYFUNCTION("""COMPUTED_VALUE"""),"חיילים")</f>
        <v>חיילים</v>
      </c>
      <c r="K917" s="5"/>
      <c r="L917" s="3" t="str">
        <f>IFERROR(__xludf.DUMMYFUNCTION("""COMPUTED_VALUE"""),"Sahar Tal")</f>
        <v>Sahar Tal</v>
      </c>
      <c r="M917" s="5"/>
    </row>
    <row r="918">
      <c r="A918" s="3">
        <f>IFERROR(__xludf.DUMMYFUNCTION("""COMPUTED_VALUE"""),139.0)</f>
        <v>139</v>
      </c>
      <c r="B918" s="4" t="str">
        <f>IFERROR(__xludf.DUMMYFUNCTION("""COMPUTED_VALUE"""),"טסטה אופיר")</f>
        <v>טסטה אופיר</v>
      </c>
      <c r="C918" s="3">
        <f>IFERROR(__xludf.DUMMYFUNCTION("""COMPUTED_VALUE"""),21.0)</f>
        <v>21</v>
      </c>
      <c r="D918" s="5" t="str">
        <f>IFERROR(__xludf.DUMMYFUNCTION("""COMPUTED_VALUE"""),"ירושלים")</f>
        <v>ירושלים</v>
      </c>
      <c r="E918" s="5" t="str">
        <f>IFERROR(__xludf.DUMMYFUNCTION("""COMPUTED_VALUE"""),"גבר")</f>
        <v>גבר</v>
      </c>
      <c r="F918" s="5" t="str">
        <f>IFERROR(__xludf.DUMMYFUNCTION("""COMPUTED_VALUE"""),"צה""ל")</f>
        <v>צה"ל</v>
      </c>
      <c r="G918" s="5" t="str">
        <f>IFERROR(__xludf.DUMMYFUNCTION("""COMPUTED_VALUE"""),"סמל")</f>
        <v>סמל</v>
      </c>
      <c r="H918" s="3" t="str">
        <f>IFERROR(__xludf.DUMMYFUNCTION("""COMPUTED_VALUE"""),"07.10.2023")</f>
        <v>07.10.2023</v>
      </c>
      <c r="I918" s="4" t="str">
        <f>IFERROR(__xludf.DUMMYFUNCTION("""COMPUTED_VALUE"""),"פסטיבל נובה")</f>
        <v>פסטיבל נובה</v>
      </c>
      <c r="J918" s="4" t="str">
        <f>IFERROR(__xludf.DUMMYFUNCTION("""COMPUTED_VALUE"""),"חיילים")</f>
        <v>חיילים</v>
      </c>
      <c r="K918" s="5"/>
      <c r="L918" s="3" t="str">
        <f>IFERROR(__xludf.DUMMYFUNCTION("""COMPUTED_VALUE"""),"Ofir Tasta")</f>
        <v>Ofir Tasta</v>
      </c>
      <c r="M918" s="5"/>
    </row>
    <row r="919">
      <c r="A919" s="3">
        <f>IFERROR(__xludf.DUMMYFUNCTION("""COMPUTED_VALUE"""),509.0)</f>
        <v>509</v>
      </c>
      <c r="B919" s="4" t="str">
        <f>IFERROR(__xludf.DUMMYFUNCTION("""COMPUTED_VALUE"""),"לוקר אורי")</f>
        <v>לוקר אורי</v>
      </c>
      <c r="C919" s="3">
        <f>IFERROR(__xludf.DUMMYFUNCTION("""COMPUTED_VALUE"""),19.0)</f>
        <v>19</v>
      </c>
      <c r="D919" s="5" t="str">
        <f>IFERROR(__xludf.DUMMYFUNCTION("""COMPUTED_VALUE"""),"פרדס חנה-כרכור")</f>
        <v>פרדס חנה-כרכור</v>
      </c>
      <c r="E919" s="5" t="str">
        <f>IFERROR(__xludf.DUMMYFUNCTION("""COMPUTED_VALUE"""),"גבר")</f>
        <v>גבר</v>
      </c>
      <c r="F919" s="5" t="str">
        <f>IFERROR(__xludf.DUMMYFUNCTION("""COMPUTED_VALUE"""),"צה""ל")</f>
        <v>צה"ל</v>
      </c>
      <c r="G919" s="5" t="str">
        <f>IFERROR(__xludf.DUMMYFUNCTION("""COMPUTED_VALUE"""),"סמל")</f>
        <v>סמל</v>
      </c>
      <c r="H919" s="3" t="str">
        <f>IFERROR(__xludf.DUMMYFUNCTION("""COMPUTED_VALUE"""),"07.10.2023")</f>
        <v>07.10.2023</v>
      </c>
      <c r="I919" s="4" t="str">
        <f>IFERROR(__xludf.DUMMYFUNCTION("""COMPUTED_VALUE"""),"מש""א ארז")</f>
        <v>מש"א ארז</v>
      </c>
      <c r="J919" s="2" t="str">
        <f>IFERROR(__xludf.DUMMYFUNCTION("""COMPUTED_VALUE"""),"חיילים")</f>
        <v>חיילים</v>
      </c>
      <c r="K919" s="5"/>
      <c r="L919" s="3" t="str">
        <f>IFERROR(__xludf.DUMMYFUNCTION("""COMPUTED_VALUE"""),"Ori Locker")</f>
        <v>Ori Locker</v>
      </c>
      <c r="M919" s="5"/>
    </row>
    <row r="920">
      <c r="A920" s="3">
        <f>IFERROR(__xludf.DUMMYFUNCTION("""COMPUTED_VALUE"""),429.0)</f>
        <v>429</v>
      </c>
      <c r="B920" s="4" t="str">
        <f>IFERROR(__xludf.DUMMYFUNCTION("""COMPUTED_VALUE"""),"ליבוביץ' תומר")</f>
        <v>ליבוביץ' תומר</v>
      </c>
      <c r="C920" s="3">
        <f>IFERROR(__xludf.DUMMYFUNCTION("""COMPUTED_VALUE"""),19.0)</f>
        <v>19</v>
      </c>
      <c r="D920" s="5" t="str">
        <f>IFERROR(__xludf.DUMMYFUNCTION("""COMPUTED_VALUE"""),"תל אביב")</f>
        <v>תל אביב</v>
      </c>
      <c r="E920" s="5" t="str">
        <f>IFERROR(__xludf.DUMMYFUNCTION("""COMPUTED_VALUE"""),"גבר")</f>
        <v>גבר</v>
      </c>
      <c r="F920" s="5" t="str">
        <f>IFERROR(__xludf.DUMMYFUNCTION("""COMPUTED_VALUE"""),"צה""ל")</f>
        <v>צה"ל</v>
      </c>
      <c r="G920" s="5" t="str">
        <f>IFERROR(__xludf.DUMMYFUNCTION("""COMPUTED_VALUE"""),"סמל")</f>
        <v>סמל</v>
      </c>
      <c r="H920" s="3" t="str">
        <f>IFERROR(__xludf.DUMMYFUNCTION("""COMPUTED_VALUE"""),"07.10.2023")</f>
        <v>07.10.2023</v>
      </c>
      <c r="I920" s="4" t="str">
        <f>IFERROR(__xludf.DUMMYFUNCTION("""COMPUTED_VALUE"""),"מוצב נחל עוז; טנק ב")</f>
        <v>מוצב נחל עוז; טנק ב</v>
      </c>
      <c r="J920" s="4" t="str">
        <f>IFERROR(__xludf.DUMMYFUNCTION("""COMPUTED_VALUE"""),"חיילים")</f>
        <v>חיילים</v>
      </c>
      <c r="K920" s="5"/>
      <c r="L920" s="3" t="str">
        <f>IFERROR(__xludf.DUMMYFUNCTION("""COMPUTED_VALUE"""),"Tomer Leibovitz")</f>
        <v>Tomer Leibovitz</v>
      </c>
      <c r="M920" s="5"/>
    </row>
    <row r="921">
      <c r="A921" s="3">
        <f>IFERROR(__xludf.DUMMYFUNCTION("""COMPUTED_VALUE"""),237.0)</f>
        <v>237</v>
      </c>
      <c r="B921" s="4" t="str">
        <f>IFERROR(__xludf.DUMMYFUNCTION("""COMPUTED_VALUE"""),"לישה דביר")</f>
        <v>לישה דביר</v>
      </c>
      <c r="C921" s="3">
        <f>IFERROR(__xludf.DUMMYFUNCTION("""COMPUTED_VALUE"""),21.0)</f>
        <v>21</v>
      </c>
      <c r="D921" s="5" t="str">
        <f>IFERROR(__xludf.DUMMYFUNCTION("""COMPUTED_VALUE"""),"ניצן")</f>
        <v>ניצן</v>
      </c>
      <c r="E921" s="5" t="str">
        <f>IFERROR(__xludf.DUMMYFUNCTION("""COMPUTED_VALUE"""),"גבר")</f>
        <v>גבר</v>
      </c>
      <c r="F921" s="5" t="str">
        <f>IFERROR(__xludf.DUMMYFUNCTION("""COMPUTED_VALUE"""),"צה""ל")</f>
        <v>צה"ל</v>
      </c>
      <c r="G921" s="5" t="str">
        <f>IFERROR(__xludf.DUMMYFUNCTION("""COMPUTED_VALUE"""),"סמל")</f>
        <v>סמל</v>
      </c>
      <c r="H921" s="3" t="str">
        <f>IFERROR(__xludf.DUMMYFUNCTION("""COMPUTED_VALUE"""),"07.10.2023")</f>
        <v>07.10.2023</v>
      </c>
      <c r="I921" s="4" t="str">
        <f>IFERROR(__xludf.DUMMYFUNCTION("""COMPUTED_VALUE"""),"חוף זיקים")</f>
        <v>חוף זיקים</v>
      </c>
      <c r="J921" s="4" t="str">
        <f>IFERROR(__xludf.DUMMYFUNCTION("""COMPUTED_VALUE"""),"חיילים")</f>
        <v>חיילים</v>
      </c>
      <c r="K921" s="5"/>
      <c r="L921" s="3" t="str">
        <f>IFERROR(__xludf.DUMMYFUNCTION("""COMPUTED_VALUE"""),"Dvir Lisha")</f>
        <v>Dvir Lisha</v>
      </c>
      <c r="M921" s="5"/>
    </row>
    <row r="922">
      <c r="A922" s="3">
        <f>IFERROR(__xludf.DUMMYFUNCTION("""COMPUTED_VALUE"""),1266.0)</f>
        <v>1266</v>
      </c>
      <c r="B922" s="4" t="str">
        <f>IFERROR(__xludf.DUMMYFUNCTION("""COMPUTED_VALUE"""),"מאור איתי")</f>
        <v>מאור איתי</v>
      </c>
      <c r="C922" s="3">
        <f>IFERROR(__xludf.DUMMYFUNCTION("""COMPUTED_VALUE"""),23.0)</f>
        <v>23</v>
      </c>
      <c r="D922" s="5" t="str">
        <f>IFERROR(__xludf.DUMMYFUNCTION("""COMPUTED_VALUE"""),"ראש העין")</f>
        <v>ראש העין</v>
      </c>
      <c r="E922" s="5" t="str">
        <f>IFERROR(__xludf.DUMMYFUNCTION("""COMPUTED_VALUE"""),"גבר")</f>
        <v>גבר</v>
      </c>
      <c r="F922" s="5" t="str">
        <f>IFERROR(__xludf.DUMMYFUNCTION("""COMPUTED_VALUE"""),"צה""ל")</f>
        <v>צה"ל</v>
      </c>
      <c r="G922" s="5" t="str">
        <f>IFERROR(__xludf.DUMMYFUNCTION("""COMPUTED_VALUE"""),"סרן")</f>
        <v>סרן</v>
      </c>
      <c r="H922" s="3" t="str">
        <f>IFERROR(__xludf.DUMMYFUNCTION("""COMPUTED_VALUE"""),"07.10.2023")</f>
        <v>07.10.2023</v>
      </c>
      <c r="I922" s="4" t="str">
        <f>IFERROR(__xludf.DUMMYFUNCTION("""COMPUTED_VALUE"""),"מש""א ארז")</f>
        <v>מש"א ארז</v>
      </c>
      <c r="J922" s="4" t="str">
        <f>IFERROR(__xludf.DUMMYFUNCTION("""COMPUTED_VALUE"""),"חיילים")</f>
        <v>חיילים</v>
      </c>
      <c r="K922" s="5"/>
      <c r="L922" s="3" t="str">
        <f>IFERROR(__xludf.DUMMYFUNCTION("""COMPUTED_VALUE"""),"Itay Maor")</f>
        <v>Itay Maor</v>
      </c>
      <c r="M922" s="5"/>
    </row>
    <row r="923">
      <c r="A923" s="3">
        <f>IFERROR(__xludf.DUMMYFUNCTION("""COMPUTED_VALUE"""),1268.0)</f>
        <v>1268</v>
      </c>
      <c r="B923" s="4" t="str">
        <f>IFERROR(__xludf.DUMMYFUNCTION("""COMPUTED_VALUE"""),"מוזס אור")</f>
        <v>מוזס אור</v>
      </c>
      <c r="C923" s="3">
        <f>IFERROR(__xludf.DUMMYFUNCTION("""COMPUTED_VALUE"""),22.0)</f>
        <v>22</v>
      </c>
      <c r="D923" s="5" t="str">
        <f>IFERROR(__xludf.DUMMYFUNCTION("""COMPUTED_VALUE"""),"אשדוד")</f>
        <v>אשדוד</v>
      </c>
      <c r="E923" s="5" t="str">
        <f>IFERROR(__xludf.DUMMYFUNCTION("""COMPUTED_VALUE"""),"אישה")</f>
        <v>אישה</v>
      </c>
      <c r="F923" s="5" t="str">
        <f>IFERROR(__xludf.DUMMYFUNCTION("""COMPUTED_VALUE"""),"צה""ל")</f>
        <v>צה"ל</v>
      </c>
      <c r="G923" s="5" t="str">
        <f>IFERROR(__xludf.DUMMYFUNCTION("""COMPUTED_VALUE"""),"סרן")</f>
        <v>סרן</v>
      </c>
      <c r="H923" s="3" t="str">
        <f>IFERROR(__xludf.DUMMYFUNCTION("""COMPUTED_VALUE"""),"07.10.2023")</f>
        <v>07.10.2023</v>
      </c>
      <c r="I923" s="4" t="str">
        <f>IFERROR(__xludf.DUMMYFUNCTION("""COMPUTED_VALUE"""),"מחנה זיקים")</f>
        <v>מחנה זיקים</v>
      </c>
      <c r="J923" s="4" t="str">
        <f>IFERROR(__xludf.DUMMYFUNCTION("""COMPUTED_VALUE"""),"חיילים")</f>
        <v>חיילים</v>
      </c>
      <c r="K923" s="5"/>
      <c r="L923" s="3" t="str">
        <f>IFERROR(__xludf.DUMMYFUNCTION("""COMPUTED_VALUE"""),"Or Moses")</f>
        <v>Or Moses</v>
      </c>
      <c r="M923" s="5"/>
    </row>
    <row r="924">
      <c r="A924" s="3">
        <f>IFERROR(__xludf.DUMMYFUNCTION("""COMPUTED_VALUE"""),1267.0)</f>
        <v>1267</v>
      </c>
      <c r="B924" s="4" t="str">
        <f>IFERROR(__xludf.DUMMYFUNCTION("""COMPUTED_VALUE"""),"מלייב יואב")</f>
        <v>מלייב יואב</v>
      </c>
      <c r="C924" s="3">
        <f>IFERROR(__xludf.DUMMYFUNCTION("""COMPUTED_VALUE"""),19.0)</f>
        <v>19</v>
      </c>
      <c r="D924" s="5" t="str">
        <f>IFERROR(__xludf.DUMMYFUNCTION("""COMPUTED_VALUE"""),"קריית אונו")</f>
        <v>קריית אונו</v>
      </c>
      <c r="E924" s="5" t="str">
        <f>IFERROR(__xludf.DUMMYFUNCTION("""COMPUTED_VALUE"""),"גבר")</f>
        <v>גבר</v>
      </c>
      <c r="F924" s="5" t="str">
        <f>IFERROR(__xludf.DUMMYFUNCTION("""COMPUTED_VALUE"""),"צה""ל")</f>
        <v>צה"ל</v>
      </c>
      <c r="G924" s="5" t="str">
        <f>IFERROR(__xludf.DUMMYFUNCTION("""COMPUTED_VALUE"""),"סגן")</f>
        <v>סגן</v>
      </c>
      <c r="H924" s="3" t="str">
        <f>IFERROR(__xludf.DUMMYFUNCTION("""COMPUTED_VALUE"""),"07.10.2023")</f>
        <v>07.10.2023</v>
      </c>
      <c r="I924" s="4" t="str">
        <f>IFERROR(__xludf.DUMMYFUNCTION("""COMPUTED_VALUE"""),"מוצב יפתח")</f>
        <v>מוצב יפתח</v>
      </c>
      <c r="J924" s="4" t="str">
        <f>IFERROR(__xludf.DUMMYFUNCTION("""COMPUTED_VALUE"""),"חיילים")</f>
        <v>חיילים</v>
      </c>
      <c r="K924" s="5"/>
      <c r="L924" s="3" t="str">
        <f>IFERROR(__xludf.DUMMYFUNCTION("""COMPUTED_VALUE"""),"Yoav Meliev")</f>
        <v>Yoav Meliev</v>
      </c>
      <c r="M924" s="5"/>
    </row>
    <row r="925">
      <c r="A925" s="3">
        <f>IFERROR(__xludf.DUMMYFUNCTION("""COMPUTED_VALUE"""),1269.0)</f>
        <v>1269</v>
      </c>
      <c r="B925" s="4" t="str">
        <f>IFERROR(__xludf.DUMMYFUNCTION("""COMPUTED_VALUE"""),"משה אוראל")</f>
        <v>משה אוראל</v>
      </c>
      <c r="C925" s="3">
        <f>IFERROR(__xludf.DUMMYFUNCTION("""COMPUTED_VALUE"""),21.0)</f>
        <v>21</v>
      </c>
      <c r="D925" s="5" t="str">
        <f>IFERROR(__xludf.DUMMYFUNCTION("""COMPUTED_VALUE"""),"רכסים")</f>
        <v>רכסים</v>
      </c>
      <c r="E925" s="5" t="str">
        <f>IFERROR(__xludf.DUMMYFUNCTION("""COMPUTED_VALUE"""),"גבר")</f>
        <v>גבר</v>
      </c>
      <c r="F925" s="5" t="str">
        <f>IFERROR(__xludf.DUMMYFUNCTION("""COMPUTED_VALUE"""),"צה""ל")</f>
        <v>צה"ל</v>
      </c>
      <c r="G925" s="5" t="str">
        <f>IFERROR(__xludf.DUMMYFUNCTION("""COMPUTED_VALUE"""),"סמ״ר")</f>
        <v>סמ״ר</v>
      </c>
      <c r="H925" s="3" t="str">
        <f>IFERROR(__xludf.DUMMYFUNCTION("""COMPUTED_VALUE"""),"07.10.2023")</f>
        <v>07.10.2023</v>
      </c>
      <c r="I925" s="4" t="str">
        <f>IFERROR(__xludf.DUMMYFUNCTION("""COMPUTED_VALUE"""),"מוצב יפתח")</f>
        <v>מוצב יפתח</v>
      </c>
      <c r="J925" s="4" t="str">
        <f>IFERROR(__xludf.DUMMYFUNCTION("""COMPUTED_VALUE"""),"חיילים")</f>
        <v>חיילים</v>
      </c>
      <c r="K925" s="5"/>
      <c r="L925" s="3" t="str">
        <f>IFERROR(__xludf.DUMMYFUNCTION("""COMPUTED_VALUE"""),"Orel Moshe")</f>
        <v>Orel Moshe</v>
      </c>
      <c r="M925" s="5"/>
    </row>
    <row r="926">
      <c r="A926" s="3">
        <f>IFERROR(__xludf.DUMMYFUNCTION("""COMPUTED_VALUE"""),210.0)</f>
        <v>210</v>
      </c>
      <c r="B926" s="4" t="str">
        <f>IFERROR(__xludf.DUMMYFUNCTION("""COMPUTED_VALUE"""),"נגרי נריה אהרון")</f>
        <v>נגרי נריה אהרון</v>
      </c>
      <c r="C926" s="3">
        <f>IFERROR(__xludf.DUMMYFUNCTION("""COMPUTED_VALUE"""),18.0)</f>
        <v>18</v>
      </c>
      <c r="D926" s="5" t="str">
        <f>IFERROR(__xludf.DUMMYFUNCTION("""COMPUTED_VALUE"""),"טלמון")</f>
        <v>טלמון</v>
      </c>
      <c r="E926" s="5" t="str">
        <f>IFERROR(__xludf.DUMMYFUNCTION("""COMPUTED_VALUE"""),"גבר")</f>
        <v>גבר</v>
      </c>
      <c r="F926" s="5" t="str">
        <f>IFERROR(__xludf.DUMMYFUNCTION("""COMPUTED_VALUE"""),"צה""ל")</f>
        <v>צה"ל</v>
      </c>
      <c r="G926" s="5" t="str">
        <f>IFERROR(__xludf.DUMMYFUNCTION("""COMPUTED_VALUE"""),"רב״ט")</f>
        <v>רב״ט</v>
      </c>
      <c r="H926" s="3" t="str">
        <f>IFERROR(__xludf.DUMMYFUNCTION("""COMPUTED_VALUE"""),"07.10.2023")</f>
        <v>07.10.2023</v>
      </c>
      <c r="I926" s="4" t="str">
        <f>IFERROR(__xludf.DUMMYFUNCTION("""COMPUTED_VALUE"""),"מחנה זיקים")</f>
        <v>מחנה זיקים</v>
      </c>
      <c r="J926" s="4" t="str">
        <f>IFERROR(__xludf.DUMMYFUNCTION("""COMPUTED_VALUE"""),"חיילים")</f>
        <v>חיילים</v>
      </c>
      <c r="K926" s="5"/>
      <c r="L926" s="3" t="str">
        <f>IFERROR(__xludf.DUMMYFUNCTION("""COMPUTED_VALUE"""),"Neria Aaron Nagari")</f>
        <v>Neria Aaron Nagari</v>
      </c>
      <c r="M926" s="5"/>
    </row>
    <row r="927">
      <c r="A927" s="3">
        <f>IFERROR(__xludf.DUMMYFUNCTION("""COMPUTED_VALUE"""),209.0)</f>
        <v>209</v>
      </c>
      <c r="B927" s="4" t="str">
        <f>IFERROR(__xludf.DUMMYFUNCTION("""COMPUTED_VALUE"""),"עבודי אדיר")</f>
        <v>עבודי אדיר</v>
      </c>
      <c r="C927" s="3">
        <f>IFERROR(__xludf.DUMMYFUNCTION("""COMPUTED_VALUE"""),23.0)</f>
        <v>23</v>
      </c>
      <c r="D927" s="5" t="str">
        <f>IFERROR(__xludf.DUMMYFUNCTION("""COMPUTED_VALUE"""),"מודיעין מכבים רעות")</f>
        <v>מודיעין מכבים רעות</v>
      </c>
      <c r="E927" s="5" t="str">
        <f>IFERROR(__xludf.DUMMYFUNCTION("""COMPUTED_VALUE"""),"גבר")</f>
        <v>גבר</v>
      </c>
      <c r="F927" s="5" t="str">
        <f>IFERROR(__xludf.DUMMYFUNCTION("""COMPUTED_VALUE"""),"צה""ל")</f>
        <v>צה"ל</v>
      </c>
      <c r="G927" s="5" t="str">
        <f>IFERROR(__xludf.DUMMYFUNCTION("""COMPUTED_VALUE"""),"רס״ן")</f>
        <v>רס״ן</v>
      </c>
      <c r="H927" s="3" t="str">
        <f>IFERROR(__xludf.DUMMYFUNCTION("""COMPUTED_VALUE"""),"07.10.2023")</f>
        <v>07.10.2023</v>
      </c>
      <c r="I927" s="4" t="str">
        <f>IFERROR(__xludf.DUMMYFUNCTION("""COMPUTED_VALUE"""),"מחנה זיקים")</f>
        <v>מחנה זיקים</v>
      </c>
      <c r="J927" s="4" t="str">
        <f>IFERROR(__xludf.DUMMYFUNCTION("""COMPUTED_VALUE"""),"חיילים")</f>
        <v>חיילים</v>
      </c>
      <c r="K927" s="5"/>
      <c r="L927" s="3" t="str">
        <f>IFERROR(__xludf.DUMMYFUNCTION("""COMPUTED_VALUE"""),"Adir Abudi")</f>
        <v>Adir Abudi</v>
      </c>
      <c r="M927" s="5"/>
    </row>
    <row r="928">
      <c r="A928" s="3">
        <f>IFERROR(__xludf.DUMMYFUNCTION("""COMPUTED_VALUE"""),1270.0)</f>
        <v>1270</v>
      </c>
      <c r="B928" s="4" t="str">
        <f>IFERROR(__xludf.DUMMYFUNCTION("""COMPUTED_VALUE"""),"ניב פיירשטיין עומרי")</f>
        <v>ניב פיירשטיין עומרי</v>
      </c>
      <c r="C928" s="3">
        <f>IFERROR(__xludf.DUMMYFUNCTION("""COMPUTED_VALUE"""),20.0)</f>
        <v>20</v>
      </c>
      <c r="D928" s="5" t="str">
        <f>IFERROR(__xludf.DUMMYFUNCTION("""COMPUTED_VALUE"""),"גבעתיים")</f>
        <v>גבעתיים</v>
      </c>
      <c r="E928" s="5" t="str">
        <f>IFERROR(__xludf.DUMMYFUNCTION("""COMPUTED_VALUE"""),"גבר")</f>
        <v>גבר</v>
      </c>
      <c r="F928" s="5" t="str">
        <f>IFERROR(__xludf.DUMMYFUNCTION("""COMPUTED_VALUE"""),"צה""ל")</f>
        <v>צה"ל</v>
      </c>
      <c r="G928" s="5" t="str">
        <f>IFERROR(__xludf.DUMMYFUNCTION("""COMPUTED_VALUE"""),"סמ״ר")</f>
        <v>סמ״ר</v>
      </c>
      <c r="H928" s="3" t="str">
        <f>IFERROR(__xludf.DUMMYFUNCTION("""COMPUTED_VALUE"""),"07.10.2023")</f>
        <v>07.10.2023</v>
      </c>
      <c r="I928" s="4" t="str">
        <f>IFERROR(__xludf.DUMMYFUNCTION("""COMPUTED_VALUE"""),"מחנה זיקים")</f>
        <v>מחנה זיקים</v>
      </c>
      <c r="J928" s="4" t="str">
        <f>IFERROR(__xludf.DUMMYFUNCTION("""COMPUTED_VALUE"""),"חיילים")</f>
        <v>חיילים</v>
      </c>
      <c r="K928" s="5"/>
      <c r="L928" s="3" t="str">
        <f>IFERROR(__xludf.DUMMYFUNCTION("""COMPUTED_VALUE"""),"Omri Niv- Fierstein")</f>
        <v>Omri Niv- Fierstein</v>
      </c>
      <c r="M928" s="5"/>
    </row>
    <row r="929">
      <c r="A929" s="3">
        <f>IFERROR(__xludf.DUMMYFUNCTION("""COMPUTED_VALUE"""),255.0)</f>
        <v>255</v>
      </c>
      <c r="B929" s="4" t="str">
        <f>IFERROR(__xludf.DUMMYFUNCTION("""COMPUTED_VALUE"""),"צור עמית")</f>
        <v>צור עמית</v>
      </c>
      <c r="C929" s="3">
        <f>IFERROR(__xludf.DUMMYFUNCTION("""COMPUTED_VALUE"""),19.0)</f>
        <v>19</v>
      </c>
      <c r="D929" s="5" t="str">
        <f>IFERROR(__xludf.DUMMYFUNCTION("""COMPUTED_VALUE"""),"אליכין")</f>
        <v>אליכין</v>
      </c>
      <c r="E929" s="5" t="str">
        <f>IFERROR(__xludf.DUMMYFUNCTION("""COMPUTED_VALUE"""),"גבר")</f>
        <v>גבר</v>
      </c>
      <c r="F929" s="5" t="str">
        <f>IFERROR(__xludf.DUMMYFUNCTION("""COMPUTED_VALUE"""),"צה""ל")</f>
        <v>צה"ל</v>
      </c>
      <c r="G929" s="5" t="str">
        <f>IFERROR(__xludf.DUMMYFUNCTION("""COMPUTED_VALUE"""),"סמל")</f>
        <v>סמל</v>
      </c>
      <c r="H929" s="3" t="str">
        <f>IFERROR(__xludf.DUMMYFUNCTION("""COMPUTED_VALUE"""),"07.10.2023")</f>
        <v>07.10.2023</v>
      </c>
      <c r="I929" s="4" t="str">
        <f>IFERROR(__xludf.DUMMYFUNCTION("""COMPUTED_VALUE"""),"מש""א ארז")</f>
        <v>מש"א ארז</v>
      </c>
      <c r="J929" s="4" t="str">
        <f>IFERROR(__xludf.DUMMYFUNCTION("""COMPUTED_VALUE"""),"חיילים")</f>
        <v>חיילים</v>
      </c>
      <c r="K929" s="5"/>
      <c r="L929" s="3" t="str">
        <f>IFERROR(__xludf.DUMMYFUNCTION("""COMPUTED_VALUE"""),"Amit Tzur")</f>
        <v>Amit Tzur</v>
      </c>
      <c r="M929" s="5"/>
    </row>
    <row r="930">
      <c r="A930" s="3">
        <f>IFERROR(__xludf.DUMMYFUNCTION("""COMPUTED_VALUE"""),1265.0)</f>
        <v>1265</v>
      </c>
      <c r="B930" s="4" t="str">
        <f>IFERROR(__xludf.DUMMYFUNCTION("""COMPUTED_VALUE"""),"קמינקא ינאי")</f>
        <v>קמינקא ינאי</v>
      </c>
      <c r="C930" s="3">
        <f>IFERROR(__xludf.DUMMYFUNCTION("""COMPUTED_VALUE"""),20.0)</f>
        <v>20</v>
      </c>
      <c r="D930" s="5" t="str">
        <f>IFERROR(__xludf.DUMMYFUNCTION("""COMPUTED_VALUE"""),"צור הדסה")</f>
        <v>צור הדסה</v>
      </c>
      <c r="E930" s="5" t="str">
        <f>IFERROR(__xludf.DUMMYFUNCTION("""COMPUTED_VALUE"""),"גבר")</f>
        <v>גבר</v>
      </c>
      <c r="F930" s="5" t="str">
        <f>IFERROR(__xludf.DUMMYFUNCTION("""COMPUTED_VALUE"""),"צה""ל")</f>
        <v>צה"ל</v>
      </c>
      <c r="G930" s="5" t="str">
        <f>IFERROR(__xludf.DUMMYFUNCTION("""COMPUTED_VALUE"""),"סגן")</f>
        <v>סגן</v>
      </c>
      <c r="H930" s="3" t="str">
        <f>IFERROR(__xludf.DUMMYFUNCTION("""COMPUTED_VALUE"""),"07.10.2023")</f>
        <v>07.10.2023</v>
      </c>
      <c r="I930" s="4" t="str">
        <f>IFERROR(__xludf.DUMMYFUNCTION("""COMPUTED_VALUE"""),"מחנה זיקים")</f>
        <v>מחנה זיקים</v>
      </c>
      <c r="J930" s="4" t="str">
        <f>IFERROR(__xludf.DUMMYFUNCTION("""COMPUTED_VALUE"""),"חיילים")</f>
        <v>חיילים</v>
      </c>
      <c r="K930" s="5"/>
      <c r="L930" s="3" t="str">
        <f>IFERROR(__xludf.DUMMYFUNCTION("""COMPUTED_VALUE"""),"Yanai Kaminka")</f>
        <v>Yanai Kaminka</v>
      </c>
      <c r="M930" s="5"/>
    </row>
    <row r="931">
      <c r="A931" s="3">
        <f>IFERROR(__xludf.DUMMYFUNCTION("""COMPUTED_VALUE"""),258.0)</f>
        <v>258</v>
      </c>
      <c r="B931" s="4" t="str">
        <f>IFERROR(__xludf.DUMMYFUNCTION("""COMPUTED_VALUE"""),"בן יעקב יובל")</f>
        <v>בן יעקב יובל</v>
      </c>
      <c r="C931" s="3">
        <f>IFERROR(__xludf.DUMMYFUNCTION("""COMPUTED_VALUE"""),21.0)</f>
        <v>21</v>
      </c>
      <c r="D931" s="5" t="str">
        <f>IFERROR(__xludf.DUMMYFUNCTION("""COMPUTED_VALUE"""),"כפר מנחם")</f>
        <v>כפר מנחם</v>
      </c>
      <c r="E931" s="5" t="str">
        <f>IFERROR(__xludf.DUMMYFUNCTION("""COMPUTED_VALUE"""),"גבר")</f>
        <v>גבר</v>
      </c>
      <c r="F931" s="5" t="str">
        <f>IFERROR(__xludf.DUMMYFUNCTION("""COMPUTED_VALUE"""),"צה""ל")</f>
        <v>צה"ל</v>
      </c>
      <c r="G931" s="5" t="str">
        <f>IFERROR(__xludf.DUMMYFUNCTION("""COMPUTED_VALUE"""),"סמ״ר")</f>
        <v>סמ״ר</v>
      </c>
      <c r="H931" s="3" t="str">
        <f>IFERROR(__xludf.DUMMYFUNCTION("""COMPUTED_VALUE"""),"07.10.2023")</f>
        <v>07.10.2023</v>
      </c>
      <c r="I931" s="4" t="str">
        <f>IFERROR(__xludf.DUMMYFUNCTION("""COMPUTED_VALUE"""),"מוצב יפתח")</f>
        <v>מוצב יפתח</v>
      </c>
      <c r="J931" s="4" t="str">
        <f>IFERROR(__xludf.DUMMYFUNCTION("""COMPUTED_VALUE"""),"חיילים")</f>
        <v>חיילים</v>
      </c>
      <c r="K931" s="5"/>
      <c r="L931" s="3" t="str">
        <f>IFERROR(__xludf.DUMMYFUNCTION("""COMPUTED_VALUE"""),"Yuval Ben-Yaakov")</f>
        <v>Yuval Ben-Yaakov</v>
      </c>
      <c r="M931" s="5"/>
    </row>
    <row r="932">
      <c r="A932" s="3">
        <f>IFERROR(__xludf.DUMMYFUNCTION("""COMPUTED_VALUE"""),232.0)</f>
        <v>232</v>
      </c>
      <c r="B932" s="4" t="str">
        <f>IFERROR(__xludf.DUMMYFUNCTION("""COMPUTED_VALUE"""),"הרוש עידו")</f>
        <v>הרוש עידו</v>
      </c>
      <c r="C932" s="3">
        <f>IFERROR(__xludf.DUMMYFUNCTION("""COMPUTED_VALUE"""),21.0)</f>
        <v>21</v>
      </c>
      <c r="D932" s="5" t="str">
        <f>IFERROR(__xludf.DUMMYFUNCTION("""COMPUTED_VALUE"""),"מצפה רמון")</f>
        <v>מצפה רמון</v>
      </c>
      <c r="E932" s="5" t="str">
        <f>IFERROR(__xludf.DUMMYFUNCTION("""COMPUTED_VALUE"""),"גבר")</f>
        <v>גבר</v>
      </c>
      <c r="F932" s="5" t="str">
        <f>IFERROR(__xludf.DUMMYFUNCTION("""COMPUTED_VALUE"""),"צה""ל")</f>
        <v>צה"ל</v>
      </c>
      <c r="G932" s="5" t="str">
        <f>IFERROR(__xludf.DUMMYFUNCTION("""COMPUTED_VALUE"""),"סמ״ר")</f>
        <v>סמ״ר</v>
      </c>
      <c r="H932" s="3" t="str">
        <f>IFERROR(__xludf.DUMMYFUNCTION("""COMPUTED_VALUE"""),"07.10.2023")</f>
        <v>07.10.2023</v>
      </c>
      <c r="I932" s="4" t="str">
        <f>IFERROR(__xludf.DUMMYFUNCTION("""COMPUTED_VALUE"""),"מוצב יפתח")</f>
        <v>מוצב יפתח</v>
      </c>
      <c r="J932" s="4" t="str">
        <f>IFERROR(__xludf.DUMMYFUNCTION("""COMPUTED_VALUE"""),"חיילים")</f>
        <v>חיילים</v>
      </c>
      <c r="K932" s="5"/>
      <c r="L932" s="3" t="str">
        <f>IFERROR(__xludf.DUMMYFUNCTION("""COMPUTED_VALUE"""),"Ido Harush")</f>
        <v>Ido Harush</v>
      </c>
      <c r="M932" s="5"/>
    </row>
    <row r="933">
      <c r="A933" s="3">
        <f>IFERROR(__xludf.DUMMYFUNCTION("""COMPUTED_VALUE"""),1281.0)</f>
        <v>1281</v>
      </c>
      <c r="B933" s="4" t="str">
        <f>IFERROR(__xludf.DUMMYFUNCTION("""COMPUTED_VALUE"""),"אבן מרעי סלמאן")</f>
        <v>אבן מרעי סלמאן</v>
      </c>
      <c r="C933" s="3">
        <f>IFERROR(__xludf.DUMMYFUNCTION("""COMPUTED_VALUE"""),41.0)</f>
        <v>41</v>
      </c>
      <c r="D933" s="5" t="str">
        <f>IFERROR(__xludf.DUMMYFUNCTION("""COMPUTED_VALUE"""),"שגב שלום")</f>
        <v>שגב שלום</v>
      </c>
      <c r="E933" s="5" t="str">
        <f>IFERROR(__xludf.DUMMYFUNCTION("""COMPUTED_VALUE"""),"גבר")</f>
        <v>גבר</v>
      </c>
      <c r="F933" s="5" t="str">
        <f>IFERROR(__xludf.DUMMYFUNCTION("""COMPUTED_VALUE"""),"צה""ל")</f>
        <v>צה"ל</v>
      </c>
      <c r="G933" s="5" t="str">
        <f>IFERROR(__xludf.DUMMYFUNCTION("""COMPUTED_VALUE"""),"רס״ם")</f>
        <v>רס״ם</v>
      </c>
      <c r="H933" s="3" t="str">
        <f>IFERROR(__xludf.DUMMYFUNCTION("""COMPUTED_VALUE"""),"07.10.2023")</f>
        <v>07.10.2023</v>
      </c>
      <c r="I933" s="4" t="str">
        <f>IFERROR(__xludf.DUMMYFUNCTION("""COMPUTED_VALUE"""),"מחנה רעים")</f>
        <v>מחנה רעים</v>
      </c>
      <c r="J933" s="4" t="str">
        <f>IFERROR(__xludf.DUMMYFUNCTION("""COMPUTED_VALUE"""),"חיילים")</f>
        <v>חיילים</v>
      </c>
      <c r="K933" s="5"/>
      <c r="L933" s="3" t="str">
        <f>IFERROR(__xludf.DUMMYFUNCTION("""COMPUTED_VALUE"""),"Salaman Eban Merei")</f>
        <v>Salaman Eban Merei</v>
      </c>
      <c r="M933" s="5"/>
    </row>
    <row r="934">
      <c r="A934" s="3">
        <f>IFERROR(__xludf.DUMMYFUNCTION("""COMPUTED_VALUE"""),1586.0)</f>
        <v>1586</v>
      </c>
      <c r="B934" s="4" t="str">
        <f>IFERROR(__xludf.DUMMYFUNCTION("""COMPUTED_VALUE"""),"אברהם אוריאל")</f>
        <v>אברהם אוריאל</v>
      </c>
      <c r="C934" s="3">
        <f>IFERROR(__xludf.DUMMYFUNCTION("""COMPUTED_VALUE"""),27.0)</f>
        <v>27</v>
      </c>
      <c r="D934" s="5" t="str">
        <f>IFERROR(__xludf.DUMMYFUNCTION("""COMPUTED_VALUE"""),"נתיבות")</f>
        <v>נתיבות</v>
      </c>
      <c r="E934" s="5" t="str">
        <f>IFERROR(__xludf.DUMMYFUNCTION("""COMPUTED_VALUE"""),"גבר")</f>
        <v>גבר</v>
      </c>
      <c r="F934" s="5" t="str">
        <f>IFERROR(__xludf.DUMMYFUNCTION("""COMPUTED_VALUE"""),"משטרה")</f>
        <v>משטרה</v>
      </c>
      <c r="G934" s="5" t="str">
        <f>IFERROR(__xludf.DUMMYFUNCTION("""COMPUTED_VALUE"""),"רס״ם")</f>
        <v>רס״ם</v>
      </c>
      <c r="H934" s="3" t="str">
        <f>IFERROR(__xludf.DUMMYFUNCTION("""COMPUTED_VALUE"""),"07.10.2023")</f>
        <v>07.10.2023</v>
      </c>
      <c r="I934" s="4" t="str">
        <f>IFERROR(__xludf.DUMMYFUNCTION("""COMPUTED_VALUE"""),"רעים")</f>
        <v>רעים</v>
      </c>
      <c r="J934" s="4" t="str">
        <f>IFERROR(__xludf.DUMMYFUNCTION("""COMPUTED_VALUE"""),"שוטרים וכוחות הצלה")</f>
        <v>שוטרים וכוחות הצלה</v>
      </c>
      <c r="K934" s="5"/>
      <c r="L934" s="3" t="str">
        <f>IFERROR(__xludf.DUMMYFUNCTION("""COMPUTED_VALUE"""),"Uriel Avraham")</f>
        <v>Uriel Avraham</v>
      </c>
      <c r="M934" s="5"/>
    </row>
    <row r="935">
      <c r="A935" s="3">
        <f>IFERROR(__xludf.DUMMYFUNCTION("""COMPUTED_VALUE"""),973.0)</f>
        <v>973</v>
      </c>
      <c r="B935" s="4" t="str">
        <f>IFERROR(__xludf.DUMMYFUNCTION("""COMPUTED_VALUE"""),"אברהם דבי (דבורה)")</f>
        <v>אברהם דבי (דבורה)</v>
      </c>
      <c r="C935" s="3">
        <f>IFERROR(__xludf.DUMMYFUNCTION("""COMPUTED_VALUE"""),40.0)</f>
        <v>40</v>
      </c>
      <c r="D935" s="5" t="str">
        <f>IFERROR(__xludf.DUMMYFUNCTION("""COMPUTED_VALUE"""),"אופקים")</f>
        <v>אופקים</v>
      </c>
      <c r="E935" s="5" t="str">
        <f>IFERROR(__xludf.DUMMYFUNCTION("""COMPUTED_VALUE"""),"אישה")</f>
        <v>אישה</v>
      </c>
      <c r="F935" s="5" t="str">
        <f>IFERROR(__xludf.DUMMYFUNCTION("""COMPUTED_VALUE"""),"משטרה (מיל')")</f>
        <v>משטרה (מיל')</v>
      </c>
      <c r="G935" s="5" t="str">
        <f>IFERROR(__xludf.DUMMYFUNCTION("""COMPUTED_VALUE"""),"רס״ם")</f>
        <v>רס״ם</v>
      </c>
      <c r="H935" s="3" t="str">
        <f>IFERROR(__xludf.DUMMYFUNCTION("""COMPUTED_VALUE"""),"07.10.2023")</f>
        <v>07.10.2023</v>
      </c>
      <c r="I935" s="4" t="str">
        <f>IFERROR(__xludf.DUMMYFUNCTION("""COMPUTED_VALUE"""),"פסטיבל נובה; בר צפוני")</f>
        <v>פסטיבל נובה; בר צפוני</v>
      </c>
      <c r="J935" s="4" t="str">
        <f>IFERROR(__xludf.DUMMYFUNCTION("""COMPUTED_VALUE"""),"שוטרים וכוחות הצלה")</f>
        <v>שוטרים וכוחות הצלה</v>
      </c>
      <c r="K935" s="5" t="str">
        <f>IFERROR(__xludf.DUMMYFUNCTION("""COMPUTED_VALUE"""),"פסטיבל נובה")</f>
        <v>פסטיבל נובה</v>
      </c>
      <c r="L935" s="3" t="str">
        <f>IFERROR(__xludf.DUMMYFUNCTION("""COMPUTED_VALUE"""),"Dvora Avraham")</f>
        <v>Dvora Avraham</v>
      </c>
      <c r="M935" s="5"/>
    </row>
    <row r="936">
      <c r="A936" s="3">
        <f>IFERROR(__xludf.DUMMYFUNCTION("""COMPUTED_VALUE"""),1658.0)</f>
        <v>1658</v>
      </c>
      <c r="B936" s="4" t="str">
        <f>IFERROR(__xludf.DUMMYFUNCTION("""COMPUTED_VALUE"""),"בלוכמן יקיר")</f>
        <v>בלוכמן יקיר</v>
      </c>
      <c r="C936" s="3">
        <f>IFERROR(__xludf.DUMMYFUNCTION("""COMPUTED_VALUE"""),33.0)</f>
        <v>33</v>
      </c>
      <c r="D936" s="5" t="str">
        <f>IFERROR(__xludf.DUMMYFUNCTION("""COMPUTED_VALUE"""),"דימונה")</f>
        <v>דימונה</v>
      </c>
      <c r="E936" s="5" t="str">
        <f>IFERROR(__xludf.DUMMYFUNCTION("""COMPUTED_VALUE"""),"גבר")</f>
        <v>גבר</v>
      </c>
      <c r="F936" s="5" t="str">
        <f>IFERROR(__xludf.DUMMYFUNCTION("""COMPUTED_VALUE"""),"משטרה")</f>
        <v>משטרה</v>
      </c>
      <c r="G936" s="5" t="str">
        <f>IFERROR(__xludf.DUMMYFUNCTION("""COMPUTED_VALUE"""),"רס״ב")</f>
        <v>רס״ב</v>
      </c>
      <c r="H936" s="3" t="str">
        <f>IFERROR(__xludf.DUMMYFUNCTION("""COMPUTED_VALUE"""),"07.10.2023")</f>
        <v>07.10.2023</v>
      </c>
      <c r="I936" s="4" t="str">
        <f>IFERROR(__xludf.DUMMYFUNCTION("""COMPUTED_VALUE"""),"רעים")</f>
        <v>רעים</v>
      </c>
      <c r="J936" s="4" t="str">
        <f>IFERROR(__xludf.DUMMYFUNCTION("""COMPUTED_VALUE"""),"שוטרים וכוחות הצלה")</f>
        <v>שוטרים וכוחות הצלה</v>
      </c>
      <c r="K936" s="5"/>
      <c r="L936" s="3" t="str">
        <f>IFERROR(__xludf.DUMMYFUNCTION("""COMPUTED_VALUE"""),"Yakir Blochman")</f>
        <v>Yakir Blochman</v>
      </c>
      <c r="M936" s="5"/>
    </row>
    <row r="937">
      <c r="A937" s="3">
        <f>IFERROR(__xludf.DUMMYFUNCTION("""COMPUTED_VALUE"""),1355.0)</f>
        <v>1355</v>
      </c>
      <c r="B937" s="4" t="str">
        <f>IFERROR(__xludf.DUMMYFUNCTION("""COMPUTED_VALUE"""),"ברזילי אושר שמחה")</f>
        <v>ברזילי אושר שמחה</v>
      </c>
      <c r="C937" s="3">
        <f>IFERROR(__xludf.DUMMYFUNCTION("""COMPUTED_VALUE"""),19.0)</f>
        <v>19</v>
      </c>
      <c r="D937" s="5" t="str">
        <f>IFERROR(__xludf.DUMMYFUNCTION("""COMPUTED_VALUE"""),"מזכרת בתיה")</f>
        <v>מזכרת בתיה</v>
      </c>
      <c r="E937" s="5" t="str">
        <f>IFERROR(__xludf.DUMMYFUNCTION("""COMPUTED_VALUE"""),"אישה")</f>
        <v>אישה</v>
      </c>
      <c r="F937" s="5" t="str">
        <f>IFERROR(__xludf.DUMMYFUNCTION("""COMPUTED_VALUE"""),"צה""ל")</f>
        <v>צה"ל</v>
      </c>
      <c r="G937" s="5" t="str">
        <f>IFERROR(__xludf.DUMMYFUNCTION("""COMPUTED_VALUE"""),"סמל")</f>
        <v>סמל</v>
      </c>
      <c r="H937" s="3" t="str">
        <f>IFERROR(__xludf.DUMMYFUNCTION("""COMPUTED_VALUE"""),"07.10.2023")</f>
        <v>07.10.2023</v>
      </c>
      <c r="I937" s="4" t="str">
        <f>IFERROR(__xludf.DUMMYFUNCTION("""COMPUTED_VALUE"""),"מוצב נחל עוז; חמ""ל")</f>
        <v>מוצב נחל עוז; חמ"ל</v>
      </c>
      <c r="J937" s="4" t="str">
        <f>IFERROR(__xludf.DUMMYFUNCTION("""COMPUTED_VALUE"""),"חיילים")</f>
        <v>חיילים</v>
      </c>
      <c r="K937" s="5"/>
      <c r="L937" s="3" t="str">
        <f>IFERROR(__xludf.DUMMYFUNCTION("""COMPUTED_VALUE"""),"Osher (Simcha) Barzilay")</f>
        <v>Osher (Simcha) Barzilay</v>
      </c>
      <c r="M937" s="5"/>
    </row>
    <row r="938">
      <c r="A938" s="3">
        <f>IFERROR(__xludf.DUMMYFUNCTION("""COMPUTED_VALUE"""),233.0)</f>
        <v>233</v>
      </c>
      <c r="B938" s="4" t="str">
        <f>IFERROR(__xludf.DUMMYFUNCTION("""COMPUTED_VALUE"""),"הנקין אברהם")</f>
        <v>הנקין אברהם</v>
      </c>
      <c r="C938" s="3">
        <f>IFERROR(__xludf.DUMMYFUNCTION("""COMPUTED_VALUE"""),38.0)</f>
        <v>38</v>
      </c>
      <c r="D938" s="5" t="str">
        <f>IFERROR(__xludf.DUMMYFUNCTION("""COMPUTED_VALUE"""),"אלון")</f>
        <v>אלון</v>
      </c>
      <c r="E938" s="5" t="str">
        <f>IFERROR(__xludf.DUMMYFUNCTION("""COMPUTED_VALUE"""),"גבר")</f>
        <v>גבר</v>
      </c>
      <c r="F938" s="5" t="str">
        <f>IFERROR(__xludf.DUMMYFUNCTION("""COMPUTED_VALUE"""),"משטרה")</f>
        <v>משטרה</v>
      </c>
      <c r="G938" s="5" t="str">
        <f>IFERROR(__xludf.DUMMYFUNCTION("""COMPUTED_VALUE"""),"רפ״ק")</f>
        <v>רפ״ק</v>
      </c>
      <c r="H938" s="3" t="str">
        <f>IFERROR(__xludf.DUMMYFUNCTION("""COMPUTED_VALUE"""),"07.10.2023")</f>
        <v>07.10.2023</v>
      </c>
      <c r="I938" s="4" t="str">
        <f>IFERROR(__xludf.DUMMYFUNCTION("""COMPUTED_VALUE"""),"צומת שער הנגב")</f>
        <v>צומת שער הנגב</v>
      </c>
      <c r="J938" s="4" t="str">
        <f>IFERROR(__xludf.DUMMYFUNCTION("""COMPUTED_VALUE"""),"שוטרים וכוחות הצלה")</f>
        <v>שוטרים וכוחות הצלה</v>
      </c>
      <c r="K938" s="5"/>
      <c r="L938" s="3" t="str">
        <f>IFERROR(__xludf.DUMMYFUNCTION("""COMPUTED_VALUE"""),"Avraham Henkin")</f>
        <v>Avraham Henkin</v>
      </c>
      <c r="M938" s="5"/>
    </row>
    <row r="939">
      <c r="A939" s="3">
        <f>IFERROR(__xludf.DUMMYFUNCTION("""COMPUTED_VALUE"""),1434.0)</f>
        <v>1434</v>
      </c>
      <c r="B939" s="4" t="str">
        <f>IFERROR(__xludf.DUMMYFUNCTION("""COMPUTED_VALUE"""),"ח'רובה איברהים")</f>
        <v>ח'רובה איברהים</v>
      </c>
      <c r="C939" s="3">
        <f>IFERROR(__xludf.DUMMYFUNCTION("""COMPUTED_VALUE"""),39.0)</f>
        <v>39</v>
      </c>
      <c r="D939" s="5" t="str">
        <f>IFERROR(__xludf.DUMMYFUNCTION("""COMPUTED_VALUE"""),"מע'אר")</f>
        <v>מע'אר</v>
      </c>
      <c r="E939" s="5" t="str">
        <f>IFERROR(__xludf.DUMMYFUNCTION("""COMPUTED_VALUE"""),"גבר")</f>
        <v>גבר</v>
      </c>
      <c r="F939" s="5" t="str">
        <f>IFERROR(__xludf.DUMMYFUNCTION("""COMPUTED_VALUE"""),"צה""ל")</f>
        <v>צה"ל</v>
      </c>
      <c r="G939" s="5" t="str">
        <f>IFERROR(__xludf.DUMMYFUNCTION("""COMPUTED_VALUE"""),"רס״ב")</f>
        <v>רס״ב</v>
      </c>
      <c r="H939" s="3" t="str">
        <f>IFERROR(__xludf.DUMMYFUNCTION("""COMPUTED_VALUE"""),"07.10.2023")</f>
        <v>07.10.2023</v>
      </c>
      <c r="I939" s="4" t="str">
        <f>IFERROR(__xludf.DUMMYFUNCTION("""COMPUTED_VALUE"""),"מוצב נחל עוז; חמ""ל")</f>
        <v>מוצב נחל עוז; חמ"ל</v>
      </c>
      <c r="J939" s="2" t="str">
        <f>IFERROR(__xludf.DUMMYFUNCTION("""COMPUTED_VALUE"""),"חיילים")</f>
        <v>חיילים</v>
      </c>
      <c r="K939" s="5"/>
      <c r="L939" s="3" t="str">
        <f>IFERROR(__xludf.DUMMYFUNCTION("""COMPUTED_VALUE"""),"Ibrahim Kharuba")</f>
        <v>Ibrahim Kharuba</v>
      </c>
      <c r="M939" s="5"/>
    </row>
    <row r="940">
      <c r="A940" s="3">
        <f>IFERROR(__xludf.DUMMYFUNCTION("""COMPUTED_VALUE"""),249.0)</f>
        <v>249</v>
      </c>
      <c r="B940" s="4" t="str">
        <f>IFERROR(__xludf.DUMMYFUNCTION("""COMPUTED_VALUE"""),"יהושע עידו")</f>
        <v>יהושע עידו</v>
      </c>
      <c r="C940" s="3">
        <f>IFERROR(__xludf.DUMMYFUNCTION("""COMPUTED_VALUE"""),27.0)</f>
        <v>27</v>
      </c>
      <c r="D940" s="5" t="str">
        <f>IFERROR(__xludf.DUMMYFUNCTION("""COMPUTED_VALUE"""),"איילת השחר")</f>
        <v>איילת השחר</v>
      </c>
      <c r="E940" s="5" t="str">
        <f>IFERROR(__xludf.DUMMYFUNCTION("""COMPUTED_VALUE"""),"גבר")</f>
        <v>גבר</v>
      </c>
      <c r="F940" s="5" t="str">
        <f>IFERROR(__xludf.DUMMYFUNCTION("""COMPUTED_VALUE"""),"צה""ל")</f>
        <v>צה"ל</v>
      </c>
      <c r="G940" s="5" t="str">
        <f>IFERROR(__xludf.DUMMYFUNCTION("""COMPUTED_VALUE"""),"רס״ן")</f>
        <v>רס״ן</v>
      </c>
      <c r="H940" s="3" t="str">
        <f>IFERROR(__xludf.DUMMYFUNCTION("""COMPUTED_VALUE"""),"07.10.2023")</f>
        <v>07.10.2023</v>
      </c>
      <c r="I940" s="4" t="str">
        <f>IFERROR(__xludf.DUMMYFUNCTION("""COMPUTED_VALUE"""),"מחנה רעים")</f>
        <v>מחנה רעים</v>
      </c>
      <c r="J940" s="2" t="str">
        <f>IFERROR(__xludf.DUMMYFUNCTION("""COMPUTED_VALUE"""),"חיילים")</f>
        <v>חיילים</v>
      </c>
      <c r="K940" s="5"/>
      <c r="L940" s="3" t="str">
        <f>IFERROR(__xludf.DUMMYFUNCTION("""COMPUTED_VALUE"""),"Ido Yehoshua")</f>
        <v>Ido Yehoshua</v>
      </c>
      <c r="M940" s="5"/>
    </row>
    <row r="941">
      <c r="A941" s="3">
        <f>IFERROR(__xludf.DUMMYFUNCTION("""COMPUTED_VALUE"""),646.0)</f>
        <v>646</v>
      </c>
      <c r="B941" s="4" t="str">
        <f>IFERROR(__xludf.DUMMYFUNCTION("""COMPUTED_VALUE"""),"ינין סיון")</f>
        <v>ינין סיון</v>
      </c>
      <c r="C941" s="3">
        <f>IFERROR(__xludf.DUMMYFUNCTION("""COMPUTED_VALUE"""),49.0)</f>
        <v>49</v>
      </c>
      <c r="D941" s="5" t="str">
        <f>IFERROR(__xludf.DUMMYFUNCTION("""COMPUTED_VALUE"""),"ערד")</f>
        <v>ערד</v>
      </c>
      <c r="E941" s="5" t="str">
        <f>IFERROR(__xludf.DUMMYFUNCTION("""COMPUTED_VALUE"""),"גבר")</f>
        <v>גבר</v>
      </c>
      <c r="F941" s="5" t="str">
        <f>IFERROR(__xludf.DUMMYFUNCTION("""COMPUTED_VALUE"""),"משטרה")</f>
        <v>משטרה</v>
      </c>
      <c r="G941" s="5" t="str">
        <f>IFERROR(__xludf.DUMMYFUNCTION("""COMPUTED_VALUE"""),"רנ״ג")</f>
        <v>רנ״ג</v>
      </c>
      <c r="H941" s="3" t="str">
        <f>IFERROR(__xludf.DUMMYFUNCTION("""COMPUTED_VALUE"""),"07.10.2023")</f>
        <v>07.10.2023</v>
      </c>
      <c r="I941" s="4" t="str">
        <f>IFERROR(__xludf.DUMMYFUNCTION("""COMPUTED_VALUE"""),"פסטיבל נובה; חסימה בכביש 232")</f>
        <v>פסטיבל נובה; חסימה בכביש 232</v>
      </c>
      <c r="J941" s="4" t="str">
        <f>IFERROR(__xludf.DUMMYFUNCTION("""COMPUTED_VALUE"""),"שוטרים וכוחות הצלה")</f>
        <v>שוטרים וכוחות הצלה</v>
      </c>
      <c r="K941" s="5" t="str">
        <f>IFERROR(__xludf.DUMMYFUNCTION("""COMPUTED_VALUE"""),"פסטיבל נובה")</f>
        <v>פסטיבל נובה</v>
      </c>
      <c r="L941" s="3" t="str">
        <f>IFERROR(__xludf.DUMMYFUNCTION("""COMPUTED_VALUE"""),"Yenin Sivan")</f>
        <v>Yenin Sivan</v>
      </c>
      <c r="M941" s="5"/>
    </row>
    <row r="942">
      <c r="A942" s="3">
        <f>IFERROR(__xludf.DUMMYFUNCTION("""COMPUTED_VALUE"""),1076.0)</f>
        <v>1076</v>
      </c>
      <c r="B942" s="4" t="str">
        <f>IFERROR(__xludf.DUMMYFUNCTION("""COMPUTED_VALUE"""),"יפרח אליאור")</f>
        <v>יפרח אליאור</v>
      </c>
      <c r="C942" s="3">
        <f>IFERROR(__xludf.DUMMYFUNCTION("""COMPUTED_VALUE"""),34.0)</f>
        <v>34</v>
      </c>
      <c r="D942" s="5" t="str">
        <f>IFERROR(__xludf.DUMMYFUNCTION("""COMPUTED_VALUE"""),"אופקים")</f>
        <v>אופקים</v>
      </c>
      <c r="E942" s="5" t="str">
        <f>IFERROR(__xludf.DUMMYFUNCTION("""COMPUTED_VALUE"""),"גבר")</f>
        <v>גבר</v>
      </c>
      <c r="F942" s="5" t="str">
        <f>IFERROR(__xludf.DUMMYFUNCTION("""COMPUTED_VALUE"""),"משטרה")</f>
        <v>משטרה</v>
      </c>
      <c r="G942" s="5" t="str">
        <f>IFERROR(__xludf.DUMMYFUNCTION("""COMPUTED_VALUE"""),"רס״ר")</f>
        <v>רס״ר</v>
      </c>
      <c r="H942" s="3" t="str">
        <f>IFERROR(__xludf.DUMMYFUNCTION("""COMPUTED_VALUE"""),"07.10.2023")</f>
        <v>07.10.2023</v>
      </c>
      <c r="I942" s="4" t="str">
        <f>IFERROR(__xludf.DUMMYFUNCTION("""COMPUTED_VALUE"""),"פסטיבל נובה; במה מרכזית")</f>
        <v>פסטיבל נובה; במה מרכזית</v>
      </c>
      <c r="J942" s="4" t="str">
        <f>IFERROR(__xludf.DUMMYFUNCTION("""COMPUTED_VALUE"""),"שוטרים וכוחות הצלה")</f>
        <v>שוטרים וכוחות הצלה</v>
      </c>
      <c r="K942" s="5" t="str">
        <f>IFERROR(__xludf.DUMMYFUNCTION("""COMPUTED_VALUE"""),"פסטיבל נובה")</f>
        <v>פסטיבל נובה</v>
      </c>
      <c r="L942" s="3" t="str">
        <f>IFERROR(__xludf.DUMMYFUNCTION("""COMPUTED_VALUE"""),"Elior Yifrach")</f>
        <v>Elior Yifrach</v>
      </c>
      <c r="M942" s="5"/>
    </row>
    <row r="943">
      <c r="A943" s="3">
        <f>IFERROR(__xludf.DUMMYFUNCTION("""COMPUTED_VALUE"""),1184.0)</f>
        <v>1184</v>
      </c>
      <c r="B943" s="4" t="str">
        <f>IFERROR(__xludf.DUMMYFUNCTION("""COMPUTED_VALUE"""),"כהן יוראי אליהו")</f>
        <v>כהן יוראי אליהו</v>
      </c>
      <c r="C943" s="3">
        <f>IFERROR(__xludf.DUMMYFUNCTION("""COMPUTED_VALUE"""),29.0)</f>
        <v>29</v>
      </c>
      <c r="D943" s="5" t="str">
        <f>IFERROR(__xludf.DUMMYFUNCTION("""COMPUTED_VALUE"""),"נהריה")</f>
        <v>נהריה</v>
      </c>
      <c r="E943" s="5" t="str">
        <f>IFERROR(__xludf.DUMMYFUNCTION("""COMPUTED_VALUE"""),"גבר")</f>
        <v>גבר</v>
      </c>
      <c r="F943" s="5" t="str">
        <f>IFERROR(__xludf.DUMMYFUNCTION("""COMPUTED_VALUE"""),"משטרה")</f>
        <v>משטרה</v>
      </c>
      <c r="G943" s="5" t="str">
        <f>IFERROR(__xludf.DUMMYFUNCTION("""COMPUTED_VALUE"""),"רס״ב")</f>
        <v>רס״ב</v>
      </c>
      <c r="H943" s="3" t="str">
        <f>IFERROR(__xludf.DUMMYFUNCTION("""COMPUTED_VALUE"""),"07.10.2023")</f>
        <v>07.10.2023</v>
      </c>
      <c r="I943" s="4" t="str">
        <f>IFERROR(__xludf.DUMMYFUNCTION("""COMPUTED_VALUE"""),"צומת שער הנגב")</f>
        <v>צומת שער הנגב</v>
      </c>
      <c r="J943" s="4" t="str">
        <f>IFERROR(__xludf.DUMMYFUNCTION("""COMPUTED_VALUE"""),"שוטרים וכוחות הצלה")</f>
        <v>שוטרים וכוחות הצלה</v>
      </c>
      <c r="K943" s="5"/>
      <c r="L943" s="3" t="str">
        <f>IFERROR(__xludf.DUMMYFUNCTION("""COMPUTED_VALUE"""),"Yorai Eliyahu Cohen")</f>
        <v>Yorai Eliyahu Cohen</v>
      </c>
      <c r="M943" s="5"/>
    </row>
    <row r="944">
      <c r="A944" s="3">
        <f>IFERROR(__xludf.DUMMYFUNCTION("""COMPUTED_VALUE"""),238.0)</f>
        <v>238</v>
      </c>
      <c r="B944" s="4" t="str">
        <f>IFERROR(__xludf.DUMMYFUNCTION("""COMPUTED_VALUE"""),"מחלוף סהר ציון")</f>
        <v>מחלוף סהר ציון</v>
      </c>
      <c r="C944" s="3">
        <f>IFERROR(__xludf.DUMMYFUNCTION("""COMPUTED_VALUE"""),36.0)</f>
        <v>36</v>
      </c>
      <c r="D944" s="5" t="str">
        <f>IFERROR(__xludf.DUMMYFUNCTION("""COMPUTED_VALUE"""),"מודיעין מכבים רעות")</f>
        <v>מודיעין מכבים רעות</v>
      </c>
      <c r="E944" s="5" t="str">
        <f>IFERROR(__xludf.DUMMYFUNCTION("""COMPUTED_VALUE"""),"גבר")</f>
        <v>גבר</v>
      </c>
      <c r="F944" s="5" t="str">
        <f>IFERROR(__xludf.DUMMYFUNCTION("""COMPUTED_VALUE"""),"צה""ל")</f>
        <v>צה"ל</v>
      </c>
      <c r="G944" s="5" t="str">
        <f>IFERROR(__xludf.DUMMYFUNCTION("""COMPUTED_VALUE"""),"סא״ל")</f>
        <v>סא״ל</v>
      </c>
      <c r="H944" s="3" t="str">
        <f>IFERROR(__xludf.DUMMYFUNCTION("""COMPUTED_VALUE"""),"07.10.2023")</f>
        <v>07.10.2023</v>
      </c>
      <c r="I944" s="4" t="str">
        <f>IFERROR(__xludf.DUMMYFUNCTION("""COMPUTED_VALUE"""),"מחנה רעים")</f>
        <v>מחנה רעים</v>
      </c>
      <c r="J944" s="4" t="str">
        <f>IFERROR(__xludf.DUMMYFUNCTION("""COMPUTED_VALUE"""),"חיילים")</f>
        <v>חיילים</v>
      </c>
      <c r="K944" s="5"/>
      <c r="L944" s="3" t="str">
        <f>IFERROR(__xludf.DUMMYFUNCTION("""COMPUTED_VALUE"""),"Sahar Zion Machaluf")</f>
        <v>Sahar Zion Machaluf</v>
      </c>
      <c r="M944" s="5"/>
    </row>
    <row r="945">
      <c r="A945" s="3">
        <f>IFERROR(__xludf.DUMMYFUNCTION("""COMPUTED_VALUE"""),239.0)</f>
        <v>239</v>
      </c>
      <c r="B945" s="4" t="str">
        <f>IFERROR(__xludf.DUMMYFUNCTION("""COMPUTED_VALUE"""),"שלמה משהאל")</f>
        <v>שלמה משהאל</v>
      </c>
      <c r="C945" s="3">
        <f>IFERROR(__xludf.DUMMYFUNCTION("""COMPUTED_VALUE"""),33.0)</f>
        <v>33</v>
      </c>
      <c r="D945" s="5" t="str">
        <f>IFERROR(__xludf.DUMMYFUNCTION("""COMPUTED_VALUE"""),"רמלה")</f>
        <v>רמלה</v>
      </c>
      <c r="E945" s="5" t="str">
        <f>IFERROR(__xludf.DUMMYFUNCTION("""COMPUTED_VALUE"""),"גבר")</f>
        <v>גבר</v>
      </c>
      <c r="F945" s="5" t="str">
        <f>IFERROR(__xludf.DUMMYFUNCTION("""COMPUTED_VALUE"""),"משטרה")</f>
        <v>משטרה</v>
      </c>
      <c r="G945" s="5" t="str">
        <f>IFERROR(__xludf.DUMMYFUNCTION("""COMPUTED_VALUE"""),"רפ״ק")</f>
        <v>רפ״ק</v>
      </c>
      <c r="H945" s="3" t="str">
        <f>IFERROR(__xludf.DUMMYFUNCTION("""COMPUTED_VALUE"""),"07.10.2023")</f>
        <v>07.10.2023</v>
      </c>
      <c r="I945" s="4" t="str">
        <f>IFERROR(__xludf.DUMMYFUNCTION("""COMPUTED_VALUE"""),"צומת שער הנגב")</f>
        <v>צומת שער הנגב</v>
      </c>
      <c r="J945" s="2" t="str">
        <f>IFERROR(__xludf.DUMMYFUNCTION("""COMPUTED_VALUE"""),"שוטרים וכוחות הצלה")</f>
        <v>שוטרים וכוחות הצלה</v>
      </c>
      <c r="K945" s="5"/>
      <c r="L945" s="3" t="str">
        <f>IFERROR(__xludf.DUMMYFUNCTION("""COMPUTED_VALUE"""),"Shlomo Moshe-El")</f>
        <v>Shlomo Moshe-El</v>
      </c>
      <c r="M945" s="5"/>
    </row>
    <row r="946">
      <c r="A946" s="3">
        <f>IFERROR(__xludf.DUMMYFUNCTION("""COMPUTED_VALUE"""),1143.0)</f>
        <v>1143</v>
      </c>
      <c r="B946" s="4" t="str">
        <f>IFERROR(__xludf.DUMMYFUNCTION("""COMPUTED_VALUE"""),"סיון בר")</f>
        <v>סיון בר</v>
      </c>
      <c r="C946" s="3">
        <f>IFERROR(__xludf.DUMMYFUNCTION("""COMPUTED_VALUE"""),33.0)</f>
        <v>33</v>
      </c>
      <c r="D946" s="5" t="str">
        <f>IFERROR(__xludf.DUMMYFUNCTION("""COMPUTED_VALUE"""),"כוכב יאיר")</f>
        <v>כוכב יאיר</v>
      </c>
      <c r="E946" s="5" t="str">
        <f>IFERROR(__xludf.DUMMYFUNCTION("""COMPUTED_VALUE"""),"גבר")</f>
        <v>גבר</v>
      </c>
      <c r="F946" s="5" t="str">
        <f>IFERROR(__xludf.DUMMYFUNCTION("""COMPUTED_VALUE"""),"משטרה")</f>
        <v>משטרה</v>
      </c>
      <c r="G946" s="5" t="str">
        <f>IFERROR(__xludf.DUMMYFUNCTION("""COMPUTED_VALUE"""),"רס״ב")</f>
        <v>רס״ב</v>
      </c>
      <c r="H946" s="3" t="str">
        <f>IFERROR(__xludf.DUMMYFUNCTION("""COMPUTED_VALUE"""),"07.10.2023")</f>
        <v>07.10.2023</v>
      </c>
      <c r="I946" s="4" t="str">
        <f>IFERROR(__xludf.DUMMYFUNCTION("""COMPUTED_VALUE"""),"צומת שער הנגב")</f>
        <v>צומת שער הנגב</v>
      </c>
      <c r="J946" s="4" t="str">
        <f>IFERROR(__xludf.DUMMYFUNCTION("""COMPUTED_VALUE"""),"שוטרים וכוחות הצלה")</f>
        <v>שוטרים וכוחות הצלה</v>
      </c>
      <c r="K946" s="5"/>
      <c r="L946" s="3" t="str">
        <f>IFERROR(__xludf.DUMMYFUNCTION("""COMPUTED_VALUE"""),"Bar Sivan")</f>
        <v>Bar Sivan</v>
      </c>
      <c r="M946" s="5"/>
    </row>
    <row r="947">
      <c r="A947" s="3">
        <f>IFERROR(__xludf.DUMMYFUNCTION("""COMPUTED_VALUE"""),1077.0)</f>
        <v>1077</v>
      </c>
      <c r="B947" s="4" t="str">
        <f>IFERROR(__xludf.DUMMYFUNCTION("""COMPUTED_VALUE"""),"עזר עילי")</f>
        <v>עזר עילי</v>
      </c>
      <c r="C947" s="3">
        <f>IFERROR(__xludf.DUMMYFUNCTION("""COMPUTED_VALUE"""),18.0)</f>
        <v>18</v>
      </c>
      <c r="D947" s="5" t="str">
        <f>IFERROR(__xludf.DUMMYFUNCTION("""COMPUTED_VALUE"""),"שפיים")</f>
        <v>שפיים</v>
      </c>
      <c r="E947" s="5" t="str">
        <f>IFERROR(__xludf.DUMMYFUNCTION("""COMPUTED_VALUE"""),"גבר")</f>
        <v>גבר</v>
      </c>
      <c r="F947" s="5" t="str">
        <f>IFERROR(__xludf.DUMMYFUNCTION("""COMPUTED_VALUE"""),"צה""ל")</f>
        <v>צה"ל</v>
      </c>
      <c r="G947" s="5" t="str">
        <f>IFERROR(__xludf.DUMMYFUNCTION("""COMPUTED_VALUE"""),"רב״ט")</f>
        <v>רב״ט</v>
      </c>
      <c r="H947" s="3" t="str">
        <f>IFERROR(__xludf.DUMMYFUNCTION("""COMPUTED_VALUE"""),"07.10.2023")</f>
        <v>07.10.2023</v>
      </c>
      <c r="I947" s="4" t="str">
        <f>IFERROR(__xludf.DUMMYFUNCTION("""COMPUTED_VALUE"""),"מחנה רעים")</f>
        <v>מחנה רעים</v>
      </c>
      <c r="J947" s="4" t="str">
        <f>IFERROR(__xludf.DUMMYFUNCTION("""COMPUTED_VALUE"""),"חיילים")</f>
        <v>חיילים</v>
      </c>
      <c r="K947" s="5"/>
      <c r="L947" s="3" t="str">
        <f>IFERROR(__xludf.DUMMYFUNCTION("""COMPUTED_VALUE"""),"Ilay Azar")</f>
        <v>Ilay Azar</v>
      </c>
      <c r="M947" s="5"/>
    </row>
    <row r="948">
      <c r="A948" s="3">
        <f>IFERROR(__xludf.DUMMYFUNCTION("""COMPUTED_VALUE"""),26.0)</f>
        <v>26</v>
      </c>
      <c r="B948" s="4" t="str">
        <f>IFERROR(__xludf.DUMMYFUNCTION("""COMPUTED_VALUE"""),"עמאר נתאי")</f>
        <v>עמאר נתאי</v>
      </c>
      <c r="C948" s="3">
        <f>IFERROR(__xludf.DUMMYFUNCTION("""COMPUTED_VALUE"""),22.0)</f>
        <v>22</v>
      </c>
      <c r="D948" s="5" t="str">
        <f>IFERROR(__xludf.DUMMYFUNCTION("""COMPUTED_VALUE"""),"עלומים")</f>
        <v>עלומים</v>
      </c>
      <c r="E948" s="5" t="str">
        <f>IFERROR(__xludf.DUMMYFUNCTION("""COMPUTED_VALUE"""),"גבר")</f>
        <v>גבר</v>
      </c>
      <c r="F948" s="5" t="str">
        <f>IFERROR(__xludf.DUMMYFUNCTION("""COMPUTED_VALUE"""),"צה""ל")</f>
        <v>צה"ל</v>
      </c>
      <c r="G948" s="5" t="str">
        <f>IFERROR(__xludf.DUMMYFUNCTION("""COMPUTED_VALUE"""),"סרן")</f>
        <v>סרן</v>
      </c>
      <c r="H948" s="3" t="str">
        <f>IFERROR(__xludf.DUMMYFUNCTION("""COMPUTED_VALUE"""),"07.10.2023")</f>
        <v>07.10.2023</v>
      </c>
      <c r="I948" s="4" t="str">
        <f>IFERROR(__xludf.DUMMYFUNCTION("""COMPUTED_VALUE"""),"צומת גמה")</f>
        <v>צומת גמה</v>
      </c>
      <c r="J948" s="4" t="str">
        <f>IFERROR(__xludf.DUMMYFUNCTION("""COMPUTED_VALUE"""),"חיילים")</f>
        <v>חיילים</v>
      </c>
      <c r="K948" s="5"/>
      <c r="L948" s="3" t="str">
        <f>IFERROR(__xludf.DUMMYFUNCTION("""COMPUTED_VALUE"""),"Nitay Amar")</f>
        <v>Nitay Amar</v>
      </c>
      <c r="M948" s="5"/>
    </row>
    <row r="949">
      <c r="A949" s="3">
        <f>IFERROR(__xludf.DUMMYFUNCTION("""COMPUTED_VALUE"""),1277.0)</f>
        <v>1277</v>
      </c>
      <c r="B949" s="4" t="str">
        <f>IFERROR(__xludf.DUMMYFUNCTION("""COMPUTED_VALUE"""),"פלורס גרסיה ברנדו דוד")</f>
        <v>פלורס גרסיה ברנדו דוד</v>
      </c>
      <c r="C949" s="3">
        <f>IFERROR(__xludf.DUMMYFUNCTION("""COMPUTED_VALUE"""),21.0)</f>
        <v>21</v>
      </c>
      <c r="D949" s="5" t="str">
        <f>IFERROR(__xludf.DUMMYFUNCTION("""COMPUTED_VALUE"""),"באר שבע")</f>
        <v>באר שבע</v>
      </c>
      <c r="E949" s="5" t="str">
        <f>IFERROR(__xludf.DUMMYFUNCTION("""COMPUTED_VALUE"""),"גבר")</f>
        <v>גבר</v>
      </c>
      <c r="F949" s="5" t="str">
        <f>IFERROR(__xludf.DUMMYFUNCTION("""COMPUTED_VALUE"""),"צה""ל")</f>
        <v>צה"ל</v>
      </c>
      <c r="G949" s="5" t="str">
        <f>IFERROR(__xludf.DUMMYFUNCTION("""COMPUTED_VALUE"""),"סמ״ר")</f>
        <v>סמ״ר</v>
      </c>
      <c r="H949" s="3" t="str">
        <f>IFERROR(__xludf.DUMMYFUNCTION("""COMPUTED_VALUE"""),"07.10.2023")</f>
        <v>07.10.2023</v>
      </c>
      <c r="I949" s="4" t="str">
        <f>IFERROR(__xludf.DUMMYFUNCTION("""COMPUTED_VALUE"""),"מוצב כיסופים; מיגונית")</f>
        <v>מוצב כיסופים; מיגונית</v>
      </c>
      <c r="J949" s="4" t="str">
        <f>IFERROR(__xludf.DUMMYFUNCTION("""COMPUTED_VALUE"""),"חיילים")</f>
        <v>חיילים</v>
      </c>
      <c r="K949" s="5"/>
      <c r="L949" s="3" t="str">
        <f>IFERROR(__xludf.DUMMYFUNCTION("""COMPUTED_VALUE"""),"David Flores Gracia")</f>
        <v>David Flores Gracia</v>
      </c>
      <c r="M949" s="5"/>
    </row>
    <row r="950">
      <c r="A950" s="3">
        <f>IFERROR(__xludf.DUMMYFUNCTION("""COMPUTED_VALUE"""),1580.0)</f>
        <v>1580</v>
      </c>
      <c r="B950" s="4" t="str">
        <f>IFERROR(__xludf.DUMMYFUNCTION("""COMPUTED_VALUE"""),"רז עידן")</f>
        <v>רז עידן</v>
      </c>
      <c r="C950" s="3">
        <f>IFERROR(__xludf.DUMMYFUNCTION("""COMPUTED_VALUE"""),20.0)</f>
        <v>20</v>
      </c>
      <c r="D950" s="5" t="str">
        <f>IFERROR(__xludf.DUMMYFUNCTION("""COMPUTED_VALUE"""),"עין המפרץ")</f>
        <v>עין המפרץ</v>
      </c>
      <c r="E950" s="5" t="str">
        <f>IFERROR(__xludf.DUMMYFUNCTION("""COMPUTED_VALUE"""),"גבר")</f>
        <v>גבר</v>
      </c>
      <c r="F950" s="5" t="str">
        <f>IFERROR(__xludf.DUMMYFUNCTION("""COMPUTED_VALUE"""),"צה""ל")</f>
        <v>צה"ל</v>
      </c>
      <c r="G950" s="5" t="str">
        <f>IFERROR(__xludf.DUMMYFUNCTION("""COMPUTED_VALUE"""),"סמ״ר")</f>
        <v>סמ״ר</v>
      </c>
      <c r="H950" s="3" t="str">
        <f>IFERROR(__xludf.DUMMYFUNCTION("""COMPUTED_VALUE"""),"07.10.2023")</f>
        <v>07.10.2023</v>
      </c>
      <c r="I950" s="4" t="str">
        <f>IFERROR(__xludf.DUMMYFUNCTION("""COMPUTED_VALUE"""),"מוצב פגה")</f>
        <v>מוצב פגה</v>
      </c>
      <c r="J950" s="4" t="str">
        <f>IFERROR(__xludf.DUMMYFUNCTION("""COMPUTED_VALUE"""),"חיילים")</f>
        <v>חיילים</v>
      </c>
      <c r="K950" s="5"/>
      <c r="L950" s="3" t="str">
        <f>IFERROR(__xludf.DUMMYFUNCTION("""COMPUTED_VALUE"""),"Idan Raz")</f>
        <v>Idan Raz</v>
      </c>
      <c r="M950" s="5"/>
    </row>
    <row r="951">
      <c r="A951" s="3">
        <f>IFERROR(__xludf.DUMMYFUNCTION("""COMPUTED_VALUE"""),244.0)</f>
        <v>244</v>
      </c>
      <c r="B951" s="4" t="str">
        <f>IFERROR(__xludf.DUMMYFUNCTION("""COMPUTED_VALUE"""),"שיינקמן סטניסלב")</f>
        <v>שיינקמן סטניסלב</v>
      </c>
      <c r="C951" s="3">
        <f>IFERROR(__xludf.DUMMYFUNCTION("""COMPUTED_VALUE"""),40.0)</f>
        <v>40</v>
      </c>
      <c r="D951" s="5" t="str">
        <f>IFERROR(__xludf.DUMMYFUNCTION("""COMPUTED_VALUE"""),"באר יעקב")</f>
        <v>באר יעקב</v>
      </c>
      <c r="E951" s="5" t="str">
        <f>IFERROR(__xludf.DUMMYFUNCTION("""COMPUTED_VALUE"""),"גבר")</f>
        <v>גבר</v>
      </c>
      <c r="F951" s="5" t="str">
        <f>IFERROR(__xludf.DUMMYFUNCTION("""COMPUTED_VALUE"""),"משטרה")</f>
        <v>משטרה</v>
      </c>
      <c r="G951" s="5" t="str">
        <f>IFERROR(__xludf.DUMMYFUNCTION("""COMPUTED_VALUE"""),"רפ״ק")</f>
        <v>רפ״ק</v>
      </c>
      <c r="H951" s="3" t="str">
        <f>IFERROR(__xludf.DUMMYFUNCTION("""COMPUTED_VALUE"""),"07.10.2023")</f>
        <v>07.10.2023</v>
      </c>
      <c r="I951" s="4" t="str">
        <f>IFERROR(__xludf.DUMMYFUNCTION("""COMPUTED_VALUE"""),"רעים")</f>
        <v>רעים</v>
      </c>
      <c r="J951" s="4" t="str">
        <f>IFERROR(__xludf.DUMMYFUNCTION("""COMPUTED_VALUE"""),"שוטרים וכוחות הצלה")</f>
        <v>שוטרים וכוחות הצלה</v>
      </c>
      <c r="K951" s="5"/>
      <c r="L951" s="3" t="str">
        <f>IFERROR(__xludf.DUMMYFUNCTION("""COMPUTED_VALUE"""),"Stas Sheinkman")</f>
        <v>Stas Sheinkman</v>
      </c>
      <c r="M951" s="5"/>
    </row>
    <row r="952">
      <c r="A952" s="3">
        <f>IFERROR(__xludf.DUMMYFUNCTION("""COMPUTED_VALUE"""),1066.0)</f>
        <v>1066</v>
      </c>
      <c r="B952" s="4" t="str">
        <f>IFERROR(__xludf.DUMMYFUNCTION("""COMPUTED_VALUE"""),"שמעיה אושר")</f>
        <v>שמעיה אושר</v>
      </c>
      <c r="C952" s="3">
        <f>IFERROR(__xludf.DUMMYFUNCTION("""COMPUTED_VALUE"""),19.0)</f>
        <v>19</v>
      </c>
      <c r="D952" s="5" t="str">
        <f>IFERROR(__xludf.DUMMYFUNCTION("""COMPUTED_VALUE"""),"באר שבע")</f>
        <v>באר שבע</v>
      </c>
      <c r="E952" s="5" t="str">
        <f>IFERROR(__xludf.DUMMYFUNCTION("""COMPUTED_VALUE"""),"גבר")</f>
        <v>גבר</v>
      </c>
      <c r="F952" s="5" t="str">
        <f>IFERROR(__xludf.DUMMYFUNCTION("""COMPUTED_VALUE"""),"צה""ל")</f>
        <v>צה"ל</v>
      </c>
      <c r="G952" s="5" t="str">
        <f>IFERROR(__xludf.DUMMYFUNCTION("""COMPUTED_VALUE"""),"סמל")</f>
        <v>סמל</v>
      </c>
      <c r="H952" s="3" t="str">
        <f>IFERROR(__xludf.DUMMYFUNCTION("""COMPUTED_VALUE"""),"07.10.2023")</f>
        <v>07.10.2023</v>
      </c>
      <c r="I952" s="4" t="str">
        <f>IFERROR(__xludf.DUMMYFUNCTION("""COMPUTED_VALUE"""),"סמוך למחנה רעים")</f>
        <v>סמוך למחנה רעים</v>
      </c>
      <c r="J952" s="4" t="str">
        <f>IFERROR(__xludf.DUMMYFUNCTION("""COMPUTED_VALUE"""),"חיילים")</f>
        <v>חיילים</v>
      </c>
      <c r="K952" s="5"/>
      <c r="L952" s="3" t="str">
        <f>IFERROR(__xludf.DUMMYFUNCTION("""COMPUTED_VALUE"""),"Osher Shmaya")</f>
        <v>Osher Shmaya</v>
      </c>
      <c r="M952" s="5"/>
    </row>
    <row r="953">
      <c r="A953" s="3">
        <f>IFERROR(__xludf.DUMMYFUNCTION("""COMPUTED_VALUE"""),737.0)</f>
        <v>737</v>
      </c>
      <c r="B953" s="4" t="str">
        <f>IFERROR(__xludf.DUMMYFUNCTION("""COMPUTED_VALUE"""),"אדרי עידו")</f>
        <v>אדרי עידו</v>
      </c>
      <c r="C953" s="3">
        <f>IFERROR(__xludf.DUMMYFUNCTION("""COMPUTED_VALUE"""),24.0)</f>
        <v>24</v>
      </c>
      <c r="D953" s="5" t="str">
        <f>IFERROR(__xludf.DUMMYFUNCTION("""COMPUTED_VALUE"""),"רחובות")</f>
        <v>רחובות</v>
      </c>
      <c r="E953" s="5" t="str">
        <f>IFERROR(__xludf.DUMMYFUNCTION("""COMPUTED_VALUE"""),"גבר")</f>
        <v>גבר</v>
      </c>
      <c r="F953" s="5" t="str">
        <f>IFERROR(__xludf.DUMMYFUNCTION("""COMPUTED_VALUE"""),"שב""כ")</f>
        <v>שב"כ</v>
      </c>
      <c r="G953" s="5" t="str">
        <f>IFERROR(__xludf.DUMMYFUNCTION("""COMPUTED_VALUE"""),"סגן")</f>
        <v>סגן</v>
      </c>
      <c r="H953" s="3" t="str">
        <f>IFERROR(__xludf.DUMMYFUNCTION("""COMPUTED_VALUE"""),"07.10.2023")</f>
        <v>07.10.2023</v>
      </c>
      <c r="I953" s="4" t="str">
        <f>IFERROR(__xludf.DUMMYFUNCTION("""COMPUTED_VALUE"""),"פסטיבל נובה")</f>
        <v>פסטיבל נובה</v>
      </c>
      <c r="J953" s="4" t="str">
        <f>IFERROR(__xludf.DUMMYFUNCTION("""COMPUTED_VALUE"""),"אזרחים וכיתות כוננות")</f>
        <v>אזרחים וכיתות כוננות</v>
      </c>
      <c r="K953" s="5" t="str">
        <f>IFERROR(__xludf.DUMMYFUNCTION("""COMPUTED_VALUE"""),"פסטיבל נובה")</f>
        <v>פסטיבל נובה</v>
      </c>
      <c r="L953" s="3" t="str">
        <f>IFERROR(__xludf.DUMMYFUNCTION("""COMPUTED_VALUE"""),"Ido Edri")</f>
        <v>Ido Edri</v>
      </c>
      <c r="M953" s="5"/>
    </row>
    <row r="954">
      <c r="A954" s="3">
        <f>IFERROR(__xludf.DUMMYFUNCTION("""COMPUTED_VALUE"""),742.0)</f>
        <v>742</v>
      </c>
      <c r="B954" s="4" t="str">
        <f>IFERROR(__xludf.DUMMYFUNCTION("""COMPUTED_VALUE"""),"אליהו אביב")</f>
        <v>אליהו אביב</v>
      </c>
      <c r="C954" s="3">
        <f>IFERROR(__xludf.DUMMYFUNCTION("""COMPUTED_VALUE"""),38.0)</f>
        <v>38</v>
      </c>
      <c r="D954" s="5" t="str">
        <f>IFERROR(__xludf.DUMMYFUNCTION("""COMPUTED_VALUE"""),"אלקוש")</f>
        <v>אלקוש</v>
      </c>
      <c r="E954" s="5" t="str">
        <f>IFERROR(__xludf.DUMMYFUNCTION("""COMPUTED_VALUE"""),"גבר")</f>
        <v>גבר</v>
      </c>
      <c r="F954" s="5" t="str">
        <f>IFERROR(__xludf.DUMMYFUNCTION("""COMPUTED_VALUE"""),"אזרחים")</f>
        <v>אזרחים</v>
      </c>
      <c r="G954" s="5"/>
      <c r="H954" s="3" t="str">
        <f>IFERROR(__xludf.DUMMYFUNCTION("""COMPUTED_VALUE"""),"07.10.2023")</f>
        <v>07.10.2023</v>
      </c>
      <c r="I954" s="4" t="str">
        <f>IFERROR(__xludf.DUMMYFUNCTION("""COMPUTED_VALUE"""),"פסטיבל נובה; חסימה בכביש 232")</f>
        <v>פסטיבל נובה; חסימה בכביש 232</v>
      </c>
      <c r="J954" s="4" t="str">
        <f>IFERROR(__xludf.DUMMYFUNCTION("""COMPUTED_VALUE"""),"אזרחים וכיתות כוננות")</f>
        <v>אזרחים וכיתות כוננות</v>
      </c>
      <c r="K954" s="5" t="str">
        <f>IFERROR(__xludf.DUMMYFUNCTION("""COMPUTED_VALUE"""),"פסטיבל נובה")</f>
        <v>פסטיבל נובה</v>
      </c>
      <c r="L954" s="3" t="str">
        <f>IFERROR(__xludf.DUMMYFUNCTION("""COMPUTED_VALUE"""),"Aviv Eliyahu")</f>
        <v>Aviv Eliyahu</v>
      </c>
      <c r="M954" s="5"/>
    </row>
    <row r="955">
      <c r="A955" s="3">
        <f>IFERROR(__xludf.DUMMYFUNCTION("""COMPUTED_VALUE"""),746.0)</f>
        <v>746</v>
      </c>
      <c r="B955" s="4" t="str">
        <f>IFERROR(__xludf.DUMMYFUNCTION("""COMPUTED_VALUE"""),"אלמלם מתן (קידו)")</f>
        <v>אלמלם מתן (קידו)</v>
      </c>
      <c r="C955" s="3">
        <f>IFERROR(__xludf.DUMMYFUNCTION("""COMPUTED_VALUE"""),42.0)</f>
        <v>42</v>
      </c>
      <c r="D955" s="5" t="str">
        <f>IFERROR(__xludf.DUMMYFUNCTION("""COMPUTED_VALUE"""),"עומר")</f>
        <v>עומר</v>
      </c>
      <c r="E955" s="5" t="str">
        <f>IFERROR(__xludf.DUMMYFUNCTION("""COMPUTED_VALUE"""),"גבר")</f>
        <v>גבר</v>
      </c>
      <c r="F955" s="5" t="str">
        <f>IFERROR(__xludf.DUMMYFUNCTION("""COMPUTED_VALUE"""),"אזרחים")</f>
        <v>אזרחים</v>
      </c>
      <c r="G955" s="5"/>
      <c r="H955" s="3" t="str">
        <f>IFERROR(__xludf.DUMMYFUNCTION("""COMPUTED_VALUE"""),"07.10.2023")</f>
        <v>07.10.2023</v>
      </c>
      <c r="I955" s="4" t="str">
        <f>IFERROR(__xludf.DUMMYFUNCTION("""COMPUTED_VALUE"""),"פסטיבל נובה; אמבולנס")</f>
        <v>פסטיבל נובה; אמבולנס</v>
      </c>
      <c r="J955" s="4" t="str">
        <f>IFERROR(__xludf.DUMMYFUNCTION("""COMPUTED_VALUE"""),"אזרחים וכיתות כוננות")</f>
        <v>אזרחים וכיתות כוננות</v>
      </c>
      <c r="K955" s="5" t="str">
        <f>IFERROR(__xludf.DUMMYFUNCTION("""COMPUTED_VALUE"""),"פסטיבל נובה")</f>
        <v>פסטיבל נובה</v>
      </c>
      <c r="L955" s="3" t="str">
        <f>IFERROR(__xludf.DUMMYFUNCTION("""COMPUTED_VALUE"""),"Matan (Kido) Elmalem")</f>
        <v>Matan (Kido) Elmalem</v>
      </c>
      <c r="M955" s="5"/>
    </row>
    <row r="956">
      <c r="A956" s="3">
        <f>IFERROR(__xludf.DUMMYFUNCTION("""COMPUTED_VALUE"""),256.0)</f>
        <v>256</v>
      </c>
      <c r="B956" s="4" t="str">
        <f>IFERROR(__xludf.DUMMYFUNCTION("""COMPUTED_VALUE"""),"ארביב אופק")</f>
        <v>ארביב אופק</v>
      </c>
      <c r="C956" s="3">
        <f>IFERROR(__xludf.DUMMYFUNCTION("""COMPUTED_VALUE"""),21.0)</f>
        <v>21</v>
      </c>
      <c r="D956" s="5" t="str">
        <f>IFERROR(__xludf.DUMMYFUNCTION("""COMPUTED_VALUE"""),"בת ים")</f>
        <v>בת ים</v>
      </c>
      <c r="E956" s="5" t="str">
        <f>IFERROR(__xludf.DUMMYFUNCTION("""COMPUTED_VALUE"""),"גבר")</f>
        <v>גבר</v>
      </c>
      <c r="F956" s="5" t="str">
        <f>IFERROR(__xludf.DUMMYFUNCTION("""COMPUTED_VALUE"""),"צה""ל")</f>
        <v>צה"ל</v>
      </c>
      <c r="G956" s="5" t="str">
        <f>IFERROR(__xludf.DUMMYFUNCTION("""COMPUTED_VALUE"""),"סמ״ר")</f>
        <v>סמ״ר</v>
      </c>
      <c r="H956" s="3" t="str">
        <f>IFERROR(__xludf.DUMMYFUNCTION("""COMPUTED_VALUE"""),"07.10.2023")</f>
        <v>07.10.2023</v>
      </c>
      <c r="I956" s="4" t="str">
        <f>IFERROR(__xludf.DUMMYFUNCTION("""COMPUTED_VALUE"""),"סמוך למפלסים")</f>
        <v>סמוך למפלסים</v>
      </c>
      <c r="J956" s="2" t="str">
        <f>IFERROR(__xludf.DUMMYFUNCTION("""COMPUTED_VALUE"""),"אזרחים וכיתות כוננות")</f>
        <v>אזרחים וכיתות כוננות</v>
      </c>
      <c r="K956" s="5" t="str">
        <f>IFERROR(__xludf.DUMMYFUNCTION("""COMPUTED_VALUE"""),"פסטיבל נובה")</f>
        <v>פסטיבל נובה</v>
      </c>
      <c r="L956" s="3" t="str">
        <f>IFERROR(__xludf.DUMMYFUNCTION("""COMPUTED_VALUE"""),"Ofek Arbiv")</f>
        <v>Ofek Arbiv</v>
      </c>
      <c r="M956" s="5"/>
    </row>
    <row r="957">
      <c r="A957" s="3">
        <f>IFERROR(__xludf.DUMMYFUNCTION("""COMPUTED_VALUE"""),1708.0)</f>
        <v>1708</v>
      </c>
      <c r="B957" s="4" t="str">
        <f>IFERROR(__xludf.DUMMYFUNCTION("""COMPUTED_VALUE"""),"באוסי איתי יהודה")</f>
        <v>באוסי איתי יהודה</v>
      </c>
      <c r="C957" s="3">
        <f>IFERROR(__xludf.DUMMYFUNCTION("""COMPUTED_VALUE"""),22.0)</f>
        <v>22</v>
      </c>
      <c r="D957" s="5" t="str">
        <f>IFERROR(__xludf.DUMMYFUNCTION("""COMPUTED_VALUE"""),"קבוצת יבנה")</f>
        <v>קבוצת יבנה</v>
      </c>
      <c r="E957" s="5" t="str">
        <f>IFERROR(__xludf.DUMMYFUNCTION("""COMPUTED_VALUE"""),"גבר")</f>
        <v>גבר</v>
      </c>
      <c r="F957" s="5" t="str">
        <f>IFERROR(__xludf.DUMMYFUNCTION("""COMPUTED_VALUE"""),"צה""ל")</f>
        <v>צה"ל</v>
      </c>
      <c r="G957" s="5" t="str">
        <f>IFERROR(__xludf.DUMMYFUNCTION("""COMPUTED_VALUE"""),"רס״ל")</f>
        <v>רס״ל</v>
      </c>
      <c r="H957" s="3" t="str">
        <f>IFERROR(__xludf.DUMMYFUNCTION("""COMPUTED_VALUE"""),"07.10.2023")</f>
        <v>07.10.2023</v>
      </c>
      <c r="I957" s="4" t="str">
        <f>IFERROR(__xludf.DUMMYFUNCTION("""COMPUTED_VALUE"""),"פסטיבל נובה; חסימה בכביש 232")</f>
        <v>פסטיבל נובה; חסימה בכביש 232</v>
      </c>
      <c r="J957" s="4" t="str">
        <f>IFERROR(__xludf.DUMMYFUNCTION("""COMPUTED_VALUE"""),"אזרחים וכיתות כוננות")</f>
        <v>אזרחים וכיתות כוננות</v>
      </c>
      <c r="K957" s="5" t="str">
        <f>IFERROR(__xludf.DUMMYFUNCTION("""COMPUTED_VALUE"""),"פסטיבל נובה")</f>
        <v>פסטיבל נובה</v>
      </c>
      <c r="L957" s="3" t="str">
        <f>IFERROR(__xludf.DUMMYFUNCTION("""COMPUTED_VALUE"""),"Itai Yehuda Bausi")</f>
        <v>Itai Yehuda Bausi</v>
      </c>
      <c r="M957" s="5"/>
    </row>
    <row r="958">
      <c r="A958" s="3">
        <f>IFERROR(__xludf.DUMMYFUNCTION("""COMPUTED_VALUE"""),1569.0)</f>
        <v>1569</v>
      </c>
      <c r="B958" s="4" t="str">
        <f>IFERROR(__xludf.DUMMYFUNCTION("""COMPUTED_VALUE"""),"דוקרקר קים")</f>
        <v>דוקרקר קים</v>
      </c>
      <c r="C958" s="3">
        <f>IFERROR(__xludf.DUMMYFUNCTION("""COMPUTED_VALUE"""),22.0)</f>
        <v>22</v>
      </c>
      <c r="D958" s="5" t="str">
        <f>IFERROR(__xludf.DUMMYFUNCTION("""COMPUTED_VALUE"""),"יבנה")</f>
        <v>יבנה</v>
      </c>
      <c r="E958" s="5" t="str">
        <f>IFERROR(__xludf.DUMMYFUNCTION("""COMPUTED_VALUE"""),"אישה")</f>
        <v>אישה</v>
      </c>
      <c r="F958" s="5" t="str">
        <f>IFERROR(__xludf.DUMMYFUNCTION("""COMPUTED_VALUE"""),"משטרה")</f>
        <v>משטרה</v>
      </c>
      <c r="G958" s="5" t="str">
        <f>IFERROR(__xludf.DUMMYFUNCTION("""COMPUTED_VALUE"""),"פקד")</f>
        <v>פקד</v>
      </c>
      <c r="H958" s="3" t="str">
        <f>IFERROR(__xludf.DUMMYFUNCTION("""COMPUTED_VALUE"""),"07.10.2023")</f>
        <v>07.10.2023</v>
      </c>
      <c r="I958" s="4" t="str">
        <f>IFERROR(__xludf.DUMMYFUNCTION("""COMPUTED_VALUE"""),"מיגונית בצומת בארי")</f>
        <v>מיגונית בצומת בארי</v>
      </c>
      <c r="J958" s="4" t="str">
        <f>IFERROR(__xludf.DUMMYFUNCTION("""COMPUTED_VALUE"""),"אזרחים וכיתות כוננות")</f>
        <v>אזרחים וכיתות כוננות</v>
      </c>
      <c r="K958" s="5" t="str">
        <f>IFERROR(__xludf.DUMMYFUNCTION("""COMPUTED_VALUE"""),"פסטיבל נובה")</f>
        <v>פסטיבל נובה</v>
      </c>
      <c r="L958" s="3" t="str">
        <f>IFERROR(__xludf.DUMMYFUNCTION("""COMPUTED_VALUE"""),"Kim Dukarker")</f>
        <v>Kim Dukarker</v>
      </c>
      <c r="M958" s="5"/>
    </row>
    <row r="959">
      <c r="A959" s="3">
        <f>IFERROR(__xludf.DUMMYFUNCTION("""COMPUTED_VALUE"""),1468.0)</f>
        <v>1468</v>
      </c>
      <c r="B959" s="4" t="str">
        <f>IFERROR(__xludf.DUMMYFUNCTION("""COMPUTED_VALUE"""),"דראושה עווד")</f>
        <v>דראושה עווד</v>
      </c>
      <c r="C959" s="3">
        <f>IFERROR(__xludf.DUMMYFUNCTION("""COMPUTED_VALUE"""),23.0)</f>
        <v>23</v>
      </c>
      <c r="D959" s="5" t="str">
        <f>IFERROR(__xludf.DUMMYFUNCTION("""COMPUTED_VALUE"""),"איכסאל")</f>
        <v>איכסאל</v>
      </c>
      <c r="E959" s="5" t="str">
        <f>IFERROR(__xludf.DUMMYFUNCTION("""COMPUTED_VALUE"""),"גבר")</f>
        <v>גבר</v>
      </c>
      <c r="F959" s="5" t="str">
        <f>IFERROR(__xludf.DUMMYFUNCTION("""COMPUTED_VALUE"""),"מגן דוד אדום")</f>
        <v>מגן דוד אדום</v>
      </c>
      <c r="G959" s="5"/>
      <c r="H959" s="3" t="str">
        <f>IFERROR(__xludf.DUMMYFUNCTION("""COMPUTED_VALUE"""),"07.10.2023")</f>
        <v>07.10.2023</v>
      </c>
      <c r="I959" s="4" t="str">
        <f>IFERROR(__xludf.DUMMYFUNCTION("""COMPUTED_VALUE"""),"פסטיבל נובה; במה מרכזית")</f>
        <v>פסטיבל נובה; במה מרכזית</v>
      </c>
      <c r="J959" s="4" t="str">
        <f>IFERROR(__xludf.DUMMYFUNCTION("""COMPUTED_VALUE"""),"שוטרים וכוחות הצלה")</f>
        <v>שוטרים וכוחות הצלה</v>
      </c>
      <c r="K959" s="5" t="str">
        <f>IFERROR(__xludf.DUMMYFUNCTION("""COMPUTED_VALUE"""),"פסטיבל נובה")</f>
        <v>פסטיבל נובה</v>
      </c>
      <c r="L959" s="3" t="str">
        <f>IFERROR(__xludf.DUMMYFUNCTION("""COMPUTED_VALUE"""),"Awad Darawshe")</f>
        <v>Awad Darawshe</v>
      </c>
      <c r="M959" s="5"/>
    </row>
    <row r="960">
      <c r="A960" s="3">
        <f>IFERROR(__xludf.DUMMYFUNCTION("""COMPUTED_VALUE"""),956.0)</f>
        <v>956</v>
      </c>
      <c r="B960" s="4" t="str">
        <f>IFERROR(__xludf.DUMMYFUNCTION("""COMPUTED_VALUE"""),"ווקסר דאונוב יוליה")</f>
        <v>ווקסר דאונוב יוליה</v>
      </c>
      <c r="C960" s="3">
        <f>IFERROR(__xludf.DUMMYFUNCTION("""COMPUTED_VALUE"""),37.0)</f>
        <v>37</v>
      </c>
      <c r="D960" s="5" t="str">
        <f>IFERROR(__xludf.DUMMYFUNCTION("""COMPUTED_VALUE"""),"באר שבע")</f>
        <v>באר שבע</v>
      </c>
      <c r="E960" s="5" t="str">
        <f>IFERROR(__xludf.DUMMYFUNCTION("""COMPUTED_VALUE"""),"אישה")</f>
        <v>אישה</v>
      </c>
      <c r="F960" s="5" t="str">
        <f>IFERROR(__xludf.DUMMYFUNCTION("""COMPUTED_VALUE"""),"משטרה")</f>
        <v>משטרה</v>
      </c>
      <c r="G960" s="3" t="str">
        <f>IFERROR(__xludf.DUMMYFUNCTION("""COMPUTED_VALUE"""),"רס״ב")</f>
        <v>רס״ב</v>
      </c>
      <c r="H960" s="3" t="str">
        <f>IFERROR(__xludf.DUMMYFUNCTION("""COMPUTED_VALUE"""),"07.10.2023")</f>
        <v>07.10.2023</v>
      </c>
      <c r="I960" s="4" t="str">
        <f>IFERROR(__xludf.DUMMYFUNCTION("""COMPUTED_VALUE"""),"פסטיבל נובה; אמבולנס")</f>
        <v>פסטיבל נובה; אמבולנס</v>
      </c>
      <c r="J960" s="4" t="str">
        <f>IFERROR(__xludf.DUMMYFUNCTION("""COMPUTED_VALUE"""),"שוטרים וכוחות הצלה")</f>
        <v>שוטרים וכוחות הצלה</v>
      </c>
      <c r="K960" s="5" t="str">
        <f>IFERROR(__xludf.DUMMYFUNCTION("""COMPUTED_VALUE"""),"פסטיבל נובה")</f>
        <v>פסטיבל נובה</v>
      </c>
      <c r="L960" s="3" t="str">
        <f>IFERROR(__xludf.DUMMYFUNCTION("""COMPUTED_VALUE"""),"Yulia Vakser")</f>
        <v>Yulia Vakser</v>
      </c>
      <c r="M960" s="5"/>
    </row>
    <row r="961">
      <c r="A961" s="3">
        <f>IFERROR(__xludf.DUMMYFUNCTION("""COMPUTED_VALUE"""),774.0)</f>
        <v>774</v>
      </c>
      <c r="B961" s="4" t="str">
        <f>IFERROR(__xludf.DUMMYFUNCTION("""COMPUTED_VALUE"""),"חושן הדר")</f>
        <v>חושן הדר</v>
      </c>
      <c r="C961" s="3">
        <f>IFERROR(__xludf.DUMMYFUNCTION("""COMPUTED_VALUE"""),28.0)</f>
        <v>28</v>
      </c>
      <c r="D961" s="5" t="str">
        <f>IFERROR(__xludf.DUMMYFUNCTION("""COMPUTED_VALUE"""),"פתח תקווה")</f>
        <v>פתח תקווה</v>
      </c>
      <c r="E961" s="5" t="str">
        <f>IFERROR(__xludf.DUMMYFUNCTION("""COMPUTED_VALUE"""),"אישה")</f>
        <v>אישה</v>
      </c>
      <c r="F961" s="5" t="str">
        <f>IFERROR(__xludf.DUMMYFUNCTION("""COMPUTED_VALUE"""),"אזרחים")</f>
        <v>אזרחים</v>
      </c>
      <c r="G961" s="5"/>
      <c r="H961" s="3" t="str">
        <f>IFERROR(__xludf.DUMMYFUNCTION("""COMPUTED_VALUE"""),"07.10.2023")</f>
        <v>07.10.2023</v>
      </c>
      <c r="I961" s="4" t="str">
        <f>IFERROR(__xludf.DUMMYFUNCTION("""COMPUTED_VALUE"""),"מיגונית בכניסה לרעים (מזרח)")</f>
        <v>מיגונית בכניסה לרעים (מזרח)</v>
      </c>
      <c r="J961" s="4" t="str">
        <f>IFERROR(__xludf.DUMMYFUNCTION("""COMPUTED_VALUE"""),"אזרחים וכיתות כוננות")</f>
        <v>אזרחים וכיתות כוננות</v>
      </c>
      <c r="K961" s="5" t="str">
        <f>IFERROR(__xludf.DUMMYFUNCTION("""COMPUTED_VALUE"""),"פסטיבל נובה")</f>
        <v>פסטיבל נובה</v>
      </c>
      <c r="L961" s="3" t="str">
        <f>IFERROR(__xludf.DUMMYFUNCTION("""COMPUTED_VALUE"""),"Hadar Hoshen")</f>
        <v>Hadar Hoshen</v>
      </c>
      <c r="M961" s="5"/>
    </row>
    <row r="962">
      <c r="A962" s="3">
        <f>IFERROR(__xludf.DUMMYFUNCTION("""COMPUTED_VALUE"""),1425.0)</f>
        <v>1425</v>
      </c>
      <c r="B962" s="4" t="str">
        <f>IFERROR(__xludf.DUMMYFUNCTION("""COMPUTED_VALUE"""),"חנום חזי (יחזקאל)")</f>
        <v>חנום חזי (יחזקאל)</v>
      </c>
      <c r="C962" s="3">
        <f>IFERROR(__xludf.DUMMYFUNCTION("""COMPUTED_VALUE"""),31.0)</f>
        <v>31</v>
      </c>
      <c r="D962" s="5" t="str">
        <f>IFERROR(__xludf.DUMMYFUNCTION("""COMPUTED_VALUE"""),"פתח תקווה")</f>
        <v>פתח תקווה</v>
      </c>
      <c r="E962" s="5" t="str">
        <f>IFERROR(__xludf.DUMMYFUNCTION("""COMPUTED_VALUE"""),"גבר")</f>
        <v>גבר</v>
      </c>
      <c r="F962" s="5" t="str">
        <f>IFERROR(__xludf.DUMMYFUNCTION("""COMPUTED_VALUE"""),"אזרחים")</f>
        <v>אזרחים</v>
      </c>
      <c r="G962" s="5"/>
      <c r="H962" s="3" t="str">
        <f>IFERROR(__xludf.DUMMYFUNCTION("""COMPUTED_VALUE"""),"07.10.2023")</f>
        <v>07.10.2023</v>
      </c>
      <c r="I962" s="4" t="str">
        <f>IFERROR(__xludf.DUMMYFUNCTION("""COMPUTED_VALUE"""),"פסטיבל נובה")</f>
        <v>פסטיבל נובה</v>
      </c>
      <c r="J962" s="4" t="str">
        <f>IFERROR(__xludf.DUMMYFUNCTION("""COMPUTED_VALUE"""),"אזרחים וכיתות כוננות")</f>
        <v>אזרחים וכיתות כוננות</v>
      </c>
      <c r="K962" s="5" t="str">
        <f>IFERROR(__xludf.DUMMYFUNCTION("""COMPUTED_VALUE"""),"פסטיבל נובה")</f>
        <v>פסטיבל נובה</v>
      </c>
      <c r="L962" s="3" t="str">
        <f>IFERROR(__xludf.DUMMYFUNCTION("""COMPUTED_VALUE"""),"Hezi (Yechezkel) Hanom")</f>
        <v>Hezi (Yechezkel) Hanom</v>
      </c>
      <c r="M962" s="5"/>
    </row>
    <row r="963">
      <c r="A963" s="3">
        <f>IFERROR(__xludf.DUMMYFUNCTION("""COMPUTED_VALUE"""),916.0)</f>
        <v>916</v>
      </c>
      <c r="B963" s="4" t="str">
        <f>IFERROR(__xludf.DUMMYFUNCTION("""COMPUTED_VALUE"""),"טוויג יפתח דן")</f>
        <v>טוויג יפתח דן</v>
      </c>
      <c r="C963" s="3">
        <f>IFERROR(__xludf.DUMMYFUNCTION("""COMPUTED_VALUE"""),27.0)</f>
        <v>27</v>
      </c>
      <c r="D963" s="5" t="str">
        <f>IFERROR(__xludf.DUMMYFUNCTION("""COMPUTED_VALUE"""),"עזריה")</f>
        <v>עזריה</v>
      </c>
      <c r="E963" s="5" t="str">
        <f>IFERROR(__xludf.DUMMYFUNCTION("""COMPUTED_VALUE"""),"גבר")</f>
        <v>גבר</v>
      </c>
      <c r="F963" s="5" t="str">
        <f>IFERROR(__xludf.DUMMYFUNCTION("""COMPUTED_VALUE"""),"אזרחים")</f>
        <v>אזרחים</v>
      </c>
      <c r="G963" s="5"/>
      <c r="H963" s="3" t="str">
        <f>IFERROR(__xludf.DUMMYFUNCTION("""COMPUTED_VALUE"""),"07.10.2023")</f>
        <v>07.10.2023</v>
      </c>
      <c r="I963" s="4" t="str">
        <f>IFERROR(__xludf.DUMMYFUNCTION("""COMPUTED_VALUE"""),"פסטיבל נובה; מכולות צהובות")</f>
        <v>פסטיבל נובה; מכולות צהובות</v>
      </c>
      <c r="J963" s="4" t="str">
        <f>IFERROR(__xludf.DUMMYFUNCTION("""COMPUTED_VALUE"""),"אזרחים וכיתות כוננות")</f>
        <v>אזרחים וכיתות כוננות</v>
      </c>
      <c r="K963" s="5" t="str">
        <f>IFERROR(__xludf.DUMMYFUNCTION("""COMPUTED_VALUE"""),"פסטיבל נובה")</f>
        <v>פסטיבל נובה</v>
      </c>
      <c r="L963" s="3" t="str">
        <f>IFERROR(__xludf.DUMMYFUNCTION("""COMPUTED_VALUE"""),"Yiftach Twig")</f>
        <v>Yiftach Twig</v>
      </c>
      <c r="M963" s="5"/>
    </row>
    <row r="964">
      <c r="A964" s="3">
        <f>IFERROR(__xludf.DUMMYFUNCTION("""COMPUTED_VALUE"""),881.0)</f>
        <v>881</v>
      </c>
      <c r="B964" s="4" t="str">
        <f>IFERROR(__xludf.DUMMYFUNCTION("""COMPUTED_VALUE"""),"טויטו עדיאל")</f>
        <v>טויטו עדיאל</v>
      </c>
      <c r="C964" s="3">
        <f>IFERROR(__xludf.DUMMYFUNCTION("""COMPUTED_VALUE"""),32.0)</f>
        <v>32</v>
      </c>
      <c r="D964" s="5" t="str">
        <f>IFERROR(__xludf.DUMMYFUNCTION("""COMPUTED_VALUE"""),"פתח תקווה")</f>
        <v>פתח תקווה</v>
      </c>
      <c r="E964" s="5" t="str">
        <f>IFERROR(__xludf.DUMMYFUNCTION("""COMPUTED_VALUE"""),"אישה")</f>
        <v>אישה</v>
      </c>
      <c r="F964" s="5" t="str">
        <f>IFERROR(__xludf.DUMMYFUNCTION("""COMPUTED_VALUE"""),"אזרחים")</f>
        <v>אזרחים</v>
      </c>
      <c r="G964" s="5"/>
      <c r="H964" s="3" t="str">
        <f>IFERROR(__xludf.DUMMYFUNCTION("""COMPUTED_VALUE"""),"07.10.2023")</f>
        <v>07.10.2023</v>
      </c>
      <c r="I964" s="4" t="str">
        <f>IFERROR(__xludf.DUMMYFUNCTION("""COMPUTED_VALUE"""),"סמוך למפלסים")</f>
        <v>סמוך למפלסים</v>
      </c>
      <c r="J964" s="4" t="str">
        <f>IFERROR(__xludf.DUMMYFUNCTION("""COMPUTED_VALUE"""),"אזרחים וכיתות כוננות")</f>
        <v>אזרחים וכיתות כוננות</v>
      </c>
      <c r="K964" s="5" t="str">
        <f>IFERROR(__xludf.DUMMYFUNCTION("""COMPUTED_VALUE"""),"פסטיבל נובה")</f>
        <v>פסטיבל נובה</v>
      </c>
      <c r="L964" s="3" t="str">
        <f>IFERROR(__xludf.DUMMYFUNCTION("""COMPUTED_VALUE"""),"Adiel Twitto")</f>
        <v>Adiel Twitto</v>
      </c>
      <c r="M964" s="5"/>
    </row>
    <row r="965">
      <c r="A965" s="3">
        <f>IFERROR(__xludf.DUMMYFUNCTION("""COMPUTED_VALUE"""),877.0)</f>
        <v>877</v>
      </c>
      <c r="B965" s="4" t="str">
        <f>IFERROR(__xludf.DUMMYFUNCTION("""COMPUTED_VALUE"""),"טיברג אברהם גלעד")</f>
        <v>טיברג אברהם גלעד</v>
      </c>
      <c r="C965" s="3">
        <f>IFERROR(__xludf.DUMMYFUNCTION("""COMPUTED_VALUE"""),24.0)</f>
        <v>24</v>
      </c>
      <c r="D965" s="5" t="str">
        <f>IFERROR(__xludf.DUMMYFUNCTION("""COMPUTED_VALUE"""),"פתח תקווה")</f>
        <v>פתח תקווה</v>
      </c>
      <c r="E965" s="5" t="str">
        <f>IFERROR(__xludf.DUMMYFUNCTION("""COMPUTED_VALUE"""),"גבר")</f>
        <v>גבר</v>
      </c>
      <c r="F965" s="5" t="str">
        <f>IFERROR(__xludf.DUMMYFUNCTION("""COMPUTED_VALUE"""),"אזרחים")</f>
        <v>אזרחים</v>
      </c>
      <c r="G965" s="5"/>
      <c r="H965" s="3" t="str">
        <f>IFERROR(__xludf.DUMMYFUNCTION("""COMPUTED_VALUE"""),"07.10.2023")</f>
        <v>07.10.2023</v>
      </c>
      <c r="I965" s="4" t="str">
        <f>IFERROR(__xludf.DUMMYFUNCTION("""COMPUTED_VALUE"""),"פסטיבל נובה; בר צפוני")</f>
        <v>פסטיבל נובה; בר צפוני</v>
      </c>
      <c r="J965" s="4" t="str">
        <f>IFERROR(__xludf.DUMMYFUNCTION("""COMPUTED_VALUE"""),"אזרחים וכיתות כוננות")</f>
        <v>אזרחים וכיתות כוננות</v>
      </c>
      <c r="K965" s="5" t="str">
        <f>IFERROR(__xludf.DUMMYFUNCTION("""COMPUTED_VALUE"""),"פסטיבל נובה")</f>
        <v>פסטיבל נובה</v>
      </c>
      <c r="L965" s="3" t="str">
        <f>IFERROR(__xludf.DUMMYFUNCTION("""COMPUTED_VALUE"""),"Avraham Gilad Tiberg")</f>
        <v>Avraham Gilad Tiberg</v>
      </c>
      <c r="M965" s="5"/>
    </row>
    <row r="966">
      <c r="A966" s="3">
        <f>IFERROR(__xludf.DUMMYFUNCTION("""COMPUTED_VALUE"""),910.0)</f>
        <v>910</v>
      </c>
      <c r="B966" s="4" t="str">
        <f>IFERROR(__xludf.DUMMYFUNCTION("""COMPUTED_VALUE"""),"טשרניחובסקי אורי")</f>
        <v>טשרניחובסקי אורי</v>
      </c>
      <c r="C966" s="3">
        <f>IFERROR(__xludf.DUMMYFUNCTION("""COMPUTED_VALUE"""),29.0)</f>
        <v>29</v>
      </c>
      <c r="D966" s="5" t="str">
        <f>IFERROR(__xludf.DUMMYFUNCTION("""COMPUTED_VALUE"""),"פתח תקווה")</f>
        <v>פתח תקווה</v>
      </c>
      <c r="E966" s="5" t="str">
        <f>IFERROR(__xludf.DUMMYFUNCTION("""COMPUTED_VALUE"""),"גבר")</f>
        <v>גבר</v>
      </c>
      <c r="F966" s="5" t="str">
        <f>IFERROR(__xludf.DUMMYFUNCTION("""COMPUTED_VALUE"""),"אזרחים")</f>
        <v>אזרחים</v>
      </c>
      <c r="G966" s="5"/>
      <c r="H966" s="3" t="str">
        <f>IFERROR(__xludf.DUMMYFUNCTION("""COMPUTED_VALUE"""),"07.10.2023")</f>
        <v>07.10.2023</v>
      </c>
      <c r="I966" s="4" t="str">
        <f>IFERROR(__xludf.DUMMYFUNCTION("""COMPUTED_VALUE"""),"פסטיבל נובה")</f>
        <v>פסטיבל נובה</v>
      </c>
      <c r="J966" s="4" t="str">
        <f>IFERROR(__xludf.DUMMYFUNCTION("""COMPUTED_VALUE"""),"אזרחים וכיתות כוננות")</f>
        <v>אזרחים וכיתות כוננות</v>
      </c>
      <c r="K966" s="5" t="str">
        <f>IFERROR(__xludf.DUMMYFUNCTION("""COMPUTED_VALUE"""),"פסטיבל נובה")</f>
        <v>פסטיבל נובה</v>
      </c>
      <c r="L966" s="3" t="str">
        <f>IFERROR(__xludf.DUMMYFUNCTION("""COMPUTED_VALUE"""),"Ori Tchernichovsky")</f>
        <v>Ori Tchernichovsky</v>
      </c>
      <c r="M966" s="5"/>
    </row>
    <row r="967">
      <c r="A967" s="3">
        <f>IFERROR(__xludf.DUMMYFUNCTION("""COMPUTED_VALUE"""),894.0)</f>
        <v>894</v>
      </c>
      <c r="B967" s="4" t="str">
        <f>IFERROR(__xludf.DUMMYFUNCTION("""COMPUTED_VALUE"""),"לוק אלכסנדר (אלכס)")</f>
        <v>לוק אלכסנדר (אלכס)</v>
      </c>
      <c r="C967" s="3">
        <f>IFERROR(__xludf.DUMMYFUNCTION("""COMPUTED_VALUE"""),35.0)</f>
        <v>35</v>
      </c>
      <c r="D967" s="5" t="str">
        <f>IFERROR(__xludf.DUMMYFUNCTION("""COMPUTED_VALUE"""),"קנדה")</f>
        <v>קנדה</v>
      </c>
      <c r="E967" s="5" t="str">
        <f>IFERROR(__xludf.DUMMYFUNCTION("""COMPUTED_VALUE"""),"גבר")</f>
        <v>גבר</v>
      </c>
      <c r="F967" s="5" t="str">
        <f>IFERROR(__xludf.DUMMYFUNCTION("""COMPUTED_VALUE"""),"אזרחים")</f>
        <v>אזרחים</v>
      </c>
      <c r="G967" s="3"/>
      <c r="H967" s="3" t="str">
        <f>IFERROR(__xludf.DUMMYFUNCTION("""COMPUTED_VALUE"""),"07.10.2023")</f>
        <v>07.10.2023</v>
      </c>
      <c r="I967" s="4" t="str">
        <f>IFERROR(__xludf.DUMMYFUNCTION("""COMPUTED_VALUE"""),"מיגונית בצומת בארי")</f>
        <v>מיגונית בצומת בארי</v>
      </c>
      <c r="J967" s="4" t="str">
        <f>IFERROR(__xludf.DUMMYFUNCTION("""COMPUTED_VALUE"""),"אזרחים וכיתות כוננות")</f>
        <v>אזרחים וכיתות כוננות</v>
      </c>
      <c r="K967" s="5" t="str">
        <f>IFERROR(__xludf.DUMMYFUNCTION("""COMPUTED_VALUE"""),"פסטיבל נובה")</f>
        <v>פסטיבל נובה</v>
      </c>
      <c r="L967" s="3" t="str">
        <f>IFERROR(__xludf.DUMMYFUNCTION("""COMPUTED_VALUE"""),"Alexandre look")</f>
        <v>Alexandre look</v>
      </c>
      <c r="M967" s="5"/>
    </row>
    <row r="968">
      <c r="A968" s="3">
        <f>IFERROR(__xludf.DUMMYFUNCTION("""COMPUTED_VALUE"""),998.0)</f>
        <v>998</v>
      </c>
      <c r="B968" s="4" t="str">
        <f>IFERROR(__xludf.DUMMYFUNCTION("""COMPUTED_VALUE"""),"ליבוביץ' שרון")</f>
        <v>ליבוביץ' שרון</v>
      </c>
      <c r="C968" s="3">
        <f>IFERROR(__xludf.DUMMYFUNCTION("""COMPUTED_VALUE"""),42.0)</f>
        <v>42</v>
      </c>
      <c r="D968" s="5" t="str">
        <f>IFERROR(__xludf.DUMMYFUNCTION("""COMPUTED_VALUE"""),"אבשלום")</f>
        <v>אבשלום</v>
      </c>
      <c r="E968" s="5" t="str">
        <f>IFERROR(__xludf.DUMMYFUNCTION("""COMPUTED_VALUE"""),"גבר")</f>
        <v>גבר</v>
      </c>
      <c r="F968" s="5" t="str">
        <f>IFERROR(__xludf.DUMMYFUNCTION("""COMPUTED_VALUE"""),"משטרה")</f>
        <v>משטרה</v>
      </c>
      <c r="G968" s="3" t="str">
        <f>IFERROR(__xludf.DUMMYFUNCTION("""COMPUTED_VALUE"""),"רס״ם")</f>
        <v>רס״ם</v>
      </c>
      <c r="H968" s="3" t="str">
        <f>IFERROR(__xludf.DUMMYFUNCTION("""COMPUTED_VALUE"""),"07.10.2023")</f>
        <v>07.10.2023</v>
      </c>
      <c r="I968" s="4" t="str">
        <f>IFERROR(__xludf.DUMMYFUNCTION("""COMPUTED_VALUE"""),"פסטיבל נובה; חסימה בכביש 232")</f>
        <v>פסטיבל נובה; חסימה בכביש 232</v>
      </c>
      <c r="J968" s="4" t="str">
        <f>IFERROR(__xludf.DUMMYFUNCTION("""COMPUTED_VALUE"""),"שוטרים וכוחות הצלה")</f>
        <v>שוטרים וכוחות הצלה</v>
      </c>
      <c r="K968" s="5" t="str">
        <f>IFERROR(__xludf.DUMMYFUNCTION("""COMPUTED_VALUE"""),"פסטיבל נובה")</f>
        <v>פסטיבל נובה</v>
      </c>
      <c r="L968" s="3" t="str">
        <f>IFERROR(__xludf.DUMMYFUNCTION("""COMPUTED_VALUE"""),"Sharon Leibovitz")</f>
        <v>Sharon Leibovitz</v>
      </c>
      <c r="M968" s="5"/>
    </row>
    <row r="969">
      <c r="A969" s="3">
        <f>IFERROR(__xludf.DUMMYFUNCTION("""COMPUTED_VALUE"""),893.0)</f>
        <v>893</v>
      </c>
      <c r="B969" s="4" t="str">
        <f>IFERROR(__xludf.DUMMYFUNCTION("""COMPUTED_VALUE"""),"מרלו ג'ייק")</f>
        <v>מרלו ג'ייק</v>
      </c>
      <c r="C969" s="3">
        <f>IFERROR(__xludf.DUMMYFUNCTION("""COMPUTED_VALUE"""),26.0)</f>
        <v>26</v>
      </c>
      <c r="D969" s="5" t="str">
        <f>IFERROR(__xludf.DUMMYFUNCTION("""COMPUTED_VALUE"""),"נתניה")</f>
        <v>נתניה</v>
      </c>
      <c r="E969" s="5" t="str">
        <f>IFERROR(__xludf.DUMMYFUNCTION("""COMPUTED_VALUE"""),"גבר")</f>
        <v>גבר</v>
      </c>
      <c r="F969" s="5" t="str">
        <f>IFERROR(__xludf.DUMMYFUNCTION("""COMPUTED_VALUE"""),"אזרחים")</f>
        <v>אזרחים</v>
      </c>
      <c r="G969" s="3"/>
      <c r="H969" s="3" t="str">
        <f>IFERROR(__xludf.DUMMYFUNCTION("""COMPUTED_VALUE"""),"07.10.2023")</f>
        <v>07.10.2023</v>
      </c>
      <c r="I969" s="4" t="str">
        <f>IFERROR(__xludf.DUMMYFUNCTION("""COMPUTED_VALUE"""),"כביש רעים - בארי")</f>
        <v>כביש רעים - בארי</v>
      </c>
      <c r="J969" s="4" t="str">
        <f>IFERROR(__xludf.DUMMYFUNCTION("""COMPUTED_VALUE"""),"אזרחים וכיתות כוננות")</f>
        <v>אזרחים וכיתות כוננות</v>
      </c>
      <c r="K969" s="5" t="str">
        <f>IFERROR(__xludf.DUMMYFUNCTION("""COMPUTED_VALUE"""),"פסטיבל נובה")</f>
        <v>פסטיבל נובה</v>
      </c>
      <c r="L969" s="3" t="str">
        <f>IFERROR(__xludf.DUMMYFUNCTION("""COMPUTED_VALUE"""),"Jake Marlowe")</f>
        <v>Jake Marlowe</v>
      </c>
      <c r="M969" s="5"/>
    </row>
    <row r="970">
      <c r="A970" s="3">
        <f>IFERROR(__xludf.DUMMYFUNCTION("""COMPUTED_VALUE"""),1477.0)</f>
        <v>1477</v>
      </c>
      <c r="B970" s="4" t="str">
        <f>IFERROR(__xludf.DUMMYFUNCTION("""COMPUTED_VALUE"""),"נחמן עילי")</f>
        <v>נחמן עילי</v>
      </c>
      <c r="C970" s="3">
        <f>IFERROR(__xludf.DUMMYFUNCTION("""COMPUTED_VALUE"""),23.0)</f>
        <v>23</v>
      </c>
      <c r="D970" s="5" t="str">
        <f>IFERROR(__xludf.DUMMYFUNCTION("""COMPUTED_VALUE"""),"אבן יהודה")</f>
        <v>אבן יהודה</v>
      </c>
      <c r="E970" s="5" t="str">
        <f>IFERROR(__xludf.DUMMYFUNCTION("""COMPUTED_VALUE"""),"גבר")</f>
        <v>גבר</v>
      </c>
      <c r="F970" s="5" t="str">
        <f>IFERROR(__xludf.DUMMYFUNCTION("""COMPUTED_VALUE"""),"שב""כ")</f>
        <v>שב"כ</v>
      </c>
      <c r="G970" s="3"/>
      <c r="H970" s="3" t="str">
        <f>IFERROR(__xludf.DUMMYFUNCTION("""COMPUTED_VALUE"""),"07.10.2023")</f>
        <v>07.10.2023</v>
      </c>
      <c r="I970" s="4" t="str">
        <f>IFERROR(__xludf.DUMMYFUNCTION("""COMPUTED_VALUE"""),"מיגונית בצומת גמה (צפון)")</f>
        <v>מיגונית בצומת גמה (צפון)</v>
      </c>
      <c r="J970" s="4" t="str">
        <f>IFERROR(__xludf.DUMMYFUNCTION("""COMPUTED_VALUE"""),"אזרחים וכיתות כוננות")</f>
        <v>אזרחים וכיתות כוננות</v>
      </c>
      <c r="K970" s="5" t="str">
        <f>IFERROR(__xludf.DUMMYFUNCTION("""COMPUTED_VALUE"""),"פסטיבל נובה")</f>
        <v>פסטיבל נובה</v>
      </c>
      <c r="L970" s="3" t="str">
        <f>IFERROR(__xludf.DUMMYFUNCTION("""COMPUTED_VALUE"""),"Ilay Nahman")</f>
        <v>Ilay Nahman</v>
      </c>
      <c r="M970" s="5"/>
    </row>
    <row r="971">
      <c r="A971" s="3">
        <f>IFERROR(__xludf.DUMMYFUNCTION("""COMPUTED_VALUE"""),847.0)</f>
        <v>847</v>
      </c>
      <c r="B971" s="4" t="str">
        <f>IFERROR(__xludf.DUMMYFUNCTION("""COMPUTED_VALUE"""),"סאסי אבי")</f>
        <v>סאסי אבי</v>
      </c>
      <c r="C971" s="3">
        <f>IFERROR(__xludf.DUMMYFUNCTION("""COMPUTED_VALUE"""),64.0)</f>
        <v>64</v>
      </c>
      <c r="D971" s="5" t="str">
        <f>IFERROR(__xludf.DUMMYFUNCTION("""COMPUTED_VALUE"""),"לוס אנג׳לס")</f>
        <v>לוס אנג׳לס</v>
      </c>
      <c r="E971" s="5" t="str">
        <f>IFERROR(__xludf.DUMMYFUNCTION("""COMPUTED_VALUE"""),"גבר")</f>
        <v>גבר</v>
      </c>
      <c r="F971" s="5" t="str">
        <f>IFERROR(__xludf.DUMMYFUNCTION("""COMPUTED_VALUE"""),"אזרחים")</f>
        <v>אזרחים</v>
      </c>
      <c r="G971" s="3"/>
      <c r="H971" s="3" t="str">
        <f>IFERROR(__xludf.DUMMYFUNCTION("""COMPUTED_VALUE"""),"07.10.2023")</f>
        <v>07.10.2023</v>
      </c>
      <c r="I971" s="4" t="str">
        <f>IFERROR(__xludf.DUMMYFUNCTION("""COMPUTED_VALUE"""),"מיגונית בצומת בארי")</f>
        <v>מיגונית בצומת בארי</v>
      </c>
      <c r="J971" s="4" t="str">
        <f>IFERROR(__xludf.DUMMYFUNCTION("""COMPUTED_VALUE"""),"אזרחים וכיתות כוננות")</f>
        <v>אזרחים וכיתות כוננות</v>
      </c>
      <c r="K971" s="5" t="str">
        <f>IFERROR(__xludf.DUMMYFUNCTION("""COMPUTED_VALUE"""),"פסטיבל נובה")</f>
        <v>פסטיבל נובה</v>
      </c>
      <c r="L971" s="3" t="str">
        <f>IFERROR(__xludf.DUMMYFUNCTION("""COMPUTED_VALUE"""),"Avi Sasi")</f>
        <v>Avi Sasi</v>
      </c>
      <c r="M971" s="5"/>
    </row>
    <row r="972">
      <c r="A972" s="3">
        <f>IFERROR(__xludf.DUMMYFUNCTION("""COMPUTED_VALUE"""),1057.0)</f>
        <v>1057</v>
      </c>
      <c r="B972" s="4" t="str">
        <f>IFERROR(__xludf.DUMMYFUNCTION("""COMPUTED_VALUE"""),"קנפו שי אל")</f>
        <v>קנפו שי אל</v>
      </c>
      <c r="C972" s="3">
        <f>IFERROR(__xludf.DUMMYFUNCTION("""COMPUTED_VALUE"""),30.0)</f>
        <v>30</v>
      </c>
      <c r="D972" s="5" t="str">
        <f>IFERROR(__xludf.DUMMYFUNCTION("""COMPUTED_VALUE"""),"באר שבע")</f>
        <v>באר שבע</v>
      </c>
      <c r="E972" s="5" t="str">
        <f>IFERROR(__xludf.DUMMYFUNCTION("""COMPUTED_VALUE"""),"גבר")</f>
        <v>גבר</v>
      </c>
      <c r="F972" s="5" t="str">
        <f>IFERROR(__xludf.DUMMYFUNCTION("""COMPUTED_VALUE"""),"משטרה")</f>
        <v>משטרה</v>
      </c>
      <c r="G972" s="3" t="str">
        <f>IFERROR(__xludf.DUMMYFUNCTION("""COMPUTED_VALUE"""),"רס״ר")</f>
        <v>רס״ר</v>
      </c>
      <c r="H972" s="3" t="str">
        <f>IFERROR(__xludf.DUMMYFUNCTION("""COMPUTED_VALUE"""),"07.10.2023")</f>
        <v>07.10.2023</v>
      </c>
      <c r="I972" s="4" t="str">
        <f>IFERROR(__xludf.DUMMYFUNCTION("""COMPUTED_VALUE"""),"פסטיבל נובה")</f>
        <v>פסטיבל נובה</v>
      </c>
      <c r="J972" s="4" t="str">
        <f>IFERROR(__xludf.DUMMYFUNCTION("""COMPUTED_VALUE"""),"שוטרים וכוחות הצלה")</f>
        <v>שוטרים וכוחות הצלה</v>
      </c>
      <c r="K972" s="5" t="str">
        <f>IFERROR(__xludf.DUMMYFUNCTION("""COMPUTED_VALUE"""),"פסטיבל נובה")</f>
        <v>פסטיבל נובה</v>
      </c>
      <c r="L972" s="3" t="str">
        <f>IFERROR(__xludf.DUMMYFUNCTION("""COMPUTED_VALUE"""),"Shai El Knafo")</f>
        <v>Shai El Knafo</v>
      </c>
      <c r="M972" s="5"/>
    </row>
    <row r="973">
      <c r="A973" s="3">
        <f>IFERROR(__xludf.DUMMYFUNCTION("""COMPUTED_VALUE"""),1188.0)</f>
        <v>1188</v>
      </c>
      <c r="B973" s="4" t="str">
        <f>IFERROR(__xludf.DUMMYFUNCTION("""COMPUTED_VALUE"""),"קרסיק ויטלי")</f>
        <v>קרסיק ויטלי</v>
      </c>
      <c r="C973" s="3">
        <f>IFERROR(__xludf.DUMMYFUNCTION("""COMPUTED_VALUE"""),38.0)</f>
        <v>38</v>
      </c>
      <c r="D973" s="5" t="str">
        <f>IFERROR(__xludf.DUMMYFUNCTION("""COMPUTED_VALUE"""),"אשקלון")</f>
        <v>אשקלון</v>
      </c>
      <c r="E973" s="5" t="str">
        <f>IFERROR(__xludf.DUMMYFUNCTION("""COMPUTED_VALUE"""),"גבר")</f>
        <v>גבר</v>
      </c>
      <c r="F973" s="5" t="str">
        <f>IFERROR(__xludf.DUMMYFUNCTION("""COMPUTED_VALUE"""),"משטרה")</f>
        <v>משטרה</v>
      </c>
      <c r="G973" s="5" t="str">
        <f>IFERROR(__xludf.DUMMYFUNCTION("""COMPUTED_VALUE"""),"רס״ב")</f>
        <v>רס״ב</v>
      </c>
      <c r="H973" s="3" t="str">
        <f>IFERROR(__xludf.DUMMYFUNCTION("""COMPUTED_VALUE"""),"07.10.2023")</f>
        <v>07.10.2023</v>
      </c>
      <c r="I973" s="4" t="str">
        <f>IFERROR(__xludf.DUMMYFUNCTION("""COMPUTED_VALUE"""),"פסטיבל נובה")</f>
        <v>פסטיבל נובה</v>
      </c>
      <c r="J973" s="2" t="str">
        <f>IFERROR(__xludf.DUMMYFUNCTION("""COMPUTED_VALUE"""),"שוטרים וכוחות הצלה")</f>
        <v>שוטרים וכוחות הצלה</v>
      </c>
      <c r="K973" s="5" t="str">
        <f>IFERROR(__xludf.DUMMYFUNCTION("""COMPUTED_VALUE"""),"פסטיבל נובה")</f>
        <v>פסטיבל נובה</v>
      </c>
      <c r="L973" s="3" t="str">
        <f>IFERROR(__xludf.DUMMYFUNCTION("""COMPUTED_VALUE"""),"Vitaly Karasik")</f>
        <v>Vitaly Karasik</v>
      </c>
      <c r="M973" s="5"/>
    </row>
    <row r="974">
      <c r="A974" s="3">
        <f>IFERROR(__xludf.DUMMYFUNCTION("""COMPUTED_VALUE"""),1729.0)</f>
        <v>1729</v>
      </c>
      <c r="B974" s="4" t="str">
        <f>IFERROR(__xludf.DUMMYFUNCTION("""COMPUTED_VALUE"""),"רחמני שרון")</f>
        <v>רחמני שרון</v>
      </c>
      <c r="C974" s="3">
        <f>IFERROR(__xludf.DUMMYFUNCTION("""COMPUTED_VALUE"""),34.0)</f>
        <v>34</v>
      </c>
      <c r="D974" s="5" t="str">
        <f>IFERROR(__xludf.DUMMYFUNCTION("""COMPUTED_VALUE"""),"מבועים")</f>
        <v>מבועים</v>
      </c>
      <c r="E974" s="5" t="str">
        <f>IFERROR(__xludf.DUMMYFUNCTION("""COMPUTED_VALUE"""),"אישה")</f>
        <v>אישה</v>
      </c>
      <c r="F974" s="5" t="str">
        <f>IFERROR(__xludf.DUMMYFUNCTION("""COMPUTED_VALUE"""),"משטרה")</f>
        <v>משטרה</v>
      </c>
      <c r="G974" s="5" t="str">
        <f>IFERROR(__xludf.DUMMYFUNCTION("""COMPUTED_VALUE"""),"רס״מ")</f>
        <v>רס״מ</v>
      </c>
      <c r="H974" s="3" t="str">
        <f>IFERROR(__xludf.DUMMYFUNCTION("""COMPUTED_VALUE"""),"07.10.2023")</f>
        <v>07.10.2023</v>
      </c>
      <c r="I974" s="4" t="str">
        <f>IFERROR(__xludf.DUMMYFUNCTION("""COMPUTED_VALUE"""),"פסטיבל נובה; במה מרכזית")</f>
        <v>פסטיבל נובה; במה מרכזית</v>
      </c>
      <c r="J974" s="4" t="str">
        <f>IFERROR(__xludf.DUMMYFUNCTION("""COMPUTED_VALUE"""),"שוטרים וכוחות הצלה")</f>
        <v>שוטרים וכוחות הצלה</v>
      </c>
      <c r="K974" s="5" t="str">
        <f>IFERROR(__xludf.DUMMYFUNCTION("""COMPUTED_VALUE"""),"פסטיבל נובה")</f>
        <v>פסטיבל נובה</v>
      </c>
      <c r="L974" s="3" t="str">
        <f>IFERROR(__xludf.DUMMYFUNCTION("""COMPUTED_VALUE"""),"Sharon Rachmani")</f>
        <v>Sharon Rachmani</v>
      </c>
      <c r="M974" s="5"/>
    </row>
    <row r="975">
      <c r="A975" s="3">
        <f>IFERROR(__xludf.DUMMYFUNCTION("""COMPUTED_VALUE"""),1643.0)</f>
        <v>1643</v>
      </c>
      <c r="B975" s="4" t="str">
        <f>IFERROR(__xludf.DUMMYFUNCTION("""COMPUTED_VALUE"""),"ריבלין אביעד שר שלום")</f>
        <v>ריבלין אביעד שר שלום</v>
      </c>
      <c r="C975" s="3">
        <f>IFERROR(__xludf.DUMMYFUNCTION("""COMPUTED_VALUE"""),23.0)</f>
        <v>23</v>
      </c>
      <c r="D975" s="5" t="str">
        <f>IFERROR(__xludf.DUMMYFUNCTION("""COMPUTED_VALUE"""),"עתניאל")</f>
        <v>עתניאל</v>
      </c>
      <c r="E975" s="5" t="str">
        <f>IFERROR(__xludf.DUMMYFUNCTION("""COMPUTED_VALUE"""),"גבר")</f>
        <v>גבר</v>
      </c>
      <c r="F975" s="5" t="str">
        <f>IFERROR(__xludf.DUMMYFUNCTION("""COMPUTED_VALUE"""),"צה""ל")</f>
        <v>צה"ל</v>
      </c>
      <c r="G975" s="3" t="str">
        <f>IFERROR(__xludf.DUMMYFUNCTION("""COMPUTED_VALUE"""),"סמ״ר")</f>
        <v>סמ״ר</v>
      </c>
      <c r="H975" s="3" t="str">
        <f>IFERROR(__xludf.DUMMYFUNCTION("""COMPUTED_VALUE"""),"07.10.2023")</f>
        <v>07.10.2023</v>
      </c>
      <c r="I975" s="4" t="str">
        <f>IFERROR(__xludf.DUMMYFUNCTION("""COMPUTED_VALUE"""),"פסטיבל נובה")</f>
        <v>פסטיבל נובה</v>
      </c>
      <c r="J975" s="2" t="str">
        <f>IFERROR(__xludf.DUMMYFUNCTION("""COMPUTED_VALUE"""),"אזרחים וכיתות כוננות")</f>
        <v>אזרחים וכיתות כוננות</v>
      </c>
      <c r="K975" s="5" t="str">
        <f>IFERROR(__xludf.DUMMYFUNCTION("""COMPUTED_VALUE"""),"פסטיבל נובה")</f>
        <v>פסטיבל נובה</v>
      </c>
      <c r="L975" s="3" t="str">
        <f>IFERROR(__xludf.DUMMYFUNCTION("""COMPUTED_VALUE"""),"Aviad Rivlin")</f>
        <v>Aviad Rivlin</v>
      </c>
      <c r="M975" s="5"/>
    </row>
    <row r="976">
      <c r="A976" s="3">
        <f>IFERROR(__xludf.DUMMYFUNCTION("""COMPUTED_VALUE"""),921.0)</f>
        <v>921</v>
      </c>
      <c r="B976" s="4" t="str">
        <f>IFERROR(__xludf.DUMMYFUNCTION("""COMPUTED_VALUE"""),"ריבלין גדעון הראל")</f>
        <v>ריבלין גדעון הראל</v>
      </c>
      <c r="C976" s="3">
        <f>IFERROR(__xludf.DUMMYFUNCTION("""COMPUTED_VALUE"""),18.0)</f>
        <v>18</v>
      </c>
      <c r="D976" s="5" t="str">
        <f>IFERROR(__xludf.DUMMYFUNCTION("""COMPUTED_VALUE"""),"עתניאל")</f>
        <v>עתניאל</v>
      </c>
      <c r="E976" s="5" t="str">
        <f>IFERROR(__xludf.DUMMYFUNCTION("""COMPUTED_VALUE"""),"גבר")</f>
        <v>גבר</v>
      </c>
      <c r="F976" s="5" t="str">
        <f>IFERROR(__xludf.DUMMYFUNCTION("""COMPUTED_VALUE"""),"אזרחים")</f>
        <v>אזרחים</v>
      </c>
      <c r="G976" s="3"/>
      <c r="H976" s="3" t="str">
        <f>IFERROR(__xludf.DUMMYFUNCTION("""COMPUTED_VALUE"""),"07.10.2023")</f>
        <v>07.10.2023</v>
      </c>
      <c r="I976" s="4" t="str">
        <f>IFERROR(__xludf.DUMMYFUNCTION("""COMPUTED_VALUE"""),"פסטיבל נובה; סמוך למכולות הצהובות")</f>
        <v>פסטיבל נובה; סמוך למכולות הצהובות</v>
      </c>
      <c r="J976" s="4" t="str">
        <f>IFERROR(__xludf.DUMMYFUNCTION("""COMPUTED_VALUE"""),"אזרחים וכיתות כוננות")</f>
        <v>אזרחים וכיתות כוננות</v>
      </c>
      <c r="K976" s="5" t="str">
        <f>IFERROR(__xludf.DUMMYFUNCTION("""COMPUTED_VALUE"""),"פסטיבל נובה")</f>
        <v>פסטיבל נובה</v>
      </c>
      <c r="L976" s="3" t="str">
        <f>IFERROR(__xludf.DUMMYFUNCTION("""COMPUTED_VALUE"""),"Gideon Rivlin")</f>
        <v>Gideon Rivlin</v>
      </c>
      <c r="M976" s="5"/>
    </row>
    <row r="977">
      <c r="A977" s="3">
        <f>IFERROR(__xludf.DUMMYFUNCTION("""COMPUTED_VALUE"""),839.0)</f>
        <v>839</v>
      </c>
      <c r="B977" s="4" t="str">
        <f>IFERROR(__xludf.DUMMYFUNCTION("""COMPUTED_VALUE"""),"ריכטר יונתן (שפיק)")</f>
        <v>ריכטר יונתן (שפיק)</v>
      </c>
      <c r="C977" s="3">
        <f>IFERROR(__xludf.DUMMYFUNCTION("""COMPUTED_VALUE"""),49.0)</f>
        <v>49</v>
      </c>
      <c r="D977" s="5" t="str">
        <f>IFERROR(__xludf.DUMMYFUNCTION("""COMPUTED_VALUE"""),"עין הוד")</f>
        <v>עין הוד</v>
      </c>
      <c r="E977" s="5" t="str">
        <f>IFERROR(__xludf.DUMMYFUNCTION("""COMPUTED_VALUE"""),"גבר")</f>
        <v>גבר</v>
      </c>
      <c r="F977" s="5" t="str">
        <f>IFERROR(__xludf.DUMMYFUNCTION("""COMPUTED_VALUE"""),"אזרחים")</f>
        <v>אזרחים</v>
      </c>
      <c r="G977" s="5"/>
      <c r="H977" s="3" t="str">
        <f>IFERROR(__xludf.DUMMYFUNCTION("""COMPUTED_VALUE"""),"07.10.2023")</f>
        <v>07.10.2023</v>
      </c>
      <c r="I977" s="4" t="str">
        <f>IFERROR(__xludf.DUMMYFUNCTION("""COMPUTED_VALUE"""),"פסטיבל נובה; סמוך למכולות הצהובות")</f>
        <v>פסטיבל נובה; סמוך למכולות הצהובות</v>
      </c>
      <c r="J977" s="4" t="str">
        <f>IFERROR(__xludf.DUMMYFUNCTION("""COMPUTED_VALUE"""),"אזרחים וכיתות כוננות")</f>
        <v>אזרחים וכיתות כוננות</v>
      </c>
      <c r="K977" s="5" t="str">
        <f>IFERROR(__xludf.DUMMYFUNCTION("""COMPUTED_VALUE"""),"פסטיבל נובה")</f>
        <v>פסטיבל נובה</v>
      </c>
      <c r="L977" s="3" t="str">
        <f>IFERROR(__xludf.DUMMYFUNCTION("""COMPUTED_VALUE"""),"Yonatan Richter")</f>
        <v>Yonatan Richter</v>
      </c>
      <c r="M977" s="5"/>
    </row>
    <row r="978">
      <c r="A978" s="3">
        <f>IFERROR(__xludf.DUMMYFUNCTION("""COMPUTED_VALUE"""),831.0)</f>
        <v>831</v>
      </c>
      <c r="B978" s="4" t="str">
        <f>IFERROR(__xludf.DUMMYFUNCTION("""COMPUTED_VALUE"""),"רם עמרי")</f>
        <v>רם עמרי</v>
      </c>
      <c r="C978" s="3">
        <f>IFERROR(__xludf.DUMMYFUNCTION("""COMPUTED_VALUE"""),29.0)</f>
        <v>29</v>
      </c>
      <c r="D978" s="5" t="str">
        <f>IFERROR(__xludf.DUMMYFUNCTION("""COMPUTED_VALUE"""),"עשרת")</f>
        <v>עשרת</v>
      </c>
      <c r="E978" s="5" t="str">
        <f>IFERROR(__xludf.DUMMYFUNCTION("""COMPUTED_VALUE"""),"גבר")</f>
        <v>גבר</v>
      </c>
      <c r="F978" s="5" t="str">
        <f>IFERROR(__xludf.DUMMYFUNCTION("""COMPUTED_VALUE"""),"אזרחים")</f>
        <v>אזרחים</v>
      </c>
      <c r="G978" s="5"/>
      <c r="H978" s="3" t="str">
        <f>IFERROR(__xludf.DUMMYFUNCTION("""COMPUTED_VALUE"""),"07.10.2023")</f>
        <v>07.10.2023</v>
      </c>
      <c r="I978" s="4" t="str">
        <f>IFERROR(__xludf.DUMMYFUNCTION("""COMPUTED_VALUE"""),"פסטיבל נובה")</f>
        <v>פסטיבל נובה</v>
      </c>
      <c r="J978" s="4" t="str">
        <f>IFERROR(__xludf.DUMMYFUNCTION("""COMPUTED_VALUE"""),"אזרחים וכיתות כוננות")</f>
        <v>אזרחים וכיתות כוננות</v>
      </c>
      <c r="K978" s="5" t="str">
        <f>IFERROR(__xludf.DUMMYFUNCTION("""COMPUTED_VALUE"""),"פסטיבל נובה")</f>
        <v>פסטיבל נובה</v>
      </c>
      <c r="L978" s="3" t="str">
        <f>IFERROR(__xludf.DUMMYFUNCTION("""COMPUTED_VALUE"""),"Omri Ram")</f>
        <v>Omri Ram</v>
      </c>
      <c r="M978" s="5"/>
    </row>
    <row r="979">
      <c r="A979" s="3">
        <f>IFERROR(__xludf.DUMMYFUNCTION("""COMPUTED_VALUE"""),744.0)</f>
        <v>744</v>
      </c>
      <c r="B979" s="4" t="str">
        <f>IFERROR(__xludf.DUMMYFUNCTION("""COMPUTED_VALUE"""),"שפירא ענר אליקים")</f>
        <v>שפירא ענר אליקים</v>
      </c>
      <c r="C979" s="3">
        <f>IFERROR(__xludf.DUMMYFUNCTION("""COMPUTED_VALUE"""),22.0)</f>
        <v>22</v>
      </c>
      <c r="D979" s="5" t="str">
        <f>IFERROR(__xludf.DUMMYFUNCTION("""COMPUTED_VALUE"""),"ירושלים")</f>
        <v>ירושלים</v>
      </c>
      <c r="E979" s="5" t="str">
        <f>IFERROR(__xludf.DUMMYFUNCTION("""COMPUTED_VALUE"""),"גבר")</f>
        <v>גבר</v>
      </c>
      <c r="F979" s="5" t="str">
        <f>IFERROR(__xludf.DUMMYFUNCTION("""COMPUTED_VALUE"""),"צה""ל")</f>
        <v>צה"ל</v>
      </c>
      <c r="G979" s="5" t="str">
        <f>IFERROR(__xludf.DUMMYFUNCTION("""COMPUTED_VALUE"""),"סמ״ר")</f>
        <v>סמ״ר</v>
      </c>
      <c r="H979" s="3" t="str">
        <f>IFERROR(__xludf.DUMMYFUNCTION("""COMPUTED_VALUE"""),"07.10.2023")</f>
        <v>07.10.2023</v>
      </c>
      <c r="I979" s="4" t="str">
        <f>IFERROR(__xludf.DUMMYFUNCTION("""COMPUTED_VALUE"""),"מיגונית בכניסה לרעים (מערב)")</f>
        <v>מיגונית בכניסה לרעים (מערב)</v>
      </c>
      <c r="J979" s="2" t="str">
        <f>IFERROR(__xludf.DUMMYFUNCTION("""COMPUTED_VALUE"""),"אזרחים וכיתות כוננות")</f>
        <v>אזרחים וכיתות כוננות</v>
      </c>
      <c r="K979" s="5" t="str">
        <f>IFERROR(__xludf.DUMMYFUNCTION("""COMPUTED_VALUE"""),"פסטיבל נובה")</f>
        <v>פסטיבל נובה</v>
      </c>
      <c r="L979" s="3" t="str">
        <f>IFERROR(__xludf.DUMMYFUNCTION("""COMPUTED_VALUE"""),"Aner Elyakim Shapira")</f>
        <v>Aner Elyakim Shapira</v>
      </c>
      <c r="M979" s="5"/>
    </row>
    <row r="980">
      <c r="A980" s="3">
        <f>IFERROR(__xludf.DUMMYFUNCTION("""COMPUTED_VALUE"""),206.0)</f>
        <v>206</v>
      </c>
      <c r="B980" s="4" t="str">
        <f>IFERROR(__xludf.DUMMYFUNCTION("""COMPUTED_VALUE"""),"נעים אמיר")</f>
        <v>נעים אמיר</v>
      </c>
      <c r="C980" s="3">
        <f>IFERROR(__xludf.DUMMYFUNCTION("""COMPUTED_VALUE"""),27.0)</f>
        <v>27</v>
      </c>
      <c r="D980" s="5" t="str">
        <f>IFERROR(__xludf.DUMMYFUNCTION("""COMPUTED_VALUE"""),"ארז")</f>
        <v>ארז</v>
      </c>
      <c r="E980" s="5" t="str">
        <f>IFERROR(__xludf.DUMMYFUNCTION("""COMPUTED_VALUE"""),"גבר")</f>
        <v>גבר</v>
      </c>
      <c r="F980" s="5" t="str">
        <f>IFERROR(__xludf.DUMMYFUNCTION("""COMPUTED_VALUE"""),"כיתות כוננות")</f>
        <v>כיתות כוננות</v>
      </c>
      <c r="G980" s="5" t="str">
        <f>IFERROR(__xludf.DUMMYFUNCTION("""COMPUTED_VALUE"""),"רס״ן")</f>
        <v>רס״ן</v>
      </c>
      <c r="H980" s="3" t="str">
        <f>IFERROR(__xludf.DUMMYFUNCTION("""COMPUTED_VALUE"""),"07.10.2023")</f>
        <v>07.10.2023</v>
      </c>
      <c r="I980" s="4" t="str">
        <f>IFERROR(__xludf.DUMMYFUNCTION("""COMPUTED_VALUE"""),"סמוך לארז")</f>
        <v>סמוך לארז</v>
      </c>
      <c r="J980" s="2" t="str">
        <f>IFERROR(__xludf.DUMMYFUNCTION("""COMPUTED_VALUE"""),"אזרחים וכיתות כוננות")</f>
        <v>אזרחים וכיתות כוננות</v>
      </c>
      <c r="K980" s="5"/>
      <c r="L980" s="3" t="str">
        <f>IFERROR(__xludf.DUMMYFUNCTION("""COMPUTED_VALUE"""),"Amir Naim")</f>
        <v>Amir Naim</v>
      </c>
      <c r="M980" s="5"/>
    </row>
    <row r="981">
      <c r="A981" s="3">
        <f>IFERROR(__xludf.DUMMYFUNCTION("""COMPUTED_VALUE"""),35.0)</f>
        <v>35</v>
      </c>
      <c r="B981" s="4" t="str">
        <f>IFERROR(__xludf.DUMMYFUNCTION("""COMPUTED_VALUE"""),"אבני חגי")</f>
        <v>אבני חגי</v>
      </c>
      <c r="C981" s="3">
        <f>IFERROR(__xludf.DUMMYFUNCTION("""COMPUTED_VALUE"""),50.0)</f>
        <v>50</v>
      </c>
      <c r="D981" s="5" t="str">
        <f>IFERROR(__xludf.DUMMYFUNCTION("""COMPUTED_VALUE"""),"בארי")</f>
        <v>בארי</v>
      </c>
      <c r="E981" s="5" t="str">
        <f>IFERROR(__xludf.DUMMYFUNCTION("""COMPUTED_VALUE"""),"גבר")</f>
        <v>גבר</v>
      </c>
      <c r="F981" s="5" t="str">
        <f>IFERROR(__xludf.DUMMYFUNCTION("""COMPUTED_VALUE"""),"כיתות כוננות")</f>
        <v>כיתות כוננות</v>
      </c>
      <c r="G981" s="5" t="str">
        <f>IFERROR(__xludf.DUMMYFUNCTION("""COMPUTED_VALUE"""),"רס״ם")</f>
        <v>רס״ם</v>
      </c>
      <c r="H981" s="3" t="str">
        <f>IFERROR(__xludf.DUMMYFUNCTION("""COMPUTED_VALUE"""),"07.10.2023")</f>
        <v>07.10.2023</v>
      </c>
      <c r="I981" s="4" t="str">
        <f>IFERROR(__xludf.DUMMYFUNCTION("""COMPUTED_VALUE"""),"בארי")</f>
        <v>בארי</v>
      </c>
      <c r="J981" s="4" t="str">
        <f>IFERROR(__xludf.DUMMYFUNCTION("""COMPUTED_VALUE"""),"אזרחים וכיתות כוננות")</f>
        <v>אזרחים וכיתות כוננות</v>
      </c>
      <c r="K981" s="5"/>
      <c r="L981" s="3" t="str">
        <f>IFERROR(__xludf.DUMMYFUNCTION("""COMPUTED_VALUE"""),"Haggai Avni")</f>
        <v>Haggai Avni</v>
      </c>
      <c r="M981" s="5"/>
    </row>
    <row r="982">
      <c r="A982" s="3">
        <f>IFERROR(__xludf.DUMMYFUNCTION("""COMPUTED_VALUE"""),30.0)</f>
        <v>30</v>
      </c>
      <c r="B982" s="4" t="str">
        <f>IFERROR(__xludf.DUMMYFUNCTION("""COMPUTED_VALUE"""),"אברג'יל אלירן")</f>
        <v>אברג'יל אלירן</v>
      </c>
      <c r="C982" s="3">
        <f>IFERROR(__xludf.DUMMYFUNCTION("""COMPUTED_VALUE"""),29.0)</f>
        <v>29</v>
      </c>
      <c r="D982" s="5" t="str">
        <f>IFERROR(__xludf.DUMMYFUNCTION("""COMPUTED_VALUE"""),"נתניה")</f>
        <v>נתניה</v>
      </c>
      <c r="E982" s="5" t="str">
        <f>IFERROR(__xludf.DUMMYFUNCTION("""COMPUTED_VALUE"""),"גבר")</f>
        <v>גבר</v>
      </c>
      <c r="F982" s="5" t="str">
        <f>IFERROR(__xludf.DUMMYFUNCTION("""COMPUTED_VALUE"""),"משטרה")</f>
        <v>משטרה</v>
      </c>
      <c r="G982" s="3" t="str">
        <f>IFERROR(__xludf.DUMMYFUNCTION("""COMPUTED_VALUE"""),"רס״מ")</f>
        <v>רס״מ</v>
      </c>
      <c r="H982" s="3" t="str">
        <f>IFERROR(__xludf.DUMMYFUNCTION("""COMPUTED_VALUE"""),"07.10.2023")</f>
        <v>07.10.2023</v>
      </c>
      <c r="I982" s="4" t="str">
        <f>IFERROR(__xludf.DUMMYFUNCTION("""COMPUTED_VALUE"""),"בארי")</f>
        <v>בארי</v>
      </c>
      <c r="J982" s="4" t="str">
        <f>IFERROR(__xludf.DUMMYFUNCTION("""COMPUTED_VALUE"""),"שוטרים וכוחות הצלה")</f>
        <v>שוטרים וכוחות הצלה</v>
      </c>
      <c r="K982" s="5"/>
      <c r="L982" s="3" t="str">
        <f>IFERROR(__xludf.DUMMYFUNCTION("""COMPUTED_VALUE"""),"Eliran Abargil")</f>
        <v>Eliran Abargil</v>
      </c>
      <c r="M982" s="5"/>
    </row>
    <row r="983">
      <c r="A983" s="3">
        <f>IFERROR(__xludf.DUMMYFUNCTION("""COMPUTED_VALUE"""),109.0)</f>
        <v>109</v>
      </c>
      <c r="B983" s="4" t="str">
        <f>IFERROR(__xludf.DUMMYFUNCTION("""COMPUTED_VALUE"""),"אוחנה אריאל")</f>
        <v>אוחנה אריאל</v>
      </c>
      <c r="C983" s="3">
        <f>IFERROR(__xludf.DUMMYFUNCTION("""COMPUTED_VALUE"""),19.0)</f>
        <v>19</v>
      </c>
      <c r="D983" s="5" t="str">
        <f>IFERROR(__xludf.DUMMYFUNCTION("""COMPUTED_VALUE"""),"רבדים")</f>
        <v>רבדים</v>
      </c>
      <c r="E983" s="5" t="str">
        <f>IFERROR(__xludf.DUMMYFUNCTION("""COMPUTED_VALUE"""),"גבר")</f>
        <v>גבר</v>
      </c>
      <c r="F983" s="5" t="str">
        <f>IFERROR(__xludf.DUMMYFUNCTION("""COMPUTED_VALUE"""),"צה""ל")</f>
        <v>צה"ל</v>
      </c>
      <c r="G983" s="3" t="str">
        <f>IFERROR(__xludf.DUMMYFUNCTION("""COMPUTED_VALUE"""),"סמל")</f>
        <v>סמל</v>
      </c>
      <c r="H983" s="3" t="str">
        <f>IFERROR(__xludf.DUMMYFUNCTION("""COMPUTED_VALUE"""),"08.10.2023")</f>
        <v>08.10.2023</v>
      </c>
      <c r="I983" s="4" t="str">
        <f>IFERROR(__xludf.DUMMYFUNCTION("""COMPUTED_VALUE"""),"בארי")</f>
        <v>בארי</v>
      </c>
      <c r="J983" s="4" t="str">
        <f>IFERROR(__xludf.DUMMYFUNCTION("""COMPUTED_VALUE"""),"חיילים")</f>
        <v>חיילים</v>
      </c>
      <c r="K983" s="5"/>
      <c r="L983" s="3" t="str">
        <f>IFERROR(__xludf.DUMMYFUNCTION("""COMPUTED_VALUE"""),"Ariel Ohana")</f>
        <v>Ariel Ohana</v>
      </c>
      <c r="M983" s="5"/>
    </row>
    <row r="984">
      <c r="A984" s="3">
        <f>IFERROR(__xludf.DUMMYFUNCTION("""COMPUTED_VALUE"""),1545.0)</f>
        <v>1545</v>
      </c>
      <c r="B984" s="4" t="str">
        <f>IFERROR(__xludf.DUMMYFUNCTION("""COMPUTED_VALUE"""),"אליהו אריאל")</f>
        <v>אליהו אריאל</v>
      </c>
      <c r="C984" s="3">
        <f>IFERROR(__xludf.DUMMYFUNCTION("""COMPUTED_VALUE"""),19.0)</f>
        <v>19</v>
      </c>
      <c r="D984" s="5" t="str">
        <f>IFERROR(__xludf.DUMMYFUNCTION("""COMPUTED_VALUE"""),"מצפה יריחו")</f>
        <v>מצפה יריחו</v>
      </c>
      <c r="E984" s="5" t="str">
        <f>IFERROR(__xludf.DUMMYFUNCTION("""COMPUTED_VALUE"""),"גבר")</f>
        <v>גבר</v>
      </c>
      <c r="F984" s="5" t="str">
        <f>IFERROR(__xludf.DUMMYFUNCTION("""COMPUTED_VALUE"""),"צה""ל")</f>
        <v>צה"ל</v>
      </c>
      <c r="G984" s="5" t="str">
        <f>IFERROR(__xludf.DUMMYFUNCTION("""COMPUTED_VALUE"""),"סמל")</f>
        <v>סמל</v>
      </c>
      <c r="H984" s="3" t="str">
        <f>IFERROR(__xludf.DUMMYFUNCTION("""COMPUTED_VALUE"""),"07.10.2023")</f>
        <v>07.10.2023</v>
      </c>
      <c r="I984" s="4" t="str">
        <f>IFERROR(__xludf.DUMMYFUNCTION("""COMPUTED_VALUE"""),"עמדה 91")</f>
        <v>עמדה 91</v>
      </c>
      <c r="J984" s="4" t="str">
        <f>IFERROR(__xludf.DUMMYFUNCTION("""COMPUTED_VALUE"""),"חיילים")</f>
        <v>חיילים</v>
      </c>
      <c r="K984" s="5"/>
      <c r="L984" s="3" t="str">
        <f>IFERROR(__xludf.DUMMYFUNCTION("""COMPUTED_VALUE"""),"Ariel Eliyahu")</f>
        <v>Ariel Eliyahu</v>
      </c>
      <c r="M984" s="5"/>
    </row>
    <row r="985">
      <c r="A985" s="3">
        <f>IFERROR(__xludf.DUMMYFUNCTION("""COMPUTED_VALUE"""),54.0)</f>
        <v>54</v>
      </c>
      <c r="B985" s="4" t="str">
        <f>IFERROR(__xludf.DUMMYFUNCTION("""COMPUTED_VALUE"""),"בויום גיל")</f>
        <v>בויום גיל</v>
      </c>
      <c r="C985" s="3">
        <f>IFERROR(__xludf.DUMMYFUNCTION("""COMPUTED_VALUE"""),55.0)</f>
        <v>55</v>
      </c>
      <c r="D985" s="5" t="str">
        <f>IFERROR(__xludf.DUMMYFUNCTION("""COMPUTED_VALUE"""),"בארי")</f>
        <v>בארי</v>
      </c>
      <c r="E985" s="5" t="str">
        <f>IFERROR(__xludf.DUMMYFUNCTION("""COMPUTED_VALUE"""),"גבר")</f>
        <v>גבר</v>
      </c>
      <c r="F985" s="5" t="str">
        <f>IFERROR(__xludf.DUMMYFUNCTION("""COMPUTED_VALUE"""),"כיתות כוננות")</f>
        <v>כיתות כוננות</v>
      </c>
      <c r="G985" s="5" t="str">
        <f>IFERROR(__xludf.DUMMYFUNCTION("""COMPUTED_VALUE"""),"רס״ב")</f>
        <v>רס״ב</v>
      </c>
      <c r="H985" s="3" t="str">
        <f>IFERROR(__xludf.DUMMYFUNCTION("""COMPUTED_VALUE"""),"07.10.2023")</f>
        <v>07.10.2023</v>
      </c>
      <c r="I985" s="4" t="str">
        <f>IFERROR(__xludf.DUMMYFUNCTION("""COMPUTED_VALUE"""),"בארי")</f>
        <v>בארי</v>
      </c>
      <c r="J985" s="4" t="str">
        <f>IFERROR(__xludf.DUMMYFUNCTION("""COMPUTED_VALUE"""),"אזרחים וכיתות כוננות")</f>
        <v>אזרחים וכיתות כוננות</v>
      </c>
      <c r="K985" s="5"/>
      <c r="L985" s="3" t="str">
        <f>IFERROR(__xludf.DUMMYFUNCTION("""COMPUTED_VALUE"""),"Gil Buyum")</f>
        <v>Gil Buyum</v>
      </c>
      <c r="M985" s="5"/>
    </row>
    <row r="986">
      <c r="A986" s="3">
        <f>IFERROR(__xludf.DUMMYFUNCTION("""COMPUTED_VALUE"""),214.0)</f>
        <v>214</v>
      </c>
      <c r="B986" s="4" t="str">
        <f>IFERROR(__xludf.DUMMYFUNCTION("""COMPUTED_VALUE"""),"בלקין עמרי")</f>
        <v>בלקין עמרי</v>
      </c>
      <c r="C986" s="3">
        <f>IFERROR(__xludf.DUMMYFUNCTION("""COMPUTED_VALUE"""),25.0)</f>
        <v>25</v>
      </c>
      <c r="D986" s="5" t="str">
        <f>IFERROR(__xludf.DUMMYFUNCTION("""COMPUTED_VALUE"""),"רמת השרון")</f>
        <v>רמת השרון</v>
      </c>
      <c r="E986" s="5" t="str">
        <f>IFERROR(__xludf.DUMMYFUNCTION("""COMPUTED_VALUE"""),"גבר")</f>
        <v>גבר</v>
      </c>
      <c r="F986" s="5" t="str">
        <f>IFERROR(__xludf.DUMMYFUNCTION("""COMPUTED_VALUE"""),"צה""ל (מיל')")</f>
        <v>צה"ל (מיל')</v>
      </c>
      <c r="G986" s="5" t="str">
        <f>IFERROR(__xludf.DUMMYFUNCTION("""COMPUTED_VALUE"""),"רס״ר")</f>
        <v>רס״ר</v>
      </c>
      <c r="H986" s="3" t="str">
        <f>IFERROR(__xludf.DUMMYFUNCTION("""COMPUTED_VALUE"""),"07.10.2023")</f>
        <v>07.10.2023</v>
      </c>
      <c r="I986" s="4" t="str">
        <f>IFERROR(__xludf.DUMMYFUNCTION("""COMPUTED_VALUE"""),"בארי")</f>
        <v>בארי</v>
      </c>
      <c r="J986" s="2" t="str">
        <f>IFERROR(__xludf.DUMMYFUNCTION("""COMPUTED_VALUE"""),"חיילים")</f>
        <v>חיילים</v>
      </c>
      <c r="K986" s="5"/>
      <c r="L986" s="3" t="str">
        <f>IFERROR(__xludf.DUMMYFUNCTION("""COMPUTED_VALUE"""),"Omri Belkin")</f>
        <v>Omri Belkin</v>
      </c>
      <c r="M986" s="5"/>
    </row>
    <row r="987">
      <c r="A987" s="3">
        <f>IFERROR(__xludf.DUMMYFUNCTION("""COMPUTED_VALUE"""),215.0)</f>
        <v>215</v>
      </c>
      <c r="B987" s="4" t="str">
        <f>IFERROR(__xludf.DUMMYFUNCTION("""COMPUTED_VALUE"""),"בן דוד נריה")</f>
        <v>בן דוד נריה</v>
      </c>
      <c r="C987" s="3">
        <f>IFERROR(__xludf.DUMMYFUNCTION("""COMPUTED_VALUE"""),22.0)</f>
        <v>22</v>
      </c>
      <c r="D987" s="5" t="str">
        <f>IFERROR(__xludf.DUMMYFUNCTION("""COMPUTED_VALUE"""),"חיפה")</f>
        <v>חיפה</v>
      </c>
      <c r="E987" s="5" t="str">
        <f>IFERROR(__xludf.DUMMYFUNCTION("""COMPUTED_VALUE"""),"גבר")</f>
        <v>גבר</v>
      </c>
      <c r="F987" s="5" t="str">
        <f>IFERROR(__xludf.DUMMYFUNCTION("""COMPUTED_VALUE"""),"צה""ל")</f>
        <v>צה"ל</v>
      </c>
      <c r="G987" s="5" t="str">
        <f>IFERROR(__xludf.DUMMYFUNCTION("""COMPUTED_VALUE"""),"סמ״ר")</f>
        <v>סמ״ר</v>
      </c>
      <c r="H987" s="3" t="str">
        <f>IFERROR(__xludf.DUMMYFUNCTION("""COMPUTED_VALUE"""),"08.10.2023")</f>
        <v>08.10.2023</v>
      </c>
      <c r="I987" s="4" t="str">
        <f>IFERROR(__xludf.DUMMYFUNCTION("""COMPUTED_VALUE"""),"בארי")</f>
        <v>בארי</v>
      </c>
      <c r="J987" s="4" t="str">
        <f>IFERROR(__xludf.DUMMYFUNCTION("""COMPUTED_VALUE"""),"חיילים")</f>
        <v>חיילים</v>
      </c>
      <c r="K987" s="5"/>
      <c r="L987" s="3" t="str">
        <f>IFERROR(__xludf.DUMMYFUNCTION("""COMPUTED_VALUE"""),"Neria Ben-David")</f>
        <v>Neria Ben-David</v>
      </c>
      <c r="M987" s="5"/>
    </row>
    <row r="988">
      <c r="A988" s="3">
        <f>IFERROR(__xludf.DUMMYFUNCTION("""COMPUTED_VALUE"""),231.0)</f>
        <v>231</v>
      </c>
      <c r="B988" s="4" t="str">
        <f>IFERROR(__xludf.DUMMYFUNCTION("""COMPUTED_VALUE"""),"גוטין יונתן")</f>
        <v>גוטין יונתן</v>
      </c>
      <c r="C988" s="3">
        <f>IFERROR(__xludf.DUMMYFUNCTION("""COMPUTED_VALUE"""),20.0)</f>
        <v>20</v>
      </c>
      <c r="D988" s="5" t="str">
        <f>IFERROR(__xludf.DUMMYFUNCTION("""COMPUTED_VALUE"""),"מודיעין מכבים רעות")</f>
        <v>מודיעין מכבים רעות</v>
      </c>
      <c r="E988" s="5" t="str">
        <f>IFERROR(__xludf.DUMMYFUNCTION("""COMPUTED_VALUE"""),"גבר")</f>
        <v>גבר</v>
      </c>
      <c r="F988" s="5" t="str">
        <f>IFERROR(__xludf.DUMMYFUNCTION("""COMPUTED_VALUE"""),"צה""ל")</f>
        <v>צה"ל</v>
      </c>
      <c r="G988" s="5" t="str">
        <f>IFERROR(__xludf.DUMMYFUNCTION("""COMPUTED_VALUE"""),"סגן")</f>
        <v>סגן</v>
      </c>
      <c r="H988" s="3" t="str">
        <f>IFERROR(__xludf.DUMMYFUNCTION("""COMPUTED_VALUE"""),"07.10.2023")</f>
        <v>07.10.2023</v>
      </c>
      <c r="I988" s="4" t="str">
        <f>IFERROR(__xludf.DUMMYFUNCTION("""COMPUTED_VALUE"""),"בארי")</f>
        <v>בארי</v>
      </c>
      <c r="J988" s="4" t="str">
        <f>IFERROR(__xludf.DUMMYFUNCTION("""COMPUTED_VALUE"""),"חיילים")</f>
        <v>חיילים</v>
      </c>
      <c r="K988" s="5"/>
      <c r="L988" s="3" t="str">
        <f>IFERROR(__xludf.DUMMYFUNCTION("""COMPUTED_VALUE"""),"Yonatan Gutin")</f>
        <v>Yonatan Gutin</v>
      </c>
      <c r="M988" s="5"/>
    </row>
    <row r="989">
      <c r="A989" s="3">
        <f>IFERROR(__xludf.DUMMYFUNCTION("""COMPUTED_VALUE"""),79.0)</f>
        <v>79</v>
      </c>
      <c r="B989" s="4" t="str">
        <f>IFERROR(__xludf.DUMMYFUNCTION("""COMPUTED_VALUE"""),"גולן שגיא")</f>
        <v>גולן שגיא</v>
      </c>
      <c r="C989" s="3">
        <f>IFERROR(__xludf.DUMMYFUNCTION("""COMPUTED_VALUE"""),30.0)</f>
        <v>30</v>
      </c>
      <c r="D989" s="5" t="str">
        <f>IFERROR(__xludf.DUMMYFUNCTION("""COMPUTED_VALUE"""),"רעננה")</f>
        <v>רעננה</v>
      </c>
      <c r="E989" s="5" t="str">
        <f>IFERROR(__xludf.DUMMYFUNCTION("""COMPUTED_VALUE"""),"גבר")</f>
        <v>גבר</v>
      </c>
      <c r="F989" s="5" t="str">
        <f>IFERROR(__xludf.DUMMYFUNCTION("""COMPUTED_VALUE"""),"צה""ל")</f>
        <v>צה"ל</v>
      </c>
      <c r="G989" s="5" t="str">
        <f>IFERROR(__xludf.DUMMYFUNCTION("""COMPUTED_VALUE"""),"רס״ן")</f>
        <v>רס״ן</v>
      </c>
      <c r="H989" s="3" t="str">
        <f>IFERROR(__xludf.DUMMYFUNCTION("""COMPUTED_VALUE"""),"08.10.2023")</f>
        <v>08.10.2023</v>
      </c>
      <c r="I989" s="4" t="str">
        <f>IFERROR(__xludf.DUMMYFUNCTION("""COMPUTED_VALUE"""),"בארי")</f>
        <v>בארי</v>
      </c>
      <c r="J989" s="4" t="str">
        <f>IFERROR(__xludf.DUMMYFUNCTION("""COMPUTED_VALUE"""),"חיילים")</f>
        <v>חיילים</v>
      </c>
      <c r="K989" s="5"/>
      <c r="L989" s="3" t="str">
        <f>IFERROR(__xludf.DUMMYFUNCTION("""COMPUTED_VALUE"""),"Sagi Golan")</f>
        <v>Sagi Golan</v>
      </c>
      <c r="M989" s="5"/>
    </row>
    <row r="990">
      <c r="A990" s="3">
        <f>IFERROR(__xludf.DUMMYFUNCTION("""COMPUTED_VALUE"""),1178.0)</f>
        <v>1178</v>
      </c>
      <c r="B990" s="4" t="str">
        <f>IFERROR(__xludf.DUMMYFUNCTION("""COMPUTED_VALUE"""),"גינסברג אלי")</f>
        <v>גינסברג אלי</v>
      </c>
      <c r="C990" s="3">
        <f>IFERROR(__xludf.DUMMYFUNCTION("""COMPUTED_VALUE"""),42.0)</f>
        <v>42</v>
      </c>
      <c r="D990" s="5" t="str">
        <f>IFERROR(__xludf.DUMMYFUNCTION("""COMPUTED_VALUE"""),"דברת")</f>
        <v>דברת</v>
      </c>
      <c r="E990" s="5" t="str">
        <f>IFERROR(__xludf.DUMMYFUNCTION("""COMPUTED_VALUE"""),"גבר")</f>
        <v>גבר</v>
      </c>
      <c r="F990" s="5" t="str">
        <f>IFERROR(__xludf.DUMMYFUNCTION("""COMPUTED_VALUE"""),"צה""ל")</f>
        <v>צה"ל</v>
      </c>
      <c r="G990" s="5" t="str">
        <f>IFERROR(__xludf.DUMMYFUNCTION("""COMPUTED_VALUE"""),"סא״ל")</f>
        <v>סא״ל</v>
      </c>
      <c r="H990" s="3" t="str">
        <f>IFERROR(__xludf.DUMMYFUNCTION("""COMPUTED_VALUE"""),"08.10.2023")</f>
        <v>08.10.2023</v>
      </c>
      <c r="I990" s="4" t="str">
        <f>IFERROR(__xludf.DUMMYFUNCTION("""COMPUTED_VALUE"""),"בארי")</f>
        <v>בארי</v>
      </c>
      <c r="J990" s="4" t="str">
        <f>IFERROR(__xludf.DUMMYFUNCTION("""COMPUTED_VALUE"""),"חיילים")</f>
        <v>חיילים</v>
      </c>
      <c r="K990" s="5"/>
      <c r="L990" s="3" t="str">
        <f>IFERROR(__xludf.DUMMYFUNCTION("""COMPUTED_VALUE"""),"Eli Ginsberg")</f>
        <v>Eli Ginsberg</v>
      </c>
      <c r="M990" s="5"/>
    </row>
    <row r="991">
      <c r="A991" s="3">
        <f>IFERROR(__xludf.DUMMYFUNCTION("""COMPUTED_VALUE"""),1578.0)</f>
        <v>1578</v>
      </c>
      <c r="B991" s="4" t="str">
        <f>IFERROR(__xludf.DUMMYFUNCTION("""COMPUTED_VALUE"""),"גנות דן")</f>
        <v>גנות דן</v>
      </c>
      <c r="C991" s="3">
        <f>IFERROR(__xludf.DUMMYFUNCTION("""COMPUTED_VALUE"""),41.0)</f>
        <v>41</v>
      </c>
      <c r="D991" s="5" t="str">
        <f>IFERROR(__xludf.DUMMYFUNCTION("""COMPUTED_VALUE"""),"חריש")</f>
        <v>חריש</v>
      </c>
      <c r="E991" s="5" t="str">
        <f>IFERROR(__xludf.DUMMYFUNCTION("""COMPUTED_VALUE"""),"גבר")</f>
        <v>גבר</v>
      </c>
      <c r="F991" s="5" t="str">
        <f>IFERROR(__xludf.DUMMYFUNCTION("""COMPUTED_VALUE"""),"משטרה")</f>
        <v>משטרה</v>
      </c>
      <c r="G991" s="5" t="str">
        <f>IFERROR(__xludf.DUMMYFUNCTION("""COMPUTED_VALUE"""),"רפ״ק")</f>
        <v>רפ״ק</v>
      </c>
      <c r="H991" s="3" t="str">
        <f>IFERROR(__xludf.DUMMYFUNCTION("""COMPUTED_VALUE"""),"07.10.2023")</f>
        <v>07.10.2023</v>
      </c>
      <c r="I991" s="4" t="str">
        <f>IFERROR(__xludf.DUMMYFUNCTION("""COMPUTED_VALUE"""),"בארי")</f>
        <v>בארי</v>
      </c>
      <c r="J991" s="2" t="str">
        <f>IFERROR(__xludf.DUMMYFUNCTION("""COMPUTED_VALUE"""),"שוטרים וכוחות הצלה")</f>
        <v>שוטרים וכוחות הצלה</v>
      </c>
      <c r="K991" s="5"/>
      <c r="L991" s="3" t="str">
        <f>IFERROR(__xludf.DUMMYFUNCTION("""COMPUTED_VALUE"""),"Dan Ganot")</f>
        <v>Dan Ganot</v>
      </c>
      <c r="M991" s="5"/>
    </row>
    <row r="992">
      <c r="A992" s="3">
        <f>IFERROR(__xludf.DUMMYFUNCTION("""COMPUTED_VALUE"""),76.0)</f>
        <v>76</v>
      </c>
      <c r="B992" s="4" t="str">
        <f>IFERROR(__xludf.DUMMYFUNCTION("""COMPUTED_VALUE"""),"גנסיה ולנטין (אלי)")</f>
        <v>גנסיה ולנטין (אלי)</v>
      </c>
      <c r="C992" s="3">
        <f>IFERROR(__xludf.DUMMYFUNCTION("""COMPUTED_VALUE"""),22.0)</f>
        <v>22</v>
      </c>
      <c r="D992" s="5" t="str">
        <f>IFERROR(__xludf.DUMMYFUNCTION("""COMPUTED_VALUE"""),"ירושלים")</f>
        <v>ירושלים</v>
      </c>
      <c r="E992" s="5" t="str">
        <f>IFERROR(__xludf.DUMMYFUNCTION("""COMPUTED_VALUE"""),"גבר")</f>
        <v>גבר</v>
      </c>
      <c r="F992" s="5" t="str">
        <f>IFERROR(__xludf.DUMMYFUNCTION("""COMPUTED_VALUE"""),"צה""ל")</f>
        <v>צה"ל</v>
      </c>
      <c r="G992" s="5" t="str">
        <f>IFERROR(__xludf.DUMMYFUNCTION("""COMPUTED_VALUE"""),"סמ״ר")</f>
        <v>סמ״ר</v>
      </c>
      <c r="H992" s="3" t="str">
        <f>IFERROR(__xludf.DUMMYFUNCTION("""COMPUTED_VALUE"""),"07.10.2023")</f>
        <v>07.10.2023</v>
      </c>
      <c r="I992" s="4" t="str">
        <f>IFERROR(__xludf.DUMMYFUNCTION("""COMPUTED_VALUE"""),"בארי")</f>
        <v>בארי</v>
      </c>
      <c r="J992" s="4" t="str">
        <f>IFERROR(__xludf.DUMMYFUNCTION("""COMPUTED_VALUE"""),"חיילים")</f>
        <v>חיילים</v>
      </c>
      <c r="K992" s="5"/>
      <c r="L992" s="3" t="str">
        <f>IFERROR(__xludf.DUMMYFUNCTION("""COMPUTED_VALUE"""),"Valentin (Eli) Ghnassia")</f>
        <v>Valentin (Eli) Ghnassia</v>
      </c>
      <c r="M992" s="5"/>
    </row>
    <row r="993">
      <c r="A993" s="3">
        <f>IFERROR(__xludf.DUMMYFUNCTION("""COMPUTED_VALUE"""),979.0)</f>
        <v>979</v>
      </c>
      <c r="B993" s="4" t="str">
        <f>IFERROR(__xludf.DUMMYFUNCTION("""COMPUTED_VALUE"""),"דוידוב ג'יאר")</f>
        <v>דוידוב ג'יאר</v>
      </c>
      <c r="C993" s="3">
        <f>IFERROR(__xludf.DUMMYFUNCTION("""COMPUTED_VALUE"""),43.0)</f>
        <v>43</v>
      </c>
      <c r="D993" s="5" t="str">
        <f>IFERROR(__xludf.DUMMYFUNCTION("""COMPUTED_VALUE"""),"באר שבע")</f>
        <v>באר שבע</v>
      </c>
      <c r="E993" s="5" t="str">
        <f>IFERROR(__xludf.DUMMYFUNCTION("""COMPUTED_VALUE"""),"גבר")</f>
        <v>גבר</v>
      </c>
      <c r="F993" s="5" t="str">
        <f>IFERROR(__xludf.DUMMYFUNCTION("""COMPUTED_VALUE"""),"משטרה")</f>
        <v>משטרה</v>
      </c>
      <c r="G993" s="5" t="str">
        <f>IFERROR(__xludf.DUMMYFUNCTION("""COMPUTED_VALUE"""),"נצ״מ")</f>
        <v>נצ״מ</v>
      </c>
      <c r="H993" s="3" t="str">
        <f>IFERROR(__xludf.DUMMYFUNCTION("""COMPUTED_VALUE"""),"07.10.2023")</f>
        <v>07.10.2023</v>
      </c>
      <c r="I993" s="4" t="str">
        <f>IFERROR(__xludf.DUMMYFUNCTION("""COMPUTED_VALUE"""),"סמוך לצומת רעים")</f>
        <v>סמוך לצומת רעים</v>
      </c>
      <c r="J993" s="4" t="str">
        <f>IFERROR(__xludf.DUMMYFUNCTION("""COMPUTED_VALUE"""),"שוטרים וכוחות הצלה")</f>
        <v>שוטרים וכוחות הצלה</v>
      </c>
      <c r="K993" s="5"/>
      <c r="L993" s="3" t="str">
        <f>IFERROR(__xludf.DUMMYFUNCTION("""COMPUTED_VALUE"""),"Jayar Davidov")</f>
        <v>Jayar Davidov</v>
      </c>
      <c r="M993" s="5"/>
    </row>
    <row r="994">
      <c r="A994" s="3">
        <f>IFERROR(__xludf.DUMMYFUNCTION("""COMPUTED_VALUE"""),149.0)</f>
        <v>149</v>
      </c>
      <c r="B994" s="4" t="str">
        <f>IFERROR(__xludf.DUMMYFUNCTION("""COMPUTED_VALUE"""),"דנילוב בוריס")</f>
        <v>דנילוב בוריס</v>
      </c>
      <c r="C994" s="3">
        <f>IFERROR(__xludf.DUMMYFUNCTION("""COMPUTED_VALUE"""),34.0)</f>
        <v>34</v>
      </c>
      <c r="D994" s="5" t="str">
        <f>IFERROR(__xludf.DUMMYFUNCTION("""COMPUTED_VALUE"""),"חדרה")</f>
        <v>חדרה</v>
      </c>
      <c r="E994" s="5" t="str">
        <f>IFERROR(__xludf.DUMMYFUNCTION("""COMPUTED_VALUE"""),"גבר")</f>
        <v>גבר</v>
      </c>
      <c r="F994" s="5" t="str">
        <f>IFERROR(__xludf.DUMMYFUNCTION("""COMPUTED_VALUE"""),"משטרה")</f>
        <v>משטרה</v>
      </c>
      <c r="G994" s="5" t="str">
        <f>IFERROR(__xludf.DUMMYFUNCTION("""COMPUTED_VALUE"""),"רס״ב")</f>
        <v>רס״ב</v>
      </c>
      <c r="H994" s="3" t="str">
        <f>IFERROR(__xludf.DUMMYFUNCTION("""COMPUTED_VALUE"""),"07.10.2023")</f>
        <v>07.10.2023</v>
      </c>
      <c r="I994" s="4" t="str">
        <f>IFERROR(__xludf.DUMMYFUNCTION("""COMPUTED_VALUE"""),"בארי")</f>
        <v>בארי</v>
      </c>
      <c r="J994" s="4" t="str">
        <f>IFERROR(__xludf.DUMMYFUNCTION("""COMPUTED_VALUE"""),"שוטרים וכוחות הצלה")</f>
        <v>שוטרים וכוחות הצלה</v>
      </c>
      <c r="K994" s="5"/>
      <c r="L994" s="3" t="str">
        <f>IFERROR(__xludf.DUMMYFUNCTION("""COMPUTED_VALUE"""),"Boris Danilov")</f>
        <v>Boris Danilov</v>
      </c>
      <c r="M994" s="5"/>
    </row>
    <row r="995">
      <c r="A995" s="3">
        <f>IFERROR(__xludf.DUMMYFUNCTION("""COMPUTED_VALUE"""),80.0)</f>
        <v>80</v>
      </c>
      <c r="B995" s="4" t="str">
        <f>IFERROR(__xludf.DUMMYFUNCTION("""COMPUTED_VALUE"""),"חדד איתן")</f>
        <v>חדד איתן</v>
      </c>
      <c r="C995" s="3">
        <f>IFERROR(__xludf.DUMMYFUNCTION("""COMPUTED_VALUE"""),43.0)</f>
        <v>43</v>
      </c>
      <c r="D995" s="5" t="str">
        <f>IFERROR(__xludf.DUMMYFUNCTION("""COMPUTED_VALUE"""),"בארי")</f>
        <v>בארי</v>
      </c>
      <c r="E995" s="5" t="str">
        <f>IFERROR(__xludf.DUMMYFUNCTION("""COMPUTED_VALUE"""),"גבר")</f>
        <v>גבר</v>
      </c>
      <c r="F995" s="5" t="str">
        <f>IFERROR(__xludf.DUMMYFUNCTION("""COMPUTED_VALUE"""),"כיתות כוננות")</f>
        <v>כיתות כוננות</v>
      </c>
      <c r="G995" s="5" t="str">
        <f>IFERROR(__xludf.DUMMYFUNCTION("""COMPUTED_VALUE"""),"רס״ם")</f>
        <v>רס״ם</v>
      </c>
      <c r="H995" s="3" t="str">
        <f>IFERROR(__xludf.DUMMYFUNCTION("""COMPUTED_VALUE"""),"07.10.2023")</f>
        <v>07.10.2023</v>
      </c>
      <c r="I995" s="4" t="str">
        <f>IFERROR(__xludf.DUMMYFUNCTION("""COMPUTED_VALUE"""),"בארי")</f>
        <v>בארי</v>
      </c>
      <c r="J995" s="2" t="str">
        <f>IFERROR(__xludf.DUMMYFUNCTION("""COMPUTED_VALUE"""),"אזרחים וכיתות כוננות")</f>
        <v>אזרחים וכיתות כוננות</v>
      </c>
      <c r="K995" s="5"/>
      <c r="L995" s="3" t="str">
        <f>IFERROR(__xludf.DUMMYFUNCTION("""COMPUTED_VALUE"""),"Eitan Hadad")</f>
        <v>Eitan Hadad</v>
      </c>
      <c r="M995" s="5"/>
    </row>
    <row r="996">
      <c r="A996" s="3">
        <f>IFERROR(__xludf.DUMMYFUNCTION("""COMPUTED_VALUE"""),138.0)</f>
        <v>138</v>
      </c>
      <c r="B996" s="4" t="str">
        <f>IFERROR(__xludf.DUMMYFUNCTION("""COMPUTED_VALUE"""),"טרקינסקי בנימין (בנג׳י)")</f>
        <v>טרקינסקי בנימין (בנג׳י)</v>
      </c>
      <c r="C996" s="3">
        <f>IFERROR(__xludf.DUMMYFUNCTION("""COMPUTED_VALUE"""),32.0)</f>
        <v>32</v>
      </c>
      <c r="D996" s="5" t="str">
        <f>IFERROR(__xludf.DUMMYFUNCTION("""COMPUTED_VALUE"""),"תל אביב")</f>
        <v>תל אביב</v>
      </c>
      <c r="E996" s="5" t="str">
        <f>IFERROR(__xludf.DUMMYFUNCTION("""COMPUTED_VALUE"""),"גבר")</f>
        <v>גבר</v>
      </c>
      <c r="F996" s="5" t="str">
        <f>IFERROR(__xludf.DUMMYFUNCTION("""COMPUTED_VALUE"""),"צה""ל")</f>
        <v>צה"ל</v>
      </c>
      <c r="G996" s="5" t="str">
        <f>IFERROR(__xludf.DUMMYFUNCTION("""COMPUTED_VALUE"""),"רס״ן")</f>
        <v>רס״ן</v>
      </c>
      <c r="H996" s="3" t="str">
        <f>IFERROR(__xludf.DUMMYFUNCTION("""COMPUTED_VALUE"""),"08.10.2023")</f>
        <v>08.10.2023</v>
      </c>
      <c r="I996" s="4" t="str">
        <f>IFERROR(__xludf.DUMMYFUNCTION("""COMPUTED_VALUE"""),"בארי")</f>
        <v>בארי</v>
      </c>
      <c r="J996" s="4" t="str">
        <f>IFERROR(__xludf.DUMMYFUNCTION("""COMPUTED_VALUE"""),"חיילים")</f>
        <v>חיילים</v>
      </c>
      <c r="K996" s="5"/>
      <c r="L996" s="3" t="str">
        <f>IFERROR(__xludf.DUMMYFUNCTION("""COMPUTED_VALUE"""),"Benjamin Trakeniski")</f>
        <v>Benjamin Trakeniski</v>
      </c>
      <c r="M996" s="5"/>
    </row>
    <row r="997">
      <c r="A997" s="3">
        <f>IFERROR(__xludf.DUMMYFUNCTION("""COMPUTED_VALUE"""),186.0)</f>
        <v>186</v>
      </c>
      <c r="B997" s="4" t="str">
        <f>IFERROR(__xludf.DUMMYFUNCTION("""COMPUTED_VALUE"""),"יהושע איתי")</f>
        <v>יהושע איתי</v>
      </c>
      <c r="C997" s="3">
        <f>IFERROR(__xludf.DUMMYFUNCTION("""COMPUTED_VALUE"""),36.0)</f>
        <v>36</v>
      </c>
      <c r="D997" s="5" t="str">
        <f>IFERROR(__xludf.DUMMYFUNCTION("""COMPUTED_VALUE"""),"חדיד")</f>
        <v>חדיד</v>
      </c>
      <c r="E997" s="5" t="str">
        <f>IFERROR(__xludf.DUMMYFUNCTION("""COMPUTED_VALUE"""),"גבר")</f>
        <v>גבר</v>
      </c>
      <c r="F997" s="5" t="str">
        <f>IFERROR(__xludf.DUMMYFUNCTION("""COMPUTED_VALUE"""),"צה""ל")</f>
        <v>צה"ל</v>
      </c>
      <c r="G997" s="5" t="str">
        <f>IFERROR(__xludf.DUMMYFUNCTION("""COMPUTED_VALUE"""),"סרן (במיל')")</f>
        <v>סרן (במיל')</v>
      </c>
      <c r="H997" s="3" t="str">
        <f>IFERROR(__xludf.DUMMYFUNCTION("""COMPUTED_VALUE"""),"07.10.2023")</f>
        <v>07.10.2023</v>
      </c>
      <c r="I997" s="4" t="str">
        <f>IFERROR(__xludf.DUMMYFUNCTION("""COMPUTED_VALUE"""),"בארי")</f>
        <v>בארי</v>
      </c>
      <c r="J997" s="4" t="str">
        <f>IFERROR(__xludf.DUMMYFUNCTION("""COMPUTED_VALUE"""),"שוטרים וכוחות הצלה")</f>
        <v>שוטרים וכוחות הצלה</v>
      </c>
      <c r="K997" s="5"/>
      <c r="L997" s="3" t="str">
        <f>IFERROR(__xludf.DUMMYFUNCTION("""COMPUTED_VALUE"""),"Itay Yehoshua")</f>
        <v>Itay Yehoshua</v>
      </c>
      <c r="M997" s="5"/>
    </row>
    <row r="998">
      <c r="A998" s="3">
        <f>IFERROR(__xludf.DUMMYFUNCTION("""COMPUTED_VALUE"""),219.0)</f>
        <v>219</v>
      </c>
      <c r="B998" s="4" t="str">
        <f>IFERROR(__xludf.DUMMYFUNCTION("""COMPUTED_VALUE"""),"כהן אהד (בודי)")</f>
        <v>כהן אהד (בודי)</v>
      </c>
      <c r="C998" s="3">
        <f>IFERROR(__xludf.DUMMYFUNCTION("""COMPUTED_VALUE"""),20.0)</f>
        <v>20</v>
      </c>
      <c r="D998" s="5" t="str">
        <f>IFERROR(__xludf.DUMMYFUNCTION("""COMPUTED_VALUE"""),"עידן")</f>
        <v>עידן</v>
      </c>
      <c r="E998" s="5" t="str">
        <f>IFERROR(__xludf.DUMMYFUNCTION("""COMPUTED_VALUE"""),"גבר")</f>
        <v>גבר</v>
      </c>
      <c r="F998" s="5" t="str">
        <f>IFERROR(__xludf.DUMMYFUNCTION("""COMPUTED_VALUE"""),"צה""ל")</f>
        <v>צה"ל</v>
      </c>
      <c r="G998" s="5" t="str">
        <f>IFERROR(__xludf.DUMMYFUNCTION("""COMPUTED_VALUE"""),"רס״ל")</f>
        <v>רס״ל</v>
      </c>
      <c r="H998" s="3" t="str">
        <f>IFERROR(__xludf.DUMMYFUNCTION("""COMPUTED_VALUE"""),"07.10.2023")</f>
        <v>07.10.2023</v>
      </c>
      <c r="I998" s="4" t="str">
        <f>IFERROR(__xludf.DUMMYFUNCTION("""COMPUTED_VALUE"""),"בארי")</f>
        <v>בארי</v>
      </c>
      <c r="J998" s="4" t="str">
        <f>IFERROR(__xludf.DUMMYFUNCTION("""COMPUTED_VALUE"""),"חיילים")</f>
        <v>חיילים</v>
      </c>
      <c r="K998" s="5"/>
      <c r="L998" s="3" t="str">
        <f>IFERROR(__xludf.DUMMYFUNCTION("""COMPUTED_VALUE"""),"Ohad Cohen")</f>
        <v>Ohad Cohen</v>
      </c>
      <c r="M998" s="5"/>
    </row>
    <row r="999">
      <c r="A999" s="3">
        <f>IFERROR(__xludf.DUMMYFUNCTION("""COMPUTED_VALUE"""),1138.0)</f>
        <v>1138</v>
      </c>
      <c r="B999" s="4" t="str">
        <f>IFERROR(__xludf.DUMMYFUNCTION("""COMPUTED_VALUE"""),"כהן שילה")</f>
        <v>כהן שילה</v>
      </c>
      <c r="C999" s="3">
        <f>IFERROR(__xludf.DUMMYFUNCTION("""COMPUTED_VALUE"""),24.0)</f>
        <v>24</v>
      </c>
      <c r="D999" s="5" t="str">
        <f>IFERROR(__xludf.DUMMYFUNCTION("""COMPUTED_VALUE"""),"שדרות")</f>
        <v>שדרות</v>
      </c>
      <c r="E999" s="5" t="str">
        <f>IFERROR(__xludf.DUMMYFUNCTION("""COMPUTED_VALUE"""),"גבר")</f>
        <v>גבר</v>
      </c>
      <c r="F999" s="5" t="str">
        <f>IFERROR(__xludf.DUMMYFUNCTION("""COMPUTED_VALUE"""),"צה""ל")</f>
        <v>צה"ל</v>
      </c>
      <c r="G999" s="5" t="str">
        <f>IFERROR(__xludf.DUMMYFUNCTION("""COMPUTED_VALUE"""),"סרן")</f>
        <v>סרן</v>
      </c>
      <c r="H999" s="3" t="str">
        <f>IFERROR(__xludf.DUMMYFUNCTION("""COMPUTED_VALUE"""),"07.10.2023")</f>
        <v>07.10.2023</v>
      </c>
      <c r="I999" s="4" t="str">
        <f>IFERROR(__xludf.DUMMYFUNCTION("""COMPUTED_VALUE"""),"בארי")</f>
        <v>בארי</v>
      </c>
      <c r="J999" s="4" t="str">
        <f>IFERROR(__xludf.DUMMYFUNCTION("""COMPUTED_VALUE"""),"חיילים")</f>
        <v>חיילים</v>
      </c>
      <c r="K999" s="5"/>
      <c r="L999" s="3" t="str">
        <f>IFERROR(__xludf.DUMMYFUNCTION("""COMPUTED_VALUE"""),"Shilo Cohen")</f>
        <v>Shilo Cohen</v>
      </c>
      <c r="M999" s="5"/>
    </row>
    <row r="1000">
      <c r="A1000" s="3">
        <f>IFERROR(__xludf.DUMMYFUNCTION("""COMPUTED_VALUE"""),223.0)</f>
        <v>223</v>
      </c>
      <c r="B1000" s="4" t="str">
        <f>IFERROR(__xludf.DUMMYFUNCTION("""COMPUTED_VALUE"""),"לקס נווה אלעזר")</f>
        <v>לקס נווה אלעזר</v>
      </c>
      <c r="C1000" s="3">
        <f>IFERROR(__xludf.DUMMYFUNCTION("""COMPUTED_VALUE"""),21.0)</f>
        <v>21</v>
      </c>
      <c r="D1000" s="5" t="str">
        <f>IFERROR(__xludf.DUMMYFUNCTION("""COMPUTED_VALUE"""),"לוד")</f>
        <v>לוד</v>
      </c>
      <c r="E1000" s="5" t="str">
        <f>IFERROR(__xludf.DUMMYFUNCTION("""COMPUTED_VALUE"""),"גבר")</f>
        <v>גבר</v>
      </c>
      <c r="F1000" s="5" t="str">
        <f>IFERROR(__xludf.DUMMYFUNCTION("""COMPUTED_VALUE"""),"צה""ל")</f>
        <v>צה"ל</v>
      </c>
      <c r="G1000" s="5" t="str">
        <f>IFERROR(__xludf.DUMMYFUNCTION("""COMPUTED_VALUE"""),"סגן")</f>
        <v>סגן</v>
      </c>
      <c r="H1000" s="3" t="str">
        <f>IFERROR(__xludf.DUMMYFUNCTION("""COMPUTED_VALUE"""),"07.10.2023")</f>
        <v>07.10.2023</v>
      </c>
      <c r="I1000" s="4" t="str">
        <f>IFERROR(__xludf.DUMMYFUNCTION("""COMPUTED_VALUE"""),"בארי")</f>
        <v>בארי</v>
      </c>
      <c r="J1000" s="4" t="str">
        <f>IFERROR(__xludf.DUMMYFUNCTION("""COMPUTED_VALUE"""),"חיילים")</f>
        <v>חיילים</v>
      </c>
      <c r="K1000" s="5"/>
      <c r="L1000" s="3" t="str">
        <f>IFERROR(__xludf.DUMMYFUNCTION("""COMPUTED_VALUE"""),"Naveh Eliezer Lax")</f>
        <v>Naveh Eliezer Lax</v>
      </c>
      <c r="M1000" s="5"/>
    </row>
    <row r="1001">
      <c r="A1001" s="3">
        <f>IFERROR(__xludf.DUMMYFUNCTION("""COMPUTED_VALUE"""),154.0)</f>
        <v>154</v>
      </c>
      <c r="B1001" s="4" t="str">
        <f>IFERROR(__xludf.DUMMYFUNCTION("""COMPUTED_VALUE"""),"מאיר דוד חיים")</f>
        <v>מאיר דוד חיים</v>
      </c>
      <c r="C1001" s="3">
        <f>IFERROR(__xludf.DUMMYFUNCTION("""COMPUTED_VALUE"""),31.0)</f>
        <v>31</v>
      </c>
      <c r="D1001" s="5" t="str">
        <f>IFERROR(__xludf.DUMMYFUNCTION("""COMPUTED_VALUE"""),"ירושלים")</f>
        <v>ירושלים</v>
      </c>
      <c r="E1001" s="5" t="str">
        <f>IFERROR(__xludf.DUMMYFUNCTION("""COMPUTED_VALUE"""),"גבר")</f>
        <v>גבר</v>
      </c>
      <c r="F1001" s="5" t="str">
        <f>IFERROR(__xludf.DUMMYFUNCTION("""COMPUTED_VALUE"""),"צה""ל (מיל')")</f>
        <v>צה"ל (מיל')</v>
      </c>
      <c r="G1001" s="5" t="str">
        <f>IFERROR(__xludf.DUMMYFUNCTION("""COMPUTED_VALUE"""),"רס״ן")</f>
        <v>רס״ן</v>
      </c>
      <c r="H1001" s="3" t="str">
        <f>IFERROR(__xludf.DUMMYFUNCTION("""COMPUTED_VALUE"""),"07.10.2023")</f>
        <v>07.10.2023</v>
      </c>
      <c r="I1001" s="4" t="str">
        <f>IFERROR(__xludf.DUMMYFUNCTION("""COMPUTED_VALUE"""),"בארי")</f>
        <v>בארי</v>
      </c>
      <c r="J1001" s="2" t="str">
        <f>IFERROR(__xludf.DUMMYFUNCTION("""COMPUTED_VALUE"""),"חיילים")</f>
        <v>חיילים</v>
      </c>
      <c r="K1001" s="5"/>
      <c r="L1001" s="3" t="str">
        <f>IFERROR(__xludf.DUMMYFUNCTION("""COMPUTED_VALUE"""),"David Haim Meir")</f>
        <v>David Haim Meir</v>
      </c>
      <c r="M1001" s="5"/>
    </row>
    <row r="1002">
      <c r="A1002" s="3">
        <f>IFERROR(__xludf.DUMMYFUNCTION("""COMPUTED_VALUE"""),150.0)</f>
        <v>150</v>
      </c>
      <c r="B1002" s="4" t="str">
        <f>IFERROR(__xludf.DUMMYFUNCTION("""COMPUTED_VALUE"""),"מולוגטה גדיף")</f>
        <v>מולוגטה גדיף</v>
      </c>
      <c r="C1002" s="3">
        <f>IFERROR(__xludf.DUMMYFUNCTION("""COMPUTED_VALUE"""),29.0)</f>
        <v>29</v>
      </c>
      <c r="D1002" s="5" t="str">
        <f>IFERROR(__xludf.DUMMYFUNCTION("""COMPUTED_VALUE"""),"קריית גת")</f>
        <v>קריית גת</v>
      </c>
      <c r="E1002" s="5" t="str">
        <f>IFERROR(__xludf.DUMMYFUNCTION("""COMPUTED_VALUE"""),"גבר")</f>
        <v>גבר</v>
      </c>
      <c r="F1002" s="5" t="str">
        <f>IFERROR(__xludf.DUMMYFUNCTION("""COMPUTED_VALUE"""),"משטרה")</f>
        <v>משטרה</v>
      </c>
      <c r="G1002" s="5" t="str">
        <f>IFERROR(__xludf.DUMMYFUNCTION("""COMPUTED_VALUE"""),"רס״ל")</f>
        <v>רס״ל</v>
      </c>
      <c r="H1002" s="3" t="str">
        <f>IFERROR(__xludf.DUMMYFUNCTION("""COMPUTED_VALUE"""),"07.10.2023")</f>
        <v>07.10.2023</v>
      </c>
      <c r="I1002" s="4" t="str">
        <f>IFERROR(__xludf.DUMMYFUNCTION("""COMPUTED_VALUE"""),"בארי")</f>
        <v>בארי</v>
      </c>
      <c r="J1002" s="4" t="str">
        <f>IFERROR(__xludf.DUMMYFUNCTION("""COMPUTED_VALUE"""),"שוטרים וכוחות הצלה")</f>
        <v>שוטרים וכוחות הצלה</v>
      </c>
      <c r="K1002" s="5"/>
      <c r="L1002" s="3" t="str">
        <f>IFERROR(__xludf.DUMMYFUNCTION("""COMPUTED_VALUE"""),"Gadif Mologota")</f>
        <v>Gadif Mologota</v>
      </c>
      <c r="M1002" s="5"/>
    </row>
    <row r="1003">
      <c r="A1003" s="3">
        <f>IFERROR(__xludf.DUMMYFUNCTION("""COMPUTED_VALUE"""),151.0)</f>
        <v>151</v>
      </c>
      <c r="B1003" s="4" t="str">
        <f>IFERROR(__xludf.DUMMYFUNCTION("""COMPUTED_VALUE"""),"מנגדי דור")</f>
        <v>מנגדי דור</v>
      </c>
      <c r="C1003" s="3">
        <f>IFERROR(__xludf.DUMMYFUNCTION("""COMPUTED_VALUE"""),24.0)</f>
        <v>24</v>
      </c>
      <c r="D1003" s="5" t="str">
        <f>IFERROR(__xludf.DUMMYFUNCTION("""COMPUTED_VALUE"""),"ראש העין")</f>
        <v>ראש העין</v>
      </c>
      <c r="E1003" s="5" t="str">
        <f>IFERROR(__xludf.DUMMYFUNCTION("""COMPUTED_VALUE"""),"גבר")</f>
        <v>גבר</v>
      </c>
      <c r="F1003" s="5" t="str">
        <f>IFERROR(__xludf.DUMMYFUNCTION("""COMPUTED_VALUE"""),"משטרה")</f>
        <v>משטרה</v>
      </c>
      <c r="G1003" s="5" t="str">
        <f>IFERROR(__xludf.DUMMYFUNCTION("""COMPUTED_VALUE"""),"רס״ל")</f>
        <v>רס״ל</v>
      </c>
      <c r="H1003" s="3" t="str">
        <f>IFERROR(__xludf.DUMMYFUNCTION("""COMPUTED_VALUE"""),"07.10.2023")</f>
        <v>07.10.2023</v>
      </c>
      <c r="I1003" s="4" t="str">
        <f>IFERROR(__xludf.DUMMYFUNCTION("""COMPUTED_VALUE"""),"בארי")</f>
        <v>בארי</v>
      </c>
      <c r="J1003" s="4" t="str">
        <f>IFERROR(__xludf.DUMMYFUNCTION("""COMPUTED_VALUE"""),"שוטרים וכוחות הצלה")</f>
        <v>שוטרים וכוחות הצלה</v>
      </c>
      <c r="K1003" s="5"/>
      <c r="L1003" s="3" t="str">
        <f>IFERROR(__xludf.DUMMYFUNCTION("""COMPUTED_VALUE"""),"Dor Mangadi")</f>
        <v>Dor Mangadi</v>
      </c>
      <c r="M1003" s="5"/>
    </row>
    <row r="1004">
      <c r="A1004" s="3">
        <f>IFERROR(__xludf.DUMMYFUNCTION("""COMPUTED_VALUE"""),107.0)</f>
        <v>107</v>
      </c>
      <c r="B1004" s="4" t="str">
        <f>IFERROR(__xludf.DUMMYFUNCTION("""COMPUTED_VALUE"""),"נגרי רועי")</f>
        <v>נגרי רועי</v>
      </c>
      <c r="C1004" s="3">
        <f>IFERROR(__xludf.DUMMYFUNCTION("""COMPUTED_VALUE"""),28.0)</f>
        <v>28</v>
      </c>
      <c r="D1004" s="5" t="str">
        <f>IFERROR(__xludf.DUMMYFUNCTION("""COMPUTED_VALUE"""),"תל אביב")</f>
        <v>תל אביב</v>
      </c>
      <c r="E1004" s="5" t="str">
        <f>IFERROR(__xludf.DUMMYFUNCTION("""COMPUTED_VALUE"""),"גבר")</f>
        <v>גבר</v>
      </c>
      <c r="F1004" s="5" t="str">
        <f>IFERROR(__xludf.DUMMYFUNCTION("""COMPUTED_VALUE"""),"צה""ל (מיל')")</f>
        <v>צה"ל (מיל')</v>
      </c>
      <c r="G1004" s="5" t="str">
        <f>IFERROR(__xludf.DUMMYFUNCTION("""COMPUTED_VALUE"""),"רס״ן")</f>
        <v>רס״ן</v>
      </c>
      <c r="H1004" s="3" t="str">
        <f>IFERROR(__xludf.DUMMYFUNCTION("""COMPUTED_VALUE"""),"07.10.2023")</f>
        <v>07.10.2023</v>
      </c>
      <c r="I1004" s="4" t="str">
        <f>IFERROR(__xludf.DUMMYFUNCTION("""COMPUTED_VALUE"""),"בארי")</f>
        <v>בארי</v>
      </c>
      <c r="J1004" s="4" t="str">
        <f>IFERROR(__xludf.DUMMYFUNCTION("""COMPUTED_VALUE"""),"חיילים")</f>
        <v>חיילים</v>
      </c>
      <c r="K1004" s="5"/>
      <c r="L1004" s="3" t="str">
        <f>IFERROR(__xludf.DUMMYFUNCTION("""COMPUTED_VALUE"""),"Roee Negri")</f>
        <v>Roee Negri</v>
      </c>
      <c r="M1004" s="5"/>
    </row>
    <row r="1005">
      <c r="A1005" s="3">
        <f>IFERROR(__xludf.DUMMYFUNCTION("""COMPUTED_VALUE"""),1705.0)</f>
        <v>1705</v>
      </c>
      <c r="B1005" s="4" t="str">
        <f>IFERROR(__xludf.DUMMYFUNCTION("""COMPUTED_VALUE"""),"עמר אבי")</f>
        <v>עמר אבי</v>
      </c>
      <c r="C1005" s="3">
        <f>IFERROR(__xludf.DUMMYFUNCTION("""COMPUTED_VALUE"""),55.0)</f>
        <v>55</v>
      </c>
      <c r="D1005" s="5" t="str">
        <f>IFERROR(__xludf.DUMMYFUNCTION("""COMPUTED_VALUE"""),"עוצם")</f>
        <v>עוצם</v>
      </c>
      <c r="E1005" s="5" t="str">
        <f>IFERROR(__xludf.DUMMYFUNCTION("""COMPUTED_VALUE"""),"גבר")</f>
        <v>גבר</v>
      </c>
      <c r="F1005" s="5" t="str">
        <f>IFERROR(__xludf.DUMMYFUNCTION("""COMPUTED_VALUE"""),"משטרה")</f>
        <v>משטרה</v>
      </c>
      <c r="G1005" s="5" t="str">
        <f>IFERROR(__xludf.DUMMYFUNCTION("""COMPUTED_VALUE"""),"סנ״צ")</f>
        <v>סנ״צ</v>
      </c>
      <c r="H1005" s="3" t="str">
        <f>IFERROR(__xludf.DUMMYFUNCTION("""COMPUTED_VALUE"""),"07.10.2023")</f>
        <v>07.10.2023</v>
      </c>
      <c r="I1005" s="4" t="str">
        <f>IFERROR(__xludf.DUMMYFUNCTION("""COMPUTED_VALUE"""),"בארי")</f>
        <v>בארי</v>
      </c>
      <c r="J1005" s="4" t="str">
        <f>IFERROR(__xludf.DUMMYFUNCTION("""COMPUTED_VALUE"""),"שוטרים וכוחות הצלה")</f>
        <v>שוטרים וכוחות הצלה</v>
      </c>
      <c r="K1005" s="5"/>
      <c r="L1005" s="3" t="str">
        <f>IFERROR(__xludf.DUMMYFUNCTION("""COMPUTED_VALUE"""),"Avi Amar")</f>
        <v>Avi Amar</v>
      </c>
      <c r="M1005" s="5"/>
    </row>
    <row r="1006">
      <c r="A1006" s="3">
        <f>IFERROR(__xludf.DUMMYFUNCTION("""COMPUTED_VALUE"""),187.0)</f>
        <v>187</v>
      </c>
      <c r="B1006" s="4" t="str">
        <f>IFERROR(__xludf.DUMMYFUNCTION("""COMPUTED_VALUE"""),"צמח שחר")</f>
        <v>צמח שחר</v>
      </c>
      <c r="C1006" s="3">
        <f>IFERROR(__xludf.DUMMYFUNCTION("""COMPUTED_VALUE"""),39.0)</f>
        <v>39</v>
      </c>
      <c r="D1006" s="5" t="str">
        <f>IFERROR(__xludf.DUMMYFUNCTION("""COMPUTED_VALUE"""),"בארי")</f>
        <v>בארי</v>
      </c>
      <c r="E1006" s="5" t="str">
        <f>IFERROR(__xludf.DUMMYFUNCTION("""COMPUTED_VALUE"""),"גבר")</f>
        <v>גבר</v>
      </c>
      <c r="F1006" s="5" t="str">
        <f>IFERROR(__xludf.DUMMYFUNCTION("""COMPUTED_VALUE"""),"כיתות כוננות")</f>
        <v>כיתות כוננות</v>
      </c>
      <c r="G1006" s="5" t="str">
        <f>IFERROR(__xludf.DUMMYFUNCTION("""COMPUTED_VALUE"""),"רס״ם")</f>
        <v>רס״ם</v>
      </c>
      <c r="H1006" s="3" t="str">
        <f>IFERROR(__xludf.DUMMYFUNCTION("""COMPUTED_VALUE"""),"07.10.2023")</f>
        <v>07.10.2023</v>
      </c>
      <c r="I1006" s="4" t="str">
        <f>IFERROR(__xludf.DUMMYFUNCTION("""COMPUTED_VALUE"""),"בארי")</f>
        <v>בארי</v>
      </c>
      <c r="J1006" s="4" t="str">
        <f>IFERROR(__xludf.DUMMYFUNCTION("""COMPUTED_VALUE"""),"אזרחים וכיתות כוננות")</f>
        <v>אזרחים וכיתות כוננות</v>
      </c>
      <c r="K1006" s="5"/>
      <c r="L1006" s="3" t="str">
        <f>IFERROR(__xludf.DUMMYFUNCTION("""COMPUTED_VALUE"""),"Shachar Zemach")</f>
        <v>Shachar Zemach</v>
      </c>
      <c r="M1006" s="5"/>
    </row>
    <row r="1007">
      <c r="A1007" s="3">
        <f>IFERROR(__xludf.DUMMYFUNCTION("""COMPUTED_VALUE"""),59.0)</f>
        <v>59</v>
      </c>
      <c r="B1007" s="4" t="str">
        <f>IFERROR(__xludf.DUMMYFUNCTION("""COMPUTED_VALUE"""),"קלמנזון אלחנן מאיר")</f>
        <v>קלמנזון אלחנן מאיר</v>
      </c>
      <c r="C1007" s="3">
        <f>IFERROR(__xludf.DUMMYFUNCTION("""COMPUTED_VALUE"""),41.0)</f>
        <v>41</v>
      </c>
      <c r="D1007" s="5" t="str">
        <f>IFERROR(__xludf.DUMMYFUNCTION("""COMPUTED_VALUE"""),"עתניאל")</f>
        <v>עתניאל</v>
      </c>
      <c r="E1007" s="5" t="str">
        <f>IFERROR(__xludf.DUMMYFUNCTION("""COMPUTED_VALUE"""),"גבר")</f>
        <v>גבר</v>
      </c>
      <c r="F1007" s="5" t="str">
        <f>IFERROR(__xludf.DUMMYFUNCTION("""COMPUTED_VALUE"""),"צה""ל (מיל')")</f>
        <v>צה"ל (מיל')</v>
      </c>
      <c r="G1007" s="5" t="str">
        <f>IFERROR(__xludf.DUMMYFUNCTION("""COMPUTED_VALUE"""),"סרן")</f>
        <v>סרן</v>
      </c>
      <c r="H1007" s="3" t="str">
        <f>IFERROR(__xludf.DUMMYFUNCTION("""COMPUTED_VALUE"""),"08.10.2023")</f>
        <v>08.10.2023</v>
      </c>
      <c r="I1007" s="4" t="str">
        <f>IFERROR(__xludf.DUMMYFUNCTION("""COMPUTED_VALUE"""),"בארי")</f>
        <v>בארי</v>
      </c>
      <c r="J1007" s="4" t="str">
        <f>IFERROR(__xludf.DUMMYFUNCTION("""COMPUTED_VALUE"""),"חיילים")</f>
        <v>חיילים</v>
      </c>
      <c r="K1007" s="5"/>
      <c r="L1007" s="3" t="str">
        <f>IFERROR(__xludf.DUMMYFUNCTION("""COMPUTED_VALUE"""),"Meir Elhanan Clemanzon")</f>
        <v>Meir Elhanan Clemanzon</v>
      </c>
      <c r="M1007" s="5"/>
    </row>
    <row r="1008">
      <c r="A1008" s="3">
        <f>IFERROR(__xludf.DUMMYFUNCTION("""COMPUTED_VALUE"""),97.0)</f>
        <v>97</v>
      </c>
      <c r="B1008" s="4" t="str">
        <f>IFERROR(__xludf.DUMMYFUNCTION("""COMPUTED_VALUE"""),"קראוניק אריה (אריק)")</f>
        <v>קראוניק אריה (אריק)</v>
      </c>
      <c r="C1008" s="3">
        <f>IFERROR(__xludf.DUMMYFUNCTION("""COMPUTED_VALUE"""),54.0)</f>
        <v>54</v>
      </c>
      <c r="D1008" s="5" t="str">
        <f>IFERROR(__xludf.DUMMYFUNCTION("""COMPUTED_VALUE"""),"בארי")</f>
        <v>בארי</v>
      </c>
      <c r="E1008" s="5" t="str">
        <f>IFERROR(__xludf.DUMMYFUNCTION("""COMPUTED_VALUE"""),"גבר")</f>
        <v>גבר</v>
      </c>
      <c r="F1008" s="5" t="str">
        <f>IFERROR(__xludf.DUMMYFUNCTION("""COMPUTED_VALUE"""),"כיתות כוננות")</f>
        <v>כיתות כוננות</v>
      </c>
      <c r="G1008" s="5" t="str">
        <f>IFERROR(__xludf.DUMMYFUNCTION("""COMPUTED_VALUE"""),"רס״ם")</f>
        <v>רס״ם</v>
      </c>
      <c r="H1008" s="3" t="str">
        <f>IFERROR(__xludf.DUMMYFUNCTION("""COMPUTED_VALUE"""),"07.10.2023")</f>
        <v>07.10.2023</v>
      </c>
      <c r="I1008" s="4" t="str">
        <f>IFERROR(__xludf.DUMMYFUNCTION("""COMPUTED_VALUE"""),"בארי")</f>
        <v>בארי</v>
      </c>
      <c r="J1008" s="4" t="str">
        <f>IFERROR(__xludf.DUMMYFUNCTION("""COMPUTED_VALUE"""),"אזרחים וכיתות כוננות")</f>
        <v>אזרחים וכיתות כוננות</v>
      </c>
      <c r="K1008" s="5"/>
      <c r="L1008" s="3" t="str">
        <f>IFERROR(__xludf.DUMMYFUNCTION("""COMPUTED_VALUE"""),"Eric kraunik")</f>
        <v>Eric kraunik</v>
      </c>
      <c r="M1008" s="5"/>
    </row>
    <row r="1009">
      <c r="A1009" s="3">
        <f>IFERROR(__xludf.DUMMYFUNCTION("""COMPUTED_VALUE"""),116.0)</f>
        <v>116</v>
      </c>
      <c r="B1009" s="4" t="str">
        <f>IFERROR(__xludf.DUMMYFUNCTION("""COMPUTED_VALUE"""),"רוסו אופק")</f>
        <v>רוסו אופק</v>
      </c>
      <c r="C1009" s="3">
        <f>IFERROR(__xludf.DUMMYFUNCTION("""COMPUTED_VALUE"""),21.0)</f>
        <v>21</v>
      </c>
      <c r="D1009" s="5" t="str">
        <f>IFERROR(__xludf.DUMMYFUNCTION("""COMPUTED_VALUE"""),"קדימה צורן")</f>
        <v>קדימה צורן</v>
      </c>
      <c r="E1009" s="5" t="str">
        <f>IFERROR(__xludf.DUMMYFUNCTION("""COMPUTED_VALUE"""),"גבר")</f>
        <v>גבר</v>
      </c>
      <c r="F1009" s="5" t="str">
        <f>IFERROR(__xludf.DUMMYFUNCTION("""COMPUTED_VALUE"""),"צה""ל")</f>
        <v>צה"ל</v>
      </c>
      <c r="G1009" s="5" t="str">
        <f>IFERROR(__xludf.DUMMYFUNCTION("""COMPUTED_VALUE"""),"רס״ל")</f>
        <v>רס״ל</v>
      </c>
      <c r="H1009" s="3" t="str">
        <f>IFERROR(__xludf.DUMMYFUNCTION("""COMPUTED_VALUE"""),"08.10.2023")</f>
        <v>08.10.2023</v>
      </c>
      <c r="I1009" s="4" t="str">
        <f>IFERROR(__xludf.DUMMYFUNCTION("""COMPUTED_VALUE"""),"בארי")</f>
        <v>בארי</v>
      </c>
      <c r="J1009" s="4" t="str">
        <f>IFERROR(__xludf.DUMMYFUNCTION("""COMPUTED_VALUE"""),"חיילים")</f>
        <v>חיילים</v>
      </c>
      <c r="K1009" s="5"/>
      <c r="L1009" s="3" t="str">
        <f>IFERROR(__xludf.DUMMYFUNCTION("""COMPUTED_VALUE"""),"Ofek Rousso")</f>
        <v>Ofek Rousso</v>
      </c>
      <c r="M1009" s="5"/>
    </row>
    <row r="1010">
      <c r="A1010" s="3">
        <f>IFERROR(__xludf.DUMMYFUNCTION("""COMPUTED_VALUE"""),142.0)</f>
        <v>142</v>
      </c>
      <c r="B1010" s="4" t="str">
        <f>IFERROR(__xludf.DUMMYFUNCTION("""COMPUTED_VALUE"""),"אלון אוראל שלום")</f>
        <v>אלון אוראל שלום</v>
      </c>
      <c r="C1010" s="3">
        <f>IFERROR(__xludf.DUMMYFUNCTION("""COMPUTED_VALUE"""),23.0)</f>
        <v>23</v>
      </c>
      <c r="D1010" s="5" t="str">
        <f>IFERROR(__xludf.DUMMYFUNCTION("""COMPUTED_VALUE"""),"קריית אתא")</f>
        <v>קריית אתא</v>
      </c>
      <c r="E1010" s="5" t="str">
        <f>IFERROR(__xludf.DUMMYFUNCTION("""COMPUTED_VALUE"""),"גבר")</f>
        <v>גבר</v>
      </c>
      <c r="F1010" s="5" t="str">
        <f>IFERROR(__xludf.DUMMYFUNCTION("""COMPUTED_VALUE"""),"משטרה")</f>
        <v>משטרה</v>
      </c>
      <c r="G1010" s="5" t="str">
        <f>IFERROR(__xludf.DUMMYFUNCTION("""COMPUTED_VALUE"""),"רס״ל")</f>
        <v>רס״ל</v>
      </c>
      <c r="H1010" s="3" t="str">
        <f>IFERROR(__xludf.DUMMYFUNCTION("""COMPUTED_VALUE"""),"07.10.2023")</f>
        <v>07.10.2023</v>
      </c>
      <c r="I1010" s="4" t="str">
        <f>IFERROR(__xludf.DUMMYFUNCTION("""COMPUTED_VALUE"""),"בארי")</f>
        <v>בארי</v>
      </c>
      <c r="J1010" s="4" t="str">
        <f>IFERROR(__xludf.DUMMYFUNCTION("""COMPUTED_VALUE"""),"שוטרים וכוחות הצלה")</f>
        <v>שוטרים וכוחות הצלה</v>
      </c>
      <c r="K1010" s="5"/>
      <c r="L1010" s="3" t="str">
        <f>IFERROR(__xludf.DUMMYFUNCTION("""COMPUTED_VALUE"""),"Orel Alon")</f>
        <v>Orel Alon</v>
      </c>
      <c r="M1010" s="5"/>
    </row>
    <row r="1011">
      <c r="A1011" s="3">
        <f>IFERROR(__xludf.DUMMYFUNCTION("""COMPUTED_VALUE"""),267.0)</f>
        <v>267</v>
      </c>
      <c r="B1011" s="4" t="str">
        <f>IFERROR(__xludf.DUMMYFUNCTION("""COMPUTED_VALUE"""),"מונס אלמוסנינו לירן")</f>
        <v>מונס אלמוסנינו לירן</v>
      </c>
      <c r="C1011" s="3">
        <f>IFERROR(__xludf.DUMMYFUNCTION("""COMPUTED_VALUE"""),42.0)</f>
        <v>42</v>
      </c>
      <c r="D1011" s="5" t="str">
        <f>IFERROR(__xludf.DUMMYFUNCTION("""COMPUTED_VALUE"""),"כמהין")</f>
        <v>כמהין</v>
      </c>
      <c r="E1011" s="5" t="str">
        <f>IFERROR(__xludf.DUMMYFUNCTION("""COMPUTED_VALUE"""),"גבר")</f>
        <v>גבר</v>
      </c>
      <c r="F1011" s="5" t="str">
        <f>IFERROR(__xludf.DUMMYFUNCTION("""COMPUTED_VALUE"""),"צה""ל (מיל')")</f>
        <v>צה"ל (מיל')</v>
      </c>
      <c r="G1011" s="5" t="str">
        <f>IFERROR(__xludf.DUMMYFUNCTION("""COMPUTED_VALUE"""),"רס״ם")</f>
        <v>רס״ם</v>
      </c>
      <c r="H1011" s="3" t="str">
        <f>IFERROR(__xludf.DUMMYFUNCTION("""COMPUTED_VALUE"""),"07.10.2023")</f>
        <v>07.10.2023</v>
      </c>
      <c r="I1011" s="4" t="str">
        <f>IFERROR(__xludf.DUMMYFUNCTION("""COMPUTED_VALUE"""),"חולית")</f>
        <v>חולית</v>
      </c>
      <c r="J1011" s="4" t="str">
        <f>IFERROR(__xludf.DUMMYFUNCTION("""COMPUTED_VALUE"""),"חיילים")</f>
        <v>חיילים</v>
      </c>
      <c r="K1011" s="5"/>
      <c r="L1011" s="3" t="str">
        <f>IFERROR(__xludf.DUMMYFUNCTION("""COMPUTED_VALUE"""),"Liran Almosnino")</f>
        <v>Liran Almosnino</v>
      </c>
      <c r="M1011" s="5"/>
    </row>
    <row r="1012">
      <c r="A1012" s="3">
        <f>IFERROR(__xludf.DUMMYFUNCTION("""COMPUTED_VALUE"""),1561.0)</f>
        <v>1561</v>
      </c>
      <c r="B1012" s="4" t="str">
        <f>IFERROR(__xludf.DUMMYFUNCTION("""COMPUTED_VALUE"""),"גורני יפתח")</f>
        <v>גורני יפתח</v>
      </c>
      <c r="C1012" s="3">
        <f>IFERROR(__xludf.DUMMYFUNCTION("""COMPUTED_VALUE"""),51.0)</f>
        <v>51</v>
      </c>
      <c r="D1012" s="5" t="str">
        <f>IFERROR(__xludf.DUMMYFUNCTION("""COMPUTED_VALUE"""),"באר מילכה")</f>
        <v>באר מילכה</v>
      </c>
      <c r="E1012" s="5" t="str">
        <f>IFERROR(__xludf.DUMMYFUNCTION("""COMPUTED_VALUE"""),"גבר")</f>
        <v>גבר</v>
      </c>
      <c r="F1012" s="5" t="str">
        <f>IFERROR(__xludf.DUMMYFUNCTION("""COMPUTED_VALUE"""),"צה""ל (מיל')")</f>
        <v>צה"ל (מיל')</v>
      </c>
      <c r="G1012" s="5" t="str">
        <f>IFERROR(__xludf.DUMMYFUNCTION("""COMPUTED_VALUE"""),"סרן")</f>
        <v>סרן</v>
      </c>
      <c r="H1012" s="3" t="str">
        <f>IFERROR(__xludf.DUMMYFUNCTION("""COMPUTED_VALUE"""),"07.10.2023")</f>
        <v>07.10.2023</v>
      </c>
      <c r="I1012" s="4" t="str">
        <f>IFERROR(__xludf.DUMMYFUNCTION("""COMPUTED_VALUE"""),"בין יתד לאמיתי")</f>
        <v>בין יתד לאמיתי</v>
      </c>
      <c r="J1012" s="2" t="str">
        <f>IFERROR(__xludf.DUMMYFUNCTION("""COMPUTED_VALUE"""),"חיילים")</f>
        <v>חיילים</v>
      </c>
      <c r="K1012" s="5"/>
      <c r="L1012" s="3" t="str">
        <f>IFERROR(__xludf.DUMMYFUNCTION("""COMPUTED_VALUE"""),"Yiftach Gorny")</f>
        <v>Yiftach Gorny</v>
      </c>
      <c r="M1012" s="5"/>
    </row>
    <row r="1013">
      <c r="A1013" s="3">
        <f>IFERROR(__xludf.DUMMYFUNCTION("""COMPUTED_VALUE"""),274.0)</f>
        <v>274</v>
      </c>
      <c r="B1013" s="4" t="str">
        <f>IFERROR(__xludf.DUMMYFUNCTION("""COMPUTED_VALUE"""),"כצמן חיים ישורון")</f>
        <v>כצמן חיים ישורון</v>
      </c>
      <c r="C1013" s="3">
        <f>IFERROR(__xludf.DUMMYFUNCTION("""COMPUTED_VALUE"""),32.0)</f>
        <v>32</v>
      </c>
      <c r="D1013" s="5" t="str">
        <f>IFERROR(__xludf.DUMMYFUNCTION("""COMPUTED_VALUE"""),"חולית")</f>
        <v>חולית</v>
      </c>
      <c r="E1013" s="5" t="str">
        <f>IFERROR(__xludf.DUMMYFUNCTION("""COMPUTED_VALUE"""),"גבר")</f>
        <v>גבר</v>
      </c>
      <c r="F1013" s="5" t="str">
        <f>IFERROR(__xludf.DUMMYFUNCTION("""COMPUTED_VALUE"""),"כיתות כוננות")</f>
        <v>כיתות כוננות</v>
      </c>
      <c r="G1013" s="5" t="str">
        <f>IFERROR(__xludf.DUMMYFUNCTION("""COMPUTED_VALUE"""),"רס״ר")</f>
        <v>רס״ר</v>
      </c>
      <c r="H1013" s="3" t="str">
        <f>IFERROR(__xludf.DUMMYFUNCTION("""COMPUTED_VALUE"""),"07.10.2023")</f>
        <v>07.10.2023</v>
      </c>
      <c r="I1013" s="4" t="str">
        <f>IFERROR(__xludf.DUMMYFUNCTION("""COMPUTED_VALUE"""),"חולית")</f>
        <v>חולית</v>
      </c>
      <c r="J1013" s="2" t="str">
        <f>IFERROR(__xludf.DUMMYFUNCTION("""COMPUTED_VALUE"""),"אזרחים וכיתות כוננות")</f>
        <v>אזרחים וכיתות כוננות</v>
      </c>
      <c r="K1013" s="5"/>
      <c r="L1013" s="3" t="str">
        <f>IFERROR(__xludf.DUMMYFUNCTION("""COMPUTED_VALUE"""),"Haim Katzman")</f>
        <v>Haim Katzman</v>
      </c>
      <c r="M1013" s="5"/>
    </row>
    <row r="1014">
      <c r="A1014" s="3">
        <f>IFERROR(__xludf.DUMMYFUNCTION("""COMPUTED_VALUE"""),276.0)</f>
        <v>276</v>
      </c>
      <c r="B1014" s="4" t="str">
        <f>IFERROR(__xludf.DUMMYFUNCTION("""COMPUTED_VALUE"""),"קורין אברהם גבריאל")</f>
        <v>קורין אברהם גבריאל</v>
      </c>
      <c r="C1014" s="3">
        <f>IFERROR(__xludf.DUMMYFUNCTION("""COMPUTED_VALUE"""),56.0)</f>
        <v>56</v>
      </c>
      <c r="D1014" s="5" t="str">
        <f>IFERROR(__xludf.DUMMYFUNCTION("""COMPUTED_VALUE"""),"חולית")</f>
        <v>חולית</v>
      </c>
      <c r="E1014" s="5" t="str">
        <f>IFERROR(__xludf.DUMMYFUNCTION("""COMPUTED_VALUE"""),"גבר")</f>
        <v>גבר</v>
      </c>
      <c r="F1014" s="5" t="str">
        <f>IFERROR(__xludf.DUMMYFUNCTION("""COMPUTED_VALUE"""),"כיתות כוננות")</f>
        <v>כיתות כוננות</v>
      </c>
      <c r="G1014" s="5" t="str">
        <f>IFERROR(__xludf.DUMMYFUNCTION("""COMPUTED_VALUE"""),"רס״ם")</f>
        <v>רס״ם</v>
      </c>
      <c r="H1014" s="3" t="str">
        <f>IFERROR(__xludf.DUMMYFUNCTION("""COMPUTED_VALUE"""),"07.10.2023")</f>
        <v>07.10.2023</v>
      </c>
      <c r="I1014" s="4" t="str">
        <f>IFERROR(__xludf.DUMMYFUNCTION("""COMPUTED_VALUE"""),"חולית")</f>
        <v>חולית</v>
      </c>
      <c r="J1014" s="2" t="str">
        <f>IFERROR(__xludf.DUMMYFUNCTION("""COMPUTED_VALUE"""),"אזרחים וכיתות כוננות")</f>
        <v>אזרחים וכיתות כוננות</v>
      </c>
      <c r="K1014" s="5"/>
      <c r="L1014" s="3" t="str">
        <f>IFERROR(__xludf.DUMMYFUNCTION("""COMPUTED_VALUE"""),"Avraham Gabriel Korin")</f>
        <v>Avraham Gabriel Korin</v>
      </c>
      <c r="M1014" s="5"/>
    </row>
    <row r="1015">
      <c r="A1015" s="3">
        <f>IFERROR(__xludf.DUMMYFUNCTION("""COMPUTED_VALUE"""),1176.0)</f>
        <v>1176</v>
      </c>
      <c r="B1015" s="4" t="str">
        <f>IFERROR(__xludf.DUMMYFUNCTION("""COMPUTED_VALUE"""),"חוברה עידו")</f>
        <v>חוברה עידו</v>
      </c>
      <c r="C1015" s="3">
        <f>IFERROR(__xludf.DUMMYFUNCTION("""COMPUTED_VALUE"""),36.0)</f>
        <v>36</v>
      </c>
      <c r="D1015" s="5" t="str">
        <f>IFERROR(__xludf.DUMMYFUNCTION("""COMPUTED_VALUE"""),"סופה")</f>
        <v>סופה</v>
      </c>
      <c r="E1015" s="5" t="str">
        <f>IFERROR(__xludf.DUMMYFUNCTION("""COMPUTED_VALUE"""),"גבר")</f>
        <v>גבר</v>
      </c>
      <c r="F1015" s="5" t="str">
        <f>IFERROR(__xludf.DUMMYFUNCTION("""COMPUTED_VALUE"""),"כיתות כוננות")</f>
        <v>כיתות כוננות</v>
      </c>
      <c r="G1015" s="5" t="str">
        <f>IFERROR(__xludf.DUMMYFUNCTION("""COMPUTED_VALUE"""),"רס״ן")</f>
        <v>רס״ן</v>
      </c>
      <c r="H1015" s="3" t="str">
        <f>IFERROR(__xludf.DUMMYFUNCTION("""COMPUTED_VALUE"""),"07.10.2023")</f>
        <v>07.10.2023</v>
      </c>
      <c r="I1015" s="4" t="str">
        <f>IFERROR(__xludf.DUMMYFUNCTION("""COMPUTED_VALUE"""),"סופה")</f>
        <v>סופה</v>
      </c>
      <c r="J1015" s="4" t="str">
        <f>IFERROR(__xludf.DUMMYFUNCTION("""COMPUTED_VALUE"""),"אזרחים וכיתות כוננות")</f>
        <v>אזרחים וכיתות כוננות</v>
      </c>
      <c r="K1015" s="5"/>
      <c r="L1015" s="3" t="str">
        <f>IFERROR(__xludf.DUMMYFUNCTION("""COMPUTED_VALUE"""),"Ido Hubara")</f>
        <v>Ido Hubara</v>
      </c>
      <c r="M1015" s="5"/>
    </row>
    <row r="1016">
      <c r="A1016" s="3">
        <f>IFERROR(__xludf.DUMMYFUNCTION("""COMPUTED_VALUE"""),261.0)</f>
        <v>261</v>
      </c>
      <c r="B1016" s="4" t="str">
        <f>IFERROR(__xludf.DUMMYFUNCTION("""COMPUTED_VALUE"""),"מלכה מתן")</f>
        <v>מלכה מתן</v>
      </c>
      <c r="C1016" s="3">
        <f>IFERROR(__xludf.DUMMYFUNCTION("""COMPUTED_VALUE"""),19.0)</f>
        <v>19</v>
      </c>
      <c r="D1016" s="5" t="str">
        <f>IFERROR(__xludf.DUMMYFUNCTION("""COMPUTED_VALUE"""),"גשר הזיו")</f>
        <v>גשר הזיו</v>
      </c>
      <c r="E1016" s="5" t="str">
        <f>IFERROR(__xludf.DUMMYFUNCTION("""COMPUTED_VALUE"""),"גבר")</f>
        <v>גבר</v>
      </c>
      <c r="F1016" s="5" t="str">
        <f>IFERROR(__xludf.DUMMYFUNCTION("""COMPUTED_VALUE"""),"צה""ל")</f>
        <v>צה"ל</v>
      </c>
      <c r="G1016" s="5" t="str">
        <f>IFERROR(__xludf.DUMMYFUNCTION("""COMPUTED_VALUE"""),"סמל")</f>
        <v>סמל</v>
      </c>
      <c r="H1016" s="3" t="str">
        <f>IFERROR(__xludf.DUMMYFUNCTION("""COMPUTED_VALUE"""),"07.10.2023")</f>
        <v>07.10.2023</v>
      </c>
      <c r="I1016" s="4" t="str">
        <f>IFERROR(__xludf.DUMMYFUNCTION("""COMPUTED_VALUE"""),"כיסופים")</f>
        <v>כיסופים</v>
      </c>
      <c r="J1016" s="4" t="str">
        <f>IFERROR(__xludf.DUMMYFUNCTION("""COMPUTED_VALUE"""),"חיילים")</f>
        <v>חיילים</v>
      </c>
      <c r="K1016" s="5"/>
      <c r="L1016" s="3" t="str">
        <f>IFERROR(__xludf.DUMMYFUNCTION("""COMPUTED_VALUE"""),"Matan Malka")</f>
        <v>Matan Malka</v>
      </c>
      <c r="M1016" s="5"/>
    </row>
    <row r="1017">
      <c r="A1017" s="3">
        <f>IFERROR(__xludf.DUMMYFUNCTION("""COMPUTED_VALUE"""),396.0)</f>
        <v>396</v>
      </c>
      <c r="B1017" s="4" t="str">
        <f>IFERROR(__xludf.DUMMYFUNCTION("""COMPUTED_VALUE"""),"מרגוליס סער")</f>
        <v>מרגוליס סער</v>
      </c>
      <c r="C1017" s="3">
        <f>IFERROR(__xludf.DUMMYFUNCTION("""COMPUTED_VALUE"""),37.0)</f>
        <v>37</v>
      </c>
      <c r="D1017" s="5" t="str">
        <f>IFERROR(__xludf.DUMMYFUNCTION("""COMPUTED_VALUE"""),"כיסופים")</f>
        <v>כיסופים</v>
      </c>
      <c r="E1017" s="5" t="str">
        <f>IFERROR(__xludf.DUMMYFUNCTION("""COMPUTED_VALUE"""),"גבר")</f>
        <v>גבר</v>
      </c>
      <c r="F1017" s="5" t="str">
        <f>IFERROR(__xludf.DUMMYFUNCTION("""COMPUTED_VALUE"""),"כיתות כוננות")</f>
        <v>כיתות כוננות</v>
      </c>
      <c r="G1017" s="5" t="str">
        <f>IFERROR(__xludf.DUMMYFUNCTION("""COMPUTED_VALUE"""),"רס״ם")</f>
        <v>רס״ם</v>
      </c>
      <c r="H1017" s="3" t="str">
        <f>IFERROR(__xludf.DUMMYFUNCTION("""COMPUTED_VALUE"""),"07.10.2023")</f>
        <v>07.10.2023</v>
      </c>
      <c r="I1017" s="4" t="str">
        <f>IFERROR(__xludf.DUMMYFUNCTION("""COMPUTED_VALUE"""),"כיסופים")</f>
        <v>כיסופים</v>
      </c>
      <c r="J1017" s="4" t="str">
        <f>IFERROR(__xludf.DUMMYFUNCTION("""COMPUTED_VALUE"""),"אזרחים וכיתות כוננות")</f>
        <v>אזרחים וכיתות כוננות</v>
      </c>
      <c r="K1017" s="5"/>
      <c r="L1017" s="3" t="str">
        <f>IFERROR(__xludf.DUMMYFUNCTION("""COMPUTED_VALUE"""),"Saar Margolis")</f>
        <v>Saar Margolis</v>
      </c>
      <c r="M1017" s="5"/>
    </row>
    <row r="1018">
      <c r="A1018" s="3">
        <f>IFERROR(__xludf.DUMMYFUNCTION("""COMPUTED_VALUE"""),291.0)</f>
        <v>291</v>
      </c>
      <c r="B1018" s="4" t="str">
        <f>IFERROR(__xludf.DUMMYFUNCTION("""COMPUTED_VALUE"""),"אביאני שחר")</f>
        <v>אביאני שחר</v>
      </c>
      <c r="C1018" s="3">
        <f>IFERROR(__xludf.DUMMYFUNCTION("""COMPUTED_VALUE"""),56.0)</f>
        <v>56</v>
      </c>
      <c r="D1018" s="5" t="str">
        <f>IFERROR(__xludf.DUMMYFUNCTION("""COMPUTED_VALUE"""),"כפר עזה")</f>
        <v>כפר עזה</v>
      </c>
      <c r="E1018" s="5" t="str">
        <f>IFERROR(__xludf.DUMMYFUNCTION("""COMPUTED_VALUE"""),"גבר")</f>
        <v>גבר</v>
      </c>
      <c r="F1018" s="5" t="str">
        <f>IFERROR(__xludf.DUMMYFUNCTION("""COMPUTED_VALUE"""),"כיתות כוננות")</f>
        <v>כיתות כוננות</v>
      </c>
      <c r="G1018" s="5" t="str">
        <f>IFERROR(__xludf.DUMMYFUNCTION("""COMPUTED_VALUE"""),"רס״ם")</f>
        <v>רס״ם</v>
      </c>
      <c r="H1018" s="3" t="str">
        <f>IFERROR(__xludf.DUMMYFUNCTION("""COMPUTED_VALUE"""),"07.10.2023")</f>
        <v>07.10.2023</v>
      </c>
      <c r="I1018" s="4" t="str">
        <f>IFERROR(__xludf.DUMMYFUNCTION("""COMPUTED_VALUE"""),"כפר עזה")</f>
        <v>כפר עזה</v>
      </c>
      <c r="J1018" s="4" t="str">
        <f>IFERROR(__xludf.DUMMYFUNCTION("""COMPUTED_VALUE"""),"אזרחים וכיתות כוננות")</f>
        <v>אזרחים וכיתות כוננות</v>
      </c>
      <c r="K1018" s="5"/>
      <c r="L1018" s="3" t="str">
        <f>IFERROR(__xludf.DUMMYFUNCTION("""COMPUTED_VALUE"""),"Shachar Aviani")</f>
        <v>Shachar Aviani</v>
      </c>
      <c r="M1018" s="5"/>
    </row>
    <row r="1019">
      <c r="A1019" s="3">
        <f>IFERROR(__xludf.DUMMYFUNCTION("""COMPUTED_VALUE"""),299.0)</f>
        <v>299</v>
      </c>
      <c r="B1019" s="4" t="str">
        <f>IFERROR(__xludf.DUMMYFUNCTION("""COMPUTED_VALUE"""),"אילון טל")</f>
        <v>אילון טל</v>
      </c>
      <c r="C1019" s="3">
        <f>IFERROR(__xludf.DUMMYFUNCTION("""COMPUTED_VALUE"""),46.0)</f>
        <v>46</v>
      </c>
      <c r="D1019" s="5" t="str">
        <f>IFERROR(__xludf.DUMMYFUNCTION("""COMPUTED_VALUE"""),"כפר עזה")</f>
        <v>כפר עזה</v>
      </c>
      <c r="E1019" s="5" t="str">
        <f>IFERROR(__xludf.DUMMYFUNCTION("""COMPUTED_VALUE"""),"גבר")</f>
        <v>גבר</v>
      </c>
      <c r="F1019" s="5" t="str">
        <f>IFERROR(__xludf.DUMMYFUNCTION("""COMPUTED_VALUE"""),"כיתות כוננות")</f>
        <v>כיתות כוננות</v>
      </c>
      <c r="G1019" s="5" t="str">
        <f>IFERROR(__xludf.DUMMYFUNCTION("""COMPUTED_VALUE"""),"רס״ם")</f>
        <v>רס״ם</v>
      </c>
      <c r="H1019" s="3" t="str">
        <f>IFERROR(__xludf.DUMMYFUNCTION("""COMPUTED_VALUE"""),"07.10.2023")</f>
        <v>07.10.2023</v>
      </c>
      <c r="I1019" s="4" t="str">
        <f>IFERROR(__xludf.DUMMYFUNCTION("""COMPUTED_VALUE"""),"כפר עזה")</f>
        <v>כפר עזה</v>
      </c>
      <c r="J1019" s="4" t="str">
        <f>IFERROR(__xludf.DUMMYFUNCTION("""COMPUTED_VALUE"""),"אזרחים וכיתות כוננות")</f>
        <v>אזרחים וכיתות כוננות</v>
      </c>
      <c r="K1019" s="5"/>
      <c r="L1019" s="3" t="str">
        <f>IFERROR(__xludf.DUMMYFUNCTION("""COMPUTED_VALUE"""),"Tal Eilon")</f>
        <v>Tal Eilon</v>
      </c>
      <c r="M1019" s="5"/>
    </row>
    <row r="1020">
      <c r="A1020" s="3">
        <f>IFERROR(__xludf.DUMMYFUNCTION("""COMPUTED_VALUE"""),296.0)</f>
        <v>296</v>
      </c>
      <c r="B1020" s="4" t="str">
        <f>IFERROR(__xludf.DUMMYFUNCTION("""COMPUTED_VALUE"""),"ברגשטיין שחף")</f>
        <v>ברגשטיין שחף</v>
      </c>
      <c r="C1020" s="3">
        <f>IFERROR(__xludf.DUMMYFUNCTION("""COMPUTED_VALUE"""),33.0)</f>
        <v>33</v>
      </c>
      <c r="D1020" s="5" t="str">
        <f>IFERROR(__xludf.DUMMYFUNCTION("""COMPUTED_VALUE"""),"כפר עזה")</f>
        <v>כפר עזה</v>
      </c>
      <c r="E1020" s="5" t="str">
        <f>IFERROR(__xludf.DUMMYFUNCTION("""COMPUTED_VALUE"""),"גבר")</f>
        <v>גבר</v>
      </c>
      <c r="F1020" s="5" t="str">
        <f>IFERROR(__xludf.DUMMYFUNCTION("""COMPUTED_VALUE"""),"כיתות כוננות")</f>
        <v>כיתות כוננות</v>
      </c>
      <c r="G1020" s="5" t="str">
        <f>IFERROR(__xludf.DUMMYFUNCTION("""COMPUTED_VALUE"""),"רס״ם")</f>
        <v>רס״ם</v>
      </c>
      <c r="H1020" s="3" t="str">
        <f>IFERROR(__xludf.DUMMYFUNCTION("""COMPUTED_VALUE"""),"07.10.2023")</f>
        <v>07.10.2023</v>
      </c>
      <c r="I1020" s="4" t="str">
        <f>IFERROR(__xludf.DUMMYFUNCTION("""COMPUTED_VALUE"""),"כפר עזה")</f>
        <v>כפר עזה</v>
      </c>
      <c r="J1020" s="2" t="str">
        <f>IFERROR(__xludf.DUMMYFUNCTION("""COMPUTED_VALUE"""),"אזרחים וכיתות כוננות")</f>
        <v>אזרחים וכיתות כוננות</v>
      </c>
      <c r="K1020" s="5"/>
      <c r="L1020" s="3" t="str">
        <f>IFERROR(__xludf.DUMMYFUNCTION("""COMPUTED_VALUE"""),"Shachaf Bergstein")</f>
        <v>Shachaf Bergstein</v>
      </c>
      <c r="M1020" s="5"/>
    </row>
    <row r="1021">
      <c r="A1021" s="3">
        <f>IFERROR(__xludf.DUMMYFUNCTION("""COMPUTED_VALUE"""),1472.0)</f>
        <v>1472</v>
      </c>
      <c r="B1021" s="4" t="str">
        <f>IFERROR(__xludf.DUMMYFUNCTION("""COMPUTED_VALUE"""),"ברונשטיין בן")</f>
        <v>ברונשטיין בן</v>
      </c>
      <c r="C1021" s="3">
        <f>IFERROR(__xludf.DUMMYFUNCTION("""COMPUTED_VALUE"""),24.0)</f>
        <v>24</v>
      </c>
      <c r="D1021" s="5" t="str">
        <f>IFERROR(__xludf.DUMMYFUNCTION("""COMPUTED_VALUE"""),"חולון")</f>
        <v>חולון</v>
      </c>
      <c r="E1021" s="5" t="str">
        <f>IFERROR(__xludf.DUMMYFUNCTION("""COMPUTED_VALUE"""),"גבר")</f>
        <v>גבר</v>
      </c>
      <c r="F1021" s="5" t="str">
        <f>IFERROR(__xludf.DUMMYFUNCTION("""COMPUTED_VALUE"""),"צה""ל")</f>
        <v>צה"ל</v>
      </c>
      <c r="G1021" s="5" t="str">
        <f>IFERROR(__xludf.DUMMYFUNCTION("""COMPUTED_VALUE"""),"רס״ן")</f>
        <v>רס״ן</v>
      </c>
      <c r="H1021" s="3" t="str">
        <f>IFERROR(__xludf.DUMMYFUNCTION("""COMPUTED_VALUE"""),"07.10.2023")</f>
        <v>07.10.2023</v>
      </c>
      <c r="I1021" s="4" t="str">
        <f>IFERROR(__xludf.DUMMYFUNCTION("""COMPUTED_VALUE"""),"כפר עזה")</f>
        <v>כפר עזה</v>
      </c>
      <c r="J1021" s="4" t="str">
        <f>IFERROR(__xludf.DUMMYFUNCTION("""COMPUTED_VALUE"""),"חיילים")</f>
        <v>חיילים</v>
      </c>
      <c r="K1021" s="5"/>
      <c r="L1021" s="3" t="str">
        <f>IFERROR(__xludf.DUMMYFUNCTION("""COMPUTED_VALUE"""),"Ben Bronshtein")</f>
        <v>Ben Bronshtein</v>
      </c>
      <c r="M1021" s="5"/>
    </row>
    <row r="1022">
      <c r="A1022" s="3">
        <f>IFERROR(__xludf.DUMMYFUNCTION("""COMPUTED_VALUE"""),293.0)</f>
        <v>293</v>
      </c>
      <c r="B1022" s="4" t="str">
        <f>IFERROR(__xludf.DUMMYFUNCTION("""COMPUTED_VALUE"""),"ברעם אביב")</f>
        <v>ברעם אביב</v>
      </c>
      <c r="C1022" s="3">
        <f>IFERROR(__xludf.DUMMYFUNCTION("""COMPUTED_VALUE"""),33.0)</f>
        <v>33</v>
      </c>
      <c r="D1022" s="5" t="str">
        <f>IFERROR(__xludf.DUMMYFUNCTION("""COMPUTED_VALUE"""),"כפר עזה")</f>
        <v>כפר עזה</v>
      </c>
      <c r="E1022" s="5" t="str">
        <f>IFERROR(__xludf.DUMMYFUNCTION("""COMPUTED_VALUE"""),"גבר")</f>
        <v>גבר</v>
      </c>
      <c r="F1022" s="5" t="str">
        <f>IFERROR(__xludf.DUMMYFUNCTION("""COMPUTED_VALUE"""),"כיתות כוננות")</f>
        <v>כיתות כוננות</v>
      </c>
      <c r="G1022" s="5" t="str">
        <f>IFERROR(__xludf.DUMMYFUNCTION("""COMPUTED_VALUE"""),"רס״ם")</f>
        <v>רס״ם</v>
      </c>
      <c r="H1022" s="3" t="str">
        <f>IFERROR(__xludf.DUMMYFUNCTION("""COMPUTED_VALUE"""),"07.10.2023")</f>
        <v>07.10.2023</v>
      </c>
      <c r="I1022" s="4" t="str">
        <f>IFERROR(__xludf.DUMMYFUNCTION("""COMPUTED_VALUE"""),"כפר עזה")</f>
        <v>כפר עזה</v>
      </c>
      <c r="J1022" s="4" t="str">
        <f>IFERROR(__xludf.DUMMYFUNCTION("""COMPUTED_VALUE"""),"אזרחים וכיתות כוננות")</f>
        <v>אזרחים וכיתות כוננות</v>
      </c>
      <c r="K1022" s="5"/>
      <c r="L1022" s="3" t="str">
        <f>IFERROR(__xludf.DUMMYFUNCTION("""COMPUTED_VALUE"""),"Aviv Baram")</f>
        <v>Aviv Baram</v>
      </c>
      <c r="M1022" s="5"/>
    </row>
    <row r="1023">
      <c r="A1023" s="3">
        <f>IFERROR(__xludf.DUMMYFUNCTION("""COMPUTED_VALUE"""),1588.0)</f>
        <v>1588</v>
      </c>
      <c r="B1023" s="4" t="str">
        <f>IFERROR(__xludf.DUMMYFUNCTION("""COMPUTED_VALUE"""),"דושי רותם")</f>
        <v>דושי רותם</v>
      </c>
      <c r="C1023" s="3">
        <f>IFERROR(__xludf.DUMMYFUNCTION("""COMPUTED_VALUE"""),20.0)</f>
        <v>20</v>
      </c>
      <c r="D1023" s="5" t="str">
        <f>IFERROR(__xludf.DUMMYFUNCTION("""COMPUTED_VALUE"""),"שמשית")</f>
        <v>שמשית</v>
      </c>
      <c r="E1023" s="5" t="str">
        <f>IFERROR(__xludf.DUMMYFUNCTION("""COMPUTED_VALUE"""),"גבר")</f>
        <v>גבר</v>
      </c>
      <c r="F1023" s="5" t="str">
        <f>IFERROR(__xludf.DUMMYFUNCTION("""COMPUTED_VALUE"""),"צה""ל")</f>
        <v>צה"ל</v>
      </c>
      <c r="G1023" s="5" t="str">
        <f>IFERROR(__xludf.DUMMYFUNCTION("""COMPUTED_VALUE"""),"סמ״ר")</f>
        <v>סמ״ר</v>
      </c>
      <c r="H1023" s="3" t="str">
        <f>IFERROR(__xludf.DUMMYFUNCTION("""COMPUTED_VALUE"""),"07.10.2023")</f>
        <v>07.10.2023</v>
      </c>
      <c r="I1023" s="4" t="str">
        <f>IFERROR(__xludf.DUMMYFUNCTION("""COMPUTED_VALUE"""),"כפר עזה")</f>
        <v>כפר עזה</v>
      </c>
      <c r="J1023" s="2" t="str">
        <f>IFERROR(__xludf.DUMMYFUNCTION("""COMPUTED_VALUE"""),"חיילים")</f>
        <v>חיילים</v>
      </c>
      <c r="K1023" s="5"/>
      <c r="L1023" s="3" t="str">
        <f>IFERROR(__xludf.DUMMYFUNCTION("""COMPUTED_VALUE"""),"Rotem Dushi")</f>
        <v>Rotem Dushi</v>
      </c>
      <c r="M1023" s="5"/>
    </row>
    <row r="1024">
      <c r="A1024" s="3">
        <f>IFERROR(__xludf.DUMMYFUNCTION("""COMPUTED_VALUE"""),311.0)</f>
        <v>311</v>
      </c>
      <c r="B1024" s="4" t="str">
        <f>IFERROR(__xludf.DUMMYFUNCTION("""COMPUTED_VALUE"""),"הנדי אברהם חננאל")</f>
        <v>הנדי אברהם חננאל</v>
      </c>
      <c r="C1024" s="3">
        <f>IFERROR(__xludf.DUMMYFUNCTION("""COMPUTED_VALUE"""),37.0)</f>
        <v>37</v>
      </c>
      <c r="D1024" s="5" t="str">
        <f>IFERROR(__xludf.DUMMYFUNCTION("""COMPUTED_VALUE"""),"כפר עזה")</f>
        <v>כפר עזה</v>
      </c>
      <c r="E1024" s="5" t="str">
        <f>IFERROR(__xludf.DUMMYFUNCTION("""COMPUTED_VALUE"""),"גבר")</f>
        <v>גבר</v>
      </c>
      <c r="F1024" s="5" t="str">
        <f>IFERROR(__xludf.DUMMYFUNCTION("""COMPUTED_VALUE"""),"כיתות כוננות")</f>
        <v>כיתות כוננות</v>
      </c>
      <c r="G1024" s="5" t="str">
        <f>IFERROR(__xludf.DUMMYFUNCTION("""COMPUTED_VALUE"""),"סרן")</f>
        <v>סרן</v>
      </c>
      <c r="H1024" s="3" t="str">
        <f>IFERROR(__xludf.DUMMYFUNCTION("""COMPUTED_VALUE"""),"07.10.2023")</f>
        <v>07.10.2023</v>
      </c>
      <c r="I1024" s="4" t="str">
        <f>IFERROR(__xludf.DUMMYFUNCTION("""COMPUTED_VALUE"""),"כפר עזה")</f>
        <v>כפר עזה</v>
      </c>
      <c r="J1024" s="4" t="str">
        <f>IFERROR(__xludf.DUMMYFUNCTION("""COMPUTED_VALUE"""),"אזרחים וכיתות כוננות")</f>
        <v>אזרחים וכיתות כוננות</v>
      </c>
      <c r="K1024" s="5"/>
      <c r="L1024" s="3" t="str">
        <f>IFERROR(__xludf.DUMMYFUNCTION("""COMPUTED_VALUE"""),"Avraham Hananel Hindi")</f>
        <v>Avraham Hananel Hindi</v>
      </c>
      <c r="M1024" s="5"/>
    </row>
    <row r="1025">
      <c r="A1025" s="3">
        <f>IFERROR(__xludf.DUMMYFUNCTION("""COMPUTED_VALUE"""),370.0)</f>
        <v>370</v>
      </c>
      <c r="B1025" s="4" t="str">
        <f>IFERROR(__xludf.DUMMYFUNCTION("""COMPUTED_VALUE"""),"ונינו עמיחי יעקב")</f>
        <v>ונינו עמיחי יעקב</v>
      </c>
      <c r="C1025" s="3">
        <f>IFERROR(__xludf.DUMMYFUNCTION("""COMPUTED_VALUE"""),22.0)</f>
        <v>22</v>
      </c>
      <c r="D1025" s="5" t="str">
        <f>IFERROR(__xludf.DUMMYFUNCTION("""COMPUTED_VALUE"""),"קצרין")</f>
        <v>קצרין</v>
      </c>
      <c r="E1025" s="5" t="str">
        <f>IFERROR(__xludf.DUMMYFUNCTION("""COMPUTED_VALUE"""),"גבר")</f>
        <v>גבר</v>
      </c>
      <c r="F1025" s="5" t="str">
        <f>IFERROR(__xludf.DUMMYFUNCTION("""COMPUTED_VALUE"""),"צה""ל")</f>
        <v>צה"ל</v>
      </c>
      <c r="G1025" s="5" t="str">
        <f>IFERROR(__xludf.DUMMYFUNCTION("""COMPUTED_VALUE"""),"סמ״ר")</f>
        <v>סמ״ר</v>
      </c>
      <c r="H1025" s="3" t="str">
        <f>IFERROR(__xludf.DUMMYFUNCTION("""COMPUTED_VALUE"""),"07.10.2023")</f>
        <v>07.10.2023</v>
      </c>
      <c r="I1025" s="4" t="str">
        <f>IFERROR(__xludf.DUMMYFUNCTION("""COMPUTED_VALUE"""),"כפר עזה")</f>
        <v>כפר עזה</v>
      </c>
      <c r="J1025" s="4" t="str">
        <f>IFERROR(__xludf.DUMMYFUNCTION("""COMPUTED_VALUE"""),"חיילים")</f>
        <v>חיילים</v>
      </c>
      <c r="K1025" s="5"/>
      <c r="L1025" s="3" t="str">
        <f>IFERROR(__xludf.DUMMYFUNCTION("""COMPUTED_VALUE"""),"Amichai Yakov-Vaninu")</f>
        <v>Amichai Yakov-Vaninu</v>
      </c>
      <c r="M1025" s="5"/>
    </row>
    <row r="1026">
      <c r="A1026" s="3">
        <f>IFERROR(__xludf.DUMMYFUNCTION("""COMPUTED_VALUE"""),1710.0)</f>
        <v>1710</v>
      </c>
      <c r="B1026" s="4" t="str">
        <f>IFERROR(__xludf.DUMMYFUNCTION("""COMPUTED_VALUE"""),"זיסר עילי")</f>
        <v>זיסר עילי</v>
      </c>
      <c r="C1026" s="3">
        <f>IFERROR(__xludf.DUMMYFUNCTION("""COMPUTED_VALUE"""),27.0)</f>
        <v>27</v>
      </c>
      <c r="D1026" s="5" t="str">
        <f>IFERROR(__xludf.DUMMYFUNCTION("""COMPUTED_VALUE"""),"גבעת אלה")</f>
        <v>גבעת אלה</v>
      </c>
      <c r="E1026" s="5" t="str">
        <f>IFERROR(__xludf.DUMMYFUNCTION("""COMPUTED_VALUE"""),"גבר")</f>
        <v>גבר</v>
      </c>
      <c r="F1026" s="5" t="str">
        <f>IFERROR(__xludf.DUMMYFUNCTION("""COMPUTED_VALUE"""),"צה""ל")</f>
        <v>צה"ל</v>
      </c>
      <c r="G1026" s="5" t="str">
        <f>IFERROR(__xludf.DUMMYFUNCTION("""COMPUTED_VALUE"""),"רס״ן")</f>
        <v>רס״ן</v>
      </c>
      <c r="H1026" s="3" t="str">
        <f>IFERROR(__xludf.DUMMYFUNCTION("""COMPUTED_VALUE"""),"07.10.2023")</f>
        <v>07.10.2023</v>
      </c>
      <c r="I1026" s="4" t="str">
        <f>IFERROR(__xludf.DUMMYFUNCTION("""COMPUTED_VALUE"""),"כפר עזה")</f>
        <v>כפר עזה</v>
      </c>
      <c r="J1026" s="2" t="str">
        <f>IFERROR(__xludf.DUMMYFUNCTION("""COMPUTED_VALUE"""),"חיילים")</f>
        <v>חיילים</v>
      </c>
      <c r="K1026" s="5"/>
      <c r="L1026" s="3" t="str">
        <f>IFERROR(__xludf.DUMMYFUNCTION("""COMPUTED_VALUE"""),"Ilay Zisser")</f>
        <v>Ilay Zisser</v>
      </c>
      <c r="M1026" s="5"/>
    </row>
    <row r="1027">
      <c r="A1027" s="3">
        <f>IFERROR(__xludf.DUMMYFUNCTION("""COMPUTED_VALUE"""),297.0)</f>
        <v>297</v>
      </c>
      <c r="B1027" s="4" t="str">
        <f>IFERROR(__xludf.DUMMYFUNCTION("""COMPUTED_VALUE"""),"כהן טל")</f>
        <v>כהן טל</v>
      </c>
      <c r="C1027" s="3">
        <f>IFERROR(__xludf.DUMMYFUNCTION("""COMPUTED_VALUE"""),30.0)</f>
        <v>30</v>
      </c>
      <c r="D1027" s="5" t="str">
        <f>IFERROR(__xludf.DUMMYFUNCTION("""COMPUTED_VALUE"""),"גני טל")</f>
        <v>גני טל</v>
      </c>
      <c r="E1027" s="5" t="str">
        <f>IFERROR(__xludf.DUMMYFUNCTION("""COMPUTED_VALUE"""),"גבר")</f>
        <v>גבר</v>
      </c>
      <c r="F1027" s="5" t="str">
        <f>IFERROR(__xludf.DUMMYFUNCTION("""COMPUTED_VALUE"""),"צה""ל")</f>
        <v>צה"ל</v>
      </c>
      <c r="G1027" s="5" t="str">
        <f>IFERROR(__xludf.DUMMYFUNCTION("""COMPUTED_VALUE"""),"רס״ן")</f>
        <v>רס״ן</v>
      </c>
      <c r="H1027" s="3" t="str">
        <f>IFERROR(__xludf.DUMMYFUNCTION("""COMPUTED_VALUE"""),"07.10.2023")</f>
        <v>07.10.2023</v>
      </c>
      <c r="I1027" s="4" t="str">
        <f>IFERROR(__xludf.DUMMYFUNCTION("""COMPUTED_VALUE"""),"כפר עזה")</f>
        <v>כפר עזה</v>
      </c>
      <c r="J1027" s="4" t="str">
        <f>IFERROR(__xludf.DUMMYFUNCTION("""COMPUTED_VALUE"""),"חיילים")</f>
        <v>חיילים</v>
      </c>
      <c r="K1027" s="5"/>
      <c r="L1027" s="3" t="str">
        <f>IFERROR(__xludf.DUMMYFUNCTION("""COMPUTED_VALUE"""),"Tal Cohen")</f>
        <v>Tal Cohen</v>
      </c>
      <c r="M1027" s="5"/>
    </row>
    <row r="1028">
      <c r="A1028" s="3">
        <f>IFERROR(__xludf.DUMMYFUNCTION("""COMPUTED_VALUE"""),327.0)</f>
        <v>327</v>
      </c>
      <c r="B1028" s="4" t="str">
        <f>IFERROR(__xludf.DUMMYFUNCTION("""COMPUTED_VALUE"""),"ליבשטיין אופיר")</f>
        <v>ליבשטיין אופיר</v>
      </c>
      <c r="C1028" s="3">
        <f>IFERROR(__xludf.DUMMYFUNCTION("""COMPUTED_VALUE"""),50.0)</f>
        <v>50</v>
      </c>
      <c r="D1028" s="5" t="str">
        <f>IFERROR(__xludf.DUMMYFUNCTION("""COMPUTED_VALUE"""),"כפר עזה")</f>
        <v>כפר עזה</v>
      </c>
      <c r="E1028" s="5" t="str">
        <f>IFERROR(__xludf.DUMMYFUNCTION("""COMPUTED_VALUE"""),"גבר")</f>
        <v>גבר</v>
      </c>
      <c r="F1028" s="5" t="str">
        <f>IFERROR(__xludf.DUMMYFUNCTION("""COMPUTED_VALUE"""),"כיתות כוננות")</f>
        <v>כיתות כוננות</v>
      </c>
      <c r="G1028" s="5" t="str">
        <f>IFERROR(__xludf.DUMMYFUNCTION("""COMPUTED_VALUE"""),"רס״ר")</f>
        <v>רס״ר</v>
      </c>
      <c r="H1028" s="3" t="str">
        <f>IFERROR(__xludf.DUMMYFUNCTION("""COMPUTED_VALUE"""),"07.10.2023")</f>
        <v>07.10.2023</v>
      </c>
      <c r="I1028" s="4" t="str">
        <f>IFERROR(__xludf.DUMMYFUNCTION("""COMPUTED_VALUE"""),"כפר עזה")</f>
        <v>כפר עזה</v>
      </c>
      <c r="J1028" s="2" t="str">
        <f>IFERROR(__xludf.DUMMYFUNCTION("""COMPUTED_VALUE"""),"אזרחים וכיתות כוננות")</f>
        <v>אזרחים וכיתות כוננות</v>
      </c>
      <c r="K1028" s="5"/>
      <c r="L1028" s="3" t="str">
        <f>IFERROR(__xludf.DUMMYFUNCTION("""COMPUTED_VALUE"""),"Ofir Libstein")</f>
        <v>Ofir Libstein</v>
      </c>
      <c r="M1028" s="5"/>
    </row>
    <row r="1029">
      <c r="A1029" s="3">
        <f>IFERROR(__xludf.DUMMYFUNCTION("""COMPUTED_VALUE"""),328.0)</f>
        <v>328</v>
      </c>
      <c r="B1029" s="4" t="str">
        <f>IFERROR(__xludf.DUMMYFUNCTION("""COMPUTED_VALUE"""),"מיכאלי עמרי")</f>
        <v>מיכאלי עמרי</v>
      </c>
      <c r="C1029" s="3">
        <f>IFERROR(__xludf.DUMMYFUNCTION("""COMPUTED_VALUE"""),35.0)</f>
        <v>35</v>
      </c>
      <c r="D1029" s="5" t="str">
        <f>IFERROR(__xludf.DUMMYFUNCTION("""COMPUTED_VALUE"""),"נס ציונה")</f>
        <v>נס ציונה</v>
      </c>
      <c r="E1029" s="5" t="str">
        <f>IFERROR(__xludf.DUMMYFUNCTION("""COMPUTED_VALUE"""),"גבר")</f>
        <v>גבר</v>
      </c>
      <c r="F1029" s="5" t="str">
        <f>IFERROR(__xludf.DUMMYFUNCTION("""COMPUTED_VALUE"""),"צה""ל (מיל')")</f>
        <v>צה"ל (מיל')</v>
      </c>
      <c r="G1029" s="5" t="str">
        <f>IFERROR(__xludf.DUMMYFUNCTION("""COMPUTED_VALUE"""),"רס״ם")</f>
        <v>רס״ם</v>
      </c>
      <c r="H1029" s="3" t="str">
        <f>IFERROR(__xludf.DUMMYFUNCTION("""COMPUTED_VALUE"""),"07.10.2023")</f>
        <v>07.10.2023</v>
      </c>
      <c r="I1029" s="4" t="str">
        <f>IFERROR(__xludf.DUMMYFUNCTION("""COMPUTED_VALUE"""),"כפר עזה")</f>
        <v>כפר עזה</v>
      </c>
      <c r="J1029" s="4" t="str">
        <f>IFERROR(__xludf.DUMMYFUNCTION("""COMPUTED_VALUE"""),"חיילים")</f>
        <v>חיילים</v>
      </c>
      <c r="K1029" s="5"/>
      <c r="L1029" s="3" t="str">
        <f>IFERROR(__xludf.DUMMYFUNCTION("""COMPUTED_VALUE"""),"Omri Michaeli")</f>
        <v>Omri Michaeli</v>
      </c>
      <c r="M1029" s="5"/>
    </row>
    <row r="1030">
      <c r="A1030" s="3">
        <f>IFERROR(__xludf.DUMMYFUNCTION("""COMPUTED_VALUE"""),329.0)</f>
        <v>329</v>
      </c>
      <c r="B1030" s="4" t="str">
        <f>IFERROR(__xludf.DUMMYFUNCTION("""COMPUTED_VALUE"""),"נהרי רועי")</f>
        <v>נהרי רועי</v>
      </c>
      <c r="C1030" s="3">
        <f>IFERROR(__xludf.DUMMYFUNCTION("""COMPUTED_VALUE"""),23.0)</f>
        <v>23</v>
      </c>
      <c r="D1030" s="5" t="str">
        <f>IFERROR(__xludf.DUMMYFUNCTION("""COMPUTED_VALUE"""),"אורה")</f>
        <v>אורה</v>
      </c>
      <c r="E1030" s="5" t="str">
        <f>IFERROR(__xludf.DUMMYFUNCTION("""COMPUTED_VALUE"""),"גבר")</f>
        <v>גבר</v>
      </c>
      <c r="F1030" s="5" t="str">
        <f>IFERROR(__xludf.DUMMYFUNCTION("""COMPUTED_VALUE"""),"צה""ל")</f>
        <v>צה"ל</v>
      </c>
      <c r="G1030" s="5" t="str">
        <f>IFERROR(__xludf.DUMMYFUNCTION("""COMPUTED_VALUE"""),"סרן")</f>
        <v>סרן</v>
      </c>
      <c r="H1030" s="3" t="str">
        <f>IFERROR(__xludf.DUMMYFUNCTION("""COMPUTED_VALUE"""),"07.10.2023")</f>
        <v>07.10.2023</v>
      </c>
      <c r="I1030" s="4" t="str">
        <f>IFERROR(__xludf.DUMMYFUNCTION("""COMPUTED_VALUE"""),"כפר עזה")</f>
        <v>כפר עזה</v>
      </c>
      <c r="J1030" s="4" t="str">
        <f>IFERROR(__xludf.DUMMYFUNCTION("""COMPUTED_VALUE"""),"חיילים")</f>
        <v>חיילים</v>
      </c>
      <c r="K1030" s="5"/>
      <c r="L1030" s="3" t="str">
        <f>IFERROR(__xludf.DUMMYFUNCTION("""COMPUTED_VALUE"""),"Roey Nahari")</f>
        <v>Roey Nahari</v>
      </c>
      <c r="M1030" s="5"/>
    </row>
    <row r="1031">
      <c r="A1031" s="3">
        <f>IFERROR(__xludf.DUMMYFUNCTION("""COMPUTED_VALUE"""),343.0)</f>
        <v>343</v>
      </c>
      <c r="B1031" s="4" t="str">
        <f>IFERROR(__xludf.DUMMYFUNCTION("""COMPUTED_VALUE"""),"סלומון יובל")</f>
        <v>סלומון יובל</v>
      </c>
      <c r="C1031" s="3">
        <f>IFERROR(__xludf.DUMMYFUNCTION("""COMPUTED_VALUE"""),29.0)</f>
        <v>29</v>
      </c>
      <c r="D1031" s="5" t="str">
        <f>IFERROR(__xludf.DUMMYFUNCTION("""COMPUTED_VALUE"""),"כפר עזה")</f>
        <v>כפר עזה</v>
      </c>
      <c r="E1031" s="5" t="str">
        <f>IFERROR(__xludf.DUMMYFUNCTION("""COMPUTED_VALUE"""),"גבר")</f>
        <v>גבר</v>
      </c>
      <c r="F1031" s="5" t="str">
        <f>IFERROR(__xludf.DUMMYFUNCTION("""COMPUTED_VALUE"""),"אזרחים")</f>
        <v>אזרחים</v>
      </c>
      <c r="G1031" s="5"/>
      <c r="H1031" s="3" t="str">
        <f>IFERROR(__xludf.DUMMYFUNCTION("""COMPUTED_VALUE"""),"07.10.2023")</f>
        <v>07.10.2023</v>
      </c>
      <c r="I1031" s="4" t="str">
        <f>IFERROR(__xludf.DUMMYFUNCTION("""COMPUTED_VALUE"""),"כפר עזה")</f>
        <v>כפר עזה</v>
      </c>
      <c r="J1031" s="4" t="str">
        <f>IFERROR(__xludf.DUMMYFUNCTION("""COMPUTED_VALUE"""),"אזרחים וכיתות כוננות")</f>
        <v>אזרחים וכיתות כוננות</v>
      </c>
      <c r="K1031" s="5"/>
      <c r="L1031" s="3" t="str">
        <f>IFERROR(__xludf.DUMMYFUNCTION("""COMPUTED_VALUE"""),"Yuval Salomon")</f>
        <v>Yuval Salomon</v>
      </c>
      <c r="M1031" s="5"/>
    </row>
    <row r="1032">
      <c r="A1032" s="3">
        <f>IFERROR(__xludf.DUMMYFUNCTION("""COMPUTED_VALUE"""),1571.0)</f>
        <v>1571</v>
      </c>
      <c r="B1032" s="4" t="str">
        <f>IFERROR(__xludf.DUMMYFUNCTION("""COMPUTED_VALUE"""),"עדני איליי")</f>
        <v>עדני איליי</v>
      </c>
      <c r="C1032" s="3">
        <f>IFERROR(__xludf.DUMMYFUNCTION("""COMPUTED_VALUE"""),21.0)</f>
        <v>21</v>
      </c>
      <c r="D1032" s="5" t="str">
        <f>IFERROR(__xludf.DUMMYFUNCTION("""COMPUTED_VALUE"""),"תל מונד")</f>
        <v>תל מונד</v>
      </c>
      <c r="E1032" s="5" t="str">
        <f>IFERROR(__xludf.DUMMYFUNCTION("""COMPUTED_VALUE"""),"גבר")</f>
        <v>גבר</v>
      </c>
      <c r="F1032" s="5" t="str">
        <f>IFERROR(__xludf.DUMMYFUNCTION("""COMPUTED_VALUE"""),"צה""ל")</f>
        <v>צה"ל</v>
      </c>
      <c r="G1032" s="5" t="str">
        <f>IFERROR(__xludf.DUMMYFUNCTION("""COMPUTED_VALUE"""),"סרן")</f>
        <v>סרן</v>
      </c>
      <c r="H1032" s="3" t="str">
        <f>IFERROR(__xludf.DUMMYFUNCTION("""COMPUTED_VALUE"""),"07.10.2023")</f>
        <v>07.10.2023</v>
      </c>
      <c r="I1032" s="4" t="str">
        <f>IFERROR(__xludf.DUMMYFUNCTION("""COMPUTED_VALUE"""),"כפר עזה")</f>
        <v>כפר עזה</v>
      </c>
      <c r="J1032" s="4" t="str">
        <f>IFERROR(__xludf.DUMMYFUNCTION("""COMPUTED_VALUE"""),"חיילים")</f>
        <v>חיילים</v>
      </c>
      <c r="K1032" s="5"/>
      <c r="L1032" s="3" t="str">
        <f>IFERROR(__xludf.DUMMYFUNCTION("""COMPUTED_VALUE"""),"Eily Adani")</f>
        <v>Eily Adani</v>
      </c>
      <c r="M1032" s="5"/>
    </row>
    <row r="1033">
      <c r="A1033" s="3">
        <f>IFERROR(__xludf.DUMMYFUNCTION("""COMPUTED_VALUE"""),290.0)</f>
        <v>290</v>
      </c>
      <c r="B1033" s="4" t="str">
        <f>IFERROR(__xludf.DUMMYFUNCTION("""COMPUTED_VALUE"""),"עמיקם נדב")</f>
        <v>עמיקם נדב</v>
      </c>
      <c r="C1033" s="3">
        <f>IFERROR(__xludf.DUMMYFUNCTION("""COMPUTED_VALUE"""),39.0)</f>
        <v>39</v>
      </c>
      <c r="D1033" s="5" t="str">
        <f>IFERROR(__xludf.DUMMYFUNCTION("""COMPUTED_VALUE"""),"כפר עזה")</f>
        <v>כפר עזה</v>
      </c>
      <c r="E1033" s="5" t="str">
        <f>IFERROR(__xludf.DUMMYFUNCTION("""COMPUTED_VALUE"""),"גבר")</f>
        <v>גבר</v>
      </c>
      <c r="F1033" s="5" t="str">
        <f>IFERROR(__xludf.DUMMYFUNCTION("""COMPUTED_VALUE"""),"כיתות כוננות")</f>
        <v>כיתות כוננות</v>
      </c>
      <c r="G1033" s="5" t="str">
        <f>IFERROR(__xludf.DUMMYFUNCTION("""COMPUTED_VALUE"""),"רס״ם")</f>
        <v>רס״ם</v>
      </c>
      <c r="H1033" s="3" t="str">
        <f>IFERROR(__xludf.DUMMYFUNCTION("""COMPUTED_VALUE"""),"07.10.2023")</f>
        <v>07.10.2023</v>
      </c>
      <c r="I1033" s="4" t="str">
        <f>IFERROR(__xludf.DUMMYFUNCTION("""COMPUTED_VALUE"""),"כפר עזה")</f>
        <v>כפר עזה</v>
      </c>
      <c r="J1033" s="4" t="str">
        <f>IFERROR(__xludf.DUMMYFUNCTION("""COMPUTED_VALUE"""),"אזרחים וכיתות כוננות")</f>
        <v>אזרחים וכיתות כוננות</v>
      </c>
      <c r="K1033" s="5"/>
      <c r="L1033" s="3" t="str">
        <f>IFERROR(__xludf.DUMMYFUNCTION("""COMPUTED_VALUE"""),"Nadav Amikam")</f>
        <v>Nadav Amikam</v>
      </c>
      <c r="M1033" s="5"/>
    </row>
    <row r="1034">
      <c r="A1034" s="3">
        <f>IFERROR(__xludf.DUMMYFUNCTION("""COMPUTED_VALUE"""),225.0)</f>
        <v>225</v>
      </c>
      <c r="B1034" s="4" t="str">
        <f>IFERROR(__xludf.DUMMYFUNCTION("""COMPUTED_VALUE"""),"פישר אמיר")</f>
        <v>פישר אמיר</v>
      </c>
      <c r="C1034" s="3">
        <f>IFERROR(__xludf.DUMMYFUNCTION("""COMPUTED_VALUE"""),22.0)</f>
        <v>22</v>
      </c>
      <c r="D1034" s="5" t="str">
        <f>IFERROR(__xludf.DUMMYFUNCTION("""COMPUTED_VALUE"""),"תל אביב")</f>
        <v>תל אביב</v>
      </c>
      <c r="E1034" s="5" t="str">
        <f>IFERROR(__xludf.DUMMYFUNCTION("""COMPUTED_VALUE"""),"גבר")</f>
        <v>גבר</v>
      </c>
      <c r="F1034" s="5" t="str">
        <f>IFERROR(__xludf.DUMMYFUNCTION("""COMPUTED_VALUE"""),"צה""ל")</f>
        <v>צה"ל</v>
      </c>
      <c r="G1034" s="5" t="str">
        <f>IFERROR(__xludf.DUMMYFUNCTION("""COMPUTED_VALUE"""),"רס״ל")</f>
        <v>רס״ל</v>
      </c>
      <c r="H1034" s="3" t="str">
        <f>IFERROR(__xludf.DUMMYFUNCTION("""COMPUTED_VALUE"""),"07.10.2023")</f>
        <v>07.10.2023</v>
      </c>
      <c r="I1034" s="4" t="str">
        <f>IFERROR(__xludf.DUMMYFUNCTION("""COMPUTED_VALUE"""),"כפר עזה")</f>
        <v>כפר עזה</v>
      </c>
      <c r="J1034" s="2" t="str">
        <f>IFERROR(__xludf.DUMMYFUNCTION("""COMPUTED_VALUE"""),"חיילים")</f>
        <v>חיילים</v>
      </c>
      <c r="K1034" s="5"/>
      <c r="L1034" s="3" t="str">
        <f>IFERROR(__xludf.DUMMYFUNCTION("""COMPUTED_VALUE"""),"Amir Fisher")</f>
        <v>Amir Fisher</v>
      </c>
      <c r="M1034" s="5"/>
    </row>
    <row r="1035">
      <c r="A1035" s="3">
        <f>IFERROR(__xludf.DUMMYFUNCTION("""COMPUTED_VALUE"""),1711.0)</f>
        <v>1711</v>
      </c>
      <c r="B1035" s="4" t="str">
        <f>IFERROR(__xludf.DUMMYFUNCTION("""COMPUTED_VALUE"""),"צור אמיר")</f>
        <v>צור אמיר</v>
      </c>
      <c r="C1035" s="3">
        <f>IFERROR(__xludf.DUMMYFUNCTION("""COMPUTED_VALUE"""),23.0)</f>
        <v>23</v>
      </c>
      <c r="D1035" s="5" t="str">
        <f>IFERROR(__xludf.DUMMYFUNCTION("""COMPUTED_VALUE"""),"ירושלים")</f>
        <v>ירושלים</v>
      </c>
      <c r="E1035" s="5" t="str">
        <f>IFERROR(__xludf.DUMMYFUNCTION("""COMPUTED_VALUE"""),"גבר")</f>
        <v>גבר</v>
      </c>
      <c r="F1035" s="5" t="str">
        <f>IFERROR(__xludf.DUMMYFUNCTION("""COMPUTED_VALUE"""),"צה""ל")</f>
        <v>צה"ל</v>
      </c>
      <c r="G1035" s="5" t="str">
        <f>IFERROR(__xludf.DUMMYFUNCTION("""COMPUTED_VALUE"""),"סרן")</f>
        <v>סרן</v>
      </c>
      <c r="H1035" s="3" t="str">
        <f>IFERROR(__xludf.DUMMYFUNCTION("""COMPUTED_VALUE"""),"07.10.2023")</f>
        <v>07.10.2023</v>
      </c>
      <c r="I1035" s="4" t="str">
        <f>IFERROR(__xludf.DUMMYFUNCTION("""COMPUTED_VALUE"""),"כפר עזה")</f>
        <v>כפר עזה</v>
      </c>
      <c r="J1035" s="4" t="str">
        <f>IFERROR(__xludf.DUMMYFUNCTION("""COMPUTED_VALUE"""),"חיילים")</f>
        <v>חיילים</v>
      </c>
      <c r="K1035" s="5"/>
      <c r="L1035" s="3" t="str">
        <f>IFERROR(__xludf.DUMMYFUNCTION("""COMPUTED_VALUE"""),"Amir Tzur")</f>
        <v>Amir Tzur</v>
      </c>
      <c r="M1035" s="5"/>
    </row>
    <row r="1036">
      <c r="A1036" s="3">
        <f>IFERROR(__xludf.DUMMYFUNCTION("""COMPUTED_VALUE"""),319.0)</f>
        <v>319</v>
      </c>
      <c r="B1036" s="4" t="str">
        <f>IFERROR(__xludf.DUMMYFUNCTION("""COMPUTED_VALUE"""),"קמה הדר")</f>
        <v>קמה הדר</v>
      </c>
      <c r="C1036" s="3">
        <f>IFERROR(__xludf.DUMMYFUNCTION("""COMPUTED_VALUE"""),24.0)</f>
        <v>24</v>
      </c>
      <c r="D1036" s="5" t="str">
        <f>IFERROR(__xludf.DUMMYFUNCTION("""COMPUTED_VALUE"""),"גבעת שפירא")</f>
        <v>גבעת שפירא</v>
      </c>
      <c r="E1036" s="5" t="str">
        <f>IFERROR(__xludf.DUMMYFUNCTION("""COMPUTED_VALUE"""),"גבר")</f>
        <v>גבר</v>
      </c>
      <c r="F1036" s="5" t="str">
        <f>IFERROR(__xludf.DUMMYFUNCTION("""COMPUTED_VALUE"""),"צה""ל")</f>
        <v>צה"ל</v>
      </c>
      <c r="G1036" s="5" t="str">
        <f>IFERROR(__xludf.DUMMYFUNCTION("""COMPUTED_VALUE"""),"סרן")</f>
        <v>סרן</v>
      </c>
      <c r="H1036" s="3" t="str">
        <f>IFERROR(__xludf.DUMMYFUNCTION("""COMPUTED_VALUE"""),"07.10.2023")</f>
        <v>07.10.2023</v>
      </c>
      <c r="I1036" s="4" t="str">
        <f>IFERROR(__xludf.DUMMYFUNCTION("""COMPUTED_VALUE"""),"כפר עזה")</f>
        <v>כפר עזה</v>
      </c>
      <c r="J1036" s="4" t="str">
        <f>IFERROR(__xludf.DUMMYFUNCTION("""COMPUTED_VALUE"""),"חיילים")</f>
        <v>חיילים</v>
      </c>
      <c r="K1036" s="5"/>
      <c r="L1036" s="3" t="str">
        <f>IFERROR(__xludf.DUMMYFUNCTION("""COMPUTED_VALUE"""),"Hadar Kamah")</f>
        <v>Hadar Kamah</v>
      </c>
      <c r="M1036" s="5"/>
    </row>
    <row r="1037">
      <c r="A1037" s="3">
        <f>IFERROR(__xludf.DUMMYFUNCTION("""COMPUTED_VALUE"""),337.0)</f>
        <v>337</v>
      </c>
      <c r="B1037" s="4" t="str">
        <f>IFERROR(__xludf.DUMMYFUNCTION("""COMPUTED_VALUE"""),"רוסו אורי שמעון")</f>
        <v>רוסו אורי שמעון</v>
      </c>
      <c r="C1037" s="3">
        <f>IFERROR(__xludf.DUMMYFUNCTION("""COMPUTED_VALUE"""),44.0)</f>
        <v>44</v>
      </c>
      <c r="D1037" s="5" t="str">
        <f>IFERROR(__xludf.DUMMYFUNCTION("""COMPUTED_VALUE"""),"כפר עזה")</f>
        <v>כפר עזה</v>
      </c>
      <c r="E1037" s="5" t="str">
        <f>IFERROR(__xludf.DUMMYFUNCTION("""COMPUTED_VALUE"""),"גבר")</f>
        <v>גבר</v>
      </c>
      <c r="F1037" s="5" t="str">
        <f>IFERROR(__xludf.DUMMYFUNCTION("""COMPUTED_VALUE"""),"כיתות כוננות")</f>
        <v>כיתות כוננות</v>
      </c>
      <c r="G1037" s="5" t="str">
        <f>IFERROR(__xludf.DUMMYFUNCTION("""COMPUTED_VALUE"""),"רס״ן")</f>
        <v>רס״ן</v>
      </c>
      <c r="H1037" s="3" t="str">
        <f>IFERROR(__xludf.DUMMYFUNCTION("""COMPUTED_VALUE"""),"07.10.2023")</f>
        <v>07.10.2023</v>
      </c>
      <c r="I1037" s="4" t="str">
        <f>IFERROR(__xludf.DUMMYFUNCTION("""COMPUTED_VALUE"""),"כפר עזה")</f>
        <v>כפר עזה</v>
      </c>
      <c r="J1037" s="4" t="str">
        <f>IFERROR(__xludf.DUMMYFUNCTION("""COMPUTED_VALUE"""),"אזרחים וכיתות כוננות")</f>
        <v>אזרחים וכיתות כוננות</v>
      </c>
      <c r="K1037" s="5"/>
      <c r="L1037" s="3" t="str">
        <f>IFERROR(__xludf.DUMMYFUNCTION("""COMPUTED_VALUE"""),"Uri Shimon Russo")</f>
        <v>Uri Shimon Russo</v>
      </c>
      <c r="M1037" s="5"/>
    </row>
    <row r="1038">
      <c r="A1038" s="3">
        <f>IFERROR(__xludf.DUMMYFUNCTION("""COMPUTED_VALUE"""),334.0)</f>
        <v>334</v>
      </c>
      <c r="B1038" s="4" t="str">
        <f>IFERROR(__xludf.DUMMYFUNCTION("""COMPUTED_VALUE"""),"רן אור יוסף")</f>
        <v>רן אור יוסף</v>
      </c>
      <c r="C1038" s="3">
        <f>IFERROR(__xludf.DUMMYFUNCTION("""COMPUTED_VALUE"""),29.0)</f>
        <v>29</v>
      </c>
      <c r="D1038" s="5" t="str">
        <f>IFERROR(__xludf.DUMMYFUNCTION("""COMPUTED_VALUE"""),"איתמר")</f>
        <v>איתמר</v>
      </c>
      <c r="E1038" s="5" t="str">
        <f>IFERROR(__xludf.DUMMYFUNCTION("""COMPUTED_VALUE"""),"גבר")</f>
        <v>גבר</v>
      </c>
      <c r="F1038" s="5" t="str">
        <f>IFERROR(__xludf.DUMMYFUNCTION("""COMPUTED_VALUE"""),"צה""ל")</f>
        <v>צה"ל</v>
      </c>
      <c r="G1038" s="5" t="str">
        <f>IFERROR(__xludf.DUMMYFUNCTION("""COMPUTED_VALUE"""),"רס״ן")</f>
        <v>רס״ן</v>
      </c>
      <c r="H1038" s="3" t="str">
        <f>IFERROR(__xludf.DUMMYFUNCTION("""COMPUTED_VALUE"""),"07.10.2023")</f>
        <v>07.10.2023</v>
      </c>
      <c r="I1038" s="4" t="str">
        <f>IFERROR(__xludf.DUMMYFUNCTION("""COMPUTED_VALUE"""),"כפר עזה")</f>
        <v>כפר עזה</v>
      </c>
      <c r="J1038" s="4" t="str">
        <f>IFERROR(__xludf.DUMMYFUNCTION("""COMPUTED_VALUE"""),"חיילים")</f>
        <v>חיילים</v>
      </c>
      <c r="K1038" s="5"/>
      <c r="L1038" s="3" t="str">
        <f>IFERROR(__xludf.DUMMYFUNCTION("""COMPUTED_VALUE"""),"Or Yossef Ran")</f>
        <v>Or Yossef Ran</v>
      </c>
      <c r="M1038" s="5"/>
    </row>
    <row r="1039">
      <c r="A1039" s="3">
        <f>IFERROR(__xludf.DUMMYFUNCTION("""COMPUTED_VALUE"""),1707.0)</f>
        <v>1707</v>
      </c>
      <c r="B1039" s="4" t="str">
        <f>IFERROR(__xludf.DUMMYFUNCTION("""COMPUTED_VALUE"""),"בן הרוש שהם משה")</f>
        <v>בן הרוש שהם משה</v>
      </c>
      <c r="C1039" s="3">
        <f>IFERROR(__xludf.DUMMYFUNCTION("""COMPUTED_VALUE"""),20.0)</f>
        <v>20</v>
      </c>
      <c r="D1039" s="5" t="str">
        <f>IFERROR(__xludf.DUMMYFUNCTION("""COMPUTED_VALUE"""),"חספין")</f>
        <v>חספין</v>
      </c>
      <c r="E1039" s="5" t="str">
        <f>IFERROR(__xludf.DUMMYFUNCTION("""COMPUTED_VALUE"""),"גבר")</f>
        <v>גבר</v>
      </c>
      <c r="F1039" s="5" t="str">
        <f>IFERROR(__xludf.DUMMYFUNCTION("""COMPUTED_VALUE"""),"צה""ל")</f>
        <v>צה"ל</v>
      </c>
      <c r="G1039" s="5" t="str">
        <f>IFERROR(__xludf.DUMMYFUNCTION("""COMPUTED_VALUE"""),"סמ״ר")</f>
        <v>סמ״ר</v>
      </c>
      <c r="H1039" s="3" t="str">
        <f>IFERROR(__xludf.DUMMYFUNCTION("""COMPUTED_VALUE"""),"07.10.2023")</f>
        <v>07.10.2023</v>
      </c>
      <c r="I1039" s="4" t="str">
        <f>IFERROR(__xludf.DUMMYFUNCTION("""COMPUTED_VALUE"""),"כרם שלום")</f>
        <v>כרם שלום</v>
      </c>
      <c r="J1039" s="2" t="str">
        <f>IFERROR(__xludf.DUMMYFUNCTION("""COMPUTED_VALUE"""),"חיילים")</f>
        <v>חיילים</v>
      </c>
      <c r="K1039" s="5"/>
      <c r="L1039" s="3" t="str">
        <f>IFERROR(__xludf.DUMMYFUNCTION("""COMPUTED_VALUE"""),"Shoham Moshe Ben-Harush")</f>
        <v>Shoham Moshe Ben-Harush</v>
      </c>
      <c r="M1039" s="5"/>
    </row>
    <row r="1040">
      <c r="A1040" s="3">
        <f>IFERROR(__xludf.DUMMYFUNCTION("""COMPUTED_VALUE"""),1439.0)</f>
        <v>1439</v>
      </c>
      <c r="B1040" s="4" t="str">
        <f>IFERROR(__xludf.DUMMYFUNCTION("""COMPUTED_VALUE"""),"וייזר רועי חיים")</f>
        <v>וייזר רועי חיים</v>
      </c>
      <c r="C1040" s="3">
        <f>IFERROR(__xludf.DUMMYFUNCTION("""COMPUTED_VALUE"""),21.0)</f>
        <v>21</v>
      </c>
      <c r="D1040" s="5" t="str">
        <f>IFERROR(__xludf.DUMMYFUNCTION("""COMPUTED_VALUE"""),"אפרת")</f>
        <v>אפרת</v>
      </c>
      <c r="E1040" s="5" t="str">
        <f>IFERROR(__xludf.DUMMYFUNCTION("""COMPUTED_VALUE"""),"גבר")</f>
        <v>גבר</v>
      </c>
      <c r="F1040" s="5" t="str">
        <f>IFERROR(__xludf.DUMMYFUNCTION("""COMPUTED_VALUE"""),"צה""ל")</f>
        <v>צה"ל</v>
      </c>
      <c r="G1040" s="5" t="str">
        <f>IFERROR(__xludf.DUMMYFUNCTION("""COMPUTED_VALUE"""),"סמ״ר")</f>
        <v>סמ״ר</v>
      </c>
      <c r="H1040" s="3" t="str">
        <f>IFERROR(__xludf.DUMMYFUNCTION("""COMPUTED_VALUE"""),"07.10.2023")</f>
        <v>07.10.2023</v>
      </c>
      <c r="I1040" s="4" t="str">
        <f>IFERROR(__xludf.DUMMYFUNCTION("""COMPUTED_VALUE"""),"מעבר ארז")</f>
        <v>מעבר ארז</v>
      </c>
      <c r="J1040" s="4" t="str">
        <f>IFERROR(__xludf.DUMMYFUNCTION("""COMPUTED_VALUE"""),"חיילים")</f>
        <v>חיילים</v>
      </c>
      <c r="K1040" s="5"/>
      <c r="L1040" s="3" t="str">
        <f>IFERROR(__xludf.DUMMYFUNCTION("""COMPUTED_VALUE"""),"Roey Weiser")</f>
        <v>Roey Weiser</v>
      </c>
      <c r="M1040" s="5"/>
    </row>
    <row r="1041">
      <c r="A1041" s="3">
        <f>IFERROR(__xludf.DUMMYFUNCTION("""COMPUTED_VALUE"""),287.0)</f>
        <v>287</v>
      </c>
      <c r="B1041" s="4" t="str">
        <f>IFERROR(__xludf.DUMMYFUNCTION("""COMPUTED_VALUE"""),"ויצן ישראל עמיחי")</f>
        <v>ויצן ישראל עמיחי</v>
      </c>
      <c r="C1041" s="3">
        <f>IFERROR(__xludf.DUMMYFUNCTION("""COMPUTED_VALUE"""),33.0)</f>
        <v>33</v>
      </c>
      <c r="D1041" s="5" t="str">
        <f>IFERROR(__xludf.DUMMYFUNCTION("""COMPUTED_VALUE"""),"כרם שלום")</f>
        <v>כרם שלום</v>
      </c>
      <c r="E1041" s="5" t="str">
        <f>IFERROR(__xludf.DUMMYFUNCTION("""COMPUTED_VALUE"""),"גבר")</f>
        <v>גבר</v>
      </c>
      <c r="F1041" s="5" t="str">
        <f>IFERROR(__xludf.DUMMYFUNCTION("""COMPUTED_VALUE"""),"כיתות כוננות")</f>
        <v>כיתות כוננות</v>
      </c>
      <c r="G1041" s="5" t="str">
        <f>IFERROR(__xludf.DUMMYFUNCTION("""COMPUTED_VALUE"""),"רס״ר")</f>
        <v>רס״ר</v>
      </c>
      <c r="H1041" s="3" t="str">
        <f>IFERROR(__xludf.DUMMYFUNCTION("""COMPUTED_VALUE"""),"07.10.2023")</f>
        <v>07.10.2023</v>
      </c>
      <c r="I1041" s="4" t="str">
        <f>IFERROR(__xludf.DUMMYFUNCTION("""COMPUTED_VALUE"""),"כרם שלום")</f>
        <v>כרם שלום</v>
      </c>
      <c r="J1041" s="4" t="str">
        <f>IFERROR(__xludf.DUMMYFUNCTION("""COMPUTED_VALUE"""),"אזרחים וכיתות כוננות")</f>
        <v>אזרחים וכיתות כוננות</v>
      </c>
      <c r="K1041" s="5"/>
      <c r="L1041" s="3" t="str">
        <f>IFERROR(__xludf.DUMMYFUNCTION("""COMPUTED_VALUE"""),"Amichai Israel Vitzan")</f>
        <v>Amichai Israel Vitzan</v>
      </c>
      <c r="M1041" s="5"/>
    </row>
    <row r="1042">
      <c r="A1042" s="3">
        <f>IFERROR(__xludf.DUMMYFUNCTION("""COMPUTED_VALUE"""),283.0)</f>
        <v>283</v>
      </c>
      <c r="B1042" s="4" t="str">
        <f>IFERROR(__xludf.DUMMYFUNCTION("""COMPUTED_VALUE"""),"רזיאל (רוזנברג) ידידיה משה")</f>
        <v>רזיאל (רוזנברג) ידידיה משה</v>
      </c>
      <c r="C1042" s="3">
        <f>IFERROR(__xludf.DUMMYFUNCTION("""COMPUTED_VALUE"""),31.0)</f>
        <v>31</v>
      </c>
      <c r="D1042" s="5" t="str">
        <f>IFERROR(__xludf.DUMMYFUNCTION("""COMPUTED_VALUE"""),"כרם שלום")</f>
        <v>כרם שלום</v>
      </c>
      <c r="E1042" s="5" t="str">
        <f>IFERROR(__xludf.DUMMYFUNCTION("""COMPUTED_VALUE"""),"גבר")</f>
        <v>גבר</v>
      </c>
      <c r="F1042" s="5" t="str">
        <f>IFERROR(__xludf.DUMMYFUNCTION("""COMPUTED_VALUE"""),"כיתות כוננות")</f>
        <v>כיתות כוננות</v>
      </c>
      <c r="G1042" s="5" t="str">
        <f>IFERROR(__xludf.DUMMYFUNCTION("""COMPUTED_VALUE"""),"רס״ר")</f>
        <v>רס״ר</v>
      </c>
      <c r="H1042" s="3" t="str">
        <f>IFERROR(__xludf.DUMMYFUNCTION("""COMPUTED_VALUE"""),"07.10.2023")</f>
        <v>07.10.2023</v>
      </c>
      <c r="I1042" s="4" t="str">
        <f>IFERROR(__xludf.DUMMYFUNCTION("""COMPUTED_VALUE"""),"כרם שלום")</f>
        <v>כרם שלום</v>
      </c>
      <c r="J1042" s="4" t="str">
        <f>IFERROR(__xludf.DUMMYFUNCTION("""COMPUTED_VALUE"""),"אזרחים וכיתות כוננות")</f>
        <v>אזרחים וכיתות כוננות</v>
      </c>
      <c r="K1042" s="5"/>
      <c r="L1042" s="3" t="str">
        <f>IFERROR(__xludf.DUMMYFUNCTION("""COMPUTED_VALUE"""),"Yedidya Moshe Raziel")</f>
        <v>Yedidya Moshe Raziel</v>
      </c>
      <c r="M1042" s="5"/>
    </row>
    <row r="1043">
      <c r="A1043" s="3">
        <f>IFERROR(__xludf.DUMMYFUNCTION("""COMPUTED_VALUE"""),285.0)</f>
        <v>285</v>
      </c>
      <c r="B1043" s="4" t="str">
        <f>IFERROR(__xludf.DUMMYFUNCTION("""COMPUTED_VALUE"""),"שוהם תומר")</f>
        <v>שוהם תומר</v>
      </c>
      <c r="C1043" s="3">
        <f>IFERROR(__xludf.DUMMYFUNCTION("""COMPUTED_VALUE"""),23.0)</f>
        <v>23</v>
      </c>
      <c r="D1043" s="5" t="str">
        <f>IFERROR(__xludf.DUMMYFUNCTION("""COMPUTED_VALUE"""),"שריגים")</f>
        <v>שריגים</v>
      </c>
      <c r="E1043" s="5" t="str">
        <f>IFERROR(__xludf.DUMMYFUNCTION("""COMPUTED_VALUE"""),"גבר")</f>
        <v>גבר</v>
      </c>
      <c r="F1043" s="5" t="str">
        <f>IFERROR(__xludf.DUMMYFUNCTION("""COMPUTED_VALUE"""),"צה""ל")</f>
        <v>צה"ל</v>
      </c>
      <c r="G1043" s="5" t="str">
        <f>IFERROR(__xludf.DUMMYFUNCTION("""COMPUTED_VALUE"""),"סרן")</f>
        <v>סרן</v>
      </c>
      <c r="H1043" s="3" t="str">
        <f>IFERROR(__xludf.DUMMYFUNCTION("""COMPUTED_VALUE"""),"07.10.2023")</f>
        <v>07.10.2023</v>
      </c>
      <c r="I1043" s="4" t="str">
        <f>IFERROR(__xludf.DUMMYFUNCTION("""COMPUTED_VALUE"""),"צפונית לכרם שלום")</f>
        <v>צפונית לכרם שלום</v>
      </c>
      <c r="J1043" s="2" t="str">
        <f>IFERROR(__xludf.DUMMYFUNCTION("""COMPUTED_VALUE"""),"חיילים")</f>
        <v>חיילים</v>
      </c>
      <c r="K1043" s="5"/>
      <c r="L1043" s="3" t="str">
        <f>IFERROR(__xludf.DUMMYFUNCTION("""COMPUTED_VALUE"""),"Tomer Shoham")</f>
        <v>Tomer Shoham</v>
      </c>
      <c r="M1043" s="5"/>
    </row>
    <row r="1044">
      <c r="A1044" s="3">
        <f>IFERROR(__xludf.DUMMYFUNCTION("""COMPUTED_VALUE"""),284.0)</f>
        <v>284</v>
      </c>
      <c r="B1044" s="4" t="str">
        <f>IFERROR(__xludf.DUMMYFUNCTION("""COMPUTED_VALUE"""),"שטיינברג יהונתן")</f>
        <v>שטיינברג יהונתן</v>
      </c>
      <c r="C1044" s="3">
        <f>IFERROR(__xludf.DUMMYFUNCTION("""COMPUTED_VALUE"""),42.0)</f>
        <v>42</v>
      </c>
      <c r="D1044" s="5" t="str">
        <f>IFERROR(__xludf.DUMMYFUNCTION("""COMPUTED_VALUE"""),"שומריה")</f>
        <v>שומריה</v>
      </c>
      <c r="E1044" s="5" t="str">
        <f>IFERROR(__xludf.DUMMYFUNCTION("""COMPUTED_VALUE"""),"גבר")</f>
        <v>גבר</v>
      </c>
      <c r="F1044" s="5" t="str">
        <f>IFERROR(__xludf.DUMMYFUNCTION("""COMPUTED_VALUE"""),"צה""ל")</f>
        <v>צה"ל</v>
      </c>
      <c r="G1044" s="5" t="str">
        <f>IFERROR(__xludf.DUMMYFUNCTION("""COMPUTED_VALUE"""),"אל״ם")</f>
        <v>אל״ם</v>
      </c>
      <c r="H1044" s="3" t="str">
        <f>IFERROR(__xludf.DUMMYFUNCTION("""COMPUTED_VALUE"""),"07.10.2023")</f>
        <v>07.10.2023</v>
      </c>
      <c r="I1044" s="4" t="str">
        <f>IFERROR(__xludf.DUMMYFUNCTION("""COMPUTED_VALUE"""),"מזרחית לצומת מעון")</f>
        <v>מזרחית לצומת מעון</v>
      </c>
      <c r="J1044" s="4" t="str">
        <f>IFERROR(__xludf.DUMMYFUNCTION("""COMPUTED_VALUE"""),"חיילים")</f>
        <v>חיילים</v>
      </c>
      <c r="K1044" s="5"/>
      <c r="L1044" s="3" t="str">
        <f>IFERROR(__xludf.DUMMYFUNCTION("""COMPUTED_VALUE"""),"Jonathan Steinberg")</f>
        <v>Jonathan Steinberg</v>
      </c>
      <c r="M1044" s="5"/>
    </row>
    <row r="1045">
      <c r="A1045" s="3">
        <f>IFERROR(__xludf.DUMMYFUNCTION("""COMPUTED_VALUE"""),400.0)</f>
        <v>400</v>
      </c>
      <c r="B1045" s="4" t="str">
        <f>IFERROR(__xludf.DUMMYFUNCTION("""COMPUTED_VALUE"""),"ירון אופיר מרדכי")</f>
        <v>ירון אופיר מרדכי</v>
      </c>
      <c r="C1045" s="3">
        <f>IFERROR(__xludf.DUMMYFUNCTION("""COMPUTED_VALUE"""),51.0)</f>
        <v>51</v>
      </c>
      <c r="D1045" s="5" t="str">
        <f>IFERROR(__xludf.DUMMYFUNCTION("""COMPUTED_VALUE"""),"מגן")</f>
        <v>מגן</v>
      </c>
      <c r="E1045" s="5" t="str">
        <f>IFERROR(__xludf.DUMMYFUNCTION("""COMPUTED_VALUE"""),"גבר")</f>
        <v>גבר</v>
      </c>
      <c r="F1045" s="5" t="str">
        <f>IFERROR(__xludf.DUMMYFUNCTION("""COMPUTED_VALUE"""),"כיתות כוננות")</f>
        <v>כיתות כוננות</v>
      </c>
      <c r="G1045" s="5" t="str">
        <f>IFERROR(__xludf.DUMMYFUNCTION("""COMPUTED_VALUE"""),"רס״ם")</f>
        <v>רס״ם</v>
      </c>
      <c r="H1045" s="3" t="str">
        <f>IFERROR(__xludf.DUMMYFUNCTION("""COMPUTED_VALUE"""),"07.10.2023")</f>
        <v>07.10.2023</v>
      </c>
      <c r="I1045" s="4" t="str">
        <f>IFERROR(__xludf.DUMMYFUNCTION("""COMPUTED_VALUE"""),"צומת מועצה אזורית אשכול")</f>
        <v>צומת מועצה אזורית אשכול</v>
      </c>
      <c r="J1045" s="4" t="str">
        <f>IFERROR(__xludf.DUMMYFUNCTION("""COMPUTED_VALUE"""),"אזרחים וכיתות כוננות")</f>
        <v>אזרחים וכיתות כוננות</v>
      </c>
      <c r="K1045" s="5"/>
      <c r="L1045" s="3" t="str">
        <f>IFERROR(__xludf.DUMMYFUNCTION("""COMPUTED_VALUE"""),"Ofir Mordechai Yaron")</f>
        <v>Ofir Mordechai Yaron</v>
      </c>
      <c r="M1045" s="5"/>
    </row>
    <row r="1046">
      <c r="A1046" s="3">
        <f>IFERROR(__xludf.DUMMYFUNCTION("""COMPUTED_VALUE"""),399.0)</f>
        <v>399</v>
      </c>
      <c r="B1046" s="4" t="str">
        <f>IFERROR(__xludf.DUMMYFUNCTION("""COMPUTED_VALUE"""),"פליישר אברהם (אבי)")</f>
        <v>פליישר אברהם (אבי)</v>
      </c>
      <c r="C1046" s="3">
        <f>IFERROR(__xludf.DUMMYFUNCTION("""COMPUTED_VALUE"""),63.0)</f>
        <v>63</v>
      </c>
      <c r="D1046" s="5" t="str">
        <f>IFERROR(__xludf.DUMMYFUNCTION("""COMPUTED_VALUE"""),"מגן")</f>
        <v>מגן</v>
      </c>
      <c r="E1046" s="5" t="str">
        <f>IFERROR(__xludf.DUMMYFUNCTION("""COMPUTED_VALUE"""),"גבר")</f>
        <v>גבר</v>
      </c>
      <c r="F1046" s="5" t="str">
        <f>IFERROR(__xludf.DUMMYFUNCTION("""COMPUTED_VALUE"""),"כיתות כוננות")</f>
        <v>כיתות כוננות</v>
      </c>
      <c r="G1046" s="5" t="str">
        <f>IFERROR(__xludf.DUMMYFUNCTION("""COMPUTED_VALUE"""),"רנ״ג")</f>
        <v>רנ״ג</v>
      </c>
      <c r="H1046" s="3" t="str">
        <f>IFERROR(__xludf.DUMMYFUNCTION("""COMPUTED_VALUE"""),"07.10.2023")</f>
        <v>07.10.2023</v>
      </c>
      <c r="I1046" s="4" t="str">
        <f>IFERROR(__xludf.DUMMYFUNCTION("""COMPUTED_VALUE"""),"מגן")</f>
        <v>מגן</v>
      </c>
      <c r="J1046" s="4" t="str">
        <f>IFERROR(__xludf.DUMMYFUNCTION("""COMPUTED_VALUE"""),"אזרחים וכיתות כוננות")</f>
        <v>אזרחים וכיתות כוננות</v>
      </c>
      <c r="K1046" s="5"/>
      <c r="L1046" s="3" t="str">
        <f>IFERROR(__xludf.DUMMYFUNCTION("""COMPUTED_VALUE"""),"Avi Fleisher")</f>
        <v>Avi Fleisher</v>
      </c>
      <c r="M1046" s="5"/>
    </row>
    <row r="1047">
      <c r="A1047" s="3">
        <f>IFERROR(__xludf.DUMMYFUNCTION("""COMPUTED_VALUE"""),218.0)</f>
        <v>218</v>
      </c>
      <c r="B1047" s="4" t="str">
        <f>IFERROR(__xludf.DUMMYFUNCTION("""COMPUTED_VALUE"""),"בוכריס חן")</f>
        <v>בוכריס חן</v>
      </c>
      <c r="C1047" s="3">
        <f>IFERROR(__xludf.DUMMYFUNCTION("""COMPUTED_VALUE"""),26.0)</f>
        <v>26</v>
      </c>
      <c r="D1047" s="5" t="str">
        <f>IFERROR(__xludf.DUMMYFUNCTION("""COMPUTED_VALUE"""),"אשדוד")</f>
        <v>אשדוד</v>
      </c>
      <c r="E1047" s="5" t="str">
        <f>IFERROR(__xludf.DUMMYFUNCTION("""COMPUTED_VALUE"""),"גבר")</f>
        <v>גבר</v>
      </c>
      <c r="F1047" s="5" t="str">
        <f>IFERROR(__xludf.DUMMYFUNCTION("""COMPUTED_VALUE"""),"צה""ל")</f>
        <v>צה"ל</v>
      </c>
      <c r="G1047" s="5" t="str">
        <f>IFERROR(__xludf.DUMMYFUNCTION("""COMPUTED_VALUE"""),"רס״ן")</f>
        <v>רס״ן</v>
      </c>
      <c r="H1047" s="3" t="str">
        <f>IFERROR(__xludf.DUMMYFUNCTION("""COMPUTED_VALUE"""),"07.10.2023")</f>
        <v>07.10.2023</v>
      </c>
      <c r="I1047" s="4" t="str">
        <f>IFERROR(__xludf.DUMMYFUNCTION("""COMPUTED_VALUE"""),"כביש סעד - נחל עוז")</f>
        <v>כביש סעד - נחל עוז</v>
      </c>
      <c r="J1047" s="4" t="str">
        <f>IFERROR(__xludf.DUMMYFUNCTION("""COMPUTED_VALUE"""),"חיילים")</f>
        <v>חיילים</v>
      </c>
      <c r="K1047" s="5"/>
      <c r="L1047" s="3" t="str">
        <f>IFERROR(__xludf.DUMMYFUNCTION("""COMPUTED_VALUE"""),"Chen Buchris")</f>
        <v>Chen Buchris</v>
      </c>
      <c r="M1047" s="5"/>
    </row>
    <row r="1048">
      <c r="A1048" s="3">
        <f>IFERROR(__xludf.DUMMYFUNCTION("""COMPUTED_VALUE"""),1538.0)</f>
        <v>1538</v>
      </c>
      <c r="B1048" s="4" t="str">
        <f>IFERROR(__xludf.DUMMYFUNCTION("""COMPUTED_VALUE"""),"ברקת רועי")</f>
        <v>ברקת רועי</v>
      </c>
      <c r="C1048" s="3">
        <f>IFERROR(__xludf.DUMMYFUNCTION("""COMPUTED_VALUE"""),20.0)</f>
        <v>20</v>
      </c>
      <c r="D1048" s="5" t="str">
        <f>IFERROR(__xludf.DUMMYFUNCTION("""COMPUTED_VALUE"""),"תל אביב")</f>
        <v>תל אביב</v>
      </c>
      <c r="E1048" s="5" t="str">
        <f>IFERROR(__xludf.DUMMYFUNCTION("""COMPUTED_VALUE"""),"גבר")</f>
        <v>גבר</v>
      </c>
      <c r="F1048" s="5" t="str">
        <f>IFERROR(__xludf.DUMMYFUNCTION("""COMPUTED_VALUE"""),"צה""ל")</f>
        <v>צה"ל</v>
      </c>
      <c r="G1048" s="5" t="str">
        <f>IFERROR(__xludf.DUMMYFUNCTION("""COMPUTED_VALUE"""),"סמ״ר")</f>
        <v>סמ״ר</v>
      </c>
      <c r="H1048" s="3" t="str">
        <f>IFERROR(__xludf.DUMMYFUNCTION("""COMPUTED_VALUE"""),"07.10.2023")</f>
        <v>07.10.2023</v>
      </c>
      <c r="I1048" s="4" t="str">
        <f>IFERROR(__xludf.DUMMYFUNCTION("""COMPUTED_VALUE"""),"מוצב נחל עוז; נמ""ר")</f>
        <v>מוצב נחל עוז; נמ"ר</v>
      </c>
      <c r="J1048" s="2" t="str">
        <f>IFERROR(__xludf.DUMMYFUNCTION("""COMPUTED_VALUE"""),"חיילים")</f>
        <v>חיילים</v>
      </c>
      <c r="K1048" s="5"/>
      <c r="L1048" s="3" t="str">
        <f>IFERROR(__xludf.DUMMYFUNCTION("""COMPUTED_VALUE"""),"Roi Bareket")</f>
        <v>Roi Bareket</v>
      </c>
      <c r="M1048" s="5"/>
    </row>
    <row r="1049">
      <c r="A1049" s="3">
        <f>IFERROR(__xludf.DUMMYFUNCTION("""COMPUTED_VALUE"""),1508.0)</f>
        <v>1508</v>
      </c>
      <c r="B1049" s="4" t="str">
        <f>IFERROR(__xludf.DUMMYFUNCTION("""COMPUTED_VALUE"""),"ירחי דור")</f>
        <v>ירחי דור</v>
      </c>
      <c r="C1049" s="3">
        <f>IFERROR(__xludf.DUMMYFUNCTION("""COMPUTED_VALUE"""),21.0)</f>
        <v>21</v>
      </c>
      <c r="D1049" s="5" t="str">
        <f>IFERROR(__xludf.DUMMYFUNCTION("""COMPUTED_VALUE"""),"ראשון לציון")</f>
        <v>ראשון לציון</v>
      </c>
      <c r="E1049" s="5" t="str">
        <f>IFERROR(__xludf.DUMMYFUNCTION("""COMPUTED_VALUE"""),"גבר")</f>
        <v>גבר</v>
      </c>
      <c r="F1049" s="5" t="str">
        <f>IFERROR(__xludf.DUMMYFUNCTION("""COMPUTED_VALUE"""),"צה""ל")</f>
        <v>צה"ל</v>
      </c>
      <c r="G1049" s="5" t="str">
        <f>IFERROR(__xludf.DUMMYFUNCTION("""COMPUTED_VALUE"""),"סמ״ר")</f>
        <v>סמ״ר</v>
      </c>
      <c r="H1049" s="3" t="str">
        <f>IFERROR(__xludf.DUMMYFUNCTION("""COMPUTED_VALUE"""),"07.10.2023")</f>
        <v>07.10.2023</v>
      </c>
      <c r="I1049" s="4" t="str">
        <f>IFERROR(__xludf.DUMMYFUNCTION("""COMPUTED_VALUE"""),"מוצב נחל עוז; נמ""ר")</f>
        <v>מוצב נחל עוז; נמ"ר</v>
      </c>
      <c r="J1049" s="4" t="str">
        <f>IFERROR(__xludf.DUMMYFUNCTION("""COMPUTED_VALUE"""),"חיילים")</f>
        <v>חיילים</v>
      </c>
      <c r="K1049" s="5"/>
      <c r="L1049" s="3" t="str">
        <f>IFERROR(__xludf.DUMMYFUNCTION("""COMPUTED_VALUE"""),"Dor Yarchi")</f>
        <v>Dor Yarchi</v>
      </c>
      <c r="M1049" s="5"/>
    </row>
    <row r="1050">
      <c r="A1050" s="3">
        <f>IFERROR(__xludf.DUMMYFUNCTION("""COMPUTED_VALUE"""),423.0)</f>
        <v>423</v>
      </c>
      <c r="B1050" s="4" t="str">
        <f>IFERROR(__xludf.DUMMYFUNCTION("""COMPUTED_VALUE"""),"פוסלושני רן")</f>
        <v>פוסלושני רן</v>
      </c>
      <c r="C1050" s="3">
        <f>IFERROR(__xludf.DUMMYFUNCTION("""COMPUTED_VALUE"""),48.0)</f>
        <v>48</v>
      </c>
      <c r="D1050" s="5" t="str">
        <f>IFERROR(__xludf.DUMMYFUNCTION("""COMPUTED_VALUE"""),"נחל עוז")</f>
        <v>נחל עוז</v>
      </c>
      <c r="E1050" s="5" t="str">
        <f>IFERROR(__xludf.DUMMYFUNCTION("""COMPUTED_VALUE"""),"גבר")</f>
        <v>גבר</v>
      </c>
      <c r="F1050" s="5" t="str">
        <f>IFERROR(__xludf.DUMMYFUNCTION("""COMPUTED_VALUE"""),"כיתות כוננות")</f>
        <v>כיתות כוננות</v>
      </c>
      <c r="G1050" s="5" t="str">
        <f>IFERROR(__xludf.DUMMYFUNCTION("""COMPUTED_VALUE"""),"רס״ם")</f>
        <v>רס״ם</v>
      </c>
      <c r="H1050" s="3" t="str">
        <f>IFERROR(__xludf.DUMMYFUNCTION("""COMPUTED_VALUE"""),"07.10.2023")</f>
        <v>07.10.2023</v>
      </c>
      <c r="I1050" s="4" t="str">
        <f>IFERROR(__xludf.DUMMYFUNCTION("""COMPUTED_VALUE"""),"נחל עוז")</f>
        <v>נחל עוז</v>
      </c>
      <c r="J1050" s="4" t="str">
        <f>IFERROR(__xludf.DUMMYFUNCTION("""COMPUTED_VALUE"""),"אזרחים וכיתות כוננות")</f>
        <v>אזרחים וכיתות כוננות</v>
      </c>
      <c r="K1050" s="5"/>
      <c r="L1050" s="3" t="str">
        <f>IFERROR(__xludf.DUMMYFUNCTION("""COMPUTED_VALUE"""),"Ran Poslushni")</f>
        <v>Ran Poslushni</v>
      </c>
      <c r="M1050" s="5"/>
    </row>
    <row r="1051">
      <c r="A1051" s="3">
        <f>IFERROR(__xludf.DUMMYFUNCTION("""COMPUTED_VALUE"""),413.0)</f>
        <v>413</v>
      </c>
      <c r="B1051" s="4" t="str">
        <f>IFERROR(__xludf.DUMMYFUNCTION("""COMPUTED_VALUE"""),"פיורנטינו אילן")</f>
        <v>פיורנטינו אילן</v>
      </c>
      <c r="C1051" s="3">
        <f>IFERROR(__xludf.DUMMYFUNCTION("""COMPUTED_VALUE"""),38.0)</f>
        <v>38</v>
      </c>
      <c r="D1051" s="5" t="str">
        <f>IFERROR(__xludf.DUMMYFUNCTION("""COMPUTED_VALUE"""),"נחל עוז")</f>
        <v>נחל עוז</v>
      </c>
      <c r="E1051" s="5" t="str">
        <f>IFERROR(__xludf.DUMMYFUNCTION("""COMPUTED_VALUE"""),"גבר")</f>
        <v>גבר</v>
      </c>
      <c r="F1051" s="5" t="str">
        <f>IFERROR(__xludf.DUMMYFUNCTION("""COMPUTED_VALUE"""),"כיתות כוננות")</f>
        <v>כיתות כוננות</v>
      </c>
      <c r="G1051" s="5" t="str">
        <f>IFERROR(__xludf.DUMMYFUNCTION("""COMPUTED_VALUE"""),"רס״ם")</f>
        <v>רס״ם</v>
      </c>
      <c r="H1051" s="3" t="str">
        <f>IFERROR(__xludf.DUMMYFUNCTION("""COMPUTED_VALUE"""),"07.10.2023")</f>
        <v>07.10.2023</v>
      </c>
      <c r="I1051" s="4" t="str">
        <f>IFERROR(__xludf.DUMMYFUNCTION("""COMPUTED_VALUE"""),"נחל עוז")</f>
        <v>נחל עוז</v>
      </c>
      <c r="J1051" s="4" t="str">
        <f>IFERROR(__xludf.DUMMYFUNCTION("""COMPUTED_VALUE"""),"אזרחים וכיתות כוננות")</f>
        <v>אזרחים וכיתות כוננות</v>
      </c>
      <c r="K1051" s="5"/>
      <c r="L1051" s="3" t="str">
        <f>IFERROR(__xludf.DUMMYFUNCTION("""COMPUTED_VALUE"""),"Ilan Fiorentino")</f>
        <v>Ilan Fiorentino</v>
      </c>
      <c r="M1051" s="5"/>
    </row>
    <row r="1052">
      <c r="A1052" s="3">
        <f>IFERROR(__xludf.DUMMYFUNCTION("""COMPUTED_VALUE"""),265.0)</f>
        <v>265</v>
      </c>
      <c r="B1052" s="4" t="str">
        <f>IFERROR(__xludf.DUMMYFUNCTION("""COMPUTED_VALUE"""),"רוזנטל אפיק")</f>
        <v>רוזנטל אפיק</v>
      </c>
      <c r="C1052" s="3">
        <f>IFERROR(__xludf.DUMMYFUNCTION("""COMPUTED_VALUE"""),20.0)</f>
        <v>20</v>
      </c>
      <c r="D1052" s="5" t="str">
        <f>IFERROR(__xludf.DUMMYFUNCTION("""COMPUTED_VALUE"""),"כפר מנחם")</f>
        <v>כפר מנחם</v>
      </c>
      <c r="E1052" s="5" t="str">
        <f>IFERROR(__xludf.DUMMYFUNCTION("""COMPUTED_VALUE"""),"גבר")</f>
        <v>גבר</v>
      </c>
      <c r="F1052" s="5" t="str">
        <f>IFERROR(__xludf.DUMMYFUNCTION("""COMPUTED_VALUE"""),"צה""ל")</f>
        <v>צה"ל</v>
      </c>
      <c r="G1052" s="5" t="str">
        <f>IFERROR(__xludf.DUMMYFUNCTION("""COMPUTED_VALUE"""),"סמ״ר")</f>
        <v>סמ״ר</v>
      </c>
      <c r="H1052" s="3" t="str">
        <f>IFERROR(__xludf.DUMMYFUNCTION("""COMPUTED_VALUE"""),"07.10.2023")</f>
        <v>07.10.2023</v>
      </c>
      <c r="I1052" s="4" t="str">
        <f>IFERROR(__xludf.DUMMYFUNCTION("""COMPUTED_VALUE"""),"כביש סעד - נחל עוז")</f>
        <v>כביש סעד - נחל עוז</v>
      </c>
      <c r="J1052" s="2" t="str">
        <f>IFERROR(__xludf.DUMMYFUNCTION("""COMPUTED_VALUE"""),"חיילים")</f>
        <v>חיילים</v>
      </c>
      <c r="K1052" s="5"/>
      <c r="L1052" s="3" t="str">
        <f>IFERROR(__xludf.DUMMYFUNCTION("""COMPUTED_VALUE"""),"Afik Rozental")</f>
        <v>Afik Rozental</v>
      </c>
      <c r="M1052" s="5"/>
    </row>
    <row r="1053">
      <c r="A1053" s="3">
        <f>IFERROR(__xludf.DUMMYFUNCTION("""COMPUTED_VALUE"""),651.0)</f>
        <v>651</v>
      </c>
      <c r="B1053" s="4" t="str">
        <f>IFERROR(__xludf.DUMMYFUNCTION("""COMPUTED_VALUE"""),"אברהם בועז")</f>
        <v>אברהם בועז</v>
      </c>
      <c r="C1053" s="3">
        <f>IFERROR(__xludf.DUMMYFUNCTION("""COMPUTED_VALUE"""),61.0)</f>
        <v>61</v>
      </c>
      <c r="D1053" s="5" t="str">
        <f>IFERROR(__xludf.DUMMYFUNCTION("""COMPUTED_VALUE"""),"ניר יצחק")</f>
        <v>ניר יצחק</v>
      </c>
      <c r="E1053" s="5" t="str">
        <f>IFERROR(__xludf.DUMMYFUNCTION("""COMPUTED_VALUE"""),"גבר")</f>
        <v>גבר</v>
      </c>
      <c r="F1053" s="5" t="str">
        <f>IFERROR(__xludf.DUMMYFUNCTION("""COMPUTED_VALUE"""),"כיתות כוננות")</f>
        <v>כיתות כוננות</v>
      </c>
      <c r="G1053" s="5" t="str">
        <f>IFERROR(__xludf.DUMMYFUNCTION("""COMPUTED_VALUE"""),"רס״ם")</f>
        <v>רס״ם</v>
      </c>
      <c r="H1053" s="3" t="str">
        <f>IFERROR(__xludf.DUMMYFUNCTION("""COMPUTED_VALUE"""),"07.10.2023")</f>
        <v>07.10.2023</v>
      </c>
      <c r="I1053" s="4" t="str">
        <f>IFERROR(__xludf.DUMMYFUNCTION("""COMPUTED_VALUE"""),"ניר יצחק")</f>
        <v>ניר יצחק</v>
      </c>
      <c r="J1053" s="4" t="str">
        <f>IFERROR(__xludf.DUMMYFUNCTION("""COMPUTED_VALUE"""),"אזרחים וכיתות כוננות")</f>
        <v>אזרחים וכיתות כוננות</v>
      </c>
      <c r="K1053" s="5"/>
      <c r="L1053" s="3" t="str">
        <f>IFERROR(__xludf.DUMMYFUNCTION("""COMPUTED_VALUE"""),"Avraham Boaz")</f>
        <v>Avraham Boaz</v>
      </c>
      <c r="M1053" s="5"/>
    </row>
    <row r="1054">
      <c r="A1054" s="3">
        <f>IFERROR(__xludf.DUMMYFUNCTION("""COMPUTED_VALUE"""),650.0)</f>
        <v>650</v>
      </c>
      <c r="B1054" s="4" t="str">
        <f>IFERROR(__xludf.DUMMYFUNCTION("""COMPUTED_VALUE"""),"ארזי אופק")</f>
        <v>ארזי אופק</v>
      </c>
      <c r="C1054" s="3">
        <f>IFERROR(__xludf.DUMMYFUNCTION("""COMPUTED_VALUE"""),28.0)</f>
        <v>28</v>
      </c>
      <c r="D1054" s="5" t="str">
        <f>IFERROR(__xludf.DUMMYFUNCTION("""COMPUTED_VALUE"""),"ניר יצחק")</f>
        <v>ניר יצחק</v>
      </c>
      <c r="E1054" s="5" t="str">
        <f>IFERROR(__xludf.DUMMYFUNCTION("""COMPUTED_VALUE"""),"גבר")</f>
        <v>גבר</v>
      </c>
      <c r="F1054" s="5" t="str">
        <f>IFERROR(__xludf.DUMMYFUNCTION("""COMPUTED_VALUE"""),"כיתות כוננות")</f>
        <v>כיתות כוננות</v>
      </c>
      <c r="G1054" s="5" t="str">
        <f>IFERROR(__xludf.DUMMYFUNCTION("""COMPUTED_VALUE"""),"רס״ל")</f>
        <v>רס״ל</v>
      </c>
      <c r="H1054" s="3" t="str">
        <f>IFERROR(__xludf.DUMMYFUNCTION("""COMPUTED_VALUE"""),"07.10.2023")</f>
        <v>07.10.2023</v>
      </c>
      <c r="I1054" s="4" t="str">
        <f>IFERROR(__xludf.DUMMYFUNCTION("""COMPUTED_VALUE"""),"ניר יצחק")</f>
        <v>ניר יצחק</v>
      </c>
      <c r="J1054" s="4" t="str">
        <f>IFERROR(__xludf.DUMMYFUNCTION("""COMPUTED_VALUE"""),"אזרחים וכיתות כוננות")</f>
        <v>אזרחים וכיתות כוננות</v>
      </c>
      <c r="K1054" s="5"/>
      <c r="L1054" s="3" t="str">
        <f>IFERROR(__xludf.DUMMYFUNCTION("""COMPUTED_VALUE"""),"Ofek Arazi")</f>
        <v>Ofek Arazi</v>
      </c>
      <c r="M1054" s="5"/>
    </row>
    <row r="1055">
      <c r="A1055" s="3">
        <f>IFERROR(__xludf.DUMMYFUNCTION("""COMPUTED_VALUE"""),653.0)</f>
        <v>653</v>
      </c>
      <c r="B1055" s="4" t="str">
        <f>IFERROR(__xludf.DUMMYFUNCTION("""COMPUTED_VALUE"""),"חיימי טל")</f>
        <v>חיימי טל</v>
      </c>
      <c r="C1055" s="3">
        <f>IFERROR(__xludf.DUMMYFUNCTION("""COMPUTED_VALUE"""),41.0)</f>
        <v>41</v>
      </c>
      <c r="D1055" s="5" t="str">
        <f>IFERROR(__xludf.DUMMYFUNCTION("""COMPUTED_VALUE"""),"ניר יצחק")</f>
        <v>ניר יצחק</v>
      </c>
      <c r="E1055" s="5" t="str">
        <f>IFERROR(__xludf.DUMMYFUNCTION("""COMPUTED_VALUE"""),"גבר")</f>
        <v>גבר</v>
      </c>
      <c r="F1055" s="5" t="str">
        <f>IFERROR(__xludf.DUMMYFUNCTION("""COMPUTED_VALUE"""),"כיתות כוננות")</f>
        <v>כיתות כוננות</v>
      </c>
      <c r="G1055" s="5"/>
      <c r="H1055" s="3" t="str">
        <f>IFERROR(__xludf.DUMMYFUNCTION("""COMPUTED_VALUE"""),"07.10.2023")</f>
        <v>07.10.2023</v>
      </c>
      <c r="I1055" s="4" t="str">
        <f>IFERROR(__xludf.DUMMYFUNCTION("""COMPUTED_VALUE"""),"ניר יצחק")</f>
        <v>ניר יצחק</v>
      </c>
      <c r="J1055" s="4" t="str">
        <f>IFERROR(__xludf.DUMMYFUNCTION("""COMPUTED_VALUE"""),"אזרחים וכיתות כוננות")</f>
        <v>אזרחים וכיתות כוננות</v>
      </c>
      <c r="K1055" s="5"/>
      <c r="L1055" s="3" t="str">
        <f>IFERROR(__xludf.DUMMYFUNCTION("""COMPUTED_VALUE"""),"Tal Chaimi")</f>
        <v>Tal Chaimi</v>
      </c>
      <c r="M1055" s="5"/>
    </row>
    <row r="1056">
      <c r="A1056" s="3">
        <f>IFERROR(__xludf.DUMMYFUNCTION("""COMPUTED_VALUE"""),660.0)</f>
        <v>660</v>
      </c>
      <c r="B1056" s="4" t="str">
        <f>IFERROR(__xludf.DUMMYFUNCTION("""COMPUTED_VALUE"""),"שחר ירון ויקטור")</f>
        <v>שחר ירון ויקטור</v>
      </c>
      <c r="C1056" s="3">
        <f>IFERROR(__xludf.DUMMYFUNCTION("""COMPUTED_VALUE"""),51.0)</f>
        <v>51</v>
      </c>
      <c r="D1056" s="5" t="str">
        <f>IFERROR(__xludf.DUMMYFUNCTION("""COMPUTED_VALUE"""),"ניר יצחק")</f>
        <v>ניר יצחק</v>
      </c>
      <c r="E1056" s="5" t="str">
        <f>IFERROR(__xludf.DUMMYFUNCTION("""COMPUTED_VALUE"""),"גבר")</f>
        <v>גבר</v>
      </c>
      <c r="F1056" s="5" t="str">
        <f>IFERROR(__xludf.DUMMYFUNCTION("""COMPUTED_VALUE"""),"כיתות כוננות")</f>
        <v>כיתות כוננות</v>
      </c>
      <c r="G1056" s="5" t="str">
        <f>IFERROR(__xludf.DUMMYFUNCTION("""COMPUTED_VALUE"""),"רס״ר")</f>
        <v>רס״ר</v>
      </c>
      <c r="H1056" s="3" t="str">
        <f>IFERROR(__xludf.DUMMYFUNCTION("""COMPUTED_VALUE"""),"07.10.2023")</f>
        <v>07.10.2023</v>
      </c>
      <c r="I1056" s="4" t="str">
        <f>IFERROR(__xludf.DUMMYFUNCTION("""COMPUTED_VALUE"""),"ניר יצחק")</f>
        <v>ניר יצחק</v>
      </c>
      <c r="J1056" s="2" t="str">
        <f>IFERROR(__xludf.DUMMYFUNCTION("""COMPUTED_VALUE"""),"אזרחים וכיתות כוננות")</f>
        <v>אזרחים וכיתות כוננות</v>
      </c>
      <c r="K1056" s="5"/>
      <c r="L1056" s="3" t="str">
        <f>IFERROR(__xludf.DUMMYFUNCTION("""COMPUTED_VALUE"""),"Yaron Shahar")</f>
        <v>Yaron Shahar</v>
      </c>
      <c r="M1056" s="5"/>
    </row>
    <row r="1057">
      <c r="A1057" s="3">
        <f>IFERROR(__xludf.DUMMYFUNCTION("""COMPUTED_VALUE"""),546.0)</f>
        <v>546</v>
      </c>
      <c r="B1057" s="4" t="str">
        <f>IFERROR(__xludf.DUMMYFUNCTION("""COMPUTED_VALUE"""),"אצילי אביב")</f>
        <v>אצילי אביב</v>
      </c>
      <c r="C1057" s="3">
        <f>IFERROR(__xludf.DUMMYFUNCTION("""COMPUTED_VALUE"""),49.0)</f>
        <v>49</v>
      </c>
      <c r="D1057" s="5" t="str">
        <f>IFERROR(__xludf.DUMMYFUNCTION("""COMPUTED_VALUE"""),"ניר עוז")</f>
        <v>ניר עוז</v>
      </c>
      <c r="E1057" s="5" t="str">
        <f>IFERROR(__xludf.DUMMYFUNCTION("""COMPUTED_VALUE"""),"גבר")</f>
        <v>גבר</v>
      </c>
      <c r="F1057" s="5" t="str">
        <f>IFERROR(__xludf.DUMMYFUNCTION("""COMPUTED_VALUE"""),"כיתות כוננות")</f>
        <v>כיתות כוננות</v>
      </c>
      <c r="G1057" s="5"/>
      <c r="H1057" s="3" t="str">
        <f>IFERROR(__xludf.DUMMYFUNCTION("""COMPUTED_VALUE"""),"07.10.2023")</f>
        <v>07.10.2023</v>
      </c>
      <c r="I1057" s="4" t="str">
        <f>IFERROR(__xludf.DUMMYFUNCTION("""COMPUTED_VALUE"""),"ניר עוז")</f>
        <v>ניר עוז</v>
      </c>
      <c r="J1057" s="2" t="str">
        <f>IFERROR(__xludf.DUMMYFUNCTION("""COMPUTED_VALUE"""),"אזרחים וכיתות כוננות")</f>
        <v>אזרחים וכיתות כוננות</v>
      </c>
      <c r="K1057" s="5"/>
      <c r="L1057" s="3" t="str">
        <f>IFERROR(__xludf.DUMMYFUNCTION("""COMPUTED_VALUE"""),"Aviv Atzili")</f>
        <v>Aviv Atzili</v>
      </c>
      <c r="M1057" s="5"/>
    </row>
    <row r="1058">
      <c r="A1058" s="3">
        <f>IFERROR(__xludf.DUMMYFUNCTION("""COMPUTED_VALUE"""),535.0)</f>
        <v>535</v>
      </c>
      <c r="B1058" s="4" t="str">
        <f>IFERROR(__xludf.DUMMYFUNCTION("""COMPUTED_VALUE"""),"אברג'יל מתן")</f>
        <v>אברג'יל מתן</v>
      </c>
      <c r="C1058" s="3">
        <f>IFERROR(__xludf.DUMMYFUNCTION("""COMPUTED_VALUE"""),19.0)</f>
        <v>19</v>
      </c>
      <c r="D1058" s="5" t="str">
        <f>IFERROR(__xludf.DUMMYFUNCTION("""COMPUTED_VALUE"""),"חרמש")</f>
        <v>חרמש</v>
      </c>
      <c r="E1058" s="5" t="str">
        <f>IFERROR(__xludf.DUMMYFUNCTION("""COMPUTED_VALUE"""),"גבר")</f>
        <v>גבר</v>
      </c>
      <c r="F1058" s="5" t="str">
        <f>IFERROR(__xludf.DUMMYFUNCTION("""COMPUTED_VALUE"""),"צה""ל")</f>
        <v>צה"ל</v>
      </c>
      <c r="G1058" s="5" t="str">
        <f>IFERROR(__xludf.DUMMYFUNCTION("""COMPUTED_VALUE"""),"סמל")</f>
        <v>סמל</v>
      </c>
      <c r="H1058" s="3" t="str">
        <f>IFERROR(__xludf.DUMMYFUNCTION("""COMPUTED_VALUE"""),"07.10.2023")</f>
        <v>07.10.2023</v>
      </c>
      <c r="I1058" s="4" t="str">
        <f>IFERROR(__xludf.DUMMYFUNCTION("""COMPUTED_VALUE"""),"מערבית לניר עם")</f>
        <v>מערבית לניר עם</v>
      </c>
      <c r="J1058" s="4" t="str">
        <f>IFERROR(__xludf.DUMMYFUNCTION("""COMPUTED_VALUE"""),"חיילים")</f>
        <v>חיילים</v>
      </c>
      <c r="K1058" s="5"/>
      <c r="L1058" s="3" t="str">
        <f>IFERROR(__xludf.DUMMYFUNCTION("""COMPUTED_VALUE"""),"Matan Abarjil")</f>
        <v>Matan Abarjil</v>
      </c>
      <c r="M1058" s="5"/>
    </row>
    <row r="1059">
      <c r="A1059" s="3">
        <f>IFERROR(__xludf.DUMMYFUNCTION("""COMPUTED_VALUE"""),536.0)</f>
        <v>536</v>
      </c>
      <c r="B1059" s="4" t="str">
        <f>IFERROR(__xludf.DUMMYFUNCTION("""COMPUTED_VALUE"""),"גנדל רומן")</f>
        <v>גנדל רומן</v>
      </c>
      <c r="C1059" s="3">
        <f>IFERROR(__xludf.DUMMYFUNCTION("""COMPUTED_VALUE"""),47.0)</f>
        <v>47</v>
      </c>
      <c r="D1059" s="5" t="str">
        <f>IFERROR(__xludf.DUMMYFUNCTION("""COMPUTED_VALUE"""),"לוד")</f>
        <v>לוד</v>
      </c>
      <c r="E1059" s="5" t="str">
        <f>IFERROR(__xludf.DUMMYFUNCTION("""COMPUTED_VALUE"""),"גבר")</f>
        <v>גבר</v>
      </c>
      <c r="F1059" s="5" t="str">
        <f>IFERROR(__xludf.DUMMYFUNCTION("""COMPUTED_VALUE"""),"משטרה")</f>
        <v>משטרה</v>
      </c>
      <c r="G1059" s="5" t="str">
        <f>IFERROR(__xludf.DUMMYFUNCTION("""COMPUTED_VALUE"""),"רנ״ג")</f>
        <v>רנ״ג</v>
      </c>
      <c r="H1059" s="3" t="str">
        <f>IFERROR(__xludf.DUMMYFUNCTION("""COMPUTED_VALUE"""),"07.10.2023")</f>
        <v>07.10.2023</v>
      </c>
      <c r="I1059" s="4" t="str">
        <f>IFERROR(__xludf.DUMMYFUNCTION("""COMPUTED_VALUE"""),"מערבית לניר עם")</f>
        <v>מערבית לניר עם</v>
      </c>
      <c r="J1059" s="4" t="str">
        <f>IFERROR(__xludf.DUMMYFUNCTION("""COMPUTED_VALUE"""),"שוטרים וכוחות הצלה")</f>
        <v>שוטרים וכוחות הצלה</v>
      </c>
      <c r="K1059" s="5"/>
      <c r="L1059" s="3" t="str">
        <f>IFERROR(__xludf.DUMMYFUNCTION("""COMPUTED_VALUE"""),"Roman Gendel")</f>
        <v>Roman Gendel</v>
      </c>
      <c r="M1059" s="5"/>
    </row>
    <row r="1060">
      <c r="A1060" s="3">
        <f>IFERROR(__xludf.DUMMYFUNCTION("""COMPUTED_VALUE"""),1551.0)</f>
        <v>1551</v>
      </c>
      <c r="B1060" s="4" t="str">
        <f>IFERROR(__xludf.DUMMYFUNCTION("""COMPUTED_VALUE"""),"אגמון אדם")</f>
        <v>אגמון אדם</v>
      </c>
      <c r="C1060" s="3">
        <f>IFERROR(__xludf.DUMMYFUNCTION("""COMPUTED_VALUE"""),21.0)</f>
        <v>21</v>
      </c>
      <c r="D1060" s="5" t="str">
        <f>IFERROR(__xludf.DUMMYFUNCTION("""COMPUTED_VALUE"""),"כמון")</f>
        <v>כמון</v>
      </c>
      <c r="E1060" s="5" t="str">
        <f>IFERROR(__xludf.DUMMYFUNCTION("""COMPUTED_VALUE"""),"גבר")</f>
        <v>גבר</v>
      </c>
      <c r="F1060" s="5" t="str">
        <f>IFERROR(__xludf.DUMMYFUNCTION("""COMPUTED_VALUE"""),"צה""ל")</f>
        <v>צה"ל</v>
      </c>
      <c r="G1060" s="5" t="str">
        <f>IFERROR(__xludf.DUMMYFUNCTION("""COMPUTED_VALUE"""),"סמ״ר")</f>
        <v>סמ״ר</v>
      </c>
      <c r="H1060" s="3" t="str">
        <f>IFERROR(__xludf.DUMMYFUNCTION("""COMPUTED_VALUE"""),"07.10.2023")</f>
        <v>07.10.2023</v>
      </c>
      <c r="I1060" s="4" t="str">
        <f>IFERROR(__xludf.DUMMYFUNCTION("""COMPUTED_VALUE"""),"כיסופים")</f>
        <v>כיסופים</v>
      </c>
      <c r="J1060" s="4" t="str">
        <f>IFERROR(__xludf.DUMMYFUNCTION("""COMPUTED_VALUE"""),"חיילים")</f>
        <v>חיילים</v>
      </c>
      <c r="K1060" s="5"/>
      <c r="L1060" s="3" t="str">
        <f>IFERROR(__xludf.DUMMYFUNCTION("""COMPUTED_VALUE"""),"Adam Agmon")</f>
        <v>Adam Agmon</v>
      </c>
      <c r="M1060" s="5"/>
    </row>
    <row r="1061">
      <c r="A1061" s="3">
        <f>IFERROR(__xludf.DUMMYFUNCTION("""COMPUTED_VALUE"""),1664.0)</f>
        <v>1664</v>
      </c>
      <c r="B1061" s="4" t="str">
        <f>IFERROR(__xludf.DUMMYFUNCTION("""COMPUTED_VALUE"""),"אחימס תומר יעקב")</f>
        <v>אחימס תומר יעקב</v>
      </c>
      <c r="C1061" s="3">
        <f>IFERROR(__xludf.DUMMYFUNCTION("""COMPUTED_VALUE"""),20.0)</f>
        <v>20</v>
      </c>
      <c r="D1061" s="5" t="str">
        <f>IFERROR(__xludf.DUMMYFUNCTION("""COMPUTED_VALUE"""),"להבים")</f>
        <v>להבים</v>
      </c>
      <c r="E1061" s="5" t="str">
        <f>IFERROR(__xludf.DUMMYFUNCTION("""COMPUTED_VALUE"""),"גבר")</f>
        <v>גבר</v>
      </c>
      <c r="F1061" s="5" t="str">
        <f>IFERROR(__xludf.DUMMYFUNCTION("""COMPUTED_VALUE"""),"צה""ל")</f>
        <v>צה"ל</v>
      </c>
      <c r="G1061" s="5" t="str">
        <f>IFERROR(__xludf.DUMMYFUNCTION("""COMPUTED_VALUE"""),"סמ״ר")</f>
        <v>סמ״ר</v>
      </c>
      <c r="H1061" s="3" t="str">
        <f>IFERROR(__xludf.DUMMYFUNCTION("""COMPUTED_VALUE"""),"07.10.2023")</f>
        <v>07.10.2023</v>
      </c>
      <c r="I1061" s="4" t="str">
        <f>IFERROR(__xludf.DUMMYFUNCTION("""COMPUTED_VALUE"""),"נירים")</f>
        <v>נירים</v>
      </c>
      <c r="J1061" s="4" t="str">
        <f>IFERROR(__xludf.DUMMYFUNCTION("""COMPUTED_VALUE"""),"חיילים")</f>
        <v>חיילים</v>
      </c>
      <c r="K1061" s="5"/>
      <c r="L1061" s="3" t="str">
        <f>IFERROR(__xludf.DUMMYFUNCTION("""COMPUTED_VALUE"""),"Tomer Yaakov Ahimas")</f>
        <v>Tomer Yaakov Ahimas</v>
      </c>
      <c r="M1061" s="5"/>
    </row>
    <row r="1062">
      <c r="A1062" s="3">
        <f>IFERROR(__xludf.DUMMYFUNCTION("""COMPUTED_VALUE"""),661.0)</f>
        <v>661</v>
      </c>
      <c r="B1062" s="4" t="str">
        <f>IFERROR(__xludf.DUMMYFUNCTION("""COMPUTED_VALUE"""),"אלפסי אורן")</f>
        <v>אלפסי אורן</v>
      </c>
      <c r="C1062" s="3">
        <f>IFERROR(__xludf.DUMMYFUNCTION("""COMPUTED_VALUE"""),24.0)</f>
        <v>24</v>
      </c>
      <c r="D1062" s="5" t="str">
        <f>IFERROR(__xludf.DUMMYFUNCTION("""COMPUTED_VALUE"""),"רחובות")</f>
        <v>רחובות</v>
      </c>
      <c r="E1062" s="5" t="str">
        <f>IFERROR(__xludf.DUMMYFUNCTION("""COMPUTED_VALUE"""),"גבר")</f>
        <v>גבר</v>
      </c>
      <c r="F1062" s="5" t="str">
        <f>IFERROR(__xludf.DUMMYFUNCTION("""COMPUTED_VALUE"""),"אזרחים")</f>
        <v>אזרחים</v>
      </c>
      <c r="G1062" s="5"/>
      <c r="H1062" s="3" t="str">
        <f>IFERROR(__xludf.DUMMYFUNCTION("""COMPUTED_VALUE"""),"07.10.2023")</f>
        <v>07.10.2023</v>
      </c>
      <c r="I1062" s="4" t="str">
        <f>IFERROR(__xludf.DUMMYFUNCTION("""COMPUTED_VALUE"""),"נירים")</f>
        <v>נירים</v>
      </c>
      <c r="J1062" s="4" t="str">
        <f>IFERROR(__xludf.DUMMYFUNCTION("""COMPUTED_VALUE"""),"אזרחים וכיתות כוננות")</f>
        <v>אזרחים וכיתות כוננות</v>
      </c>
      <c r="K1062" s="5"/>
      <c r="L1062" s="3" t="str">
        <f>IFERROR(__xludf.DUMMYFUNCTION("""COMPUTED_VALUE"""),"Oran Elfassi")</f>
        <v>Oran Elfassi</v>
      </c>
      <c r="M1062" s="5"/>
    </row>
    <row r="1063">
      <c r="A1063" s="3">
        <f>IFERROR(__xludf.DUMMYFUNCTION("""COMPUTED_VALUE"""),1665.0)</f>
        <v>1665</v>
      </c>
      <c r="B1063" s="4" t="str">
        <f>IFERROR(__xludf.DUMMYFUNCTION("""COMPUTED_VALUE"""),"ברודסקי קיריל")</f>
        <v>ברודסקי קיריל</v>
      </c>
      <c r="C1063" s="3">
        <f>IFERROR(__xludf.DUMMYFUNCTION("""COMPUTED_VALUE"""),19.0)</f>
        <v>19</v>
      </c>
      <c r="D1063" s="5" t="str">
        <f>IFERROR(__xludf.DUMMYFUNCTION("""COMPUTED_VALUE"""),"רמת גן")</f>
        <v>רמת גן</v>
      </c>
      <c r="E1063" s="5" t="str">
        <f>IFERROR(__xludf.DUMMYFUNCTION("""COMPUTED_VALUE"""),"גבר")</f>
        <v>גבר</v>
      </c>
      <c r="F1063" s="5" t="str">
        <f>IFERROR(__xludf.DUMMYFUNCTION("""COMPUTED_VALUE"""),"צה""ל")</f>
        <v>צה"ל</v>
      </c>
      <c r="G1063" s="5" t="str">
        <f>IFERROR(__xludf.DUMMYFUNCTION("""COMPUTED_VALUE"""),"סמל")</f>
        <v>סמל</v>
      </c>
      <c r="H1063" s="3" t="str">
        <f>IFERROR(__xludf.DUMMYFUNCTION("""COMPUTED_VALUE"""),"07.10.2023")</f>
        <v>07.10.2023</v>
      </c>
      <c r="I1063" s="4" t="str">
        <f>IFERROR(__xludf.DUMMYFUNCTION("""COMPUTED_VALUE"""),"נירים")</f>
        <v>נירים</v>
      </c>
      <c r="J1063" s="2" t="str">
        <f>IFERROR(__xludf.DUMMYFUNCTION("""COMPUTED_VALUE"""),"חיילים")</f>
        <v>חיילים</v>
      </c>
      <c r="K1063" s="5"/>
      <c r="L1063" s="3" t="str">
        <f>IFERROR(__xludf.DUMMYFUNCTION("""COMPUTED_VALUE"""),"Kiril Brodski")</f>
        <v>Kiril Brodski</v>
      </c>
      <c r="M1063" s="5"/>
    </row>
    <row r="1064">
      <c r="A1064" s="3">
        <f>IFERROR(__xludf.DUMMYFUNCTION("""COMPUTED_VALUE"""),1668.0)</f>
        <v>1668</v>
      </c>
      <c r="B1064" s="4" t="str">
        <f>IFERROR(__xludf.DUMMYFUNCTION("""COMPUTED_VALUE"""),"חממי אסף")</f>
        <v>חממי אסף</v>
      </c>
      <c r="C1064" s="3">
        <f>IFERROR(__xludf.DUMMYFUNCTION("""COMPUTED_VALUE"""),41.0)</f>
        <v>41</v>
      </c>
      <c r="D1064" s="5" t="str">
        <f>IFERROR(__xludf.DUMMYFUNCTION("""COMPUTED_VALUE"""),"קריית אונו")</f>
        <v>קריית אונו</v>
      </c>
      <c r="E1064" s="5" t="str">
        <f>IFERROR(__xludf.DUMMYFUNCTION("""COMPUTED_VALUE"""),"גבר")</f>
        <v>גבר</v>
      </c>
      <c r="F1064" s="5" t="str">
        <f>IFERROR(__xludf.DUMMYFUNCTION("""COMPUTED_VALUE"""),"צה""ל")</f>
        <v>צה"ל</v>
      </c>
      <c r="G1064" s="5" t="str">
        <f>IFERROR(__xludf.DUMMYFUNCTION("""COMPUTED_VALUE"""),"אל״ם")</f>
        <v>אל״ם</v>
      </c>
      <c r="H1064" s="3" t="str">
        <f>IFERROR(__xludf.DUMMYFUNCTION("""COMPUTED_VALUE"""),"07.10.2023")</f>
        <v>07.10.2023</v>
      </c>
      <c r="I1064" s="4" t="str">
        <f>IFERROR(__xludf.DUMMYFUNCTION("""COMPUTED_VALUE"""),"נירים")</f>
        <v>נירים</v>
      </c>
      <c r="J1064" s="4" t="str">
        <f>IFERROR(__xludf.DUMMYFUNCTION("""COMPUTED_VALUE"""),"חיילים")</f>
        <v>חיילים</v>
      </c>
      <c r="K1064" s="5"/>
      <c r="L1064" s="3" t="str">
        <f>IFERROR(__xludf.DUMMYFUNCTION("""COMPUTED_VALUE"""),"Asaf Hamami")</f>
        <v>Asaf Hamami</v>
      </c>
      <c r="M1064" s="5"/>
    </row>
    <row r="1065">
      <c r="A1065" s="3">
        <f>IFERROR(__xludf.DUMMYFUNCTION("""COMPUTED_VALUE"""),1190.0)</f>
        <v>1190</v>
      </c>
      <c r="B1065" s="4" t="str">
        <f>IFERROR(__xludf.DUMMYFUNCTION("""COMPUTED_VALUE"""),"פוזדניאקוב אליק")</f>
        <v>פוזדניאקוב אליק</v>
      </c>
      <c r="C1065" s="3">
        <f>IFERROR(__xludf.DUMMYFUNCTION("""COMPUTED_VALUE"""),38.0)</f>
        <v>38</v>
      </c>
      <c r="D1065" s="5" t="str">
        <f>IFERROR(__xludf.DUMMYFUNCTION("""COMPUTED_VALUE"""),"דימונה")</f>
        <v>דימונה</v>
      </c>
      <c r="E1065" s="5" t="str">
        <f>IFERROR(__xludf.DUMMYFUNCTION("""COMPUTED_VALUE"""),"גבר")</f>
        <v>גבר</v>
      </c>
      <c r="F1065" s="5" t="str">
        <f>IFERROR(__xludf.DUMMYFUNCTION("""COMPUTED_VALUE"""),"משטרה")</f>
        <v>משטרה</v>
      </c>
      <c r="G1065" s="5" t="str">
        <f>IFERROR(__xludf.DUMMYFUNCTION("""COMPUTED_VALUE"""),"רס״ב")</f>
        <v>רס״ב</v>
      </c>
      <c r="H1065" s="3" t="str">
        <f>IFERROR(__xludf.DUMMYFUNCTION("""COMPUTED_VALUE"""),"07.10.2023")</f>
        <v>07.10.2023</v>
      </c>
      <c r="I1065" s="4" t="str">
        <f>IFERROR(__xludf.DUMMYFUNCTION("""COMPUTED_VALUE"""),"פסטיבל נובה; חסימה בכביש 232")</f>
        <v>פסטיבל נובה; חסימה בכביש 232</v>
      </c>
      <c r="J1065" s="2" t="str">
        <f>IFERROR(__xludf.DUMMYFUNCTION("""COMPUTED_VALUE"""),"שוטרים וכוחות הצלה")</f>
        <v>שוטרים וכוחות הצלה</v>
      </c>
      <c r="K1065" s="5" t="str">
        <f>IFERROR(__xludf.DUMMYFUNCTION("""COMPUTED_VALUE"""),"פסטיבל נובה")</f>
        <v>פסטיבל נובה</v>
      </c>
      <c r="L1065" s="3" t="str">
        <f>IFERROR(__xludf.DUMMYFUNCTION("""COMPUTED_VALUE"""),"Alik Pozdnyakov")</f>
        <v>Alik Pozdnyakov</v>
      </c>
      <c r="M1065" s="5"/>
    </row>
    <row r="1066">
      <c r="A1066" s="3">
        <f>IFERROR(__xludf.DUMMYFUNCTION("""COMPUTED_VALUE"""),1175.0)</f>
        <v>1175</v>
      </c>
      <c r="B1066" s="4" t="str">
        <f>IFERROR(__xludf.DUMMYFUNCTION("""COMPUTED_VALUE"""),"ארז אופיר")</f>
        <v>ארז אופיר</v>
      </c>
      <c r="C1066" s="3">
        <f>IFERROR(__xludf.DUMMYFUNCTION("""COMPUTED_VALUE"""),57.0)</f>
        <v>57</v>
      </c>
      <c r="D1066" s="5" t="str">
        <f>IFERROR(__xludf.DUMMYFUNCTION("""COMPUTED_VALUE"""),"סופה")</f>
        <v>סופה</v>
      </c>
      <c r="E1066" s="5" t="str">
        <f>IFERROR(__xludf.DUMMYFUNCTION("""COMPUTED_VALUE"""),"גבר")</f>
        <v>גבר</v>
      </c>
      <c r="F1066" s="5" t="str">
        <f>IFERROR(__xludf.DUMMYFUNCTION("""COMPUTED_VALUE"""),"כיתות כוננות")</f>
        <v>כיתות כוננות</v>
      </c>
      <c r="G1066" s="5" t="str">
        <f>IFERROR(__xludf.DUMMYFUNCTION("""COMPUTED_VALUE"""),"רס״ן")</f>
        <v>רס״ן</v>
      </c>
      <c r="H1066" s="3" t="str">
        <f>IFERROR(__xludf.DUMMYFUNCTION("""COMPUTED_VALUE"""),"07.10.2023")</f>
        <v>07.10.2023</v>
      </c>
      <c r="I1066" s="4" t="str">
        <f>IFERROR(__xludf.DUMMYFUNCTION("""COMPUTED_VALUE"""),"סופה")</f>
        <v>סופה</v>
      </c>
      <c r="J1066" s="4" t="str">
        <f>IFERROR(__xludf.DUMMYFUNCTION("""COMPUTED_VALUE"""),"אזרחים וכיתות כוננות")</f>
        <v>אזרחים וכיתות כוננות</v>
      </c>
      <c r="K1066" s="5"/>
      <c r="L1066" s="3" t="str">
        <f>IFERROR(__xludf.DUMMYFUNCTION("""COMPUTED_VALUE"""),"Ofir Erez")</f>
        <v>Ofir Erez</v>
      </c>
      <c r="M1066" s="5"/>
    </row>
    <row r="1067">
      <c r="A1067" s="3">
        <f>IFERROR(__xludf.DUMMYFUNCTION("""COMPUTED_VALUE"""),1574.0)</f>
        <v>1574</v>
      </c>
      <c r="B1067" s="4" t="str">
        <f>IFERROR(__xludf.DUMMYFUNCTION("""COMPUTED_VALUE"""),"יעקב מזרחי תומר")</f>
        <v>יעקב מזרחי תומר</v>
      </c>
      <c r="C1067" s="3">
        <f>IFERROR(__xludf.DUMMYFUNCTION("""COMPUTED_VALUE"""),21.0)</f>
        <v>21</v>
      </c>
      <c r="D1067" s="5" t="str">
        <f>IFERROR(__xludf.DUMMYFUNCTION("""COMPUTED_VALUE"""),"הושעיה")</f>
        <v>הושעיה</v>
      </c>
      <c r="E1067" s="5" t="str">
        <f>IFERROR(__xludf.DUMMYFUNCTION("""COMPUTED_VALUE"""),"גבר")</f>
        <v>גבר</v>
      </c>
      <c r="F1067" s="5" t="str">
        <f>IFERROR(__xludf.DUMMYFUNCTION("""COMPUTED_VALUE"""),"צה""ל")</f>
        <v>צה"ל</v>
      </c>
      <c r="G1067" s="5" t="str">
        <f>IFERROR(__xludf.DUMMYFUNCTION("""COMPUTED_VALUE"""),"סמ״ר")</f>
        <v>סמ״ר</v>
      </c>
      <c r="H1067" s="3" t="str">
        <f>IFERROR(__xludf.DUMMYFUNCTION("""COMPUTED_VALUE"""),"07.10.2023")</f>
        <v>07.10.2023</v>
      </c>
      <c r="I1067" s="4" t="str">
        <f>IFERROR(__xludf.DUMMYFUNCTION("""COMPUTED_VALUE"""),"מוצב סופה")</f>
        <v>מוצב סופה</v>
      </c>
      <c r="J1067" s="4" t="str">
        <f>IFERROR(__xludf.DUMMYFUNCTION("""COMPUTED_VALUE"""),"חיילים")</f>
        <v>חיילים</v>
      </c>
      <c r="K1067" s="5"/>
      <c r="L1067" s="3" t="str">
        <f>IFERROR(__xludf.DUMMYFUNCTION("""COMPUTED_VALUE"""),"Tomer Yaakov Mizrahi")</f>
        <v>Tomer Yaakov Mizrahi</v>
      </c>
      <c r="M1067" s="5"/>
    </row>
    <row r="1068">
      <c r="A1068" s="3">
        <f>IFERROR(__xludf.DUMMYFUNCTION("""COMPUTED_VALUE"""),1713.0)</f>
        <v>1713</v>
      </c>
      <c r="B1068" s="4" t="str">
        <f>IFERROR(__xludf.DUMMYFUNCTION("""COMPUTED_VALUE"""),"קליין אייל")</f>
        <v>קליין אייל</v>
      </c>
      <c r="C1068" s="3">
        <f>IFERROR(__xludf.DUMMYFUNCTION("""COMPUTED_VALUE"""),22.0)</f>
        <v>22</v>
      </c>
      <c r="D1068" s="5" t="str">
        <f>IFERROR(__xludf.DUMMYFUNCTION("""COMPUTED_VALUE"""),"כפר הרי""ף")</f>
        <v>כפר הרי"ף</v>
      </c>
      <c r="E1068" s="5" t="str">
        <f>IFERROR(__xludf.DUMMYFUNCTION("""COMPUTED_VALUE"""),"גבר")</f>
        <v>גבר</v>
      </c>
      <c r="F1068" s="5" t="str">
        <f>IFERROR(__xludf.DUMMYFUNCTION("""COMPUTED_VALUE"""),"צה""ל")</f>
        <v>צה"ל</v>
      </c>
      <c r="G1068" s="5" t="str">
        <f>IFERROR(__xludf.DUMMYFUNCTION("""COMPUTED_VALUE"""),"סרן")</f>
        <v>סרן</v>
      </c>
      <c r="H1068" s="3" t="str">
        <f>IFERROR(__xludf.DUMMYFUNCTION("""COMPUTED_VALUE"""),"07.10.2023")</f>
        <v>07.10.2023</v>
      </c>
      <c r="I1068" s="4" t="str">
        <f>IFERROR(__xludf.DUMMYFUNCTION("""COMPUTED_VALUE"""),"מוצב סופה")</f>
        <v>מוצב סופה</v>
      </c>
      <c r="J1068" s="4" t="str">
        <f>IFERROR(__xludf.DUMMYFUNCTION("""COMPUTED_VALUE"""),"חיילים")</f>
        <v>חיילים</v>
      </c>
      <c r="K1068" s="5"/>
      <c r="L1068" s="3" t="str">
        <f>IFERROR(__xludf.DUMMYFUNCTION("""COMPUTED_VALUE"""),"Eyal Klein")</f>
        <v>Eyal Klein</v>
      </c>
      <c r="M1068" s="5"/>
    </row>
    <row r="1069">
      <c r="A1069" s="3">
        <f>IFERROR(__xludf.DUMMYFUNCTION("""COMPUTED_VALUE"""),204.0)</f>
        <v>204</v>
      </c>
      <c r="B1069" s="4" t="str">
        <f>IFERROR(__xludf.DUMMYFUNCTION("""COMPUTED_VALUE"""),"נגבי רם")</f>
        <v>נגבי רם</v>
      </c>
      <c r="C1069" s="3">
        <f>IFERROR(__xludf.DUMMYFUNCTION("""COMPUTED_VALUE"""),57.0)</f>
        <v>57</v>
      </c>
      <c r="D1069" s="5" t="str">
        <f>IFERROR(__xludf.DUMMYFUNCTION("""COMPUTED_VALUE"""),"עין השלושה")</f>
        <v>עין השלושה</v>
      </c>
      <c r="E1069" s="5" t="str">
        <f>IFERROR(__xludf.DUMMYFUNCTION("""COMPUTED_VALUE"""),"גבר")</f>
        <v>גבר</v>
      </c>
      <c r="F1069" s="5" t="str">
        <f>IFERROR(__xludf.DUMMYFUNCTION("""COMPUTED_VALUE"""),"כיתות כוננות")</f>
        <v>כיתות כוננות</v>
      </c>
      <c r="G1069" s="5" t="str">
        <f>IFERROR(__xludf.DUMMYFUNCTION("""COMPUTED_VALUE"""),"רס״ן")</f>
        <v>רס״ן</v>
      </c>
      <c r="H1069" s="3" t="str">
        <f>IFERROR(__xludf.DUMMYFUNCTION("""COMPUTED_VALUE"""),"07.10.2023")</f>
        <v>07.10.2023</v>
      </c>
      <c r="I1069" s="4" t="str">
        <f>IFERROR(__xludf.DUMMYFUNCTION("""COMPUTED_VALUE"""),"עין השלושה")</f>
        <v>עין השלושה</v>
      </c>
      <c r="J1069" s="4" t="str">
        <f>IFERROR(__xludf.DUMMYFUNCTION("""COMPUTED_VALUE"""),"אזרחים וכיתות כוננות")</f>
        <v>אזרחים וכיתות כוננות</v>
      </c>
      <c r="K1069" s="5"/>
      <c r="L1069" s="3" t="str">
        <f>IFERROR(__xludf.DUMMYFUNCTION("""COMPUTED_VALUE"""),"Rami Negbi")</f>
        <v>Rami Negbi</v>
      </c>
      <c r="M1069" s="5"/>
    </row>
    <row r="1070">
      <c r="A1070" s="3">
        <f>IFERROR(__xludf.DUMMYFUNCTION("""COMPUTED_VALUE"""),1038.0)</f>
        <v>1038</v>
      </c>
      <c r="B1070" s="4" t="str">
        <f>IFERROR(__xludf.DUMMYFUNCTION("""COMPUTED_VALUE"""),"כהן איתי")</f>
        <v>כהן איתי</v>
      </c>
      <c r="C1070" s="3">
        <f>IFERROR(__xludf.DUMMYFUNCTION("""COMPUTED_VALUE"""),22.0)</f>
        <v>22</v>
      </c>
      <c r="D1070" s="5" t="str">
        <f>IFERROR(__xludf.DUMMYFUNCTION("""COMPUTED_VALUE"""),"רחובות")</f>
        <v>רחובות</v>
      </c>
      <c r="E1070" s="5" t="str">
        <f>IFERROR(__xludf.DUMMYFUNCTION("""COMPUTED_VALUE"""),"גבר")</f>
        <v>גבר</v>
      </c>
      <c r="F1070" s="5" t="str">
        <f>IFERROR(__xludf.DUMMYFUNCTION("""COMPUTED_VALUE"""),"צה""ל")</f>
        <v>צה"ל</v>
      </c>
      <c r="G1070" s="5" t="str">
        <f>IFERROR(__xludf.DUMMYFUNCTION("""COMPUTED_VALUE"""),"סרן")</f>
        <v>סרן</v>
      </c>
      <c r="H1070" s="3" t="str">
        <f>IFERROR(__xludf.DUMMYFUNCTION("""COMPUTED_VALUE"""),"07.10.2023")</f>
        <v>07.10.2023</v>
      </c>
      <c r="I1070" s="4" t="str">
        <f>IFERROR(__xludf.DUMMYFUNCTION("""COMPUTED_VALUE"""),"עלומים")</f>
        <v>עלומים</v>
      </c>
      <c r="J1070" s="4" t="str">
        <f>IFERROR(__xludf.DUMMYFUNCTION("""COMPUTED_VALUE"""),"חיילים")</f>
        <v>חיילים</v>
      </c>
      <c r="K1070" s="5"/>
      <c r="L1070" s="3" t="str">
        <f>IFERROR(__xludf.DUMMYFUNCTION("""COMPUTED_VALUE"""),"Itay Cohen")</f>
        <v>Itay Cohen</v>
      </c>
      <c r="M1070" s="5"/>
    </row>
    <row r="1071">
      <c r="A1071" s="3">
        <f>IFERROR(__xludf.DUMMYFUNCTION("""COMPUTED_VALUE"""),28.0)</f>
        <v>28</v>
      </c>
      <c r="B1071" s="4" t="str">
        <f>IFERROR(__xludf.DUMMYFUNCTION("""COMPUTED_VALUE"""),"סלוטקי ישי")</f>
        <v>סלוטקי ישי</v>
      </c>
      <c r="C1071" s="3">
        <f>IFERROR(__xludf.DUMMYFUNCTION("""COMPUTED_VALUE"""),24.0)</f>
        <v>24</v>
      </c>
      <c r="D1071" s="5" t="str">
        <f>IFERROR(__xludf.DUMMYFUNCTION("""COMPUTED_VALUE"""),"באר שבע")</f>
        <v>באר שבע</v>
      </c>
      <c r="E1071" s="5" t="str">
        <f>IFERROR(__xludf.DUMMYFUNCTION("""COMPUTED_VALUE"""),"גבר")</f>
        <v>גבר</v>
      </c>
      <c r="F1071" s="5" t="str">
        <f>IFERROR(__xludf.DUMMYFUNCTION("""COMPUTED_VALUE"""),"צה""ל")</f>
        <v>צה"ל</v>
      </c>
      <c r="G1071" s="5" t="str">
        <f>IFERROR(__xludf.DUMMYFUNCTION("""COMPUTED_VALUE"""),"רס״ר")</f>
        <v>רס״ר</v>
      </c>
      <c r="H1071" s="3" t="str">
        <f>IFERROR(__xludf.DUMMYFUNCTION("""COMPUTED_VALUE"""),"07.10.2023")</f>
        <v>07.10.2023</v>
      </c>
      <c r="I1071" s="4" t="str">
        <f>IFERROR(__xludf.DUMMYFUNCTION("""COMPUTED_VALUE"""),"עלומים")</f>
        <v>עלומים</v>
      </c>
      <c r="J1071" s="4" t="str">
        <f>IFERROR(__xludf.DUMMYFUNCTION("""COMPUTED_VALUE"""),"חיילים")</f>
        <v>חיילים</v>
      </c>
      <c r="K1071" s="5"/>
      <c r="L1071" s="3" t="str">
        <f>IFERROR(__xludf.DUMMYFUNCTION("""COMPUTED_VALUE"""),"Yishai Slotki")</f>
        <v>Yishai Slotki</v>
      </c>
      <c r="M1071" s="5"/>
    </row>
    <row r="1072">
      <c r="A1072" s="3">
        <f>IFERROR(__xludf.DUMMYFUNCTION("""COMPUTED_VALUE"""),27.0)</f>
        <v>27</v>
      </c>
      <c r="B1072" s="4" t="str">
        <f>IFERROR(__xludf.DUMMYFUNCTION("""COMPUTED_VALUE"""),"סלוטקי נועם")</f>
        <v>סלוטקי נועם</v>
      </c>
      <c r="C1072" s="3">
        <f>IFERROR(__xludf.DUMMYFUNCTION("""COMPUTED_VALUE"""),31.0)</f>
        <v>31</v>
      </c>
      <c r="D1072" s="5" t="str">
        <f>IFERROR(__xludf.DUMMYFUNCTION("""COMPUTED_VALUE"""),"ירושלים")</f>
        <v>ירושלים</v>
      </c>
      <c r="E1072" s="5" t="str">
        <f>IFERROR(__xludf.DUMMYFUNCTION("""COMPUTED_VALUE"""),"גבר")</f>
        <v>גבר</v>
      </c>
      <c r="F1072" s="5" t="str">
        <f>IFERROR(__xludf.DUMMYFUNCTION("""COMPUTED_VALUE"""),"צה""ל (מיל')")</f>
        <v>צה"ל (מיל')</v>
      </c>
      <c r="G1072" s="5" t="str">
        <f>IFERROR(__xludf.DUMMYFUNCTION("""COMPUTED_VALUE"""),"רס״ם")</f>
        <v>רס״ם</v>
      </c>
      <c r="H1072" s="3" t="str">
        <f>IFERROR(__xludf.DUMMYFUNCTION("""COMPUTED_VALUE"""),"07.10.2023")</f>
        <v>07.10.2023</v>
      </c>
      <c r="I1072" s="4" t="str">
        <f>IFERROR(__xludf.DUMMYFUNCTION("""COMPUTED_VALUE"""),"עלומים")</f>
        <v>עלומים</v>
      </c>
      <c r="J1072" s="4" t="str">
        <f>IFERROR(__xludf.DUMMYFUNCTION("""COMPUTED_VALUE"""),"חיילים")</f>
        <v>חיילים</v>
      </c>
      <c r="K1072" s="5"/>
      <c r="L1072" s="3" t="str">
        <f>IFERROR(__xludf.DUMMYFUNCTION("""COMPUTED_VALUE"""),"Noam Slotki")</f>
        <v>Noam Slotki</v>
      </c>
      <c r="M1072" s="5"/>
    </row>
    <row r="1073">
      <c r="A1073" s="3">
        <f>IFERROR(__xludf.DUMMYFUNCTION("""COMPUTED_VALUE"""),1079.0)</f>
        <v>1079</v>
      </c>
      <c r="B1073" s="4" t="str">
        <f>IFERROR(__xludf.DUMMYFUNCTION("""COMPUTED_VALUE"""),"רוזנטל עידו")</f>
        <v>רוזנטל עידו</v>
      </c>
      <c r="C1073" s="3">
        <f>IFERROR(__xludf.DUMMYFUNCTION("""COMPUTED_VALUE"""),45.0)</f>
        <v>45</v>
      </c>
      <c r="D1073" s="5" t="str">
        <f>IFERROR(__xludf.DUMMYFUNCTION("""COMPUTED_VALUE"""),"בן שמן")</f>
        <v>בן שמן</v>
      </c>
      <c r="E1073" s="5" t="str">
        <f>IFERROR(__xludf.DUMMYFUNCTION("""COMPUTED_VALUE"""),"גבר")</f>
        <v>גבר</v>
      </c>
      <c r="F1073" s="5" t="str">
        <f>IFERROR(__xludf.DUMMYFUNCTION("""COMPUTED_VALUE"""),"צה""ל")</f>
        <v>צה"ל</v>
      </c>
      <c r="G1073" s="5" t="str">
        <f>IFERROR(__xludf.DUMMYFUNCTION("""COMPUTED_VALUE"""),"רנ״ג")</f>
        <v>רנ״ג</v>
      </c>
      <c r="H1073" s="3" t="str">
        <f>IFERROR(__xludf.DUMMYFUNCTION("""COMPUTED_VALUE"""),"07.10.2023")</f>
        <v>07.10.2023</v>
      </c>
      <c r="I1073" s="4" t="str">
        <f>IFERROR(__xludf.DUMMYFUNCTION("""COMPUTED_VALUE"""),"עלומים")</f>
        <v>עלומים</v>
      </c>
      <c r="J1073" s="4" t="str">
        <f>IFERROR(__xludf.DUMMYFUNCTION("""COMPUTED_VALUE"""),"חיילים")</f>
        <v>חיילים</v>
      </c>
      <c r="K1073" s="5"/>
      <c r="L1073" s="3" t="str">
        <f>IFERROR(__xludf.DUMMYFUNCTION("""COMPUTED_VALUE"""),"Ido Rosental")</f>
        <v>Ido Rosental</v>
      </c>
      <c r="M1073" s="5"/>
    </row>
    <row r="1074">
      <c r="A1074" s="3">
        <f>IFERROR(__xludf.DUMMYFUNCTION("""COMPUTED_VALUE"""),1064.0)</f>
        <v>1064</v>
      </c>
      <c r="B1074" s="4" t="str">
        <f>IFERROR(__xludf.DUMMYFUNCTION("""COMPUTED_VALUE"""),"אוחנדוב אמין")</f>
        <v>אוחנדוב אמין</v>
      </c>
      <c r="C1074" s="3">
        <f>IFERROR(__xludf.DUMMYFUNCTION("""COMPUTED_VALUE"""),36.0)</f>
        <v>36</v>
      </c>
      <c r="D1074" s="5" t="str">
        <f>IFERROR(__xludf.DUMMYFUNCTION("""COMPUTED_VALUE"""),"אופקים")</f>
        <v>אופקים</v>
      </c>
      <c r="E1074" s="5" t="str">
        <f>IFERROR(__xludf.DUMMYFUNCTION("""COMPUTED_VALUE"""),"גבר")</f>
        <v>גבר</v>
      </c>
      <c r="F1074" s="5" t="str">
        <f>IFERROR(__xludf.DUMMYFUNCTION("""COMPUTED_VALUE"""),"משטרה")</f>
        <v>משטרה</v>
      </c>
      <c r="G1074" s="5" t="str">
        <f>IFERROR(__xludf.DUMMYFUNCTION("""COMPUTED_VALUE"""),"רפ״ק")</f>
        <v>רפ״ק</v>
      </c>
      <c r="H1074" s="3" t="str">
        <f>IFERROR(__xludf.DUMMYFUNCTION("""COMPUTED_VALUE"""),"07.10.2023")</f>
        <v>07.10.2023</v>
      </c>
      <c r="I1074" s="4" t="str">
        <f>IFERROR(__xludf.DUMMYFUNCTION("""COMPUTED_VALUE"""),"פסטיבל נובה; פקק ביציאה")</f>
        <v>פסטיבל נובה; פקק ביציאה</v>
      </c>
      <c r="J1074" s="4" t="str">
        <f>IFERROR(__xludf.DUMMYFUNCTION("""COMPUTED_VALUE"""),"שוטרים וכוחות הצלה")</f>
        <v>שוטרים וכוחות הצלה</v>
      </c>
      <c r="K1074" s="5" t="str">
        <f>IFERROR(__xludf.DUMMYFUNCTION("""COMPUTED_VALUE"""),"פסטיבל נובה")</f>
        <v>פסטיבל נובה</v>
      </c>
      <c r="L1074" s="3" t="str">
        <f>IFERROR(__xludf.DUMMYFUNCTION("""COMPUTED_VALUE"""),"Amin Ohanadov")</f>
        <v>Amin Ohanadov</v>
      </c>
      <c r="M1074" s="5"/>
    </row>
    <row r="1075">
      <c r="A1075" s="3">
        <f>IFERROR(__xludf.DUMMYFUNCTION("""COMPUTED_VALUE"""),1183.0)</f>
        <v>1183</v>
      </c>
      <c r="B1075" s="4" t="str">
        <f>IFERROR(__xludf.DUMMYFUNCTION("""COMPUTED_VALUE"""),"בודובסקי אלכסיי")</f>
        <v>בודובסקי אלכסיי</v>
      </c>
      <c r="C1075" s="3">
        <f>IFERROR(__xludf.DUMMYFUNCTION("""COMPUTED_VALUE"""),39.0)</f>
        <v>39</v>
      </c>
      <c r="D1075" s="5" t="str">
        <f>IFERROR(__xludf.DUMMYFUNCTION("""COMPUTED_VALUE"""),"באר שבע")</f>
        <v>באר שבע</v>
      </c>
      <c r="E1075" s="5" t="str">
        <f>IFERROR(__xludf.DUMMYFUNCTION("""COMPUTED_VALUE"""),"גבר")</f>
        <v>גבר</v>
      </c>
      <c r="F1075" s="5" t="str">
        <f>IFERROR(__xludf.DUMMYFUNCTION("""COMPUTED_VALUE"""),"משטרה")</f>
        <v>משטרה</v>
      </c>
      <c r="G1075" s="5" t="str">
        <f>IFERROR(__xludf.DUMMYFUNCTION("""COMPUTED_VALUE"""),"רס״ב")</f>
        <v>רס״ב</v>
      </c>
      <c r="H1075" s="3" t="str">
        <f>IFERROR(__xludf.DUMMYFUNCTION("""COMPUTED_VALUE"""),"07.10.2023")</f>
        <v>07.10.2023</v>
      </c>
      <c r="I1075" s="4" t="str">
        <f>IFERROR(__xludf.DUMMYFUNCTION("""COMPUTED_VALUE"""),"רעים")</f>
        <v>רעים</v>
      </c>
      <c r="J1075" s="2" t="str">
        <f>IFERROR(__xludf.DUMMYFUNCTION("""COMPUTED_VALUE"""),"שוטרים וכוחות הצלה")</f>
        <v>שוטרים וכוחות הצלה</v>
      </c>
      <c r="K1075" s="5"/>
      <c r="L1075" s="3" t="str">
        <f>IFERROR(__xludf.DUMMYFUNCTION("""COMPUTED_VALUE"""),"Alexy Budovski")</f>
        <v>Alexy Budovski</v>
      </c>
      <c r="M1075" s="5"/>
    </row>
    <row r="1076">
      <c r="A1076" s="3">
        <f>IFERROR(__xludf.DUMMYFUNCTION("""COMPUTED_VALUE"""),975.0)</f>
        <v>975</v>
      </c>
      <c r="B1076" s="4" t="str">
        <f>IFERROR(__xludf.DUMMYFUNCTION("""COMPUTED_VALUE"""),"בוזוקושווילי יצחק (בוזוקה)")</f>
        <v>בוזוקושווילי יצחק (בוזוקה)</v>
      </c>
      <c r="C1076" s="3">
        <f>IFERROR(__xludf.DUMMYFUNCTION("""COMPUTED_VALUE"""),43.0)</f>
        <v>43</v>
      </c>
      <c r="D1076" s="5" t="str">
        <f>IFERROR(__xludf.DUMMYFUNCTION("""COMPUTED_VALUE"""),"מיתר")</f>
        <v>מיתר</v>
      </c>
      <c r="E1076" s="5" t="str">
        <f>IFERROR(__xludf.DUMMYFUNCTION("""COMPUTED_VALUE"""),"גבר")</f>
        <v>גבר</v>
      </c>
      <c r="F1076" s="5" t="str">
        <f>IFERROR(__xludf.DUMMYFUNCTION("""COMPUTED_VALUE"""),"משטרה")</f>
        <v>משטרה</v>
      </c>
      <c r="G1076" s="5" t="str">
        <f>IFERROR(__xludf.DUMMYFUNCTION("""COMPUTED_VALUE"""),"נצ״מ")</f>
        <v>נצ״מ</v>
      </c>
      <c r="H1076" s="3" t="str">
        <f>IFERROR(__xludf.DUMMYFUNCTION("""COMPUTED_VALUE"""),"07.10.2023")</f>
        <v>07.10.2023</v>
      </c>
      <c r="I1076" s="4" t="str">
        <f>IFERROR(__xludf.DUMMYFUNCTION("""COMPUTED_VALUE"""),"רעים")</f>
        <v>רעים</v>
      </c>
      <c r="J1076" s="4" t="str">
        <f>IFERROR(__xludf.DUMMYFUNCTION("""COMPUTED_VALUE"""),"שוטרים וכוחות הצלה")</f>
        <v>שוטרים וכוחות הצלה</v>
      </c>
      <c r="K1076" s="5"/>
      <c r="L1076" s="3" t="str">
        <f>IFERROR(__xludf.DUMMYFUNCTION("""COMPUTED_VALUE"""),"Itzhak Bazuka-Shvili")</f>
        <v>Itzhak Bazuka-Shvili</v>
      </c>
      <c r="M1076" s="5"/>
    </row>
    <row r="1077">
      <c r="A1077" s="3">
        <f>IFERROR(__xludf.DUMMYFUNCTION("""COMPUTED_VALUE"""),1053.0)</f>
        <v>1053</v>
      </c>
      <c r="B1077" s="4" t="str">
        <f>IFERROR(__xludf.DUMMYFUNCTION("""COMPUTED_VALUE"""),"בן בסט יותם")</f>
        <v>בן בסט יותם</v>
      </c>
      <c r="C1077" s="3">
        <f>IFERROR(__xludf.DUMMYFUNCTION("""COMPUTED_VALUE"""),24.0)</f>
        <v>24</v>
      </c>
      <c r="D1077" s="5" t="str">
        <f>IFERROR(__xludf.DUMMYFUNCTION("""COMPUTED_VALUE"""),"בת חפר")</f>
        <v>בת חפר</v>
      </c>
      <c r="E1077" s="5" t="str">
        <f>IFERROR(__xludf.DUMMYFUNCTION("""COMPUTED_VALUE"""),"גבר")</f>
        <v>גבר</v>
      </c>
      <c r="F1077" s="5" t="str">
        <f>IFERROR(__xludf.DUMMYFUNCTION("""COMPUTED_VALUE"""),"צה""ל")</f>
        <v>צה"ל</v>
      </c>
      <c r="G1077" s="5" t="str">
        <f>IFERROR(__xludf.DUMMYFUNCTION("""COMPUTED_VALUE"""),"סרן")</f>
        <v>סרן</v>
      </c>
      <c r="H1077" s="3" t="str">
        <f>IFERROR(__xludf.DUMMYFUNCTION("""COMPUTED_VALUE"""),"07.10.2023")</f>
        <v>07.10.2023</v>
      </c>
      <c r="I1077" s="4" t="str">
        <f>IFERROR(__xludf.DUMMYFUNCTION("""COMPUTED_VALUE"""),"רעים")</f>
        <v>רעים</v>
      </c>
      <c r="J1077" s="4" t="str">
        <f>IFERROR(__xludf.DUMMYFUNCTION("""COMPUTED_VALUE"""),"חיילים")</f>
        <v>חיילים</v>
      </c>
      <c r="K1077" s="5"/>
      <c r="L1077" s="3" t="str">
        <f>IFERROR(__xludf.DUMMYFUNCTION("""COMPUTED_VALUE"""),"Yotam Ben-Basat")</f>
        <v>Yotam Ben-Basat</v>
      </c>
      <c r="M1077" s="5"/>
    </row>
    <row r="1078">
      <c r="A1078" s="3">
        <f>IFERROR(__xludf.DUMMYFUNCTION("""COMPUTED_VALUE"""),1692.0)</f>
        <v>1692</v>
      </c>
      <c r="B1078" s="4" t="str">
        <f>IFERROR(__xludf.DUMMYFUNCTION("""COMPUTED_VALUE"""),"בן משה אריאל")</f>
        <v>בן משה אריאל</v>
      </c>
      <c r="C1078" s="3">
        <f>IFERROR(__xludf.DUMMYFUNCTION("""COMPUTED_VALUE"""),27.0)</f>
        <v>27</v>
      </c>
      <c r="D1078" s="5" t="str">
        <f>IFERROR(__xludf.DUMMYFUNCTION("""COMPUTED_VALUE"""),"קריית ביאליק")</f>
        <v>קריית ביאליק</v>
      </c>
      <c r="E1078" s="5" t="str">
        <f>IFERROR(__xludf.DUMMYFUNCTION("""COMPUTED_VALUE"""),"גבר")</f>
        <v>גבר</v>
      </c>
      <c r="F1078" s="5" t="str">
        <f>IFERROR(__xludf.DUMMYFUNCTION("""COMPUTED_VALUE"""),"צה""ל")</f>
        <v>צה"ל</v>
      </c>
      <c r="G1078" s="5" t="str">
        <f>IFERROR(__xludf.DUMMYFUNCTION("""COMPUTED_VALUE"""),"רס״ן")</f>
        <v>רס״ן</v>
      </c>
      <c r="H1078" s="3" t="str">
        <f>IFERROR(__xludf.DUMMYFUNCTION("""COMPUTED_VALUE"""),"07.10.2023")</f>
        <v>07.10.2023</v>
      </c>
      <c r="I1078" s="4" t="str">
        <f>IFERROR(__xludf.DUMMYFUNCTION("""COMPUTED_VALUE"""),"רעים")</f>
        <v>רעים</v>
      </c>
      <c r="J1078" s="4" t="str">
        <f>IFERROR(__xludf.DUMMYFUNCTION("""COMPUTED_VALUE"""),"חיילים")</f>
        <v>חיילים</v>
      </c>
      <c r="K1078" s="5"/>
      <c r="L1078" s="3" t="str">
        <f>IFERROR(__xludf.DUMMYFUNCTION("""COMPUTED_VALUE"""),"Ariel Ben Moshe")</f>
        <v>Ariel Ben Moshe</v>
      </c>
      <c r="M1078" s="5"/>
    </row>
    <row r="1079">
      <c r="A1079" s="3">
        <f>IFERROR(__xludf.DUMMYFUNCTION("""COMPUTED_VALUE"""),1052.0)</f>
        <v>1052</v>
      </c>
      <c r="B1079" s="4" t="str">
        <f>IFERROR(__xludf.DUMMYFUNCTION("""COMPUTED_VALUE"""),"ברד אלון")</f>
        <v>ברד אלון</v>
      </c>
      <c r="C1079" s="3">
        <f>IFERROR(__xludf.DUMMYFUNCTION("""COMPUTED_VALUE"""),38.0)</f>
        <v>38</v>
      </c>
      <c r="D1079" s="5" t="str">
        <f>IFERROR(__xludf.DUMMYFUNCTION("""COMPUTED_VALUE"""),"באר שבע")</f>
        <v>באר שבע</v>
      </c>
      <c r="E1079" s="5" t="str">
        <f>IFERROR(__xludf.DUMMYFUNCTION("""COMPUTED_VALUE"""),"גבר")</f>
        <v>גבר</v>
      </c>
      <c r="F1079" s="5" t="str">
        <f>IFERROR(__xludf.DUMMYFUNCTION("""COMPUTED_VALUE"""),"משטרה")</f>
        <v>משטרה</v>
      </c>
      <c r="G1079" s="5" t="str">
        <f>IFERROR(__xludf.DUMMYFUNCTION("""COMPUTED_VALUE"""),"רס״ב")</f>
        <v>רס״ב</v>
      </c>
      <c r="H1079" s="3" t="str">
        <f>IFERROR(__xludf.DUMMYFUNCTION("""COMPUTED_VALUE"""),"07.10.2023")</f>
        <v>07.10.2023</v>
      </c>
      <c r="I1079" s="4" t="str">
        <f>IFERROR(__xludf.DUMMYFUNCTION("""COMPUTED_VALUE"""),"פסטיבל נובה")</f>
        <v>פסטיבל נובה</v>
      </c>
      <c r="J1079" s="4" t="str">
        <f>IFERROR(__xludf.DUMMYFUNCTION("""COMPUTED_VALUE"""),"שוטרים וכוחות הצלה")</f>
        <v>שוטרים וכוחות הצלה</v>
      </c>
      <c r="K1079" s="5" t="str">
        <f>IFERROR(__xludf.DUMMYFUNCTION("""COMPUTED_VALUE"""),"פסטיבל נובה")</f>
        <v>פסטיבל נובה</v>
      </c>
      <c r="L1079" s="3" t="str">
        <f>IFERROR(__xludf.DUMMYFUNCTION("""COMPUTED_VALUE"""),"Alon Barad")</f>
        <v>Alon Barad</v>
      </c>
      <c r="M1079" s="5"/>
    </row>
    <row r="1080">
      <c r="A1080" s="3">
        <f>IFERROR(__xludf.DUMMYFUNCTION("""COMPUTED_VALUE"""),1063.0)</f>
        <v>1063</v>
      </c>
      <c r="B1080" s="4" t="str">
        <f>IFERROR(__xludf.DUMMYFUNCTION("""COMPUTED_VALUE"""),"לוי רועי יוסף")</f>
        <v>לוי רועי יוסף</v>
      </c>
      <c r="C1080" s="3">
        <f>IFERROR(__xludf.DUMMYFUNCTION("""COMPUTED_VALUE"""),44.0)</f>
        <v>44</v>
      </c>
      <c r="D1080" s="5" t="str">
        <f>IFERROR(__xludf.DUMMYFUNCTION("""COMPUTED_VALUE"""),"שבי ציון")</f>
        <v>שבי ציון</v>
      </c>
      <c r="E1080" s="5" t="str">
        <f>IFERROR(__xludf.DUMMYFUNCTION("""COMPUTED_VALUE"""),"גבר")</f>
        <v>גבר</v>
      </c>
      <c r="F1080" s="5" t="str">
        <f>IFERROR(__xludf.DUMMYFUNCTION("""COMPUTED_VALUE"""),"צה""ל")</f>
        <v>צה"ל</v>
      </c>
      <c r="G1080" s="5" t="str">
        <f>IFERROR(__xludf.DUMMYFUNCTION("""COMPUTED_VALUE"""),"אל״ם")</f>
        <v>אל״ם</v>
      </c>
      <c r="H1080" s="3" t="str">
        <f>IFERROR(__xludf.DUMMYFUNCTION("""COMPUTED_VALUE"""),"07.10.2023")</f>
        <v>07.10.2023</v>
      </c>
      <c r="I1080" s="4" t="str">
        <f>IFERROR(__xludf.DUMMYFUNCTION("""COMPUTED_VALUE"""),"רעים")</f>
        <v>רעים</v>
      </c>
      <c r="J1080" s="4" t="str">
        <f>IFERROR(__xludf.DUMMYFUNCTION("""COMPUTED_VALUE"""),"חיילים")</f>
        <v>חיילים</v>
      </c>
      <c r="K1080" s="5"/>
      <c r="L1080" s="3" t="str">
        <f>IFERROR(__xludf.DUMMYFUNCTION("""COMPUTED_VALUE"""),"Roey Yosef Levy")</f>
        <v>Roey Yosef Levy</v>
      </c>
      <c r="M1080" s="5"/>
    </row>
    <row r="1081">
      <c r="A1081" s="3">
        <f>IFERROR(__xludf.DUMMYFUNCTION("""COMPUTED_VALUE"""),1611.0)</f>
        <v>1611</v>
      </c>
      <c r="B1081" s="4" t="str">
        <f>IFERROR(__xludf.DUMMYFUNCTION("""COMPUTED_VALUE"""),"מרקוביצ'י אהרון ארתור")</f>
        <v>מרקוביצ'י אהרון ארתור</v>
      </c>
      <c r="C1081" s="3">
        <f>IFERROR(__xludf.DUMMYFUNCTION("""COMPUTED_VALUE"""),46.0)</f>
        <v>46</v>
      </c>
      <c r="D1081" s="5" t="str">
        <f>IFERROR(__xludf.DUMMYFUNCTION("""COMPUTED_VALUE"""),"אשקלון")</f>
        <v>אשקלון</v>
      </c>
      <c r="E1081" s="5" t="str">
        <f>IFERROR(__xludf.DUMMYFUNCTION("""COMPUTED_VALUE"""),"גבר")</f>
        <v>גבר</v>
      </c>
      <c r="F1081" s="5" t="str">
        <f>IFERROR(__xludf.DUMMYFUNCTION("""COMPUTED_VALUE"""),"משטרה")</f>
        <v>משטרה</v>
      </c>
      <c r="G1081" s="5" t="str">
        <f>IFERROR(__xludf.DUMMYFUNCTION("""COMPUTED_VALUE"""),"רס״מ")</f>
        <v>רס״מ</v>
      </c>
      <c r="H1081" s="3" t="str">
        <f>IFERROR(__xludf.DUMMYFUNCTION("""COMPUTED_VALUE"""),"07.10.2023")</f>
        <v>07.10.2023</v>
      </c>
      <c r="I1081" s="4" t="str">
        <f>IFERROR(__xludf.DUMMYFUNCTION("""COMPUTED_VALUE"""),"פסטיבל נובה; חסימה בכביש 232")</f>
        <v>פסטיבל נובה; חסימה בכביש 232</v>
      </c>
      <c r="J1081" s="2" t="str">
        <f>IFERROR(__xludf.DUMMYFUNCTION("""COMPUTED_VALUE"""),"שוטרים וכוחות הצלה")</f>
        <v>שוטרים וכוחות הצלה</v>
      </c>
      <c r="K1081" s="5" t="str">
        <f>IFERROR(__xludf.DUMMYFUNCTION("""COMPUTED_VALUE"""),"פסטיבל נובה")</f>
        <v>פסטיבל נובה</v>
      </c>
      <c r="L1081" s="3" t="str">
        <f>IFERROR(__xludf.DUMMYFUNCTION("""COMPUTED_VALUE"""),"Aharon Arthur Marcovichi")</f>
        <v>Aharon Arthur Marcovichi</v>
      </c>
      <c r="M1081" s="5"/>
    </row>
    <row r="1082">
      <c r="A1082" s="3">
        <f>IFERROR(__xludf.DUMMYFUNCTION("""COMPUTED_VALUE"""),241.0)</f>
        <v>241</v>
      </c>
      <c r="B1082" s="4" t="str">
        <f>IFERROR(__xludf.DUMMYFUNCTION("""COMPUTED_VALUE"""),"פושיבאי אנדריי")</f>
        <v>פושיבאי אנדריי</v>
      </c>
      <c r="C1082" s="3">
        <f>IFERROR(__xludf.DUMMYFUNCTION("""COMPUTED_VALUE"""),39.0)</f>
        <v>39</v>
      </c>
      <c r="D1082" s="5" t="str">
        <f>IFERROR(__xludf.DUMMYFUNCTION("""COMPUTED_VALUE"""),"באר שבע")</f>
        <v>באר שבע</v>
      </c>
      <c r="E1082" s="5" t="str">
        <f>IFERROR(__xludf.DUMMYFUNCTION("""COMPUTED_VALUE"""),"גבר")</f>
        <v>גבר</v>
      </c>
      <c r="F1082" s="5" t="str">
        <f>IFERROR(__xludf.DUMMYFUNCTION("""COMPUTED_VALUE"""),"משטרה")</f>
        <v>משטרה</v>
      </c>
      <c r="G1082" s="5" t="str">
        <f>IFERROR(__xludf.DUMMYFUNCTION("""COMPUTED_VALUE"""),"פקד")</f>
        <v>פקד</v>
      </c>
      <c r="H1082" s="3" t="str">
        <f>IFERROR(__xludf.DUMMYFUNCTION("""COMPUTED_VALUE"""),"07.10.2023")</f>
        <v>07.10.2023</v>
      </c>
      <c r="I1082" s="4" t="str">
        <f>IFERROR(__xludf.DUMMYFUNCTION("""COMPUTED_VALUE"""),"פסטיבל נובה; חסימה בכביש 232")</f>
        <v>פסטיבל נובה; חסימה בכביש 232</v>
      </c>
      <c r="J1082" s="4" t="str">
        <f>IFERROR(__xludf.DUMMYFUNCTION("""COMPUTED_VALUE"""),"שוטרים וכוחות הצלה")</f>
        <v>שוטרים וכוחות הצלה</v>
      </c>
      <c r="K1082" s="5" t="str">
        <f>IFERROR(__xludf.DUMMYFUNCTION("""COMPUTED_VALUE"""),"פסטיבל נובה")</f>
        <v>פסטיבל נובה</v>
      </c>
      <c r="L1082" s="3" t="str">
        <f>IFERROR(__xludf.DUMMYFUNCTION("""COMPUTED_VALUE"""),"Andrei Poshivay")</f>
        <v>Andrei Poshivay</v>
      </c>
      <c r="M1082" s="5"/>
    </row>
    <row r="1083">
      <c r="A1083" s="3">
        <f>IFERROR(__xludf.DUMMYFUNCTION("""COMPUTED_VALUE"""),1062.0)</f>
        <v>1062</v>
      </c>
      <c r="B1083" s="4" t="str">
        <f>IFERROR(__xludf.DUMMYFUNCTION("""COMPUTED_VALUE"""),"קרים מליק")</f>
        <v>קרים מליק</v>
      </c>
      <c r="C1083" s="3">
        <f>IFERROR(__xludf.DUMMYFUNCTION("""COMPUTED_VALUE"""),32.0)</f>
        <v>32</v>
      </c>
      <c r="D1083" s="5" t="str">
        <f>IFERROR(__xludf.DUMMYFUNCTION("""COMPUTED_VALUE"""),"דימונה")</f>
        <v>דימונה</v>
      </c>
      <c r="E1083" s="5" t="str">
        <f>IFERROR(__xludf.DUMMYFUNCTION("""COMPUTED_VALUE"""),"גבר")</f>
        <v>גבר</v>
      </c>
      <c r="F1083" s="5" t="str">
        <f>IFERROR(__xludf.DUMMYFUNCTION("""COMPUTED_VALUE"""),"משטרה")</f>
        <v>משטרה</v>
      </c>
      <c r="G1083" s="5" t="str">
        <f>IFERROR(__xludf.DUMMYFUNCTION("""COMPUTED_VALUE"""),"רס״ב")</f>
        <v>רס״ב</v>
      </c>
      <c r="H1083" s="3" t="str">
        <f>IFERROR(__xludf.DUMMYFUNCTION("""COMPUTED_VALUE"""),"07.10.2023")</f>
        <v>07.10.2023</v>
      </c>
      <c r="I1083" s="4" t="str">
        <f>IFERROR(__xludf.DUMMYFUNCTION("""COMPUTED_VALUE"""),"פסטיבל נובה; חסימה בכביש 232")</f>
        <v>פסטיבל נובה; חסימה בכביש 232</v>
      </c>
      <c r="J1083" s="4" t="str">
        <f>IFERROR(__xludf.DUMMYFUNCTION("""COMPUTED_VALUE"""),"שוטרים וכוחות הצלה")</f>
        <v>שוטרים וכוחות הצלה</v>
      </c>
      <c r="K1083" s="5" t="str">
        <f>IFERROR(__xludf.DUMMYFUNCTION("""COMPUTED_VALUE"""),"פסטיבל נובה")</f>
        <v>פסטיבל נובה</v>
      </c>
      <c r="L1083" s="3" t="str">
        <f>IFERROR(__xludf.DUMMYFUNCTION("""COMPUTED_VALUE"""),"Malik Karim")</f>
        <v>Malik Karim</v>
      </c>
      <c r="M1083" s="5"/>
    </row>
    <row r="1084">
      <c r="A1084" s="3">
        <f>IFERROR(__xludf.DUMMYFUNCTION("""COMPUTED_VALUE"""),1286.0)</f>
        <v>1286</v>
      </c>
      <c r="B1084" s="4" t="str">
        <f>IFERROR(__xludf.DUMMYFUNCTION("""COMPUTED_VALUE"""),"רוטנברג נועם אלימלך")</f>
        <v>רוטנברג נועם אלימלך</v>
      </c>
      <c r="C1084" s="3">
        <f>IFERROR(__xludf.DUMMYFUNCTION("""COMPUTED_VALUE"""),24.0)</f>
        <v>24</v>
      </c>
      <c r="D1084" s="5" t="str">
        <f>IFERROR(__xludf.DUMMYFUNCTION("""COMPUTED_VALUE"""),"באר שבע")</f>
        <v>באר שבע</v>
      </c>
      <c r="E1084" s="5" t="str">
        <f>IFERROR(__xludf.DUMMYFUNCTION("""COMPUTED_VALUE"""),"גבר")</f>
        <v>גבר</v>
      </c>
      <c r="F1084" s="5" t="str">
        <f>IFERROR(__xludf.DUMMYFUNCTION("""COMPUTED_VALUE"""),"צה""ל")</f>
        <v>צה"ל</v>
      </c>
      <c r="G1084" s="5" t="str">
        <f>IFERROR(__xludf.DUMMYFUNCTION("""COMPUTED_VALUE"""),"סמ״ר")</f>
        <v>סמ״ר</v>
      </c>
      <c r="H1084" s="3" t="str">
        <f>IFERROR(__xludf.DUMMYFUNCTION("""COMPUTED_VALUE"""),"07.10.2023")</f>
        <v>07.10.2023</v>
      </c>
      <c r="I1084" s="4" t="str">
        <f>IFERROR(__xludf.DUMMYFUNCTION("""COMPUTED_VALUE"""),"פסטיבל נובה")</f>
        <v>פסטיבל נובה</v>
      </c>
      <c r="J1084" s="4" t="str">
        <f>IFERROR(__xludf.DUMMYFUNCTION("""COMPUTED_VALUE"""),"אזרחים וכיתות כוננות")</f>
        <v>אזרחים וכיתות כוננות</v>
      </c>
      <c r="K1084" s="5" t="str">
        <f>IFERROR(__xludf.DUMMYFUNCTION("""COMPUTED_VALUE"""),"פסטיבל נובה")</f>
        <v>פסטיבל נובה</v>
      </c>
      <c r="L1084" s="3" t="str">
        <f>IFERROR(__xludf.DUMMYFUNCTION("""COMPUTED_VALUE"""),"Noam Elimelech Rotenberg")</f>
        <v>Noam Elimelech Rotenberg</v>
      </c>
      <c r="M1084" s="5"/>
    </row>
    <row r="1085">
      <c r="A1085" s="3">
        <f>IFERROR(__xludf.DUMMYFUNCTION("""COMPUTED_VALUE"""),1447.0)</f>
        <v>1447</v>
      </c>
      <c r="B1085" s="4" t="str">
        <f>IFERROR(__xludf.DUMMYFUNCTION("""COMPUTED_VALUE"""),"שמחי גיא")</f>
        <v>שמחי גיא</v>
      </c>
      <c r="C1085" s="3">
        <f>IFERROR(__xludf.DUMMYFUNCTION("""COMPUTED_VALUE"""),20.0)</f>
        <v>20</v>
      </c>
      <c r="D1085" s="5" t="str">
        <f>IFERROR(__xludf.DUMMYFUNCTION("""COMPUTED_VALUE"""),"גדרה")</f>
        <v>גדרה</v>
      </c>
      <c r="E1085" s="5" t="str">
        <f>IFERROR(__xludf.DUMMYFUNCTION("""COMPUTED_VALUE"""),"גבר")</f>
        <v>גבר</v>
      </c>
      <c r="F1085" s="5" t="str">
        <f>IFERROR(__xludf.DUMMYFUNCTION("""COMPUTED_VALUE"""),"צה""ל")</f>
        <v>צה"ל</v>
      </c>
      <c r="G1085" s="5" t="str">
        <f>IFERROR(__xludf.DUMMYFUNCTION("""COMPUTED_VALUE"""),"סמ״ר")</f>
        <v>סמ״ר</v>
      </c>
      <c r="H1085" s="3" t="str">
        <f>IFERROR(__xludf.DUMMYFUNCTION("""COMPUTED_VALUE"""),"07.10.2023")</f>
        <v>07.10.2023</v>
      </c>
      <c r="I1085" s="4" t="str">
        <f>IFERROR(__xludf.DUMMYFUNCTION("""COMPUTED_VALUE"""),"רעים")</f>
        <v>רעים</v>
      </c>
      <c r="J1085" s="4" t="str">
        <f>IFERROR(__xludf.DUMMYFUNCTION("""COMPUTED_VALUE"""),"אזרחים וכיתות כוננות")</f>
        <v>אזרחים וכיתות כוננות</v>
      </c>
      <c r="K1085" s="5" t="str">
        <f>IFERROR(__xludf.DUMMYFUNCTION("""COMPUTED_VALUE"""),"פסטיבל נובה")</f>
        <v>פסטיבל נובה</v>
      </c>
      <c r="L1085" s="3" t="str">
        <f>IFERROR(__xludf.DUMMYFUNCTION("""COMPUTED_VALUE"""),"Guy Simhi")</f>
        <v>Guy Simhi</v>
      </c>
      <c r="M1085" s="5"/>
    </row>
    <row r="1086">
      <c r="A1086" s="3">
        <f>IFERROR(__xludf.DUMMYFUNCTION("""COMPUTED_VALUE"""),1290.0)</f>
        <v>1290</v>
      </c>
      <c r="B1086" s="4" t="str">
        <f>IFERROR(__xludf.DUMMYFUNCTION("""COMPUTED_VALUE"""),"שמיר מרדכי (מוטי)")</f>
        <v>שמיר מרדכי (מוטי)</v>
      </c>
      <c r="C1086" s="3">
        <f>IFERROR(__xludf.DUMMYFUNCTION("""COMPUTED_VALUE"""),29.0)</f>
        <v>29</v>
      </c>
      <c r="D1086" s="5" t="str">
        <f>IFERROR(__xludf.DUMMYFUNCTION("""COMPUTED_VALUE"""),"חוות יאיר")</f>
        <v>חוות יאיר</v>
      </c>
      <c r="E1086" s="5" t="str">
        <f>IFERROR(__xludf.DUMMYFUNCTION("""COMPUTED_VALUE"""),"גבר")</f>
        <v>גבר</v>
      </c>
      <c r="F1086" s="5" t="str">
        <f>IFERROR(__xludf.DUMMYFUNCTION("""COMPUTED_VALUE"""),"צה""ל")</f>
        <v>צה"ל</v>
      </c>
      <c r="G1086" s="5" t="str">
        <f>IFERROR(__xludf.DUMMYFUNCTION("""COMPUTED_VALUE"""),"רס״ן")</f>
        <v>רס״ן</v>
      </c>
      <c r="H1086" s="3" t="str">
        <f>IFERROR(__xludf.DUMMYFUNCTION("""COMPUTED_VALUE"""),"07.10.2023")</f>
        <v>07.10.2023</v>
      </c>
      <c r="I1086" s="4" t="str">
        <f>IFERROR(__xludf.DUMMYFUNCTION("""COMPUTED_VALUE"""),"רעים")</f>
        <v>רעים</v>
      </c>
      <c r="J1086" s="4" t="str">
        <f>IFERROR(__xludf.DUMMYFUNCTION("""COMPUTED_VALUE"""),"חיילים")</f>
        <v>חיילים</v>
      </c>
      <c r="K1086" s="5"/>
      <c r="L1086" s="3" t="str">
        <f>IFERROR(__xludf.DUMMYFUNCTION("""COMPUTED_VALUE"""),"Mordechai (moti) Shamir")</f>
        <v>Mordechai (moti) Shamir</v>
      </c>
      <c r="M1086" s="5"/>
    </row>
    <row r="1087">
      <c r="A1087" s="3">
        <f>IFERROR(__xludf.DUMMYFUNCTION("""COMPUTED_VALUE"""),1065.0)</f>
        <v>1065</v>
      </c>
      <c r="B1087" s="4" t="str">
        <f>IFERROR(__xludf.DUMMYFUNCTION("""COMPUTED_VALUE"""),"שמעיה יעקב (קובי)")</f>
        <v>שמעיה יעקב (קובי)</v>
      </c>
      <c r="C1087" s="3">
        <f>IFERROR(__xludf.DUMMYFUNCTION("""COMPUTED_VALUE"""),47.0)</f>
        <v>47</v>
      </c>
      <c r="D1087" s="5" t="str">
        <f>IFERROR(__xludf.DUMMYFUNCTION("""COMPUTED_VALUE"""),"באר שבע")</f>
        <v>באר שבע</v>
      </c>
      <c r="E1087" s="5" t="str">
        <f>IFERROR(__xludf.DUMMYFUNCTION("""COMPUTED_VALUE"""),"גבר")</f>
        <v>גבר</v>
      </c>
      <c r="F1087" s="5" t="str">
        <f>IFERROR(__xludf.DUMMYFUNCTION("""COMPUTED_VALUE"""),"אזרחים")</f>
        <v>אזרחים</v>
      </c>
      <c r="G1087" s="5"/>
      <c r="H1087" s="3" t="str">
        <f>IFERROR(__xludf.DUMMYFUNCTION("""COMPUTED_VALUE"""),"07.10.2023")</f>
        <v>07.10.2023</v>
      </c>
      <c r="I1087" s="4" t="str">
        <f>IFERROR(__xludf.DUMMYFUNCTION("""COMPUTED_VALUE"""),"סמוך למחנה רעים")</f>
        <v>סמוך למחנה רעים</v>
      </c>
      <c r="J1087" s="4" t="str">
        <f>IFERROR(__xludf.DUMMYFUNCTION("""COMPUTED_VALUE"""),"אזרחים וכיתות כוננות")</f>
        <v>אזרחים וכיתות כוננות</v>
      </c>
      <c r="K1087" s="5"/>
      <c r="L1087" s="3" t="str">
        <f>IFERROR(__xludf.DUMMYFUNCTION("""COMPUTED_VALUE"""),"Kobi Shmaya")</f>
        <v>Kobi Shmaya</v>
      </c>
      <c r="M1087" s="5"/>
    </row>
    <row r="1088">
      <c r="A1088" s="3">
        <f>IFERROR(__xludf.DUMMYFUNCTION("""COMPUTED_VALUE"""),1385.0)</f>
        <v>1385</v>
      </c>
      <c r="B1088" s="4" t="str">
        <f>IFERROR(__xludf.DUMMYFUNCTION("""COMPUTED_VALUE"""),"אבו סבילה עאמר")</f>
        <v>אבו סבילה עאמר</v>
      </c>
      <c r="C1088" s="3">
        <f>IFERROR(__xludf.DUMMYFUNCTION("""COMPUTED_VALUE"""),25.0)</f>
        <v>25</v>
      </c>
      <c r="D1088" s="5" t="str">
        <f>IFERROR(__xludf.DUMMYFUNCTION("""COMPUTED_VALUE"""),"אבו תלול")</f>
        <v>אבו תלול</v>
      </c>
      <c r="E1088" s="5" t="str">
        <f>IFERROR(__xludf.DUMMYFUNCTION("""COMPUTED_VALUE"""),"גבר")</f>
        <v>גבר</v>
      </c>
      <c r="F1088" s="5" t="str">
        <f>IFERROR(__xludf.DUMMYFUNCTION("""COMPUTED_VALUE"""),"אזרחים")</f>
        <v>אזרחים</v>
      </c>
      <c r="G1088" s="5"/>
      <c r="H1088" s="3" t="str">
        <f>IFERROR(__xludf.DUMMYFUNCTION("""COMPUTED_VALUE"""),"07.10.2023")</f>
        <v>07.10.2023</v>
      </c>
      <c r="I1088" s="4" t="str">
        <f>IFERROR(__xludf.DUMMYFUNCTION("""COMPUTED_VALUE"""),"שדרות")</f>
        <v>שדרות</v>
      </c>
      <c r="J1088" s="4" t="str">
        <f>IFERROR(__xludf.DUMMYFUNCTION("""COMPUTED_VALUE"""),"אזרחים וכיתות כוננות")</f>
        <v>אזרחים וכיתות כוננות</v>
      </c>
      <c r="K1088" s="5"/>
      <c r="L1088" s="3" t="str">
        <f>IFERROR(__xludf.DUMMYFUNCTION("""COMPUTED_VALUE"""),"Amer Abu Sabila Odeh")</f>
        <v>Amer Abu Sabila Odeh</v>
      </c>
      <c r="M1088" s="5"/>
    </row>
    <row r="1089">
      <c r="A1089" s="3">
        <f>IFERROR(__xludf.DUMMYFUNCTION("""COMPUTED_VALUE"""),208.0)</f>
        <v>208</v>
      </c>
      <c r="B1089" s="4" t="str">
        <f>IFERROR(__xludf.DUMMYFUNCTION("""COMPUTED_VALUE"""),"אברג'ל מאיר")</f>
        <v>אברג'ל מאיר</v>
      </c>
      <c r="C1089" s="3">
        <f>IFERROR(__xludf.DUMMYFUNCTION("""COMPUTED_VALUE"""),55.0)</f>
        <v>55</v>
      </c>
      <c r="D1089" s="5" t="str">
        <f>IFERROR(__xludf.DUMMYFUNCTION("""COMPUTED_VALUE"""),"שדרות")</f>
        <v>שדרות</v>
      </c>
      <c r="E1089" s="5" t="str">
        <f>IFERROR(__xludf.DUMMYFUNCTION("""COMPUTED_VALUE"""),"גבר")</f>
        <v>גבר</v>
      </c>
      <c r="F1089" s="5" t="str">
        <f>IFERROR(__xludf.DUMMYFUNCTION("""COMPUTED_VALUE"""),"משטרה")</f>
        <v>משטרה</v>
      </c>
      <c r="G1089" s="5" t="str">
        <f>IFERROR(__xludf.DUMMYFUNCTION("""COMPUTED_VALUE"""),"רנ״ג")</f>
        <v>רנ״ג</v>
      </c>
      <c r="H1089" s="3" t="str">
        <f>IFERROR(__xludf.DUMMYFUNCTION("""COMPUTED_VALUE"""),"07.10.2023")</f>
        <v>07.10.2023</v>
      </c>
      <c r="I1089" s="4" t="str">
        <f>IFERROR(__xludf.DUMMYFUNCTION("""COMPUTED_VALUE"""),"שדרות; תחנת משטרה")</f>
        <v>שדרות; תחנת משטרה</v>
      </c>
      <c r="J1089" s="4" t="str">
        <f>IFERROR(__xludf.DUMMYFUNCTION("""COMPUTED_VALUE"""),"שוטרים וכוחות הצלה")</f>
        <v>שוטרים וכוחות הצלה</v>
      </c>
      <c r="K1089" s="5"/>
      <c r="L1089" s="3" t="str">
        <f>IFERROR(__xludf.DUMMYFUNCTION("""COMPUTED_VALUE"""),"Meir Abragil")</f>
        <v>Meir Abragil</v>
      </c>
      <c r="M1089" s="5"/>
    </row>
    <row r="1090">
      <c r="A1090" s="3">
        <f>IFERROR(__xludf.DUMMYFUNCTION("""COMPUTED_VALUE"""),1135.0)</f>
        <v>1135</v>
      </c>
      <c r="B1090" s="4" t="str">
        <f>IFERROR(__xludf.DUMMYFUNCTION("""COMPUTED_VALUE"""),"בלנקי דניס")</f>
        <v>בלנקי דניס</v>
      </c>
      <c r="C1090" s="3">
        <f>IFERROR(__xludf.DUMMYFUNCTION("""COMPUTED_VALUE"""),47.0)</f>
        <v>47</v>
      </c>
      <c r="D1090" s="5" t="str">
        <f>IFERROR(__xludf.DUMMYFUNCTION("""COMPUTED_VALUE"""),"אופקים")</f>
        <v>אופקים</v>
      </c>
      <c r="E1090" s="5" t="str">
        <f>IFERROR(__xludf.DUMMYFUNCTION("""COMPUTED_VALUE"""),"גבר")</f>
        <v>גבר</v>
      </c>
      <c r="F1090" s="5" t="str">
        <f>IFERROR(__xludf.DUMMYFUNCTION("""COMPUTED_VALUE"""),"משטרה")</f>
        <v>משטרה</v>
      </c>
      <c r="G1090" s="5" t="str">
        <f>IFERROR(__xludf.DUMMYFUNCTION("""COMPUTED_VALUE"""),"רנ״ג")</f>
        <v>רנ״ג</v>
      </c>
      <c r="H1090" s="3" t="str">
        <f>IFERROR(__xludf.DUMMYFUNCTION("""COMPUTED_VALUE"""),"07.10.2023")</f>
        <v>07.10.2023</v>
      </c>
      <c r="I1090" s="4" t="str">
        <f>IFERROR(__xludf.DUMMYFUNCTION("""COMPUTED_VALUE"""),"שדרות; תחנת משטרה")</f>
        <v>שדרות; תחנת משטרה</v>
      </c>
      <c r="J1090" s="4" t="str">
        <f>IFERROR(__xludf.DUMMYFUNCTION("""COMPUTED_VALUE"""),"שוטרים וכוחות הצלה")</f>
        <v>שוטרים וכוחות הצלה</v>
      </c>
      <c r="K1090" s="5"/>
      <c r="L1090" s="3" t="str">
        <f>IFERROR(__xludf.DUMMYFUNCTION("""COMPUTED_VALUE"""),"Denis Belinki")</f>
        <v>Denis Belinki</v>
      </c>
      <c r="M1090" s="5"/>
    </row>
    <row r="1091">
      <c r="A1091" s="3">
        <f>IFERROR(__xludf.DUMMYFUNCTION("""COMPUTED_VALUE"""),1136.0)</f>
        <v>1136</v>
      </c>
      <c r="B1091" s="4" t="str">
        <f>IFERROR(__xludf.DUMMYFUNCTION("""COMPUTED_VALUE"""),"בן דיין דוד")</f>
        <v>בן דיין דוד</v>
      </c>
      <c r="C1091" s="3">
        <f>IFERROR(__xludf.DUMMYFUNCTION("""COMPUTED_VALUE"""),58.0)</f>
        <v>58</v>
      </c>
      <c r="D1091" s="5" t="str">
        <f>IFERROR(__xludf.DUMMYFUNCTION("""COMPUTED_VALUE"""),"ניר עקיבא")</f>
        <v>ניר עקיבא</v>
      </c>
      <c r="E1091" s="5" t="str">
        <f>IFERROR(__xludf.DUMMYFUNCTION("""COMPUTED_VALUE"""),"גבר")</f>
        <v>גבר</v>
      </c>
      <c r="F1091" s="5" t="str">
        <f>IFERROR(__xludf.DUMMYFUNCTION("""COMPUTED_VALUE"""),"משטרה")</f>
        <v>משטרה</v>
      </c>
      <c r="G1091" s="5" t="str">
        <f>IFERROR(__xludf.DUMMYFUNCTION("""COMPUTED_VALUE"""),"רנ״ג")</f>
        <v>רנ״ג</v>
      </c>
      <c r="H1091" s="3" t="str">
        <f>IFERROR(__xludf.DUMMYFUNCTION("""COMPUTED_VALUE"""),"07.10.2023")</f>
        <v>07.10.2023</v>
      </c>
      <c r="I1091" s="4" t="str">
        <f>IFERROR(__xludf.DUMMYFUNCTION("""COMPUTED_VALUE"""),"שדרות; תחנת משטרה")</f>
        <v>שדרות; תחנת משטרה</v>
      </c>
      <c r="J1091" s="4" t="str">
        <f>IFERROR(__xludf.DUMMYFUNCTION("""COMPUTED_VALUE"""),"שוטרים וכוחות הצלה")</f>
        <v>שוטרים וכוחות הצלה</v>
      </c>
      <c r="K1091" s="5"/>
      <c r="L1091" s="3" t="str">
        <f>IFERROR(__xludf.DUMMYFUNCTION("""COMPUTED_VALUE"""),"David Ben-Dayan")</f>
        <v>David Ben-Dayan</v>
      </c>
      <c r="M1091" s="5"/>
    </row>
    <row r="1092">
      <c r="A1092" s="3">
        <f>IFERROR(__xludf.DUMMYFUNCTION("""COMPUTED_VALUE"""),1078.0)</f>
        <v>1078</v>
      </c>
      <c r="B1092" s="4" t="str">
        <f>IFERROR(__xludf.DUMMYFUNCTION("""COMPUTED_VALUE"""),"ברוכים יוסף איתמר")</f>
        <v>ברוכים יוסף איתמר</v>
      </c>
      <c r="C1092" s="3">
        <f>IFERROR(__xludf.DUMMYFUNCTION("""COMPUTED_VALUE"""),20.0)</f>
        <v>20</v>
      </c>
      <c r="D1092" s="5" t="str">
        <f>IFERROR(__xludf.DUMMYFUNCTION("""COMPUTED_VALUE"""),"אשדוד")</f>
        <v>אשדוד</v>
      </c>
      <c r="E1092" s="5" t="str">
        <f>IFERROR(__xludf.DUMMYFUNCTION("""COMPUTED_VALUE"""),"גבר")</f>
        <v>גבר</v>
      </c>
      <c r="F1092" s="5" t="str">
        <f>IFERROR(__xludf.DUMMYFUNCTION("""COMPUTED_VALUE"""),"צה""ל")</f>
        <v>צה"ל</v>
      </c>
      <c r="G1092" s="5" t="str">
        <f>IFERROR(__xludf.DUMMYFUNCTION("""COMPUTED_VALUE"""),"סמ״ר")</f>
        <v>סמ״ר</v>
      </c>
      <c r="H1092" s="3" t="str">
        <f>IFERROR(__xludf.DUMMYFUNCTION("""COMPUTED_VALUE"""),"08.10.2023")</f>
        <v>08.10.2023</v>
      </c>
      <c r="I1092" s="4" t="str">
        <f>IFERROR(__xludf.DUMMYFUNCTION("""COMPUTED_VALUE"""),"שדרות")</f>
        <v>שדרות</v>
      </c>
      <c r="J1092" s="4" t="str">
        <f>IFERROR(__xludf.DUMMYFUNCTION("""COMPUTED_VALUE"""),"חיילים")</f>
        <v>חיילים</v>
      </c>
      <c r="K1092" s="5"/>
      <c r="L1092" s="3" t="str">
        <f>IFERROR(__xludf.DUMMYFUNCTION("""COMPUTED_VALUE"""),"Yosef Itamar-Bruchim")</f>
        <v>Yosef Itamar-Bruchim</v>
      </c>
      <c r="M1092" s="5"/>
    </row>
    <row r="1093">
      <c r="A1093" s="3">
        <f>IFERROR(__xludf.DUMMYFUNCTION("""COMPUTED_VALUE"""),1566.0)</f>
        <v>1566</v>
      </c>
      <c r="B1093" s="4" t="str">
        <f>IFERROR(__xludf.DUMMYFUNCTION("""COMPUTED_VALUE"""),"גולימה סמצאו שמואל")</f>
        <v>גולימה סמצאו שמואל</v>
      </c>
      <c r="C1093" s="3">
        <f>IFERROR(__xludf.DUMMYFUNCTION("""COMPUTED_VALUE"""),48.0)</f>
        <v>48</v>
      </c>
      <c r="D1093" s="5" t="str">
        <f>IFERROR(__xludf.DUMMYFUNCTION("""COMPUTED_VALUE"""),"קריית גת")</f>
        <v>קריית גת</v>
      </c>
      <c r="E1093" s="5" t="str">
        <f>IFERROR(__xludf.DUMMYFUNCTION("""COMPUTED_VALUE"""),"גבר")</f>
        <v>גבר</v>
      </c>
      <c r="F1093" s="5" t="str">
        <f>IFERROR(__xludf.DUMMYFUNCTION("""COMPUTED_VALUE"""),"משטרה")</f>
        <v>משטרה</v>
      </c>
      <c r="G1093" s="3" t="str">
        <f>IFERROR(__xludf.DUMMYFUNCTION("""COMPUTED_VALUE"""),"רנ״ג")</f>
        <v>רנ״ג</v>
      </c>
      <c r="H1093" s="3" t="str">
        <f>IFERROR(__xludf.DUMMYFUNCTION("""COMPUTED_VALUE"""),"07.10.2023")</f>
        <v>07.10.2023</v>
      </c>
      <c r="I1093" s="4" t="str">
        <f>IFERROR(__xludf.DUMMYFUNCTION("""COMPUTED_VALUE"""),"שדרות; תחנת משטרה")</f>
        <v>שדרות; תחנת משטרה</v>
      </c>
      <c r="J1093" s="4" t="str">
        <f>IFERROR(__xludf.DUMMYFUNCTION("""COMPUTED_VALUE"""),"שוטרים וכוחות הצלה")</f>
        <v>שוטרים וכוחות הצלה</v>
      </c>
      <c r="K1093" s="5"/>
      <c r="L1093" s="3" t="str">
        <f>IFERROR(__xludf.DUMMYFUNCTION("""COMPUTED_VALUE"""),"Shmuel Gulima")</f>
        <v>Shmuel Gulima</v>
      </c>
      <c r="M1093" s="5"/>
    </row>
    <row r="1094">
      <c r="A1094" s="3">
        <f>IFERROR(__xludf.DUMMYFUNCTION("""COMPUTED_VALUE"""),309.0)</f>
        <v>309</v>
      </c>
      <c r="B1094" s="4" t="str">
        <f>IFERROR(__xludf.DUMMYFUNCTION("""COMPUTED_VALUE"""),"גרושקה טל")</f>
        <v>גרושקה טל</v>
      </c>
      <c r="C1094" s="3">
        <f>IFERROR(__xludf.DUMMYFUNCTION("""COMPUTED_VALUE"""),25.0)</f>
        <v>25</v>
      </c>
      <c r="D1094" s="5" t="str">
        <f>IFERROR(__xludf.DUMMYFUNCTION("""COMPUTED_VALUE"""),"כפר סבא")</f>
        <v>כפר סבא</v>
      </c>
      <c r="E1094" s="5" t="str">
        <f>IFERROR(__xludf.DUMMYFUNCTION("""COMPUTED_VALUE"""),"גבר")</f>
        <v>גבר</v>
      </c>
      <c r="F1094" s="5" t="str">
        <f>IFERROR(__xludf.DUMMYFUNCTION("""COMPUTED_VALUE"""),"צה""ל")</f>
        <v>צה"ל</v>
      </c>
      <c r="G1094" s="5" t="str">
        <f>IFERROR(__xludf.DUMMYFUNCTION("""COMPUTED_VALUE"""),"רס״ן")</f>
        <v>רס״ן</v>
      </c>
      <c r="H1094" s="3" t="str">
        <f>IFERROR(__xludf.DUMMYFUNCTION("""COMPUTED_VALUE"""),"07.10.2023")</f>
        <v>07.10.2023</v>
      </c>
      <c r="I1094" s="4" t="str">
        <f>IFERROR(__xludf.DUMMYFUNCTION("""COMPUTED_VALUE"""),"כביש מפלסים - כפר עזה")</f>
        <v>כביש מפלסים - כפר עזה</v>
      </c>
      <c r="J1094" s="4" t="str">
        <f>IFERROR(__xludf.DUMMYFUNCTION("""COMPUTED_VALUE"""),"חיילים")</f>
        <v>חיילים</v>
      </c>
      <c r="K1094" s="5"/>
      <c r="L1094" s="3" t="str">
        <f>IFERROR(__xludf.DUMMYFUNCTION("""COMPUTED_VALUE"""),"Tal Grushka")</f>
        <v>Tal Grushka</v>
      </c>
      <c r="M1094" s="5"/>
    </row>
    <row r="1095">
      <c r="A1095" s="3">
        <f>IFERROR(__xludf.DUMMYFUNCTION("""COMPUTED_VALUE"""),1565.0)</f>
        <v>1565</v>
      </c>
      <c r="B1095" s="4" t="str">
        <f>IFERROR(__xludf.DUMMYFUNCTION("""COMPUTED_VALUE"""),"הרוש אליהו מיכאל")</f>
        <v>הרוש אליהו מיכאל</v>
      </c>
      <c r="C1095" s="3">
        <f>IFERROR(__xludf.DUMMYFUNCTION("""COMPUTED_VALUE"""),28.0)</f>
        <v>28</v>
      </c>
      <c r="D1095" s="5" t="str">
        <f>IFERROR(__xludf.DUMMYFUNCTION("""COMPUTED_VALUE"""),"פתח תקווה")</f>
        <v>פתח תקווה</v>
      </c>
      <c r="E1095" s="5" t="str">
        <f>IFERROR(__xludf.DUMMYFUNCTION("""COMPUTED_VALUE"""),"גבר")</f>
        <v>גבר</v>
      </c>
      <c r="F1095" s="5" t="str">
        <f>IFERROR(__xludf.DUMMYFUNCTION("""COMPUTED_VALUE"""),"משטרה")</f>
        <v>משטרה</v>
      </c>
      <c r="G1095" s="5" t="str">
        <f>IFERROR(__xludf.DUMMYFUNCTION("""COMPUTED_VALUE"""),"רס״ר")</f>
        <v>רס״ר</v>
      </c>
      <c r="H1095" s="3" t="str">
        <f>IFERROR(__xludf.DUMMYFUNCTION("""COMPUTED_VALUE"""),"07.10.2023")</f>
        <v>07.10.2023</v>
      </c>
      <c r="I1095" s="4" t="str">
        <f>IFERROR(__xludf.DUMMYFUNCTION("""COMPUTED_VALUE"""),"שדרות; תחנת משטרה")</f>
        <v>שדרות; תחנת משטרה</v>
      </c>
      <c r="J1095" s="4" t="str">
        <f>IFERROR(__xludf.DUMMYFUNCTION("""COMPUTED_VALUE"""),"שוטרים וכוחות הצלה")</f>
        <v>שוטרים וכוחות הצלה</v>
      </c>
      <c r="K1095" s="5"/>
      <c r="L1095" s="3" t="str">
        <f>IFERROR(__xludf.DUMMYFUNCTION("""COMPUTED_VALUE"""),"Eliyahu Michael Harush")</f>
        <v>Eliyahu Michael Harush</v>
      </c>
      <c r="M1095" s="5"/>
    </row>
    <row r="1096">
      <c r="A1096" s="3">
        <f>IFERROR(__xludf.DUMMYFUNCTION("""COMPUTED_VALUE"""),1633.0)</f>
        <v>1633</v>
      </c>
      <c r="B1096" s="4" t="str">
        <f>IFERROR(__xludf.DUMMYFUNCTION("""COMPUTED_VALUE"""),"מרציאנו איתי אליהו")</f>
        <v>מרציאנו איתי אליהו</v>
      </c>
      <c r="C1096" s="3">
        <f>IFERROR(__xludf.DUMMYFUNCTION("""COMPUTED_VALUE"""),20.0)</f>
        <v>20</v>
      </c>
      <c r="D1096" s="5" t="str">
        <f>IFERROR(__xludf.DUMMYFUNCTION("""COMPUTED_VALUE"""),"בית עריף")</f>
        <v>בית עריף</v>
      </c>
      <c r="E1096" s="5" t="str">
        <f>IFERROR(__xludf.DUMMYFUNCTION("""COMPUTED_VALUE"""),"גבר")</f>
        <v>גבר</v>
      </c>
      <c r="F1096" s="5" t="str">
        <f>IFERROR(__xludf.DUMMYFUNCTION("""COMPUTED_VALUE"""),"צה""ל")</f>
        <v>צה"ל</v>
      </c>
      <c r="G1096" s="5" t="str">
        <f>IFERROR(__xludf.DUMMYFUNCTION("""COMPUTED_VALUE"""),"סמ״ר")</f>
        <v>סמ״ר</v>
      </c>
      <c r="H1096" s="3" t="str">
        <f>IFERROR(__xludf.DUMMYFUNCTION("""COMPUTED_VALUE"""),"07.10.2023")</f>
        <v>07.10.2023</v>
      </c>
      <c r="I1096" s="4" t="str">
        <f>IFERROR(__xludf.DUMMYFUNCTION("""COMPUTED_VALUE"""),"יד מרדכי - נתיב העשרה; קבוצת ריצה")</f>
        <v>יד מרדכי - נתיב העשרה; קבוצת ריצה</v>
      </c>
      <c r="J1096" s="2" t="str">
        <f>IFERROR(__xludf.DUMMYFUNCTION("""COMPUTED_VALUE"""),"חיילים")</f>
        <v>חיילים</v>
      </c>
      <c r="K1096" s="5"/>
      <c r="L1096" s="3" t="str">
        <f>IFERROR(__xludf.DUMMYFUNCTION("""COMPUTED_VALUE"""),"Itay-Eliyahu Marchiano")</f>
        <v>Itay-Eliyahu Marchiano</v>
      </c>
      <c r="M1096" s="5"/>
    </row>
    <row r="1097">
      <c r="A1097" s="3">
        <f>IFERROR(__xludf.DUMMYFUNCTION("""COMPUTED_VALUE"""),1283.0)</f>
        <v>1283</v>
      </c>
      <c r="B1097" s="4" t="str">
        <f>IFERROR(__xludf.DUMMYFUNCTION("""COMPUTED_VALUE"""),"נאמן איתן מנחם")</f>
        <v>נאמן איתן מנחם</v>
      </c>
      <c r="C1097" s="3">
        <f>IFERROR(__xludf.DUMMYFUNCTION("""COMPUTED_VALUE"""),44.0)</f>
        <v>44</v>
      </c>
      <c r="D1097" s="5" t="str">
        <f>IFERROR(__xludf.DUMMYFUNCTION("""COMPUTED_VALUE"""),"טנא")</f>
        <v>טנא</v>
      </c>
      <c r="E1097" s="5" t="str">
        <f>IFERROR(__xludf.DUMMYFUNCTION("""COMPUTED_VALUE"""),"גבר")</f>
        <v>גבר</v>
      </c>
      <c r="F1097" s="5" t="str">
        <f>IFERROR(__xludf.DUMMYFUNCTION("""COMPUTED_VALUE"""),"צה""ל (מיל')")</f>
        <v>צה"ל (מיל')</v>
      </c>
      <c r="G1097" s="5" t="str">
        <f>IFERROR(__xludf.DUMMYFUNCTION("""COMPUTED_VALUE"""),"רס״ן")</f>
        <v>רס״ן</v>
      </c>
      <c r="H1097" s="3" t="str">
        <f>IFERROR(__xludf.DUMMYFUNCTION("""COMPUTED_VALUE"""),"09.10.2023")</f>
        <v>09.10.2023</v>
      </c>
      <c r="I1097" s="4" t="str">
        <f>IFERROR(__xludf.DUMMYFUNCTION("""COMPUTED_VALUE"""),"צומת שער הנגב")</f>
        <v>צומת שער הנגב</v>
      </c>
      <c r="J1097" s="2" t="str">
        <f>IFERROR(__xludf.DUMMYFUNCTION("""COMPUTED_VALUE"""),"חיילים")</f>
        <v>חיילים</v>
      </c>
      <c r="K1097" s="5"/>
      <c r="L1097" s="3" t="str">
        <f>IFERROR(__xludf.DUMMYFUNCTION("""COMPUTED_VALUE"""),"Eitan Neeman")</f>
        <v>Eitan Neeman</v>
      </c>
      <c r="M1097" s="5"/>
    </row>
    <row r="1098">
      <c r="A1098" s="3">
        <f>IFERROR(__xludf.DUMMYFUNCTION("""COMPUTED_VALUE"""),240.0)</f>
        <v>240</v>
      </c>
      <c r="B1098" s="4" t="str">
        <f>IFERROR(__xludf.DUMMYFUNCTION("""COMPUTED_VALUE"""),"נחמיאס חן")</f>
        <v>נחמיאס חן</v>
      </c>
      <c r="C1098" s="3">
        <f>IFERROR(__xludf.DUMMYFUNCTION("""COMPUTED_VALUE"""),43.0)</f>
        <v>43</v>
      </c>
      <c r="D1098" s="5" t="str">
        <f>IFERROR(__xludf.DUMMYFUNCTION("""COMPUTED_VALUE"""),"אבן יהודה")</f>
        <v>אבן יהודה</v>
      </c>
      <c r="E1098" s="5" t="str">
        <f>IFERROR(__xludf.DUMMYFUNCTION("""COMPUTED_VALUE"""),"גבר")</f>
        <v>גבר</v>
      </c>
      <c r="F1098" s="5" t="str">
        <f>IFERROR(__xludf.DUMMYFUNCTION("""COMPUTED_VALUE"""),"משטרה")</f>
        <v>משטרה</v>
      </c>
      <c r="G1098" s="5" t="str">
        <f>IFERROR(__xludf.DUMMYFUNCTION("""COMPUTED_VALUE"""),"רנ״ג")</f>
        <v>רנ״ג</v>
      </c>
      <c r="H1098" s="3" t="str">
        <f>IFERROR(__xludf.DUMMYFUNCTION("""COMPUTED_VALUE"""),"07.10.2023")</f>
        <v>07.10.2023</v>
      </c>
      <c r="I1098" s="4" t="str">
        <f>IFERROR(__xludf.DUMMYFUNCTION("""COMPUTED_VALUE"""),"שדרות")</f>
        <v>שדרות</v>
      </c>
      <c r="J1098" s="4" t="str">
        <f>IFERROR(__xludf.DUMMYFUNCTION("""COMPUTED_VALUE"""),"שוטרים וכוחות הצלה")</f>
        <v>שוטרים וכוחות הצלה</v>
      </c>
      <c r="K1098" s="5"/>
      <c r="L1098" s="3" t="str">
        <f>IFERROR(__xludf.DUMMYFUNCTION("""COMPUTED_VALUE"""),"Chen Nahmias")</f>
        <v>Chen Nahmias</v>
      </c>
      <c r="M1098" s="5"/>
    </row>
    <row r="1099">
      <c r="A1099" s="3">
        <f>IFERROR(__xludf.DUMMYFUNCTION("""COMPUTED_VALUE"""),1369.0)</f>
        <v>1369</v>
      </c>
      <c r="B1099" s="4" t="str">
        <f>IFERROR(__xludf.DUMMYFUNCTION("""COMPUTED_VALUE"""),"צבאן שלום")</f>
        <v>צבאן שלום</v>
      </c>
      <c r="C1099" s="3">
        <f>IFERROR(__xludf.DUMMYFUNCTION("""COMPUTED_VALUE"""),60.0)</f>
        <v>60</v>
      </c>
      <c r="D1099" s="5" t="str">
        <f>IFERROR(__xludf.DUMMYFUNCTION("""COMPUTED_VALUE"""),"שדרות")</f>
        <v>שדרות</v>
      </c>
      <c r="E1099" s="5" t="str">
        <f>IFERROR(__xludf.DUMMYFUNCTION("""COMPUTED_VALUE"""),"גבר")</f>
        <v>גבר</v>
      </c>
      <c r="F1099" s="5" t="str">
        <f>IFERROR(__xludf.DUMMYFUNCTION("""COMPUTED_VALUE"""),"כבאות והצלה")</f>
        <v>כבאות והצלה</v>
      </c>
      <c r="G1099" s="5" t="str">
        <f>IFERROR(__xludf.DUMMYFUNCTION("""COMPUTED_VALUE"""),"סגן טפסר")</f>
        <v>סגן טפסר</v>
      </c>
      <c r="H1099" s="3" t="str">
        <f>IFERROR(__xludf.DUMMYFUNCTION("""COMPUTED_VALUE"""),"07.10.2023")</f>
        <v>07.10.2023</v>
      </c>
      <c r="I1099" s="4" t="str">
        <f>IFERROR(__xludf.DUMMYFUNCTION("""COMPUTED_VALUE"""),"שדרות")</f>
        <v>שדרות</v>
      </c>
      <c r="J1099" s="2" t="str">
        <f>IFERROR(__xludf.DUMMYFUNCTION("""COMPUTED_VALUE"""),"שוטרים וכוחות הצלה")</f>
        <v>שוטרים וכוחות הצלה</v>
      </c>
      <c r="K1099" s="5"/>
      <c r="L1099" s="3" t="str">
        <f>IFERROR(__xludf.DUMMYFUNCTION("""COMPUTED_VALUE"""),"Shalom Tzaban")</f>
        <v>Shalom Tzaban</v>
      </c>
      <c r="M1099" s="5"/>
    </row>
    <row r="1100">
      <c r="A1100" s="3">
        <f>IFERROR(__xludf.DUMMYFUNCTION("""COMPUTED_VALUE"""),1189.0)</f>
        <v>1189</v>
      </c>
      <c r="B1100" s="4" t="str">
        <f>IFERROR(__xludf.DUMMYFUNCTION("""COMPUTED_VALUE"""),"קאדר יהודה")</f>
        <v>קאדר יהודה</v>
      </c>
      <c r="C1100" s="3">
        <f>IFERROR(__xludf.DUMMYFUNCTION("""COMPUTED_VALUE"""),50.0)</f>
        <v>50</v>
      </c>
      <c r="D1100" s="5" t="str">
        <f>IFERROR(__xludf.DUMMYFUNCTION("""COMPUTED_VALUE"""),"עין בשור")</f>
        <v>עין בשור</v>
      </c>
      <c r="E1100" s="5" t="str">
        <f>IFERROR(__xludf.DUMMYFUNCTION("""COMPUTED_VALUE"""),"גבר")</f>
        <v>גבר</v>
      </c>
      <c r="F1100" s="5" t="str">
        <f>IFERROR(__xludf.DUMMYFUNCTION("""COMPUTED_VALUE"""),"משטרה")</f>
        <v>משטרה</v>
      </c>
      <c r="G1100" s="5" t="str">
        <f>IFERROR(__xludf.DUMMYFUNCTION("""COMPUTED_VALUE"""),"רנ״ג")</f>
        <v>רנ״ג</v>
      </c>
      <c r="H1100" s="3" t="str">
        <f>IFERROR(__xludf.DUMMYFUNCTION("""COMPUTED_VALUE"""),"07.10.2023")</f>
        <v>07.10.2023</v>
      </c>
      <c r="I1100" s="4" t="str">
        <f>IFERROR(__xludf.DUMMYFUNCTION("""COMPUTED_VALUE"""),"צומת מעון")</f>
        <v>צומת מעון</v>
      </c>
      <c r="J1100" s="4" t="str">
        <f>IFERROR(__xludf.DUMMYFUNCTION("""COMPUTED_VALUE"""),"שוטרים וכוחות הצלה")</f>
        <v>שוטרים וכוחות הצלה</v>
      </c>
      <c r="K1100" s="5"/>
      <c r="L1100" s="3" t="str">
        <f>IFERROR(__xludf.DUMMYFUNCTION("""COMPUTED_VALUE"""),"Yehuda Kedar")</f>
        <v>Yehuda Kedar</v>
      </c>
      <c r="M1100" s="5"/>
    </row>
    <row r="1101">
      <c r="A1101" s="3">
        <f>IFERROR(__xludf.DUMMYFUNCTION("""COMPUTED_VALUE"""),1141.0)</f>
        <v>1141</v>
      </c>
      <c r="B1101" s="4" t="str">
        <f>IFERROR(__xludf.DUMMYFUNCTION("""COMPUTED_VALUE"""),"קוזמיצקס מרטין")</f>
        <v>קוזמיצקס מרטין</v>
      </c>
      <c r="C1101" s="3">
        <f>IFERROR(__xludf.DUMMYFUNCTION("""COMPUTED_VALUE"""),46.0)</f>
        <v>46</v>
      </c>
      <c r="D1101" s="5" t="str">
        <f>IFERROR(__xludf.DUMMYFUNCTION("""COMPUTED_VALUE"""),"שדרות")</f>
        <v>שדרות</v>
      </c>
      <c r="E1101" s="5" t="str">
        <f>IFERROR(__xludf.DUMMYFUNCTION("""COMPUTED_VALUE"""),"גבר")</f>
        <v>גבר</v>
      </c>
      <c r="F1101" s="5" t="str">
        <f>IFERROR(__xludf.DUMMYFUNCTION("""COMPUTED_VALUE"""),"משטרה")</f>
        <v>משטרה</v>
      </c>
      <c r="G1101" s="5" t="str">
        <f>IFERROR(__xludf.DUMMYFUNCTION("""COMPUTED_VALUE"""),"סנ״צ")</f>
        <v>סנ״צ</v>
      </c>
      <c r="H1101" s="3" t="str">
        <f>IFERROR(__xludf.DUMMYFUNCTION("""COMPUTED_VALUE"""),"07.10.2023")</f>
        <v>07.10.2023</v>
      </c>
      <c r="I1101" s="4" t="str">
        <f>IFERROR(__xludf.DUMMYFUNCTION("""COMPUTED_VALUE"""),"שדרות")</f>
        <v>שדרות</v>
      </c>
      <c r="J1101" s="4" t="str">
        <f>IFERROR(__xludf.DUMMYFUNCTION("""COMPUTED_VALUE"""),"שוטרים וכוחות הצלה")</f>
        <v>שוטרים וכוחות הצלה</v>
      </c>
      <c r="K1101" s="5"/>
      <c r="L1101" s="3" t="str">
        <f>IFERROR(__xludf.DUMMYFUNCTION("""COMPUTED_VALUE"""),"Martin Kuzmickas")</f>
        <v>Martin Kuzmickas</v>
      </c>
      <c r="M1101" s="5"/>
    </row>
    <row r="1102">
      <c r="A1102" s="3">
        <f>IFERROR(__xludf.DUMMYFUNCTION("""COMPUTED_VALUE"""),115.0)</f>
        <v>115</v>
      </c>
      <c r="B1102" s="4" t="str">
        <f>IFERROR(__xludf.DUMMYFUNCTION("""COMPUTED_VALUE"""),"רובינשטיין בן")</f>
        <v>רובינשטיין בן</v>
      </c>
      <c r="C1102" s="3">
        <f>IFERROR(__xludf.DUMMYFUNCTION("""COMPUTED_VALUE"""),20.0)</f>
        <v>20</v>
      </c>
      <c r="D1102" s="5" t="str">
        <f>IFERROR(__xludf.DUMMYFUNCTION("""COMPUTED_VALUE"""),"הוד השרון")</f>
        <v>הוד השרון</v>
      </c>
      <c r="E1102" s="5" t="str">
        <f>IFERROR(__xludf.DUMMYFUNCTION("""COMPUTED_VALUE"""),"גבר")</f>
        <v>גבר</v>
      </c>
      <c r="F1102" s="5" t="str">
        <f>IFERROR(__xludf.DUMMYFUNCTION("""COMPUTED_VALUE"""),"צה""ל")</f>
        <v>צה"ל</v>
      </c>
      <c r="G1102" s="5" t="str">
        <f>IFERROR(__xludf.DUMMYFUNCTION("""COMPUTED_VALUE"""),"סמ״ר")</f>
        <v>סמ״ר</v>
      </c>
      <c r="H1102" s="3" t="str">
        <f>IFERROR(__xludf.DUMMYFUNCTION("""COMPUTED_VALUE"""),"07.10.2023")</f>
        <v>07.10.2023</v>
      </c>
      <c r="I1102" s="4" t="str">
        <f>IFERROR(__xludf.DUMMYFUNCTION("""COMPUTED_VALUE"""),"שדרות")</f>
        <v>שדרות</v>
      </c>
      <c r="J1102" s="4" t="str">
        <f>IFERROR(__xludf.DUMMYFUNCTION("""COMPUTED_VALUE"""),"חיילים")</f>
        <v>חיילים</v>
      </c>
      <c r="K1102" s="5"/>
      <c r="L1102" s="3" t="str">
        <f>IFERROR(__xludf.DUMMYFUNCTION("""COMPUTED_VALUE"""),"Ben Rubinstein")</f>
        <v>Ben Rubinstein</v>
      </c>
      <c r="M1102" s="5"/>
    </row>
    <row r="1103">
      <c r="A1103" s="3">
        <f>IFERROR(__xludf.DUMMYFUNCTION("""COMPUTED_VALUE"""),1142.0)</f>
        <v>1142</v>
      </c>
      <c r="B1103" s="4" t="str">
        <f>IFERROR(__xludf.DUMMYFUNCTION("""COMPUTED_VALUE"""),"שלמה אדיר")</f>
        <v>שלמה אדיר</v>
      </c>
      <c r="C1103" s="3">
        <f>IFERROR(__xludf.DUMMYFUNCTION("""COMPUTED_VALUE"""),47.0)</f>
        <v>47</v>
      </c>
      <c r="D1103" s="5" t="str">
        <f>IFERROR(__xludf.DUMMYFUNCTION("""COMPUTED_VALUE"""),"שדרות")</f>
        <v>שדרות</v>
      </c>
      <c r="E1103" s="5" t="str">
        <f>IFERROR(__xludf.DUMMYFUNCTION("""COMPUTED_VALUE"""),"גבר")</f>
        <v>גבר</v>
      </c>
      <c r="F1103" s="5" t="str">
        <f>IFERROR(__xludf.DUMMYFUNCTION("""COMPUTED_VALUE"""),"משטרה")</f>
        <v>משטרה</v>
      </c>
      <c r="G1103" s="5" t="str">
        <f>IFERROR(__xludf.DUMMYFUNCTION("""COMPUTED_VALUE"""),"רנ״ג")</f>
        <v>רנ״ג</v>
      </c>
      <c r="H1103" s="3" t="str">
        <f>IFERROR(__xludf.DUMMYFUNCTION("""COMPUTED_VALUE"""),"07.10.2023")</f>
        <v>07.10.2023</v>
      </c>
      <c r="I1103" s="4" t="str">
        <f>IFERROR(__xludf.DUMMYFUNCTION("""COMPUTED_VALUE"""),"שדרות; תחנת משטרה")</f>
        <v>שדרות; תחנת משטרה</v>
      </c>
      <c r="J1103" s="4" t="str">
        <f>IFERROR(__xludf.DUMMYFUNCTION("""COMPUTED_VALUE"""),"שוטרים וכוחות הצלה")</f>
        <v>שוטרים וכוחות הצלה</v>
      </c>
      <c r="K1103" s="5"/>
      <c r="L1103" s="3" t="str">
        <f>IFERROR(__xludf.DUMMYFUNCTION("""COMPUTED_VALUE"""),"Adir Shlomo")</f>
        <v>Adir Shlomo</v>
      </c>
      <c r="M1103" s="5"/>
    </row>
    <row r="1104">
      <c r="A1104" s="3">
        <f>IFERROR(__xludf.DUMMYFUNCTION("""COMPUTED_VALUE"""),243.0)</f>
        <v>243</v>
      </c>
      <c r="B1104" s="4" t="str">
        <f>IFERROR(__xludf.DUMMYFUNCTION("""COMPUTED_VALUE"""),"שמקלוב אלכסיי")</f>
        <v>שמקלוב אלכסיי</v>
      </c>
      <c r="C1104" s="3">
        <f>IFERROR(__xludf.DUMMYFUNCTION("""COMPUTED_VALUE"""),34.0)</f>
        <v>34</v>
      </c>
      <c r="D1104" s="5" t="str">
        <f>IFERROR(__xludf.DUMMYFUNCTION("""COMPUTED_VALUE"""),"חיפה")</f>
        <v>חיפה</v>
      </c>
      <c r="E1104" s="5" t="str">
        <f>IFERROR(__xludf.DUMMYFUNCTION("""COMPUTED_VALUE"""),"גבר")</f>
        <v>גבר</v>
      </c>
      <c r="F1104" s="5" t="str">
        <f>IFERROR(__xludf.DUMMYFUNCTION("""COMPUTED_VALUE"""),"משטרה")</f>
        <v>משטרה</v>
      </c>
      <c r="G1104" s="5" t="str">
        <f>IFERROR(__xludf.DUMMYFUNCTION("""COMPUTED_VALUE"""),"רפ״ק")</f>
        <v>רפ״ק</v>
      </c>
      <c r="H1104" s="3" t="str">
        <f>IFERROR(__xludf.DUMMYFUNCTION("""COMPUTED_VALUE"""),"07.10.2023")</f>
        <v>07.10.2023</v>
      </c>
      <c r="I1104" s="4" t="str">
        <f>IFERROR(__xludf.DUMMYFUNCTION("""COMPUTED_VALUE"""),"שדרות; תחנת משטרה")</f>
        <v>שדרות; תחנת משטרה</v>
      </c>
      <c r="J1104" s="4" t="str">
        <f>IFERROR(__xludf.DUMMYFUNCTION("""COMPUTED_VALUE"""),"שוטרים וכוחות הצלה")</f>
        <v>שוטרים וכוחות הצלה</v>
      </c>
      <c r="K1104" s="5"/>
      <c r="L1104" s="3" t="str">
        <f>IFERROR(__xludf.DUMMYFUNCTION("""COMPUTED_VALUE"""),"Alexei Shmakalov")</f>
        <v>Alexei Shmakalov</v>
      </c>
      <c r="M1104" s="5"/>
    </row>
    <row r="1105">
      <c r="A1105" s="3">
        <f>IFERROR(__xludf.DUMMYFUNCTION("""COMPUTED_VALUE"""),1459.0)</f>
        <v>1459</v>
      </c>
      <c r="B1105" s="4" t="str">
        <f>IFERROR(__xludf.DUMMYFUNCTION("""COMPUTED_VALUE"""),"שקורי מור")</f>
        <v>שקורי מור</v>
      </c>
      <c r="C1105" s="3">
        <f>IFERROR(__xludf.DUMMYFUNCTION("""COMPUTED_VALUE"""),28.0)</f>
        <v>28</v>
      </c>
      <c r="D1105" s="5" t="str">
        <f>IFERROR(__xludf.DUMMYFUNCTION("""COMPUTED_VALUE"""),"שדרות")</f>
        <v>שדרות</v>
      </c>
      <c r="E1105" s="5" t="str">
        <f>IFERROR(__xludf.DUMMYFUNCTION("""COMPUTED_VALUE"""),"אישה")</f>
        <v>אישה</v>
      </c>
      <c r="F1105" s="5" t="str">
        <f>IFERROR(__xludf.DUMMYFUNCTION("""COMPUTED_VALUE"""),"משטרה")</f>
        <v>משטרה</v>
      </c>
      <c r="G1105" s="5" t="str">
        <f>IFERROR(__xludf.DUMMYFUNCTION("""COMPUTED_VALUE"""),"רס״מ")</f>
        <v>רס״מ</v>
      </c>
      <c r="H1105" s="3" t="str">
        <f>IFERROR(__xludf.DUMMYFUNCTION("""COMPUTED_VALUE"""),"07.10.2023")</f>
        <v>07.10.2023</v>
      </c>
      <c r="I1105" s="4" t="str">
        <f>IFERROR(__xludf.DUMMYFUNCTION("""COMPUTED_VALUE"""),"שדרות; תחנת משטרה")</f>
        <v>שדרות; תחנת משטרה</v>
      </c>
      <c r="J1105" s="4" t="str">
        <f>IFERROR(__xludf.DUMMYFUNCTION("""COMPUTED_VALUE"""),"שוטרים וכוחות הצלה")</f>
        <v>שוטרים וכוחות הצלה</v>
      </c>
      <c r="K1105" s="5"/>
      <c r="L1105" s="3" t="str">
        <f>IFERROR(__xludf.DUMMYFUNCTION("""COMPUTED_VALUE"""),"Mor Shkuri")</f>
        <v>Mor Shkuri</v>
      </c>
      <c r="M1105" s="5"/>
    </row>
    <row r="1106">
      <c r="A1106" s="3">
        <f>IFERROR(__xludf.DUMMYFUNCTION("""COMPUTED_VALUE"""),775.0)</f>
        <v>775</v>
      </c>
      <c r="B1106" s="4" t="str">
        <f>IFERROR(__xludf.DUMMYFUNCTION("""COMPUTED_VALUE"""),"אילוז גיא")</f>
        <v>אילוז גיא</v>
      </c>
      <c r="C1106" s="3">
        <f>IFERROR(__xludf.DUMMYFUNCTION("""COMPUTED_VALUE"""),26.0)</f>
        <v>26</v>
      </c>
      <c r="D1106" s="5" t="str">
        <f>IFERROR(__xludf.DUMMYFUNCTION("""COMPUTED_VALUE"""),"תל אביב")</f>
        <v>תל אביב</v>
      </c>
      <c r="E1106" s="5" t="str">
        <f>IFERROR(__xludf.DUMMYFUNCTION("""COMPUTED_VALUE"""),"גבר")</f>
        <v>גבר</v>
      </c>
      <c r="F1106" s="5" t="str">
        <f>IFERROR(__xludf.DUMMYFUNCTION("""COMPUTED_VALUE"""),"אזרחים")</f>
        <v>אזרחים</v>
      </c>
      <c r="G1106" s="5"/>
      <c r="H1106" s="3" t="str">
        <f>IFERROR(__xludf.DUMMYFUNCTION("""COMPUTED_VALUE"""),"14.10.2023")</f>
        <v>14.10.2023</v>
      </c>
      <c r="I1106" s="4" t="str">
        <f>IFERROR(__xludf.DUMMYFUNCTION("""COMPUTED_VALUE"""),"דיר אל בלח; בי""ח חללי אל אקצא")</f>
        <v>דיר אל בלח; בי"ח חללי אל אקצא</v>
      </c>
      <c r="J1106" s="4" t="str">
        <f>IFERROR(__xludf.DUMMYFUNCTION("""COMPUTED_VALUE"""),"אזרחים וכיתות כוננות")</f>
        <v>אזרחים וכיתות כוננות</v>
      </c>
      <c r="K1106" s="5" t="str">
        <f>IFERROR(__xludf.DUMMYFUNCTION("""COMPUTED_VALUE"""),"פסטיבל נובה")</f>
        <v>פסטיבל נובה</v>
      </c>
      <c r="L1106" s="3" t="str">
        <f>IFERROR(__xludf.DUMMYFUNCTION("""COMPUTED_VALUE"""),"Guy Illouz")</f>
        <v>Guy Illouz</v>
      </c>
      <c r="M1106" s="5"/>
    </row>
    <row r="1107">
      <c r="A1107" s="3">
        <f>IFERROR(__xludf.DUMMYFUNCTION("""COMPUTED_VALUE"""),1690.0)</f>
        <v>1690</v>
      </c>
      <c r="B1107" s="4" t="str">
        <f>IFERROR(__xludf.DUMMYFUNCTION("""COMPUTED_VALUE"""),"טאללקה סאמר פואד")</f>
        <v>טאללקה סאמר פואד</v>
      </c>
      <c r="C1107" s="3">
        <f>IFERROR(__xludf.DUMMYFUNCTION("""COMPUTED_VALUE"""),24.0)</f>
        <v>24</v>
      </c>
      <c r="D1107" s="5" t="str">
        <f>IFERROR(__xludf.DUMMYFUNCTION("""COMPUTED_VALUE"""),"חורה")</f>
        <v>חורה</v>
      </c>
      <c r="E1107" s="5" t="str">
        <f>IFERROR(__xludf.DUMMYFUNCTION("""COMPUTED_VALUE"""),"גבר")</f>
        <v>גבר</v>
      </c>
      <c r="F1107" s="5" t="str">
        <f>IFERROR(__xludf.DUMMYFUNCTION("""COMPUTED_VALUE"""),"אזרחים")</f>
        <v>אזרחים</v>
      </c>
      <c r="G1107" s="5"/>
      <c r="H1107" s="3" t="str">
        <f>IFERROR(__xludf.DUMMYFUNCTION("""COMPUTED_VALUE"""),"15.12.2023")</f>
        <v>15.12.2023</v>
      </c>
      <c r="I1107" s="4" t="str">
        <f>IFERROR(__xludf.DUMMYFUNCTION("""COMPUTED_VALUE"""),"ירי בשוגג בשג'אעיה")</f>
        <v>ירי בשוגג בשג'אעיה</v>
      </c>
      <c r="J1107" s="4" t="str">
        <f>IFERROR(__xludf.DUMMYFUNCTION("""COMPUTED_VALUE"""),"אזרחים וכיתות כוננות")</f>
        <v>אזרחים וכיתות כוננות</v>
      </c>
      <c r="K1107" s="5"/>
      <c r="L1107" s="3" t="str">
        <f>IFERROR(__xludf.DUMMYFUNCTION("""COMPUTED_VALUE"""),"Samar Fouad Talalka")</f>
        <v>Samar Fouad Talalka</v>
      </c>
      <c r="M1107" s="5"/>
    </row>
    <row r="1108">
      <c r="A1108" s="3">
        <f>IFERROR(__xludf.DUMMYFUNCTION("""COMPUTED_VALUE"""),543.0)</f>
        <v>543</v>
      </c>
      <c r="B1108" s="4" t="str">
        <f>IFERROR(__xludf.DUMMYFUNCTION("""COMPUTED_VALUE"""),"אנגל רונן")</f>
        <v>אנגל רונן</v>
      </c>
      <c r="C1108" s="3">
        <f>IFERROR(__xludf.DUMMYFUNCTION("""COMPUTED_VALUE"""),54.0)</f>
        <v>54</v>
      </c>
      <c r="D1108" s="5" t="str">
        <f>IFERROR(__xludf.DUMMYFUNCTION("""COMPUTED_VALUE"""),"ניר עוז")</f>
        <v>ניר עוז</v>
      </c>
      <c r="E1108" s="5" t="str">
        <f>IFERROR(__xludf.DUMMYFUNCTION("""COMPUTED_VALUE"""),"גבר")</f>
        <v>גבר</v>
      </c>
      <c r="F1108" s="5" t="str">
        <f>IFERROR(__xludf.DUMMYFUNCTION("""COMPUTED_VALUE"""),"אזרחים")</f>
        <v>אזרחים</v>
      </c>
      <c r="G1108" s="5"/>
      <c r="H1108" s="3" t="str">
        <f>IFERROR(__xludf.DUMMYFUNCTION("""COMPUTED_VALUE"""),"07.10.2023")</f>
        <v>07.10.2023</v>
      </c>
      <c r="I1108" s="4" t="str">
        <f>IFERROR(__xludf.DUMMYFUNCTION("""COMPUTED_VALUE"""),"ניר עוז")</f>
        <v>ניר עוז</v>
      </c>
      <c r="J1108" s="4" t="str">
        <f>IFERROR(__xludf.DUMMYFUNCTION("""COMPUTED_VALUE"""),"אזרחים וכיתות כוננות")</f>
        <v>אזרחים וכיתות כוננות</v>
      </c>
      <c r="K1108" s="5"/>
      <c r="L1108" s="3" t="str">
        <f>IFERROR(__xludf.DUMMYFUNCTION("""COMPUTED_VALUE"""),"Ronen Engel")</f>
        <v>Ronen Engel</v>
      </c>
      <c r="M1108" s="5"/>
    </row>
    <row r="1109">
      <c r="A1109" s="3">
        <f>IFERROR(__xludf.DUMMYFUNCTION("""COMPUTED_VALUE"""),192.0)</f>
        <v>192</v>
      </c>
      <c r="B1109" s="4" t="str">
        <f>IFERROR(__xludf.DUMMYFUNCTION("""COMPUTED_VALUE"""),"בייזר ניק")</f>
        <v>בייזר ניק</v>
      </c>
      <c r="C1109" s="3">
        <f>IFERROR(__xludf.DUMMYFUNCTION("""COMPUTED_VALUE"""),19.0)</f>
        <v>19</v>
      </c>
      <c r="D1109" s="5" t="str">
        <f>IFERROR(__xludf.DUMMYFUNCTION("""COMPUTED_VALUE"""),"באר שבע")</f>
        <v>באר שבע</v>
      </c>
      <c r="E1109" s="5" t="str">
        <f>IFERROR(__xludf.DUMMYFUNCTION("""COMPUTED_VALUE"""),"גבר")</f>
        <v>גבר</v>
      </c>
      <c r="F1109" s="5" t="str">
        <f>IFERROR(__xludf.DUMMYFUNCTION("""COMPUTED_VALUE"""),"צה""ל")</f>
        <v>צה"ל</v>
      </c>
      <c r="G1109" s="5" t="str">
        <f>IFERROR(__xludf.DUMMYFUNCTION("""COMPUTED_VALUE"""),"רב״ט")</f>
        <v>רב״ט</v>
      </c>
      <c r="H1109" s="3" t="str">
        <f>IFERROR(__xludf.DUMMYFUNCTION("""COMPUTED_VALUE"""),"10.11.2023")</f>
        <v>10.11.2023</v>
      </c>
      <c r="I1109" s="4" t="str">
        <f>IFERROR(__xludf.DUMMYFUNCTION("""COMPUTED_VALUE"""),"ג'באליה")</f>
        <v>ג'באליה</v>
      </c>
      <c r="J1109" s="4" t="str">
        <f>IFERROR(__xludf.DUMMYFUNCTION("""COMPUTED_VALUE"""),"חיילים")</f>
        <v>חיילים</v>
      </c>
      <c r="K1109" s="5"/>
      <c r="L1109" s="3" t="str">
        <f>IFERROR(__xludf.DUMMYFUNCTION("""COMPUTED_VALUE"""),"Nik Beizer")</f>
        <v>Nik Beizer</v>
      </c>
      <c r="M1109" s="5"/>
    </row>
    <row r="1110">
      <c r="A1110" s="3">
        <f>IFERROR(__xludf.DUMMYFUNCTION("""COMPUTED_VALUE"""),1452.0)</f>
        <v>1452</v>
      </c>
      <c r="B1110" s="4" t="str">
        <f>IFERROR(__xludf.DUMMYFUNCTION("""COMPUTED_VALUE"""),"ברוך סהר")</f>
        <v>ברוך סהר</v>
      </c>
      <c r="C1110" s="3">
        <f>IFERROR(__xludf.DUMMYFUNCTION("""COMPUTED_VALUE"""),25.0)</f>
        <v>25</v>
      </c>
      <c r="D1110" s="5" t="str">
        <f>IFERROR(__xludf.DUMMYFUNCTION("""COMPUTED_VALUE"""),"בארי")</f>
        <v>בארי</v>
      </c>
      <c r="E1110" s="5" t="str">
        <f>IFERROR(__xludf.DUMMYFUNCTION("""COMPUTED_VALUE"""),"גבר")</f>
        <v>גבר</v>
      </c>
      <c r="F1110" s="5" t="str">
        <f>IFERROR(__xludf.DUMMYFUNCTION("""COMPUTED_VALUE"""),"אזרחים")</f>
        <v>אזרחים</v>
      </c>
      <c r="G1110" s="5"/>
      <c r="H1110" s="3" t="str">
        <f>IFERROR(__xludf.DUMMYFUNCTION("""COMPUTED_VALUE"""),"08.12.2023")</f>
        <v>08.12.2023</v>
      </c>
      <c r="I1110" s="4" t="str">
        <f>IFERROR(__xludf.DUMMYFUNCTION("""COMPUTED_VALUE"""),"רצועת עזה")</f>
        <v>רצועת עזה</v>
      </c>
      <c r="J1110" s="4" t="str">
        <f>IFERROR(__xludf.DUMMYFUNCTION("""COMPUTED_VALUE"""),"אזרחים וכיתות כוננות")</f>
        <v>אזרחים וכיתות כוננות</v>
      </c>
      <c r="K1110" s="5"/>
      <c r="L1110" s="3" t="str">
        <f>IFERROR(__xludf.DUMMYFUNCTION("""COMPUTED_VALUE"""),"Sahar Baruch")</f>
        <v>Sahar Baruch</v>
      </c>
      <c r="M1110" s="5"/>
    </row>
    <row r="1111">
      <c r="A1111" s="3">
        <f>IFERROR(__xludf.DUMMYFUNCTION("""COMPUTED_VALUE"""),569.0)</f>
        <v>569</v>
      </c>
      <c r="B1111" s="4" t="str">
        <f>IFERROR(__xludf.DUMMYFUNCTION("""COMPUTED_VALUE"""),"גורן מיה")</f>
        <v>גורן מיה</v>
      </c>
      <c r="C1111" s="3">
        <f>IFERROR(__xludf.DUMMYFUNCTION("""COMPUTED_VALUE"""),56.0)</f>
        <v>56</v>
      </c>
      <c r="D1111" s="5" t="str">
        <f>IFERROR(__xludf.DUMMYFUNCTION("""COMPUTED_VALUE"""),"ניר עוז")</f>
        <v>ניר עוז</v>
      </c>
      <c r="E1111" s="5" t="str">
        <f>IFERROR(__xludf.DUMMYFUNCTION("""COMPUTED_VALUE"""),"אישה")</f>
        <v>אישה</v>
      </c>
      <c r="F1111" s="5" t="str">
        <f>IFERROR(__xludf.DUMMYFUNCTION("""COMPUTED_VALUE"""),"אזרחים")</f>
        <v>אזרחים</v>
      </c>
      <c r="G1111" s="5"/>
      <c r="H1111" s="3" t="str">
        <f>IFERROR(__xludf.DUMMYFUNCTION("""COMPUTED_VALUE"""),"07.10.2023")</f>
        <v>07.10.2023</v>
      </c>
      <c r="I1111" s="4" t="str">
        <f>IFERROR(__xludf.DUMMYFUNCTION("""COMPUTED_VALUE"""),"ניר עוז")</f>
        <v>ניר עוז</v>
      </c>
      <c r="J1111" s="4" t="str">
        <f>IFERROR(__xludf.DUMMYFUNCTION("""COMPUTED_VALUE"""),"אזרחים וכיתות כוננות")</f>
        <v>אזרחים וכיתות כוננות</v>
      </c>
      <c r="K1111" s="5"/>
      <c r="L1111" s="3" t="str">
        <f>IFERROR(__xludf.DUMMYFUNCTION("""COMPUTED_VALUE"""),"Maya Goren")</f>
        <v>Maya Goren</v>
      </c>
      <c r="M1111" s="5"/>
    </row>
    <row r="1112">
      <c r="A1112" s="3">
        <f>IFERROR(__xludf.DUMMYFUNCTION("""COMPUTED_VALUE"""),183.0)</f>
        <v>183</v>
      </c>
      <c r="B1112" s="4" t="str">
        <f>IFERROR(__xludf.DUMMYFUNCTION("""COMPUTED_VALUE"""),"וייס יהודית")</f>
        <v>וייס יהודית</v>
      </c>
      <c r="C1112" s="3">
        <f>IFERROR(__xludf.DUMMYFUNCTION("""COMPUTED_VALUE"""),64.0)</f>
        <v>64</v>
      </c>
      <c r="D1112" s="5" t="str">
        <f>IFERROR(__xludf.DUMMYFUNCTION("""COMPUTED_VALUE"""),"בארי")</f>
        <v>בארי</v>
      </c>
      <c r="E1112" s="5" t="str">
        <f>IFERROR(__xludf.DUMMYFUNCTION("""COMPUTED_VALUE"""),"אישה")</f>
        <v>אישה</v>
      </c>
      <c r="F1112" s="5" t="str">
        <f>IFERROR(__xludf.DUMMYFUNCTION("""COMPUTED_VALUE"""),"אזרחים")</f>
        <v>אזרחים</v>
      </c>
      <c r="G1112" s="3"/>
      <c r="H1112" s="3" t="str">
        <f>IFERROR(__xludf.DUMMYFUNCTION("""COMPUTED_VALUE"""),"07.10.2023")</f>
        <v>07.10.2023</v>
      </c>
      <c r="I1112" s="4" t="str">
        <f>IFERROR(__xludf.DUMMYFUNCTION("""COMPUTED_VALUE"""),"עזה; מבנה סמוך לביה""ח שיפא")</f>
        <v>עזה; מבנה סמוך לביה"ח שיפא</v>
      </c>
      <c r="J1112" s="4" t="str">
        <f>IFERROR(__xludf.DUMMYFUNCTION("""COMPUTED_VALUE"""),"אזרחים וכיתות כוננות")</f>
        <v>אזרחים וכיתות כוננות</v>
      </c>
      <c r="K1112" s="5"/>
      <c r="L1112" s="3" t="str">
        <f>IFERROR(__xludf.DUMMYFUNCTION("""COMPUTED_VALUE"""),"Judith Weiss")</f>
        <v>Judith Weiss</v>
      </c>
      <c r="M1112" s="5"/>
    </row>
    <row r="1113">
      <c r="A1113" s="3">
        <f>IFERROR(__xludf.DUMMYFUNCTION("""COMPUTED_VALUE"""),968.0)</f>
        <v>968</v>
      </c>
      <c r="B1113" s="4" t="str">
        <f>IFERROR(__xludf.DUMMYFUNCTION("""COMPUTED_VALUE"""),"זכריה עדן")</f>
        <v>זכריה עדן</v>
      </c>
      <c r="C1113" s="3">
        <f>IFERROR(__xludf.DUMMYFUNCTION("""COMPUTED_VALUE"""),28.0)</f>
        <v>28</v>
      </c>
      <c r="D1113" s="5" t="str">
        <f>IFERROR(__xludf.DUMMYFUNCTION("""COMPUTED_VALUE"""),"ראשון לציון")</f>
        <v>ראשון לציון</v>
      </c>
      <c r="E1113" s="5" t="str">
        <f>IFERROR(__xludf.DUMMYFUNCTION("""COMPUTED_VALUE"""),"אישה")</f>
        <v>אישה</v>
      </c>
      <c r="F1113" s="5" t="str">
        <f>IFERROR(__xludf.DUMMYFUNCTION("""COMPUTED_VALUE"""),"אזרחים")</f>
        <v>אזרחים</v>
      </c>
      <c r="G1113" s="3"/>
      <c r="H1113" s="3" t="str">
        <f>IFERROR(__xludf.DUMMYFUNCTION("""COMPUTED_VALUE"""),"07.10.2023")</f>
        <v>07.10.2023</v>
      </c>
      <c r="I1113" s="4" t="str">
        <f>IFERROR(__xludf.DUMMYFUNCTION("""COMPUTED_VALUE"""),"סמוך למפלסים")</f>
        <v>סמוך למפלסים</v>
      </c>
      <c r="J1113" s="4" t="str">
        <f>IFERROR(__xludf.DUMMYFUNCTION("""COMPUTED_VALUE"""),"אזרחים וכיתות כוננות")</f>
        <v>אזרחים וכיתות כוננות</v>
      </c>
      <c r="K1113" s="5" t="str">
        <f>IFERROR(__xludf.DUMMYFUNCTION("""COMPUTED_VALUE"""),"פסטיבל נובה")</f>
        <v>פסטיבל נובה</v>
      </c>
      <c r="L1113" s="3" t="str">
        <f>IFERROR(__xludf.DUMMYFUNCTION("""COMPUTED_VALUE"""),"Eden Zecharya")</f>
        <v>Eden Zecharya</v>
      </c>
      <c r="M1113" s="5"/>
    </row>
    <row r="1114">
      <c r="A1114" s="3">
        <f>IFERROR(__xludf.DUMMYFUNCTION("""COMPUTED_VALUE"""),648.0)</f>
        <v>648</v>
      </c>
      <c r="B1114" s="4" t="str">
        <f>IFERROR(__xludf.DUMMYFUNCTION("""COMPUTED_VALUE"""),"זלמנוביץ' אריה")</f>
        <v>זלמנוביץ' אריה</v>
      </c>
      <c r="C1114" s="3">
        <f>IFERROR(__xludf.DUMMYFUNCTION("""COMPUTED_VALUE"""),86.0)</f>
        <v>86</v>
      </c>
      <c r="D1114" s="5" t="str">
        <f>IFERROR(__xludf.DUMMYFUNCTION("""COMPUTED_VALUE"""),"ניר עוז")</f>
        <v>ניר עוז</v>
      </c>
      <c r="E1114" s="5" t="str">
        <f>IFERROR(__xludf.DUMMYFUNCTION("""COMPUTED_VALUE"""),"גבר")</f>
        <v>גבר</v>
      </c>
      <c r="F1114" s="5" t="str">
        <f>IFERROR(__xludf.DUMMYFUNCTION("""COMPUTED_VALUE"""),"אזרחים")</f>
        <v>אזרחים</v>
      </c>
      <c r="G1114" s="5"/>
      <c r="H1114" s="3" t="str">
        <f>IFERROR(__xludf.DUMMYFUNCTION("""COMPUTED_VALUE"""),"17.11.2023")</f>
        <v>17.11.2023</v>
      </c>
      <c r="I1114" s="4" t="str">
        <f>IFERROR(__xludf.DUMMYFUNCTION("""COMPUTED_VALUE"""),"חאן יונס; ביה""ח נאצר")</f>
        <v>חאן יונס; ביה"ח נאצר</v>
      </c>
      <c r="J1114" s="4" t="str">
        <f>IFERROR(__xludf.DUMMYFUNCTION("""COMPUTED_VALUE"""),"אזרחים וכיתות כוננות")</f>
        <v>אזרחים וכיתות כוננות</v>
      </c>
      <c r="K1114" s="5"/>
      <c r="L1114" s="3" t="str">
        <f>IFERROR(__xludf.DUMMYFUNCTION("""COMPUTED_VALUE"""),"Arye Zalmanovich")</f>
        <v>Arye Zalmanovich</v>
      </c>
      <c r="M1114" s="5"/>
    </row>
    <row r="1115">
      <c r="A1115" s="3">
        <f>IFERROR(__xludf.DUMMYFUNCTION("""COMPUTED_VALUE"""),310.0)</f>
        <v>310</v>
      </c>
      <c r="B1115" s="4" t="str">
        <f>IFERROR(__xludf.DUMMYFUNCTION("""COMPUTED_VALUE"""),"חיים יותם")</f>
        <v>חיים יותם</v>
      </c>
      <c r="C1115" s="3">
        <f>IFERROR(__xludf.DUMMYFUNCTION("""COMPUTED_VALUE"""),28.0)</f>
        <v>28</v>
      </c>
      <c r="D1115" s="5" t="str">
        <f>IFERROR(__xludf.DUMMYFUNCTION("""COMPUTED_VALUE"""),"כפר עזה")</f>
        <v>כפר עזה</v>
      </c>
      <c r="E1115" s="5" t="str">
        <f>IFERROR(__xludf.DUMMYFUNCTION("""COMPUTED_VALUE"""),"גבר")</f>
        <v>גבר</v>
      </c>
      <c r="F1115" s="5" t="str">
        <f>IFERROR(__xludf.DUMMYFUNCTION("""COMPUTED_VALUE"""),"אזרחים")</f>
        <v>אזרחים</v>
      </c>
      <c r="G1115" s="5"/>
      <c r="H1115" s="3" t="str">
        <f>IFERROR(__xludf.DUMMYFUNCTION("""COMPUTED_VALUE"""),"15.12.2023")</f>
        <v>15.12.2023</v>
      </c>
      <c r="I1115" s="4" t="str">
        <f>IFERROR(__xludf.DUMMYFUNCTION("""COMPUTED_VALUE"""),"ירי בשוגג בשג'אעיה")</f>
        <v>ירי בשוגג בשג'אעיה</v>
      </c>
      <c r="J1115" s="4" t="str">
        <f>IFERROR(__xludf.DUMMYFUNCTION("""COMPUTED_VALUE"""),"אזרחים וכיתות כוננות")</f>
        <v>אזרחים וכיתות כוננות</v>
      </c>
      <c r="K1115" s="5"/>
      <c r="L1115" s="3" t="str">
        <f>IFERROR(__xludf.DUMMYFUNCTION("""COMPUTED_VALUE"""),"Yotam Haim")</f>
        <v>Yotam Haim</v>
      </c>
      <c r="M1115" s="5"/>
    </row>
    <row r="1116">
      <c r="A1116" s="3">
        <f>IFERROR(__xludf.DUMMYFUNCTION("""COMPUTED_VALUE"""),878.0)</f>
        <v>878</v>
      </c>
      <c r="B1116" s="4" t="str">
        <f>IFERROR(__xludf.DUMMYFUNCTION("""COMPUTED_VALUE"""),"טולדנו אליה")</f>
        <v>טולדנו אליה</v>
      </c>
      <c r="C1116" s="3">
        <f>IFERROR(__xludf.DUMMYFUNCTION("""COMPUTED_VALUE"""),28.0)</f>
        <v>28</v>
      </c>
      <c r="D1116" s="5" t="str">
        <f>IFERROR(__xludf.DUMMYFUNCTION("""COMPUTED_VALUE"""),"תל אביב")</f>
        <v>תל אביב</v>
      </c>
      <c r="E1116" s="5" t="str">
        <f>IFERROR(__xludf.DUMMYFUNCTION("""COMPUTED_VALUE"""),"גבר")</f>
        <v>גבר</v>
      </c>
      <c r="F1116" s="5" t="str">
        <f>IFERROR(__xludf.DUMMYFUNCTION("""COMPUTED_VALUE"""),"אזרחים")</f>
        <v>אזרחים</v>
      </c>
      <c r="G1116" s="3"/>
      <c r="H1116" s="3" t="str">
        <f>IFERROR(__xludf.DUMMYFUNCTION("""COMPUTED_VALUE"""),"10.11.2023")</f>
        <v>10.11.2023</v>
      </c>
      <c r="I1116" s="4" t="str">
        <f>IFERROR(__xludf.DUMMYFUNCTION("""COMPUTED_VALUE"""),"ג'באליה")</f>
        <v>ג'באליה</v>
      </c>
      <c r="J1116" s="4" t="str">
        <f>IFERROR(__xludf.DUMMYFUNCTION("""COMPUTED_VALUE"""),"אזרחים וכיתות כוננות")</f>
        <v>אזרחים וכיתות כוננות</v>
      </c>
      <c r="K1116" s="5" t="str">
        <f>IFERROR(__xludf.DUMMYFUNCTION("""COMPUTED_VALUE"""),"פסטיבל נובה")</f>
        <v>פסטיבל נובה</v>
      </c>
      <c r="L1116" s="3" t="str">
        <f>IFERROR(__xludf.DUMMYFUNCTION("""COMPUTED_VALUE"""),"Elia Toledano")</f>
        <v>Elia Toledano</v>
      </c>
      <c r="M1116" s="5"/>
    </row>
    <row r="1117">
      <c r="A1117" s="3">
        <f>IFERROR(__xludf.DUMMYFUNCTION("""COMPUTED_VALUE"""),98.0)</f>
        <v>98</v>
      </c>
      <c r="B1117" s="4" t="str">
        <f>IFERROR(__xludf.DUMMYFUNCTION("""COMPUTED_VALUE"""),"לוי איתן")</f>
        <v>לוי איתן</v>
      </c>
      <c r="C1117" s="3">
        <f>IFERROR(__xludf.DUMMYFUNCTION("""COMPUTED_VALUE"""),53.0)</f>
        <v>53</v>
      </c>
      <c r="D1117" s="5" t="str">
        <f>IFERROR(__xludf.DUMMYFUNCTION("""COMPUTED_VALUE"""),"בת ים")</f>
        <v>בת ים</v>
      </c>
      <c r="E1117" s="5" t="str">
        <f>IFERROR(__xludf.DUMMYFUNCTION("""COMPUTED_VALUE"""),"גבר")</f>
        <v>גבר</v>
      </c>
      <c r="F1117" s="5" t="str">
        <f>IFERROR(__xludf.DUMMYFUNCTION("""COMPUTED_VALUE"""),"אזרחים")</f>
        <v>אזרחים</v>
      </c>
      <c r="G1117" s="3"/>
      <c r="H1117" s="3" t="str">
        <f>IFERROR(__xludf.DUMMYFUNCTION("""COMPUTED_VALUE"""),"07.10.2023")</f>
        <v>07.10.2023</v>
      </c>
      <c r="I1117" s="4" t="str">
        <f>IFERROR(__xludf.DUMMYFUNCTION("""COMPUTED_VALUE"""),"אנדרטת חץ שחור")</f>
        <v>אנדרטת חץ שחור</v>
      </c>
      <c r="J1117" s="4" t="str">
        <f>IFERROR(__xludf.DUMMYFUNCTION("""COMPUTED_VALUE"""),"אזרחים וכיתות כוננות")</f>
        <v>אזרחים וכיתות כוננות</v>
      </c>
      <c r="K1117" s="5"/>
      <c r="L1117" s="3" t="str">
        <f>IFERROR(__xludf.DUMMYFUNCTION("""COMPUTED_VALUE"""),"Eitan Levy")</f>
        <v>Eitan Levy</v>
      </c>
      <c r="M1117" s="5"/>
    </row>
    <row r="1118">
      <c r="A1118" s="3">
        <f>IFERROR(__xludf.DUMMYFUNCTION("""COMPUTED_VALUE"""),801.0)</f>
        <v>801</v>
      </c>
      <c r="B1118" s="4" t="str">
        <f>IFERROR(__xludf.DUMMYFUNCTION("""COMPUTED_VALUE"""),"לוק שני ניקול")</f>
        <v>לוק שני ניקול</v>
      </c>
      <c r="C1118" s="3">
        <f>IFERROR(__xludf.DUMMYFUNCTION("""COMPUTED_VALUE"""),23.0)</f>
        <v>23</v>
      </c>
      <c r="D1118" s="5" t="str">
        <f>IFERROR(__xludf.DUMMYFUNCTION("""COMPUTED_VALUE"""),"שריגים")</f>
        <v>שריגים</v>
      </c>
      <c r="E1118" s="5" t="str">
        <f>IFERROR(__xludf.DUMMYFUNCTION("""COMPUTED_VALUE"""),"אישה")</f>
        <v>אישה</v>
      </c>
      <c r="F1118" s="5" t="str">
        <f>IFERROR(__xludf.DUMMYFUNCTION("""COMPUTED_VALUE"""),"אזרחים")</f>
        <v>אזרחים</v>
      </c>
      <c r="G1118" s="3"/>
      <c r="H1118" s="3" t="str">
        <f>IFERROR(__xludf.DUMMYFUNCTION("""COMPUTED_VALUE"""),"07.10.2023")</f>
        <v>07.10.2023</v>
      </c>
      <c r="I1118" s="4" t="str">
        <f>IFERROR(__xludf.DUMMYFUNCTION("""COMPUTED_VALUE"""),"סמוך למפלסים")</f>
        <v>סמוך למפלסים</v>
      </c>
      <c r="J1118" s="4" t="str">
        <f>IFERROR(__xludf.DUMMYFUNCTION("""COMPUTED_VALUE"""),"אזרחים וכיתות כוננות")</f>
        <v>אזרחים וכיתות כוננות</v>
      </c>
      <c r="K1118" s="5" t="str">
        <f>IFERROR(__xludf.DUMMYFUNCTION("""COMPUTED_VALUE"""),"פסטיבל נובה")</f>
        <v>פסטיבל נובה</v>
      </c>
      <c r="L1118" s="3" t="str">
        <f>IFERROR(__xludf.DUMMYFUNCTION("""COMPUTED_VALUE"""),"Shani Louk")</f>
        <v>Shani Louk</v>
      </c>
      <c r="M1118" s="5"/>
    </row>
    <row r="1119">
      <c r="A1119" s="3">
        <f>IFERROR(__xludf.DUMMYFUNCTION("""COMPUTED_VALUE"""),565.0)</f>
        <v>565</v>
      </c>
      <c r="B1119" s="4" t="str">
        <f>IFERROR(__xludf.DUMMYFUNCTION("""COMPUTED_VALUE"""),"מרגלית אליהו (צ'רצ'יל)")</f>
        <v>מרגלית אליהו (צ'רצ'יל)</v>
      </c>
      <c r="C1119" s="3">
        <f>IFERROR(__xludf.DUMMYFUNCTION("""COMPUTED_VALUE"""),75.0)</f>
        <v>75</v>
      </c>
      <c r="D1119" s="5" t="str">
        <f>IFERROR(__xludf.DUMMYFUNCTION("""COMPUTED_VALUE"""),"ניר עוז")</f>
        <v>ניר עוז</v>
      </c>
      <c r="E1119" s="5" t="str">
        <f>IFERROR(__xludf.DUMMYFUNCTION("""COMPUTED_VALUE"""),"גבר")</f>
        <v>גבר</v>
      </c>
      <c r="F1119" s="5" t="str">
        <f>IFERROR(__xludf.DUMMYFUNCTION("""COMPUTED_VALUE"""),"אזרחים")</f>
        <v>אזרחים</v>
      </c>
      <c r="G1119" s="3"/>
      <c r="H1119" s="3" t="str">
        <f>IFERROR(__xludf.DUMMYFUNCTION("""COMPUTED_VALUE"""),"07.10.2023")</f>
        <v>07.10.2023</v>
      </c>
      <c r="I1119" s="4" t="str">
        <f>IFERROR(__xludf.DUMMYFUNCTION("""COMPUTED_VALUE"""),"ניר עוז")</f>
        <v>ניר עוז</v>
      </c>
      <c r="J1119" s="4" t="str">
        <f>IFERROR(__xludf.DUMMYFUNCTION("""COMPUTED_VALUE"""),"אזרחים וכיתות כוננות")</f>
        <v>אזרחים וכיתות כוננות</v>
      </c>
      <c r="K1119" s="5"/>
      <c r="L1119" s="3" t="str">
        <f>IFERROR(__xludf.DUMMYFUNCTION("""COMPUTED_VALUE"""),"Eliyahu Margalit")</f>
        <v>Eliyahu Margalit</v>
      </c>
      <c r="M1119" s="5"/>
    </row>
    <row r="1120">
      <c r="A1120" s="3">
        <f>IFERROR(__xludf.DUMMYFUNCTION("""COMPUTED_VALUE"""),482.0)</f>
        <v>482</v>
      </c>
      <c r="B1120" s="4" t="str">
        <f>IFERROR(__xludf.DUMMYFUNCTION("""COMPUTED_VALUE"""),"מרציאנו נועה")</f>
        <v>מרציאנו נועה</v>
      </c>
      <c r="C1120" s="3">
        <f>IFERROR(__xludf.DUMMYFUNCTION("""COMPUTED_VALUE"""),19.0)</f>
        <v>19</v>
      </c>
      <c r="D1120" s="5" t="str">
        <f>IFERROR(__xludf.DUMMYFUNCTION("""COMPUTED_VALUE"""),"מודיעין מכבים רעות")</f>
        <v>מודיעין מכבים רעות</v>
      </c>
      <c r="E1120" s="5" t="str">
        <f>IFERROR(__xludf.DUMMYFUNCTION("""COMPUTED_VALUE"""),"אישה")</f>
        <v>אישה</v>
      </c>
      <c r="F1120" s="5" t="str">
        <f>IFERROR(__xludf.DUMMYFUNCTION("""COMPUTED_VALUE"""),"צה""ל")</f>
        <v>צה"ל</v>
      </c>
      <c r="G1120" s="3" t="str">
        <f>IFERROR(__xludf.DUMMYFUNCTION("""COMPUTED_VALUE"""),"רב״ט")</f>
        <v>רב״ט</v>
      </c>
      <c r="H1120" s="3" t="str">
        <f>IFERROR(__xludf.DUMMYFUNCTION("""COMPUTED_VALUE"""),"09.11.2023")</f>
        <v>09.11.2023</v>
      </c>
      <c r="I1120" s="4" t="str">
        <f>IFERROR(__xludf.DUMMYFUNCTION("""COMPUTED_VALUE"""),"עזה; ביה""ח שיפא")</f>
        <v>עזה; ביה"ח שיפא</v>
      </c>
      <c r="J1120" s="4" t="str">
        <f>IFERROR(__xludf.DUMMYFUNCTION("""COMPUTED_VALUE"""),"חיילים")</f>
        <v>חיילים</v>
      </c>
      <c r="K1120" s="5"/>
      <c r="L1120" s="3" t="str">
        <f>IFERROR(__xludf.DUMMYFUNCTION("""COMPUTED_VALUE"""),"Noa Marciano")</f>
        <v>Noa Marciano</v>
      </c>
      <c r="M1120" s="5"/>
    </row>
    <row r="1121">
      <c r="A1121" s="3">
        <f>IFERROR(__xludf.DUMMYFUNCTION("""COMPUTED_VALUE"""),1326.0)</f>
        <v>1326</v>
      </c>
      <c r="B1121" s="4" t="str">
        <f>IFERROR(__xludf.DUMMYFUNCTION("""COMPUTED_VALUE"""),"סמרנו יונתן מרדכי")</f>
        <v>סמרנו יונתן מרדכי</v>
      </c>
      <c r="C1121" s="3">
        <f>IFERROR(__xludf.DUMMYFUNCTION("""COMPUTED_VALUE"""),21.0)</f>
        <v>21</v>
      </c>
      <c r="D1121" s="5" t="str">
        <f>IFERROR(__xludf.DUMMYFUNCTION("""COMPUTED_VALUE"""),"תל אביב")</f>
        <v>תל אביב</v>
      </c>
      <c r="E1121" s="5" t="str">
        <f>IFERROR(__xludf.DUMMYFUNCTION("""COMPUTED_VALUE"""),"גבר")</f>
        <v>גבר</v>
      </c>
      <c r="F1121" s="5" t="str">
        <f>IFERROR(__xludf.DUMMYFUNCTION("""COMPUTED_VALUE"""),"אזרחים")</f>
        <v>אזרחים</v>
      </c>
      <c r="G1121" s="3"/>
      <c r="H1121" s="3" t="str">
        <f>IFERROR(__xludf.DUMMYFUNCTION("""COMPUTED_VALUE"""),"07.10.2023")</f>
        <v>07.10.2023</v>
      </c>
      <c r="I1121" s="4" t="str">
        <f>IFERROR(__xludf.DUMMYFUNCTION("""COMPUTED_VALUE"""),"בארי")</f>
        <v>בארי</v>
      </c>
      <c r="J1121" s="4" t="str">
        <f>IFERROR(__xludf.DUMMYFUNCTION("""COMPUTED_VALUE"""),"אזרחים וכיתות כוננות")</f>
        <v>אזרחים וכיתות כוננות</v>
      </c>
      <c r="K1121" s="5" t="str">
        <f>IFERROR(__xludf.DUMMYFUNCTION("""COMPUTED_VALUE"""),"פסטיבל נובה")</f>
        <v>פסטיבל נובה</v>
      </c>
      <c r="L1121" s="3" t="str">
        <f>IFERROR(__xludf.DUMMYFUNCTION("""COMPUTED_VALUE"""),"Yonatan Samerano")</f>
        <v>Yonatan Samerano</v>
      </c>
      <c r="M1121" s="5"/>
    </row>
    <row r="1122">
      <c r="A1122" s="3">
        <f>IFERROR(__xludf.DUMMYFUNCTION("""COMPUTED_VALUE"""),1601.0)</f>
        <v>1601</v>
      </c>
      <c r="B1122" s="4" t="str">
        <f>IFERROR(__xludf.DUMMYFUNCTION("""COMPUTED_VALUE"""),"קידר עופרה")</f>
        <v>קידר עופרה</v>
      </c>
      <c r="C1122" s="3">
        <f>IFERROR(__xludf.DUMMYFUNCTION("""COMPUTED_VALUE"""),70.0)</f>
        <v>70</v>
      </c>
      <c r="D1122" s="5" t="str">
        <f>IFERROR(__xludf.DUMMYFUNCTION("""COMPUTED_VALUE"""),"בארי")</f>
        <v>בארי</v>
      </c>
      <c r="E1122" s="5" t="str">
        <f>IFERROR(__xludf.DUMMYFUNCTION("""COMPUTED_VALUE"""),"אישה")</f>
        <v>אישה</v>
      </c>
      <c r="F1122" s="5" t="str">
        <f>IFERROR(__xludf.DUMMYFUNCTION("""COMPUTED_VALUE"""),"אזרחים")</f>
        <v>אזרחים</v>
      </c>
      <c r="G1122" s="3"/>
      <c r="H1122" s="3" t="str">
        <f>IFERROR(__xludf.DUMMYFUNCTION("""COMPUTED_VALUE"""),"07.10.2023")</f>
        <v>07.10.2023</v>
      </c>
      <c r="I1122" s="4" t="str">
        <f>IFERROR(__xludf.DUMMYFUNCTION("""COMPUTED_VALUE"""),"בארי הישנה")</f>
        <v>בארי הישנה</v>
      </c>
      <c r="J1122" s="4" t="str">
        <f>IFERROR(__xludf.DUMMYFUNCTION("""COMPUTED_VALUE"""),"אזרחים וכיתות כוננות")</f>
        <v>אזרחים וכיתות כוננות</v>
      </c>
      <c r="K1122" s="5"/>
      <c r="L1122" s="3" t="str">
        <f>IFERROR(__xludf.DUMMYFUNCTION("""COMPUTED_VALUE"""),"Ofra Kedar")</f>
        <v>Ofra Kedar</v>
      </c>
      <c r="M1122" s="5"/>
    </row>
    <row r="1123">
      <c r="A1123" s="3">
        <f>IFERROR(__xludf.DUMMYFUNCTION("""COMPUTED_VALUE"""),1327.0)</f>
        <v>1327</v>
      </c>
      <c r="B1123" s="4" t="str">
        <f>IFERROR(__xludf.DUMMYFUNCTION("""COMPUTED_VALUE"""),"שמריז אלון (לולו)")</f>
        <v>שמריז אלון (לולו)</v>
      </c>
      <c r="C1123" s="3">
        <f>IFERROR(__xludf.DUMMYFUNCTION("""COMPUTED_VALUE"""),26.0)</f>
        <v>26</v>
      </c>
      <c r="D1123" s="5" t="str">
        <f>IFERROR(__xludf.DUMMYFUNCTION("""COMPUTED_VALUE"""),"כפר עזה")</f>
        <v>כפר עזה</v>
      </c>
      <c r="E1123" s="5" t="str">
        <f>IFERROR(__xludf.DUMMYFUNCTION("""COMPUTED_VALUE"""),"גבר")</f>
        <v>גבר</v>
      </c>
      <c r="F1123" s="5" t="str">
        <f>IFERROR(__xludf.DUMMYFUNCTION("""COMPUTED_VALUE"""),"אזרחים")</f>
        <v>אזרחים</v>
      </c>
      <c r="G1123" s="3"/>
      <c r="H1123" s="3" t="str">
        <f>IFERROR(__xludf.DUMMYFUNCTION("""COMPUTED_VALUE"""),"15.12.2023")</f>
        <v>15.12.2023</v>
      </c>
      <c r="I1123" s="4" t="str">
        <f>IFERROR(__xludf.DUMMYFUNCTION("""COMPUTED_VALUE"""),"ירי בשוגג בשג'אעיה")</f>
        <v>ירי בשוגג בשג'אעיה</v>
      </c>
      <c r="J1123" s="4" t="str">
        <f>IFERROR(__xludf.DUMMYFUNCTION("""COMPUTED_VALUE"""),"אזרחים וכיתות כוננות")</f>
        <v>אזרחים וכיתות כוננות</v>
      </c>
      <c r="K1123" s="5"/>
      <c r="L1123" s="3" t="str">
        <f>IFERROR(__xludf.DUMMYFUNCTION("""COMPUTED_VALUE"""),"Alon Lulu Shamriz")</f>
        <v>Alon Lulu Shamriz</v>
      </c>
      <c r="M1123" s="5"/>
    </row>
    <row r="1124">
      <c r="A1124" s="3">
        <f>IFERROR(__xludf.DUMMYFUNCTION("""COMPUTED_VALUE"""),193.0)</f>
        <v>193</v>
      </c>
      <c r="B1124" s="4" t="str">
        <f>IFERROR(__xludf.DUMMYFUNCTION("""COMPUTED_VALUE"""),"שרמן רון")</f>
        <v>שרמן רון</v>
      </c>
      <c r="C1124" s="3">
        <f>IFERROR(__xludf.DUMMYFUNCTION("""COMPUTED_VALUE"""),19.0)</f>
        <v>19</v>
      </c>
      <c r="D1124" s="5" t="str">
        <f>IFERROR(__xludf.DUMMYFUNCTION("""COMPUTED_VALUE"""),"להבים")</f>
        <v>להבים</v>
      </c>
      <c r="E1124" s="5" t="str">
        <f>IFERROR(__xludf.DUMMYFUNCTION("""COMPUTED_VALUE"""),"גבר")</f>
        <v>גבר</v>
      </c>
      <c r="F1124" s="5" t="str">
        <f>IFERROR(__xludf.DUMMYFUNCTION("""COMPUTED_VALUE"""),"צה""ל")</f>
        <v>צה"ל</v>
      </c>
      <c r="G1124" s="3" t="str">
        <f>IFERROR(__xludf.DUMMYFUNCTION("""COMPUTED_VALUE"""),"סמל")</f>
        <v>סמל</v>
      </c>
      <c r="H1124" s="3" t="str">
        <f>IFERROR(__xludf.DUMMYFUNCTION("""COMPUTED_VALUE"""),"10.11.2023")</f>
        <v>10.11.2023</v>
      </c>
      <c r="I1124" s="4" t="str">
        <f>IFERROR(__xludf.DUMMYFUNCTION("""COMPUTED_VALUE"""),"ג'באליה")</f>
        <v>ג'באליה</v>
      </c>
      <c r="J1124" s="4" t="str">
        <f>IFERROR(__xludf.DUMMYFUNCTION("""COMPUTED_VALUE"""),"חיילים")</f>
        <v>חיילים</v>
      </c>
      <c r="K1124" s="5"/>
      <c r="L1124" s="3" t="str">
        <f>IFERROR(__xludf.DUMMYFUNCTION("""COMPUTED_VALUE"""),"Ron Scherman")</f>
        <v>Ron Scherman</v>
      </c>
      <c r="M1124" s="5"/>
    </row>
    <row r="1125">
      <c r="A1125" s="3">
        <f>IFERROR(__xludf.DUMMYFUNCTION("""COMPUTED_VALUE"""),1694.0)</f>
        <v>1694</v>
      </c>
      <c r="B1125" s="4" t="str">
        <f>IFERROR(__xludf.DUMMYFUNCTION("""COMPUTED_VALUE"""),"Mollel Joshua Loitu")</f>
        <v>Mollel Joshua Loitu</v>
      </c>
      <c r="C1125" s="3">
        <f>IFERROR(__xludf.DUMMYFUNCTION("""COMPUTED_VALUE"""),21.0)</f>
        <v>21</v>
      </c>
      <c r="D1125" s="5" t="str">
        <f>IFERROR(__xludf.DUMMYFUNCTION("""COMPUTED_VALUE"""),"טנזניה")</f>
        <v>טנזניה</v>
      </c>
      <c r="E1125" s="5" t="str">
        <f>IFERROR(__xludf.DUMMYFUNCTION("""COMPUTED_VALUE"""),"גבר")</f>
        <v>גבר</v>
      </c>
      <c r="F1125" s="5" t="str">
        <f>IFERROR(__xludf.DUMMYFUNCTION("""COMPUTED_VALUE"""),"אזרחים זרים")</f>
        <v>אזרחים זרים</v>
      </c>
      <c r="G1125" s="5"/>
      <c r="H1125" s="3" t="str">
        <f>IFERROR(__xludf.DUMMYFUNCTION("""COMPUTED_VALUE"""),"07.10.2023")</f>
        <v>07.10.2023</v>
      </c>
      <c r="I1125" s="4" t="str">
        <f>IFERROR(__xludf.DUMMYFUNCTION("""COMPUTED_VALUE"""),"נחל עוז")</f>
        <v>נחל עוז</v>
      </c>
      <c r="J1125" s="2" t="str">
        <f>IFERROR(__xludf.DUMMYFUNCTION("""COMPUTED_VALUE"""),"אזרחים וכיתות כוננות")</f>
        <v>אזרחים וכיתות כוננות</v>
      </c>
      <c r="K1125" s="5"/>
      <c r="L1125" s="3" t="str">
        <f>IFERROR(__xludf.DUMMYFUNCTION("""COMPUTED_VALUE"""),"Mollel Joshua Loitu")</f>
        <v>Mollel Joshua Loitu</v>
      </c>
      <c r="M1125" s="5"/>
    </row>
    <row r="1126">
      <c r="A1126" s="3">
        <f>IFERROR(__xludf.DUMMYFUNCTION("""COMPUTED_VALUE"""),2013.0)</f>
        <v>2013</v>
      </c>
      <c r="B1126" s="4" t="str">
        <f>IFERROR(__xludf.DUMMYFUNCTION("""COMPUTED_VALUE"""),"אברהים מאג'ד")</f>
        <v>אברהים מאג'ד</v>
      </c>
      <c r="C1126" s="3">
        <f>IFERROR(__xludf.DUMMYFUNCTION("""COMPUTED_VALUE"""),19.0)</f>
        <v>19</v>
      </c>
      <c r="D1126" s="5" t="str">
        <f>IFERROR(__xludf.DUMMYFUNCTION("""COMPUTED_VALUE"""),"אבו גוש")</f>
        <v>אבו גוש</v>
      </c>
      <c r="E1126" s="5" t="str">
        <f>IFERROR(__xludf.DUMMYFUNCTION("""COMPUTED_VALUE"""),"גבר")</f>
        <v>גבר</v>
      </c>
      <c r="F1126" s="5" t="str">
        <f>IFERROR(__xludf.DUMMYFUNCTION("""COMPUTED_VALUE"""),"אזרחים")</f>
        <v>אזרחים</v>
      </c>
      <c r="G1126" s="5"/>
      <c r="H1126" s="3" t="str">
        <f>IFERROR(__xludf.DUMMYFUNCTION("""COMPUTED_VALUE"""),"09.10.2023")</f>
        <v>09.10.2023</v>
      </c>
      <c r="I1126" s="4" t="str">
        <f>IFERROR(__xludf.DUMMYFUNCTION("""COMPUTED_VALUE"""),"אבו גוש")</f>
        <v>אבו גוש</v>
      </c>
      <c r="J1126" s="4" t="str">
        <f>IFERROR(__xludf.DUMMYFUNCTION("""COMPUTED_VALUE"""),"ירי רקטי")</f>
        <v>ירי רקטי</v>
      </c>
      <c r="K1126" s="5"/>
      <c r="L1126" s="3" t="str">
        <f>IFERROR(__xludf.DUMMYFUNCTION("""COMPUTED_VALUE"""),"Majed Ibrahim")</f>
        <v>Majed Ibrahim</v>
      </c>
      <c r="M1126" s="5"/>
    </row>
    <row r="1127">
      <c r="A1127" s="3">
        <f>IFERROR(__xludf.DUMMYFUNCTION("""COMPUTED_VALUE"""),2014.0)</f>
        <v>2014</v>
      </c>
      <c r="B1127" s="4" t="str">
        <f>IFERROR(__xludf.DUMMYFUNCTION("""COMPUTED_VALUE"""),"אבו קרינאת נעאמה")</f>
        <v>אבו קרינאת נעאמה</v>
      </c>
      <c r="C1127" s="3">
        <f>IFERROR(__xludf.DUMMYFUNCTION("""COMPUTED_VALUE"""),0.0)</f>
        <v>0</v>
      </c>
      <c r="D1127" s="5" t="str">
        <f>IFERROR(__xludf.DUMMYFUNCTION("""COMPUTED_VALUE"""),"אבו קרינאת")</f>
        <v>אבו קרינאת</v>
      </c>
      <c r="E1127" s="5" t="str">
        <f>IFERROR(__xludf.DUMMYFUNCTION("""COMPUTED_VALUE"""),"ילדה")</f>
        <v>ילדה</v>
      </c>
      <c r="F1127" s="5" t="str">
        <f>IFERROR(__xludf.DUMMYFUNCTION("""COMPUTED_VALUE"""),"אזרחים")</f>
        <v>אזרחים</v>
      </c>
      <c r="G1127" s="3"/>
      <c r="H1127" s="3" t="str">
        <f>IFERROR(__xludf.DUMMYFUNCTION("""COMPUTED_VALUE"""),"07.10.2023")</f>
        <v>07.10.2023</v>
      </c>
      <c r="I1127" s="4" t="str">
        <f>IFERROR(__xludf.DUMMYFUNCTION("""COMPUTED_VALUE"""),"צומת מגן")</f>
        <v>צומת מגן</v>
      </c>
      <c r="J1127" s="4" t="str">
        <f>IFERROR(__xludf.DUMMYFUNCTION("""COMPUTED_VALUE"""),"אזרחים וכיתות כוננות")</f>
        <v>אזרחים וכיתות כוננות</v>
      </c>
      <c r="K1127" s="5"/>
      <c r="L1127" s="3" t="str">
        <f>IFERROR(__xludf.DUMMYFUNCTION("""COMPUTED_VALUE"""),"one day old baby Abu Rashed")</f>
        <v>one day old baby Abu Rashed</v>
      </c>
      <c r="M1127" s="5"/>
    </row>
    <row r="1128">
      <c r="A1128" s="3">
        <f>IFERROR(__xludf.DUMMYFUNCTION("""COMPUTED_VALUE"""),2015.0)</f>
        <v>2015</v>
      </c>
      <c r="B1128" s="4" t="str">
        <f>IFERROR(__xludf.DUMMYFUNCTION("""COMPUTED_VALUE"""),"Natalia Demidova")</f>
        <v>Natalia Demidova</v>
      </c>
      <c r="C1128" s="3">
        <f>IFERROR(__xludf.DUMMYFUNCTION("""COMPUTED_VALUE"""),39.0)</f>
        <v>39</v>
      </c>
      <c r="D1128" s="5" t="str">
        <f>IFERROR(__xludf.DUMMYFUNCTION("""COMPUTED_VALUE"""),"אוקראינה")</f>
        <v>אוקראינה</v>
      </c>
      <c r="E1128" s="5" t="str">
        <f>IFERROR(__xludf.DUMMYFUNCTION("""COMPUTED_VALUE"""),"אישה")</f>
        <v>אישה</v>
      </c>
      <c r="F1128" s="5" t="str">
        <f>IFERROR(__xludf.DUMMYFUNCTION("""COMPUTED_VALUE"""),"אזרחים זרים")</f>
        <v>אזרחים זרים</v>
      </c>
      <c r="G1128" s="3"/>
      <c r="H1128" s="3" t="str">
        <f>IFERROR(__xludf.DUMMYFUNCTION("""COMPUTED_VALUE"""),"07.10.2023")</f>
        <v>07.10.2023</v>
      </c>
      <c r="I1128" s="4" t="str">
        <f>IFERROR(__xludf.DUMMYFUNCTION("""COMPUTED_VALUE"""),"שדרות")</f>
        <v>שדרות</v>
      </c>
      <c r="J1128" s="4" t="str">
        <f>IFERROR(__xludf.DUMMYFUNCTION("""COMPUTED_VALUE"""),"אזרחים וכיתות כוננות")</f>
        <v>אזרחים וכיתות כוננות</v>
      </c>
      <c r="K1128" s="5"/>
      <c r="L1128" s="3" t="str">
        <f>IFERROR(__xludf.DUMMYFUNCTION("""COMPUTED_VALUE"""),"Natalia Demidova")</f>
        <v>Natalia Demidova</v>
      </c>
      <c r="M1128" s="5"/>
    </row>
    <row r="1129">
      <c r="A1129" s="3">
        <f>IFERROR(__xludf.DUMMYFUNCTION("""COMPUTED_VALUE"""),376.0)</f>
        <v>376</v>
      </c>
      <c r="B1129" s="4" t="str">
        <f>IFERROR(__xludf.DUMMYFUNCTION("""COMPUTED_VALUE"""),"הייניק ראובן")</f>
        <v>הייניק ראובן</v>
      </c>
      <c r="C1129" s="3">
        <f>IFERROR(__xludf.DUMMYFUNCTION("""COMPUTED_VALUE"""),56.0)</f>
        <v>56</v>
      </c>
      <c r="D1129" s="5" t="str">
        <f>IFERROR(__xludf.DUMMYFUNCTION("""COMPUTED_VALUE"""),"אשקלון")</f>
        <v>אשקלון</v>
      </c>
      <c r="E1129" s="5" t="str">
        <f>IFERROR(__xludf.DUMMYFUNCTION("""COMPUTED_VALUE"""),"גבר")</f>
        <v>גבר</v>
      </c>
      <c r="F1129" s="5" t="str">
        <f>IFERROR(__xludf.DUMMYFUNCTION("""COMPUTED_VALUE"""),"אזרחים")</f>
        <v>אזרחים</v>
      </c>
      <c r="G1129" s="5"/>
      <c r="H1129" s="3" t="str">
        <f>IFERROR(__xludf.DUMMYFUNCTION("""COMPUTED_VALUE"""),"09.10.2023")</f>
        <v>09.10.2023</v>
      </c>
      <c r="I1129" s="4" t="str">
        <f>IFERROR(__xludf.DUMMYFUNCTION("""COMPUTED_VALUE"""),"כיסופים")</f>
        <v>כיסופים</v>
      </c>
      <c r="J1129" s="4" t="str">
        <f>IFERROR(__xludf.DUMMYFUNCTION("""COMPUTED_VALUE"""),"אזרחים וכיתות כוננות")</f>
        <v>אזרחים וכיתות כוננות</v>
      </c>
      <c r="K1129" s="5"/>
      <c r="L1129" s="3" t="str">
        <f>IFERROR(__xludf.DUMMYFUNCTION("""COMPUTED_VALUE"""),"Reuven Heinek")</f>
        <v>Reuven Heinek</v>
      </c>
      <c r="M1129" s="5"/>
    </row>
    <row r="1130">
      <c r="A1130" s="3">
        <f>IFERROR(__xludf.DUMMYFUNCTION("""COMPUTED_VALUE"""),1333.0)</f>
        <v>1333</v>
      </c>
      <c r="B1130" s="2" t="str">
        <f>IFERROR(__xludf.DUMMYFUNCTION("""COMPUTED_VALUE"""),"וייס אילן")</f>
        <v>וייס אילן</v>
      </c>
      <c r="C1130" s="3">
        <f>IFERROR(__xludf.DUMMYFUNCTION("""COMPUTED_VALUE"""),56.0)</f>
        <v>56</v>
      </c>
      <c r="D1130" s="5" t="str">
        <f>IFERROR(__xludf.DUMMYFUNCTION("""COMPUTED_VALUE"""),"בארי")</f>
        <v>בארי</v>
      </c>
      <c r="E1130" s="5" t="str">
        <f>IFERROR(__xludf.DUMMYFUNCTION("""COMPUTED_VALUE"""),"גבר")</f>
        <v>גבר</v>
      </c>
      <c r="F1130" s="5" t="str">
        <f>IFERROR(__xludf.DUMMYFUNCTION("""COMPUTED_VALUE"""),"אזרחים")</f>
        <v>אזרחים</v>
      </c>
      <c r="G1130" s="5"/>
      <c r="H1130" s="3" t="str">
        <f>IFERROR(__xludf.DUMMYFUNCTION("""COMPUTED_VALUE"""),"07.10.2023")</f>
        <v>07.10.2023</v>
      </c>
      <c r="I1130" s="4" t="str">
        <f>IFERROR(__xludf.DUMMYFUNCTION("""COMPUTED_VALUE"""),"בארי")</f>
        <v>בארי</v>
      </c>
      <c r="J1130" s="4" t="str">
        <f>IFERROR(__xludf.DUMMYFUNCTION("""COMPUTED_VALUE"""),"אזרחים וכיתות כוננות")</f>
        <v>אזרחים וכיתות כוננות</v>
      </c>
      <c r="K1130" s="5"/>
      <c r="L1130" s="3" t="str">
        <f>IFERROR(__xludf.DUMMYFUNCTION("""COMPUTED_VALUE"""),"Ilan Weiss")</f>
        <v>Ilan Weiss</v>
      </c>
      <c r="M1130" s="5" t="s">
        <v>1</v>
      </c>
      <c r="N1130" s="5" t="s">
        <v>2</v>
      </c>
    </row>
    <row r="1131">
      <c r="A1131" s="3">
        <f>IFERROR(__xludf.DUMMYFUNCTION("""COMPUTED_VALUE"""),1187.0)</f>
        <v>1187</v>
      </c>
      <c r="B1131" s="4" t="str">
        <f>IFERROR(__xludf.DUMMYFUNCTION("""COMPUTED_VALUE"""),"הלל יותם")</f>
        <v>הלל יותם</v>
      </c>
      <c r="C1131" s="3">
        <f>IFERROR(__xludf.DUMMYFUNCTION("""COMPUTED_VALUE"""),19.0)</f>
        <v>19</v>
      </c>
      <c r="D1131" s="5" t="str">
        <f>IFERROR(__xludf.DUMMYFUNCTION("""COMPUTED_VALUE"""),"ברקת")</f>
        <v>ברקת</v>
      </c>
      <c r="E1131" s="5" t="str">
        <f>IFERROR(__xludf.DUMMYFUNCTION("""COMPUTED_VALUE"""),"גבר")</f>
        <v>גבר</v>
      </c>
      <c r="F1131" s="5" t="str">
        <f>IFERROR(__xludf.DUMMYFUNCTION("""COMPUTED_VALUE"""),"צה""ל")</f>
        <v>צה"ל</v>
      </c>
      <c r="G1131" s="3" t="str">
        <f>IFERROR(__xludf.DUMMYFUNCTION("""COMPUTED_VALUE"""),"סמל")</f>
        <v>סמל</v>
      </c>
      <c r="H1131" s="3" t="str">
        <f>IFERROR(__xludf.DUMMYFUNCTION("""COMPUTED_VALUE"""),"09.10.2023")</f>
        <v>09.10.2023</v>
      </c>
      <c r="I1131" s="4" t="str">
        <f>IFERROR(__xludf.DUMMYFUNCTION("""COMPUTED_VALUE"""),"כפר עזה")</f>
        <v>כפר עזה</v>
      </c>
      <c r="J1131" s="2" t="str">
        <f>IFERROR(__xludf.DUMMYFUNCTION("""COMPUTED_VALUE"""),"חיילים")</f>
        <v>חיילים</v>
      </c>
      <c r="K1131" s="5"/>
      <c r="L1131" s="3" t="str">
        <f>IFERROR(__xludf.DUMMYFUNCTION("""COMPUTED_VALUE"""),"Yotam Hillel")</f>
        <v>Yotam Hillel</v>
      </c>
      <c r="M1131" s="5"/>
    </row>
    <row r="1132">
      <c r="A1132" s="3">
        <f>IFERROR(__xludf.DUMMYFUNCTION("""COMPUTED_VALUE"""),720.0)</f>
        <v>720</v>
      </c>
      <c r="B1132" s="4" t="str">
        <f>IFERROR(__xludf.DUMMYFUNCTION("""COMPUTED_VALUE"""),"כהן עמית")</f>
        <v>כהן עמית</v>
      </c>
      <c r="C1132" s="3">
        <f>IFERROR(__xludf.DUMMYFUNCTION("""COMPUTED_VALUE"""),25.0)</f>
        <v>25</v>
      </c>
      <c r="D1132" s="5" t="str">
        <f>IFERROR(__xludf.DUMMYFUNCTION("""COMPUTED_VALUE"""),"הוד השרון")</f>
        <v>הוד השרון</v>
      </c>
      <c r="E1132" s="5" t="str">
        <f>IFERROR(__xludf.DUMMYFUNCTION("""COMPUTED_VALUE"""),"גבר")</f>
        <v>גבר</v>
      </c>
      <c r="F1132" s="5" t="str">
        <f>IFERROR(__xludf.DUMMYFUNCTION("""COMPUTED_VALUE"""),"אזרחים")</f>
        <v>אזרחים</v>
      </c>
      <c r="G1132" s="3"/>
      <c r="H1132" s="3" t="str">
        <f>IFERROR(__xludf.DUMMYFUNCTION("""COMPUTED_VALUE"""),"07.10.2023")</f>
        <v>07.10.2023</v>
      </c>
      <c r="I1132" s="4" t="str">
        <f>IFERROR(__xludf.DUMMYFUNCTION("""COMPUTED_VALUE"""),"מיגונית בכניסה לרעים (מזרח)")</f>
        <v>מיגונית בכניסה לרעים (מזרח)</v>
      </c>
      <c r="J1132" s="2" t="str">
        <f>IFERROR(__xludf.DUMMYFUNCTION("""COMPUTED_VALUE"""),"אזרחים וכיתות כוננות")</f>
        <v>אזרחים וכיתות כוננות</v>
      </c>
      <c r="K1132" s="5" t="str">
        <f>IFERROR(__xludf.DUMMYFUNCTION("""COMPUTED_VALUE"""),"פסטיבל נובה")</f>
        <v>פסטיבל נובה</v>
      </c>
      <c r="L1132" s="3" t="str">
        <f>IFERROR(__xludf.DUMMYFUNCTION("""COMPUTED_VALUE"""),"Amit Cohen")</f>
        <v>Amit Cohen</v>
      </c>
      <c r="M1132" s="5"/>
    </row>
    <row r="1133">
      <c r="A1133" s="3">
        <f>IFERROR(__xludf.DUMMYFUNCTION("""COMPUTED_VALUE"""),1273.0)</f>
        <v>1273</v>
      </c>
      <c r="B1133" s="4" t="str">
        <f>IFERROR(__xludf.DUMMYFUNCTION("""COMPUTED_VALUE"""),"אמסלם אביחי")</f>
        <v>אמסלם אביחי</v>
      </c>
      <c r="C1133" s="3">
        <f>IFERROR(__xludf.DUMMYFUNCTION("""COMPUTED_VALUE"""),30.0)</f>
        <v>30</v>
      </c>
      <c r="D1133" s="5" t="str">
        <f>IFERROR(__xludf.DUMMYFUNCTION("""COMPUTED_VALUE"""),"חדרה")</f>
        <v>חדרה</v>
      </c>
      <c r="E1133" s="5" t="str">
        <f>IFERROR(__xludf.DUMMYFUNCTION("""COMPUTED_VALUE"""),"גבר")</f>
        <v>גבר</v>
      </c>
      <c r="F1133" s="5" t="str">
        <f>IFERROR(__xludf.DUMMYFUNCTION("""COMPUTED_VALUE"""),"צה""ל (מיל')")</f>
        <v>צה"ל (מיל')</v>
      </c>
      <c r="G1133" s="3" t="str">
        <f>IFERROR(__xludf.DUMMYFUNCTION("""COMPUTED_VALUE"""),"רס״ר")</f>
        <v>רס״ר</v>
      </c>
      <c r="H1133" s="3" t="str">
        <f>IFERROR(__xludf.DUMMYFUNCTION("""COMPUTED_VALUE"""),"09.10.2023")</f>
        <v>09.10.2023</v>
      </c>
      <c r="I1133" s="4" t="str">
        <f>IFERROR(__xludf.DUMMYFUNCTION("""COMPUTED_VALUE"""),"צומת שער הנגב")</f>
        <v>צומת שער הנגב</v>
      </c>
      <c r="J1133" s="4" t="str">
        <f>IFERROR(__xludf.DUMMYFUNCTION("""COMPUTED_VALUE"""),"חיילים")</f>
        <v>חיילים</v>
      </c>
      <c r="K1133" s="5"/>
      <c r="L1133" s="3" t="str">
        <f>IFERROR(__xludf.DUMMYFUNCTION("""COMPUTED_VALUE"""),"Avichai Amsalem")</f>
        <v>Avichai Amsalem</v>
      </c>
      <c r="M1133" s="5"/>
    </row>
    <row r="1134">
      <c r="A1134" s="3">
        <f>IFERROR(__xludf.DUMMYFUNCTION("""COMPUTED_VALUE"""),767.0)</f>
        <v>767</v>
      </c>
      <c r="B1134" s="4" t="str">
        <f>IFERROR(__xludf.DUMMYFUNCTION("""COMPUTED_VALUE"""),"הימן ענבר")</f>
        <v>הימן ענבר</v>
      </c>
      <c r="C1134" s="3">
        <f>IFERROR(__xludf.DUMMYFUNCTION("""COMPUTED_VALUE"""),27.0)</f>
        <v>27</v>
      </c>
      <c r="D1134" s="5" t="str">
        <f>IFERROR(__xludf.DUMMYFUNCTION("""COMPUTED_VALUE"""),"חיפה")</f>
        <v>חיפה</v>
      </c>
      <c r="E1134" s="5" t="str">
        <f>IFERROR(__xludf.DUMMYFUNCTION("""COMPUTED_VALUE"""),"אישה")</f>
        <v>אישה</v>
      </c>
      <c r="F1134" s="5" t="str">
        <f>IFERROR(__xludf.DUMMYFUNCTION("""COMPUTED_VALUE"""),"אזרחים")</f>
        <v>אזרחים</v>
      </c>
      <c r="G1134" s="3"/>
      <c r="H1134" s="3" t="str">
        <f>IFERROR(__xludf.DUMMYFUNCTION("""COMPUTED_VALUE"""),"07.10.2023")</f>
        <v>07.10.2023</v>
      </c>
      <c r="I1134" s="4" t="str">
        <f>IFERROR(__xludf.DUMMYFUNCTION("""COMPUTED_VALUE"""),"מטע סמוך לבארי")</f>
        <v>מטע סמוך לבארי</v>
      </c>
      <c r="J1134" s="4" t="str">
        <f>IFERROR(__xludf.DUMMYFUNCTION("""COMPUTED_VALUE"""),"אזרחים וכיתות כוננות")</f>
        <v>אזרחים וכיתות כוננות</v>
      </c>
      <c r="K1134" s="5" t="str">
        <f>IFERROR(__xludf.DUMMYFUNCTION("""COMPUTED_VALUE"""),"פסטיבל נובה")</f>
        <v>פסטיבל נובה</v>
      </c>
      <c r="L1134" s="3" t="str">
        <f>IFERROR(__xludf.DUMMYFUNCTION("""COMPUTED_VALUE"""),"Inbar Haiman")</f>
        <v>Inbar Haiman</v>
      </c>
      <c r="M1134" s="5"/>
    </row>
    <row r="1135">
      <c r="A1135" s="3">
        <f>IFERROR(__xludf.DUMMYFUNCTION("""COMPUTED_VALUE"""),485.0)</f>
        <v>485</v>
      </c>
      <c r="B1135" s="4" t="str">
        <f>IFERROR(__xludf.DUMMYFUNCTION("""COMPUTED_VALUE"""),"דנינו דניאל משה")</f>
        <v>דנינו דניאל משה</v>
      </c>
      <c r="C1135" s="3">
        <f>IFERROR(__xludf.DUMMYFUNCTION("""COMPUTED_VALUE"""),21.0)</f>
        <v>21</v>
      </c>
      <c r="D1135" s="5" t="str">
        <f>IFERROR(__xludf.DUMMYFUNCTION("""COMPUTED_VALUE"""),"חיפה")</f>
        <v>חיפה</v>
      </c>
      <c r="E1135" s="5" t="str">
        <f>IFERROR(__xludf.DUMMYFUNCTION("""COMPUTED_VALUE"""),"גבר")</f>
        <v>גבר</v>
      </c>
      <c r="F1135" s="5" t="str">
        <f>IFERROR(__xludf.DUMMYFUNCTION("""COMPUTED_VALUE"""),"צה""ל")</f>
        <v>צה"ל</v>
      </c>
      <c r="G1135" s="3" t="str">
        <f>IFERROR(__xludf.DUMMYFUNCTION("""COMPUTED_VALUE"""),"סמ״ר")</f>
        <v>סמ״ר</v>
      </c>
      <c r="H1135" s="3" t="str">
        <f>IFERROR(__xludf.DUMMYFUNCTION("""COMPUTED_VALUE"""),"07.10.2023")</f>
        <v>07.10.2023</v>
      </c>
      <c r="I1135" s="4" t="str">
        <f>IFERROR(__xludf.DUMMYFUNCTION("""COMPUTED_VALUE"""),"מעבר ארז")</f>
        <v>מעבר ארז</v>
      </c>
      <c r="J1135" s="4" t="str">
        <f>IFERROR(__xludf.DUMMYFUNCTION("""COMPUTED_VALUE"""),"חיילים")</f>
        <v>חיילים</v>
      </c>
      <c r="K1135" s="5"/>
      <c r="L1135" s="3" t="str">
        <f>IFERROR(__xludf.DUMMYFUNCTION("""COMPUTED_VALUE"""),"Daniel Moshe-Danino")</f>
        <v>Daniel Moshe-Danino</v>
      </c>
      <c r="M1135" s="5"/>
    </row>
    <row r="1136">
      <c r="A1136" s="3">
        <f>IFERROR(__xludf.DUMMYFUNCTION("""COMPUTED_VALUE"""),2016.0)</f>
        <v>2016</v>
      </c>
      <c r="B1136" s="4" t="str">
        <f>IFERROR(__xludf.DUMMYFUNCTION("""COMPUTED_VALUE"""),"איוס ניב")</f>
        <v>איוס ניב</v>
      </c>
      <c r="C1136" s="3">
        <f>IFERROR(__xludf.DUMMYFUNCTION("""COMPUTED_VALUE"""),25.0)</f>
        <v>25</v>
      </c>
      <c r="D1136" s="5" t="str">
        <f>IFERROR(__xludf.DUMMYFUNCTION("""COMPUTED_VALUE"""),"ירושלים")</f>
        <v>ירושלים</v>
      </c>
      <c r="E1136" s="5" t="str">
        <f>IFERROR(__xludf.DUMMYFUNCTION("""COMPUTED_VALUE"""),"גבר")</f>
        <v>גבר</v>
      </c>
      <c r="F1136" s="5" t="str">
        <f>IFERROR(__xludf.DUMMYFUNCTION("""COMPUTED_VALUE"""),"אזרחים")</f>
        <v>אזרחים</v>
      </c>
      <c r="G1136" s="5"/>
      <c r="H1136" s="3" t="str">
        <f>IFERROR(__xludf.DUMMYFUNCTION("""COMPUTED_VALUE"""),"08.10.2023")</f>
        <v>08.10.2023</v>
      </c>
      <c r="I1136" s="4" t="str">
        <f>IFERROR(__xludf.DUMMYFUNCTION("""COMPUTED_VALUE"""),"ירי בשוגג ליד צומת ניצן")</f>
        <v>ירי בשוגג ליד צומת ניצן</v>
      </c>
      <c r="J1136" s="2" t="str">
        <f>IFERROR(__xludf.DUMMYFUNCTION("""COMPUTED_VALUE"""),"אזרחים וכיתות כוננות")</f>
        <v>אזרחים וכיתות כוננות</v>
      </c>
      <c r="K1136" s="5"/>
      <c r="L1136" s="3" t="str">
        <f>IFERROR(__xludf.DUMMYFUNCTION("""COMPUTED_VALUE"""),"Niv Ayos")</f>
        <v>Niv Ayos</v>
      </c>
      <c r="M1136" s="5"/>
    </row>
    <row r="1137">
      <c r="A1137" s="3">
        <f>IFERROR(__xludf.DUMMYFUNCTION("""COMPUTED_VALUE"""),1278.0)</f>
        <v>1278</v>
      </c>
      <c r="B1137" s="4" t="str">
        <f>IFERROR(__xludf.DUMMYFUNCTION("""COMPUTED_VALUE"""),"הליבני יובל")</f>
        <v>הליבני יובל</v>
      </c>
      <c r="C1137" s="3">
        <f>IFERROR(__xludf.DUMMYFUNCTION("""COMPUTED_VALUE"""),30.0)</f>
        <v>30</v>
      </c>
      <c r="D1137" s="5" t="str">
        <f>IFERROR(__xludf.DUMMYFUNCTION("""COMPUTED_VALUE"""),"משגב דב")</f>
        <v>משגב דב</v>
      </c>
      <c r="E1137" s="5" t="str">
        <f>IFERROR(__xludf.DUMMYFUNCTION("""COMPUTED_VALUE"""),"גבר")</f>
        <v>גבר</v>
      </c>
      <c r="F1137" s="5" t="str">
        <f>IFERROR(__xludf.DUMMYFUNCTION("""COMPUTED_VALUE"""),"צה""ל (מיל')")</f>
        <v>צה"ל (מיל')</v>
      </c>
      <c r="G1137" s="5" t="str">
        <f>IFERROR(__xludf.DUMMYFUNCTION("""COMPUTED_VALUE"""),"סרן")</f>
        <v>סרן</v>
      </c>
      <c r="H1137" s="3" t="str">
        <f>IFERROR(__xludf.DUMMYFUNCTION("""COMPUTED_VALUE"""),"09.10.2023")</f>
        <v>09.10.2023</v>
      </c>
      <c r="I1137" s="4" t="str">
        <f>IFERROR(__xludf.DUMMYFUNCTION("""COMPUTED_VALUE"""),"צומת שער הנגב")</f>
        <v>צומת שער הנגב</v>
      </c>
      <c r="J1137" s="2" t="str">
        <f>IFERROR(__xludf.DUMMYFUNCTION("""COMPUTED_VALUE"""),"חיילים")</f>
        <v>חיילים</v>
      </c>
      <c r="K1137" s="5"/>
      <c r="L1137" s="3" t="str">
        <f>IFERROR(__xludf.DUMMYFUNCTION("""COMPUTED_VALUE"""),"Yuval Halivni")</f>
        <v>Yuval Halivni</v>
      </c>
      <c r="M1137" s="5"/>
    </row>
    <row r="1138">
      <c r="A1138" s="3">
        <f>IFERROR(__xludf.DUMMYFUNCTION("""COMPUTED_VALUE"""),639.0)</f>
        <v>639</v>
      </c>
      <c r="B1138" s="4" t="str">
        <f>IFERROR(__xludf.DUMMYFUNCTION("""COMPUTED_VALUE"""),"ויינשטיין ג'ודי")</f>
        <v>ויינשטיין ג'ודי</v>
      </c>
      <c r="C1138" s="3">
        <f>IFERROR(__xludf.DUMMYFUNCTION("""COMPUTED_VALUE"""),70.0)</f>
        <v>70</v>
      </c>
      <c r="D1138" s="5" t="str">
        <f>IFERROR(__xludf.DUMMYFUNCTION("""COMPUTED_VALUE"""),"ניר עוז")</f>
        <v>ניר עוז</v>
      </c>
      <c r="E1138" s="5" t="str">
        <f>IFERROR(__xludf.DUMMYFUNCTION("""COMPUTED_VALUE"""),"אישה")</f>
        <v>אישה</v>
      </c>
      <c r="F1138" s="5" t="str">
        <f>IFERROR(__xludf.DUMMYFUNCTION("""COMPUTED_VALUE"""),"אזרחים")</f>
        <v>אזרחים</v>
      </c>
      <c r="G1138" s="5"/>
      <c r="H1138" s="3" t="str">
        <f>IFERROR(__xludf.DUMMYFUNCTION("""COMPUTED_VALUE"""),"07.10.2023")</f>
        <v>07.10.2023</v>
      </c>
      <c r="I1138" s="4" t="str">
        <f>IFERROR(__xludf.DUMMYFUNCTION("""COMPUTED_VALUE"""),"מערבית לניר עוז")</f>
        <v>מערבית לניר עוז</v>
      </c>
      <c r="J1138" s="2" t="str">
        <f>IFERROR(__xludf.DUMMYFUNCTION("""COMPUTED_VALUE"""),"אזרחים וכיתות כוננות")</f>
        <v>אזרחים וכיתות כוננות</v>
      </c>
      <c r="K1138" s="5"/>
      <c r="L1138" s="3" t="str">
        <f>IFERROR(__xludf.DUMMYFUNCTION("""COMPUTED_VALUE"""),"Judy Weinstein Haggai")</f>
        <v>Judy Weinstein Haggai</v>
      </c>
      <c r="M1138" s="5"/>
    </row>
    <row r="1139">
      <c r="A1139" s="3">
        <f>IFERROR(__xludf.DUMMYFUNCTION("""COMPUTED_VALUE"""),567.0)</f>
        <v>567</v>
      </c>
      <c r="B1139" s="4" t="str">
        <f>IFERROR(__xludf.DUMMYFUNCTION("""COMPUTED_VALUE"""),"חגי גדי")</f>
        <v>חגי גדי</v>
      </c>
      <c r="C1139" s="3">
        <f>IFERROR(__xludf.DUMMYFUNCTION("""COMPUTED_VALUE"""),73.0)</f>
        <v>73</v>
      </c>
      <c r="D1139" s="5" t="str">
        <f>IFERROR(__xludf.DUMMYFUNCTION("""COMPUTED_VALUE"""),"ניר עוז")</f>
        <v>ניר עוז</v>
      </c>
      <c r="E1139" s="5" t="str">
        <f>IFERROR(__xludf.DUMMYFUNCTION("""COMPUTED_VALUE"""),"גבר")</f>
        <v>גבר</v>
      </c>
      <c r="F1139" s="5" t="str">
        <f>IFERROR(__xludf.DUMMYFUNCTION("""COMPUTED_VALUE"""),"אזרחים")</f>
        <v>אזרחים</v>
      </c>
      <c r="G1139" s="5"/>
      <c r="H1139" s="3" t="str">
        <f>IFERROR(__xludf.DUMMYFUNCTION("""COMPUTED_VALUE"""),"07.10.2023")</f>
        <v>07.10.2023</v>
      </c>
      <c r="I1139" s="4" t="str">
        <f>IFERROR(__xludf.DUMMYFUNCTION("""COMPUTED_VALUE"""),"מערבית לניר עוז")</f>
        <v>מערבית לניר עוז</v>
      </c>
      <c r="J1139" s="2" t="str">
        <f>IFERROR(__xludf.DUMMYFUNCTION("""COMPUTED_VALUE"""),"אזרחים וכיתות כוננות")</f>
        <v>אזרחים וכיתות כוננות</v>
      </c>
      <c r="K1139" s="5"/>
      <c r="L1139" s="3" t="str">
        <f>IFERROR(__xludf.DUMMYFUNCTION("""COMPUTED_VALUE"""),"Gadi Haggai")</f>
        <v>Gadi Haggai</v>
      </c>
      <c r="M1139" s="5"/>
    </row>
    <row r="1140">
      <c r="A1140" s="3">
        <f>IFERROR(__xludf.DUMMYFUNCTION("""COMPUTED_VALUE"""),538.0)</f>
        <v>538</v>
      </c>
      <c r="B1140" s="4" t="str">
        <f>IFERROR(__xludf.DUMMYFUNCTION("""COMPUTED_VALUE"""),"אדר תמיר")</f>
        <v>אדר תמיר</v>
      </c>
      <c r="C1140" s="3">
        <f>IFERROR(__xludf.DUMMYFUNCTION("""COMPUTED_VALUE"""),38.0)</f>
        <v>38</v>
      </c>
      <c r="D1140" s="5" t="str">
        <f>IFERROR(__xludf.DUMMYFUNCTION("""COMPUTED_VALUE"""),"ניר עוז")</f>
        <v>ניר עוז</v>
      </c>
      <c r="E1140" s="5" t="str">
        <f>IFERROR(__xludf.DUMMYFUNCTION("""COMPUTED_VALUE"""),"גבר")</f>
        <v>גבר</v>
      </c>
      <c r="F1140" s="5" t="str">
        <f>IFERROR(__xludf.DUMMYFUNCTION("""COMPUTED_VALUE"""),"כיתות כוננות")</f>
        <v>כיתות כוננות</v>
      </c>
      <c r="G1140" s="5"/>
      <c r="H1140" s="3" t="str">
        <f>IFERROR(__xludf.DUMMYFUNCTION("""COMPUTED_VALUE"""),"07.10.2023")</f>
        <v>07.10.2023</v>
      </c>
      <c r="I1140" s="4" t="str">
        <f>IFERROR(__xludf.DUMMYFUNCTION("""COMPUTED_VALUE"""),"ניר עוז")</f>
        <v>ניר עוז</v>
      </c>
      <c r="J1140" s="2" t="str">
        <f>IFERROR(__xludf.DUMMYFUNCTION("""COMPUTED_VALUE"""),"אזרחים וכיתות כוננות")</f>
        <v>אזרחים וכיתות כוננות</v>
      </c>
      <c r="K1140" s="5"/>
      <c r="L1140" s="3" t="str">
        <f>IFERROR(__xludf.DUMMYFUNCTION("""COMPUTED_VALUE"""),"Tamir Adar")</f>
        <v>Tamir Adar</v>
      </c>
    </row>
    <row r="1141">
      <c r="A1141" s="3">
        <f>IFERROR(__xludf.DUMMYFUNCTION("""COMPUTED_VALUE"""),263.0)</f>
        <v>263</v>
      </c>
      <c r="B1141" s="4" t="str">
        <f>IFERROR(__xludf.DUMMYFUNCTION("""COMPUTED_VALUE"""),"מאסלי אלכסנדר")</f>
        <v>מאסלי אלכסנדר</v>
      </c>
      <c r="C1141" s="3">
        <f>IFERROR(__xludf.DUMMYFUNCTION("""COMPUTED_VALUE"""),21.0)</f>
        <v>21</v>
      </c>
      <c r="D1141" s="5" t="str">
        <f>IFERROR(__xludf.DUMMYFUNCTION("""COMPUTED_VALUE"""),"עפולה")</f>
        <v>עפולה</v>
      </c>
      <c r="E1141" s="5" t="str">
        <f>IFERROR(__xludf.DUMMYFUNCTION("""COMPUTED_VALUE"""),"גבר")</f>
        <v>גבר</v>
      </c>
      <c r="F1141" s="5" t="str">
        <f>IFERROR(__xludf.DUMMYFUNCTION("""COMPUTED_VALUE"""),"צה""ל")</f>
        <v>צה"ל</v>
      </c>
      <c r="G1141" s="5" t="str">
        <f>IFERROR(__xludf.DUMMYFUNCTION("""COMPUTED_VALUE"""),"סמ״ר")</f>
        <v>סמ״ר</v>
      </c>
      <c r="H1141" s="3" t="str">
        <f>IFERROR(__xludf.DUMMYFUNCTION("""COMPUTED_VALUE"""),"08.10.2023")</f>
        <v>08.10.2023</v>
      </c>
      <c r="I1141" s="4" t="str">
        <f>IFERROR(__xludf.DUMMYFUNCTION("""COMPUTED_VALUE"""),"סמוך למחלף שורק")</f>
        <v>סמוך למחלף שורק</v>
      </c>
      <c r="J1141" s="2" t="str">
        <f>IFERROR(__xludf.DUMMYFUNCTION("""COMPUTED_VALUE"""),"חיילים")</f>
        <v>חיילים</v>
      </c>
      <c r="K1141" s="5"/>
      <c r="L1141" s="3" t="str">
        <f>IFERROR(__xludf.DUMMYFUNCTION("""COMPUTED_VALUE"""),"Alexander Masli")</f>
        <v>Alexander Masli</v>
      </c>
      <c r="M1141" s="5"/>
    </row>
    <row r="1142">
      <c r="A1142" s="3">
        <f>IFERROR(__xludf.DUMMYFUNCTION("""COMPUTED_VALUE"""),2017.0)</f>
        <v>2017</v>
      </c>
      <c r="B1142" s="4" t="str">
        <f>IFERROR(__xludf.DUMMYFUNCTION("""COMPUTED_VALUE"""),"שדה דור")</f>
        <v>שדה דור</v>
      </c>
      <c r="C1142" s="3">
        <f>IFERROR(__xludf.DUMMYFUNCTION("""COMPUTED_VALUE"""),22.0)</f>
        <v>22</v>
      </c>
      <c r="D1142" s="5" t="str">
        <f>IFERROR(__xludf.DUMMYFUNCTION("""COMPUTED_VALUE"""),"ערוגות")</f>
        <v>ערוגות</v>
      </c>
      <c r="E1142" s="5" t="str">
        <f>IFERROR(__xludf.DUMMYFUNCTION("""COMPUTED_VALUE"""),"גבר")</f>
        <v>גבר</v>
      </c>
      <c r="F1142" s="5" t="str">
        <f>IFERROR(__xludf.DUMMYFUNCTION("""COMPUTED_VALUE"""),"צה""ל")</f>
        <v>צה"ל</v>
      </c>
      <c r="G1142" s="5" t="str">
        <f>IFERROR(__xludf.DUMMYFUNCTION("""COMPUTED_VALUE"""),"סרן")</f>
        <v>סרן</v>
      </c>
      <c r="H1142" s="3" t="str">
        <f>IFERROR(__xludf.DUMMYFUNCTION("""COMPUTED_VALUE"""),"09.10.2023")</f>
        <v>09.10.2023</v>
      </c>
      <c r="I1142" s="4" t="str">
        <f>IFERROR(__xludf.DUMMYFUNCTION("""COMPUTED_VALUE"""),"כפר עזה")</f>
        <v>כפר עזה</v>
      </c>
      <c r="J1142" s="2" t="str">
        <f>IFERROR(__xludf.DUMMYFUNCTION("""COMPUTED_VALUE"""),"חיילים")</f>
        <v>חיילים</v>
      </c>
      <c r="K1142" s="5"/>
      <c r="L1142" s="3" t="str">
        <f>IFERROR(__xludf.DUMMYFUNCTION("""COMPUTED_VALUE"""),"Dor Sade")</f>
        <v>Dor Sade</v>
      </c>
      <c r="M1142" s="5"/>
    </row>
    <row r="1143">
      <c r="A1143" s="3">
        <f>IFERROR(__xludf.DUMMYFUNCTION("""COMPUTED_VALUE"""),1587.0)</f>
        <v>1587</v>
      </c>
      <c r="B1143" s="4" t="str">
        <f>IFERROR(__xludf.DUMMYFUNCTION("""COMPUTED_VALUE"""),"מלקמו אביאל")</f>
        <v>מלקמו אביאל</v>
      </c>
      <c r="C1143" s="3">
        <f>IFERROR(__xludf.DUMMYFUNCTION("""COMPUTED_VALUE"""),21.0)</f>
        <v>21</v>
      </c>
      <c r="D1143" s="5" t="str">
        <f>IFERROR(__xludf.DUMMYFUNCTION("""COMPUTED_VALUE"""),"קריית אתא")</f>
        <v>קריית אתא</v>
      </c>
      <c r="E1143" s="5" t="str">
        <f>IFERROR(__xludf.DUMMYFUNCTION("""COMPUTED_VALUE"""),"גבר")</f>
        <v>גבר</v>
      </c>
      <c r="F1143" s="5" t="str">
        <f>IFERROR(__xludf.DUMMYFUNCTION("""COMPUTED_VALUE"""),"צה""ל")</f>
        <v>צה"ל</v>
      </c>
      <c r="G1143" s="5" t="str">
        <f>IFERROR(__xludf.DUMMYFUNCTION("""COMPUTED_VALUE"""),"רס״ל")</f>
        <v>רס״ל</v>
      </c>
      <c r="H1143" s="3" t="str">
        <f>IFERROR(__xludf.DUMMYFUNCTION("""COMPUTED_VALUE"""),"09.10.2023")</f>
        <v>09.10.2023</v>
      </c>
      <c r="I1143" s="4" t="str">
        <f>IFERROR(__xludf.DUMMYFUNCTION("""COMPUTED_VALUE"""),"כיסופים")</f>
        <v>כיסופים</v>
      </c>
      <c r="J1143" s="2" t="str">
        <f>IFERROR(__xludf.DUMMYFUNCTION("""COMPUTED_VALUE"""),"חיילים")</f>
        <v>חיילים</v>
      </c>
      <c r="K1143" s="5"/>
      <c r="L1143" s="3" t="str">
        <f>IFERROR(__xludf.DUMMYFUNCTION("""COMPUTED_VALUE"""),"Aviel Malkamu")</f>
        <v>Aviel Malkamu</v>
      </c>
      <c r="M1143" s="5"/>
    </row>
    <row r="1144">
      <c r="A1144" s="3">
        <f>IFERROR(__xludf.DUMMYFUNCTION("""COMPUTED_VALUE"""),1678.0)</f>
        <v>1678</v>
      </c>
      <c r="B1144" s="4" t="str">
        <f>IFERROR(__xludf.DUMMYFUNCTION("""COMPUTED_VALUE"""),"Diawthaisong Jakkapan")</f>
        <v>Diawthaisong Jakkapan</v>
      </c>
      <c r="C1144" s="3">
        <f>IFERROR(__xludf.DUMMYFUNCTION("""COMPUTED_VALUE"""),37.0)</f>
        <v>37</v>
      </c>
      <c r="D1144" s="5" t="str">
        <f>IFERROR(__xludf.DUMMYFUNCTION("""COMPUTED_VALUE"""),"תאילנד")</f>
        <v>תאילנד</v>
      </c>
      <c r="E1144" s="5" t="str">
        <f>IFERROR(__xludf.DUMMYFUNCTION("""COMPUTED_VALUE"""),"גבר")</f>
        <v>גבר</v>
      </c>
      <c r="F1144" s="5" t="str">
        <f>IFERROR(__xludf.DUMMYFUNCTION("""COMPUTED_VALUE"""),"אזרחים זרים")</f>
        <v>אזרחים זרים</v>
      </c>
      <c r="G1144" s="3"/>
      <c r="H1144" s="3" t="str">
        <f>IFERROR(__xludf.DUMMYFUNCTION("""COMPUTED_VALUE"""),"07.10.2023")</f>
        <v>07.10.2023</v>
      </c>
      <c r="I1144" s="4" t="str">
        <f>IFERROR(__xludf.DUMMYFUNCTION("""COMPUTED_VALUE"""),"עלומים; מגורי עובדים")</f>
        <v>עלומים; מגורי עובדים</v>
      </c>
      <c r="J1144" s="2" t="str">
        <f>IFERROR(__xludf.DUMMYFUNCTION("""COMPUTED_VALUE"""),"אזרחים וכיתות כוננות")</f>
        <v>אזרחים וכיתות כוננות</v>
      </c>
      <c r="K1144" s="5"/>
      <c r="L1144" s="3" t="str">
        <f>IFERROR(__xludf.DUMMYFUNCTION("""COMPUTED_VALUE"""),"Diawtmaisong Jakkapan")</f>
        <v>Diawtmaisong Jakkapan</v>
      </c>
      <c r="M1144" s="5"/>
    </row>
    <row r="1145">
      <c r="A1145" s="3">
        <f>IFERROR(__xludf.DUMMYFUNCTION("""COMPUTED_VALUE"""),1680.0)</f>
        <v>1680</v>
      </c>
      <c r="B1145" s="4" t="str">
        <f>IFERROR(__xludf.DUMMYFUNCTION("""COMPUTED_VALUE"""),"Champasim Saksit")</f>
        <v>Champasim Saksit</v>
      </c>
      <c r="C1145" s="3"/>
      <c r="D1145" s="5" t="str">
        <f>IFERROR(__xludf.DUMMYFUNCTION("""COMPUTED_VALUE"""),"תאילנד")</f>
        <v>תאילנד</v>
      </c>
      <c r="E1145" s="5" t="str">
        <f>IFERROR(__xludf.DUMMYFUNCTION("""COMPUTED_VALUE"""),"גבר")</f>
        <v>גבר</v>
      </c>
      <c r="F1145" s="5" t="str">
        <f>IFERROR(__xludf.DUMMYFUNCTION("""COMPUTED_VALUE"""),"אזרחים זרים")</f>
        <v>אזרחים זרים</v>
      </c>
      <c r="G1145" s="3"/>
      <c r="H1145" s="3" t="str">
        <f>IFERROR(__xludf.DUMMYFUNCTION("""COMPUTED_VALUE"""),"07.10.2023")</f>
        <v>07.10.2023</v>
      </c>
      <c r="I1145" s="4" t="str">
        <f>IFERROR(__xludf.DUMMYFUNCTION("""COMPUTED_VALUE"""),"עלומים; מגורי עובדים")</f>
        <v>עלומים; מגורי עובדים</v>
      </c>
      <c r="J1145" s="2" t="str">
        <f>IFERROR(__xludf.DUMMYFUNCTION("""COMPUTED_VALUE"""),"אזרחים וכיתות כוננות")</f>
        <v>אזרחים וכיתות כוננות</v>
      </c>
      <c r="K1145" s="5"/>
      <c r="L1145" s="3" t="str">
        <f>IFERROR(__xludf.DUMMYFUNCTION("""COMPUTED_VALUE"""),"Champasim Saksit")</f>
        <v>Champasim Saksit</v>
      </c>
    </row>
    <row r="1146">
      <c r="A1146" s="3">
        <f>IFERROR(__xludf.DUMMYFUNCTION("""COMPUTED_VALUE"""),1679.0)</f>
        <v>1679</v>
      </c>
      <c r="B1146" s="4" t="str">
        <f>IFERROR(__xludf.DUMMYFUNCTION("""COMPUTED_VALUE"""),"Raksanon Chaiya")</f>
        <v>Raksanon Chaiya</v>
      </c>
      <c r="C1146" s="3"/>
      <c r="D1146" s="5" t="str">
        <f>IFERROR(__xludf.DUMMYFUNCTION("""COMPUTED_VALUE"""),"תאילנד")</f>
        <v>תאילנד</v>
      </c>
      <c r="E1146" s="5" t="str">
        <f>IFERROR(__xludf.DUMMYFUNCTION("""COMPUTED_VALUE"""),"גבר")</f>
        <v>גבר</v>
      </c>
      <c r="F1146" s="5" t="str">
        <f>IFERROR(__xludf.DUMMYFUNCTION("""COMPUTED_VALUE"""),"אזרחים זרים")</f>
        <v>אזרחים זרים</v>
      </c>
      <c r="G1146" s="5"/>
      <c r="H1146" s="3" t="str">
        <f>IFERROR(__xludf.DUMMYFUNCTION("""COMPUTED_VALUE"""),"07.10.2023")</f>
        <v>07.10.2023</v>
      </c>
      <c r="I1146" s="2" t="str">
        <f>IFERROR(__xludf.DUMMYFUNCTION("""COMPUTED_VALUE"""),"עלומים; מגורי עובדים")</f>
        <v>עלומים; מגורי עובדים</v>
      </c>
      <c r="J1146" s="2" t="str">
        <f>IFERROR(__xludf.DUMMYFUNCTION("""COMPUTED_VALUE"""),"אזרחים וכיתות כוננות")</f>
        <v>אזרחים וכיתות כוננות</v>
      </c>
      <c r="K1146" s="5"/>
      <c r="L1146" s="3" t="str">
        <f>IFERROR(__xludf.DUMMYFUNCTION("""COMPUTED_VALUE"""),"Ruksanon Chaiya")</f>
        <v>Ruksanon Chaiya</v>
      </c>
    </row>
    <row r="1147">
      <c r="A1147" s="3">
        <f>IFERROR(__xludf.DUMMYFUNCTION("""COMPUTED_VALUE"""),1686.0)</f>
        <v>1686</v>
      </c>
      <c r="B1147" s="4" t="str">
        <f>IFERROR(__xludf.DUMMYFUNCTION("""COMPUTED_VALUE"""),"Homsorn Settha")</f>
        <v>Homsorn Settha</v>
      </c>
      <c r="C1147" s="3">
        <f>IFERROR(__xludf.DUMMYFUNCTION("""COMPUTED_VALUE"""),36.0)</f>
        <v>36</v>
      </c>
      <c r="D1147" s="5" t="str">
        <f>IFERROR(__xludf.DUMMYFUNCTION("""COMPUTED_VALUE"""),"תאילנד")</f>
        <v>תאילנד</v>
      </c>
      <c r="E1147" s="5" t="str">
        <f>IFERROR(__xludf.DUMMYFUNCTION("""COMPUTED_VALUE"""),"גבר")</f>
        <v>גבר</v>
      </c>
      <c r="F1147" s="5" t="str">
        <f>IFERROR(__xludf.DUMMYFUNCTION("""COMPUTED_VALUE"""),"אזרחים זרים")</f>
        <v>אזרחים זרים</v>
      </c>
      <c r="G1147" s="5"/>
      <c r="H1147" s="3" t="str">
        <f>IFERROR(__xludf.DUMMYFUNCTION("""COMPUTED_VALUE"""),"07.10.2023")</f>
        <v>07.10.2023</v>
      </c>
      <c r="I1147" s="4" t="str">
        <f>IFERROR(__xludf.DUMMYFUNCTION("""COMPUTED_VALUE"""),"כפר עזה")</f>
        <v>כפר עזה</v>
      </c>
      <c r="J1147" s="2" t="str">
        <f>IFERROR(__xludf.DUMMYFUNCTION("""COMPUTED_VALUE"""),"אזרחים וכיתות כוננות")</f>
        <v>אזרחים וכיתות כוננות</v>
      </c>
      <c r="K1147" s="5"/>
      <c r="L1147" s="3" t="str">
        <f>IFERROR(__xludf.DUMMYFUNCTION("""COMPUTED_VALUE"""),"Homsorn Settha")</f>
        <v>Homsorn Settha</v>
      </c>
    </row>
    <row r="1148">
      <c r="A1148" s="3">
        <f>IFERROR(__xludf.DUMMYFUNCTION("""COMPUTED_VALUE"""),1685.0)</f>
        <v>1685</v>
      </c>
      <c r="B1148" s="4" t="str">
        <f>IFERROR(__xludf.DUMMYFUNCTION("""COMPUTED_VALUE"""),"Kraisorn Thumyoma")</f>
        <v>Kraisorn Thumyoma</v>
      </c>
      <c r="C1148" s="3">
        <f>IFERROR(__xludf.DUMMYFUNCTION("""COMPUTED_VALUE"""),29.0)</f>
        <v>29</v>
      </c>
      <c r="D1148" s="5" t="str">
        <f>IFERROR(__xludf.DUMMYFUNCTION("""COMPUTED_VALUE"""),"תאילנד")</f>
        <v>תאילנד</v>
      </c>
      <c r="E1148" s="5" t="str">
        <f>IFERROR(__xludf.DUMMYFUNCTION("""COMPUTED_VALUE"""),"גבר")</f>
        <v>גבר</v>
      </c>
      <c r="F1148" s="5" t="str">
        <f>IFERROR(__xludf.DUMMYFUNCTION("""COMPUTED_VALUE"""),"אזרחים זרים")</f>
        <v>אזרחים זרים</v>
      </c>
      <c r="G1148" s="5"/>
      <c r="H1148" s="3" t="str">
        <f>IFERROR(__xludf.DUMMYFUNCTION("""COMPUTED_VALUE"""),"07.10.2023")</f>
        <v>07.10.2023</v>
      </c>
      <c r="I1148" s="4" t="str">
        <f>IFERROR(__xludf.DUMMYFUNCTION("""COMPUTED_VALUE"""),"עלומים; מגורי עובדים")</f>
        <v>עלומים; מגורי עובדים</v>
      </c>
      <c r="J1148" s="2" t="str">
        <f>IFERROR(__xludf.DUMMYFUNCTION("""COMPUTED_VALUE"""),"אזרחים וכיתות כוננות")</f>
        <v>אזרחים וכיתות כוננות</v>
      </c>
      <c r="K1148" s="5"/>
      <c r="L1148" s="3" t="str">
        <f>IFERROR(__xludf.DUMMYFUNCTION("""COMPUTED_VALUE"""),"Kraisorn Thumyoma")</f>
        <v>Kraisorn Thumyoma</v>
      </c>
      <c r="M1148" s="5"/>
    </row>
    <row r="1149">
      <c r="A1149" s="3">
        <f>IFERROR(__xludf.DUMMYFUNCTION("""COMPUTED_VALUE"""),1677.0)</f>
        <v>1677</v>
      </c>
      <c r="B1149" s="2" t="str">
        <f>IFERROR(__xludf.DUMMYFUNCTION("""COMPUTED_VALUE"""),"Yotthongdee Tianchai")</f>
        <v>Yotthongdee Tianchai</v>
      </c>
      <c r="C1149" s="3">
        <f>IFERROR(__xludf.DUMMYFUNCTION("""COMPUTED_VALUE"""),32.0)</f>
        <v>32</v>
      </c>
      <c r="D1149" s="5" t="str">
        <f>IFERROR(__xludf.DUMMYFUNCTION("""COMPUTED_VALUE"""),"תאילנד")</f>
        <v>תאילנד</v>
      </c>
      <c r="E1149" s="5" t="str">
        <f>IFERROR(__xludf.DUMMYFUNCTION("""COMPUTED_VALUE"""),"גבר")</f>
        <v>גבר</v>
      </c>
      <c r="F1149" s="5" t="str">
        <f>IFERROR(__xludf.DUMMYFUNCTION("""COMPUTED_VALUE"""),"אזרחים זרים")</f>
        <v>אזרחים זרים</v>
      </c>
      <c r="G1149" s="5"/>
      <c r="H1149" s="3" t="str">
        <f>IFERROR(__xludf.DUMMYFUNCTION("""COMPUTED_VALUE"""),"07.10.2023")</f>
        <v>07.10.2023</v>
      </c>
      <c r="I1149" s="4" t="str">
        <f>IFERROR(__xludf.DUMMYFUNCTION("""COMPUTED_VALUE"""),"עלומים; מגורי עובדים")</f>
        <v>עלומים; מגורי עובדים</v>
      </c>
      <c r="J1149" s="4" t="str">
        <f>IFERROR(__xludf.DUMMYFUNCTION("""COMPUTED_VALUE"""),"אזרחים וכיתות כוננות")</f>
        <v>אזרחים וכיתות כוננות</v>
      </c>
      <c r="K1149" s="5"/>
      <c r="L1149" s="3" t="str">
        <f>IFERROR(__xludf.DUMMYFUNCTION("""COMPUTED_VALUE"""),"Yotthongdee Tianchai")</f>
        <v>Yotthongdee Tianchai</v>
      </c>
      <c r="M1149" s="5"/>
    </row>
    <row r="1150">
      <c r="A1150" s="3">
        <f>IFERROR(__xludf.DUMMYFUNCTION("""COMPUTED_VALUE"""),1684.0)</f>
        <v>1684</v>
      </c>
      <c r="B1150" s="2" t="str">
        <f>IFERROR(__xludf.DUMMYFUNCTION("""COMPUTED_VALUE"""),"Seayang Dua")</f>
        <v>Seayang Dua</v>
      </c>
      <c r="C1150" s="3">
        <f>IFERROR(__xludf.DUMMYFUNCTION("""COMPUTED_VALUE"""),35.0)</f>
        <v>35</v>
      </c>
      <c r="D1150" s="5" t="str">
        <f>IFERROR(__xludf.DUMMYFUNCTION("""COMPUTED_VALUE"""),"תאילנד")</f>
        <v>תאילנד</v>
      </c>
      <c r="E1150" s="5" t="str">
        <f>IFERROR(__xludf.DUMMYFUNCTION("""COMPUTED_VALUE"""),"גבר")</f>
        <v>גבר</v>
      </c>
      <c r="F1150" s="5" t="str">
        <f>IFERROR(__xludf.DUMMYFUNCTION("""COMPUTED_VALUE"""),"אזרחים זרים")</f>
        <v>אזרחים זרים</v>
      </c>
      <c r="G1150" s="3"/>
      <c r="H1150" s="3" t="str">
        <f>IFERROR(__xludf.DUMMYFUNCTION("""COMPUTED_VALUE"""),"07.10.2023")</f>
        <v>07.10.2023</v>
      </c>
      <c r="I1150" s="4" t="str">
        <f>IFERROR(__xludf.DUMMYFUNCTION("""COMPUTED_VALUE"""),"עלומים; מגורי עובדים")</f>
        <v>עלומים; מגורי עובדים</v>
      </c>
      <c r="J1150" s="4" t="str">
        <f>IFERROR(__xludf.DUMMYFUNCTION("""COMPUTED_VALUE"""),"אזרחים וכיתות כוננות")</f>
        <v>אזרחים וכיתות כוננות</v>
      </c>
      <c r="K1150" s="5"/>
      <c r="L1150" s="3" t="str">
        <f>IFERROR(__xludf.DUMMYFUNCTION("""COMPUTED_VALUE"""),"Seayang Dua")</f>
        <v>Seayang Dua</v>
      </c>
      <c r="M1150" s="5"/>
    </row>
    <row r="1151">
      <c r="A1151" s="3">
        <f>IFERROR(__xludf.DUMMYFUNCTION("""COMPUTED_VALUE"""),1683.0)</f>
        <v>1683</v>
      </c>
      <c r="B1151" s="2" t="str">
        <f>IFERROR(__xludf.DUMMYFUNCTION("""COMPUTED_VALUE"""),"Saethao Thawatchai")</f>
        <v>Saethao Thawatchai</v>
      </c>
      <c r="C1151" s="3">
        <f>IFERROR(__xludf.DUMMYFUNCTION("""COMPUTED_VALUE"""),26.0)</f>
        <v>26</v>
      </c>
      <c r="D1151" s="5" t="str">
        <f>IFERROR(__xludf.DUMMYFUNCTION("""COMPUTED_VALUE"""),"תאילנד")</f>
        <v>תאילנד</v>
      </c>
      <c r="E1151" s="5" t="str">
        <f>IFERROR(__xludf.DUMMYFUNCTION("""COMPUTED_VALUE"""),"גבר")</f>
        <v>גבר</v>
      </c>
      <c r="F1151" s="5" t="str">
        <f>IFERROR(__xludf.DUMMYFUNCTION("""COMPUTED_VALUE"""),"אזרחים זרים")</f>
        <v>אזרחים זרים</v>
      </c>
      <c r="G1151" s="5"/>
      <c r="H1151" s="3" t="str">
        <f>IFERROR(__xludf.DUMMYFUNCTION("""COMPUTED_VALUE"""),"07.10.2023")</f>
        <v>07.10.2023</v>
      </c>
      <c r="I1151" s="4" t="str">
        <f>IFERROR(__xludf.DUMMYFUNCTION("""COMPUTED_VALUE"""),"עלומים; מגורי עובדים")</f>
        <v>עלומים; מגורי עובדים</v>
      </c>
      <c r="J1151" s="4" t="str">
        <f>IFERROR(__xludf.DUMMYFUNCTION("""COMPUTED_VALUE"""),"אזרחים וכיתות כוננות")</f>
        <v>אזרחים וכיתות כוננות</v>
      </c>
      <c r="K1151" s="5"/>
      <c r="L1151" s="3" t="str">
        <f>IFERROR(__xludf.DUMMYFUNCTION("""COMPUTED_VALUE"""),"Saethao Thawatchai")</f>
        <v>Saethao Thawatchai</v>
      </c>
      <c r="M1151" s="5"/>
    </row>
    <row r="1152">
      <c r="A1152" s="3">
        <f>IFERROR(__xludf.DUMMYFUNCTION("""COMPUTED_VALUE"""),2019.0)</f>
        <v>2019</v>
      </c>
      <c r="B1152" s="2" t="str">
        <f>IFERROR(__xludf.DUMMYFUNCTION("""COMPUTED_VALUE"""),"Pongkhrurea Paphonthanai")</f>
        <v>Pongkhrurea Paphonthanai</v>
      </c>
      <c r="C1152" s="3">
        <f>IFERROR(__xludf.DUMMYFUNCTION("""COMPUTED_VALUE"""),32.0)</f>
        <v>32</v>
      </c>
      <c r="D1152" s="5" t="str">
        <f>IFERROR(__xludf.DUMMYFUNCTION("""COMPUTED_VALUE"""),"תאילנד")</f>
        <v>תאילנד</v>
      </c>
      <c r="E1152" s="5" t="str">
        <f>IFERROR(__xludf.DUMMYFUNCTION("""COMPUTED_VALUE"""),"גבר")</f>
        <v>גבר</v>
      </c>
      <c r="F1152" s="5" t="str">
        <f>IFERROR(__xludf.DUMMYFUNCTION("""COMPUTED_VALUE"""),"אזרחים זרים")</f>
        <v>אזרחים זרים</v>
      </c>
      <c r="G1152" s="5"/>
      <c r="H1152" s="3" t="str">
        <f>IFERROR(__xludf.DUMMYFUNCTION("""COMPUTED_VALUE"""),"07.10.2023")</f>
        <v>07.10.2023</v>
      </c>
      <c r="I1152" s="4" t="str">
        <f>IFERROR(__xludf.DUMMYFUNCTION("""COMPUTED_VALUE"""),"ניר עוז")</f>
        <v>ניר עוז</v>
      </c>
      <c r="J1152" s="4" t="str">
        <f>IFERROR(__xludf.DUMMYFUNCTION("""COMPUTED_VALUE"""),"אזרחים וכיתות כוננות")</f>
        <v>אזרחים וכיתות כוננות</v>
      </c>
      <c r="K1152" s="5"/>
      <c r="L1152" s="3" t="str">
        <f>IFERROR(__xludf.DUMMYFUNCTION("""COMPUTED_VALUE"""),"Pongkhrurea Paphonthanai")</f>
        <v>Pongkhrurea Paphonthanai</v>
      </c>
      <c r="M1152" s="5"/>
    </row>
    <row r="1153">
      <c r="A1153" s="3">
        <f>IFERROR(__xludf.DUMMYFUNCTION("""COMPUTED_VALUE"""),1689.0)</f>
        <v>1689</v>
      </c>
      <c r="B1153" s="2" t="str">
        <f>IFERROR(__xludf.DUMMYFUNCTION("""COMPUTED_VALUE"""),"Pankitvanitjaroen Sarayuth")</f>
        <v>Pankitvanitjaroen Sarayuth</v>
      </c>
      <c r="C1153" s="3">
        <f>IFERROR(__xludf.DUMMYFUNCTION("""COMPUTED_VALUE"""),33.0)</f>
        <v>33</v>
      </c>
      <c r="D1153" s="5" t="str">
        <f>IFERROR(__xludf.DUMMYFUNCTION("""COMPUTED_VALUE"""),"תאילנד")</f>
        <v>תאילנד</v>
      </c>
      <c r="E1153" s="5" t="str">
        <f>IFERROR(__xludf.DUMMYFUNCTION("""COMPUTED_VALUE"""),"גבר")</f>
        <v>גבר</v>
      </c>
      <c r="F1153" s="5" t="str">
        <f>IFERROR(__xludf.DUMMYFUNCTION("""COMPUTED_VALUE"""),"אזרחים זרים")</f>
        <v>אזרחים זרים</v>
      </c>
      <c r="G1153" s="5"/>
      <c r="H1153" s="3" t="str">
        <f>IFERROR(__xludf.DUMMYFUNCTION("""COMPUTED_VALUE"""),"07.10.2023")</f>
        <v>07.10.2023</v>
      </c>
      <c r="I1153" s="4" t="str">
        <f>IFERROR(__xludf.DUMMYFUNCTION("""COMPUTED_VALUE"""),"כפר עזה")</f>
        <v>כפר עזה</v>
      </c>
      <c r="J1153" s="4" t="str">
        <f>IFERROR(__xludf.DUMMYFUNCTION("""COMPUTED_VALUE"""),"אזרחים וכיתות כוננות")</f>
        <v>אזרחים וכיתות כוננות</v>
      </c>
      <c r="K1153" s="5"/>
      <c r="L1153" s="3" t="str">
        <f>IFERROR(__xludf.DUMMYFUNCTION("""COMPUTED_VALUE"""),"Pankitvanitjaroen Sarayuth")</f>
        <v>Pankitvanitjaroen Sarayuth</v>
      </c>
      <c r="M1153" s="5"/>
    </row>
    <row r="1154">
      <c r="A1154" s="3">
        <f>IFERROR(__xludf.DUMMYFUNCTION("""COMPUTED_VALUE"""),1688.0)</f>
        <v>1688</v>
      </c>
      <c r="B1154" s="2" t="str">
        <f>IFERROR(__xludf.DUMMYFUNCTION("""COMPUTED_VALUE"""),"Patee Kiattisak")</f>
        <v>Patee Kiattisak</v>
      </c>
      <c r="C1154" s="3">
        <f>IFERROR(__xludf.DUMMYFUNCTION("""COMPUTED_VALUE"""),35.0)</f>
        <v>35</v>
      </c>
      <c r="D1154" s="5" t="str">
        <f>IFERROR(__xludf.DUMMYFUNCTION("""COMPUTED_VALUE"""),"תאילנד")</f>
        <v>תאילנד</v>
      </c>
      <c r="E1154" s="5" t="str">
        <f>IFERROR(__xludf.DUMMYFUNCTION("""COMPUTED_VALUE"""),"גבר")</f>
        <v>גבר</v>
      </c>
      <c r="F1154" s="5" t="str">
        <f>IFERROR(__xludf.DUMMYFUNCTION("""COMPUTED_VALUE"""),"אזרחים זרים")</f>
        <v>אזרחים זרים</v>
      </c>
      <c r="G1154" s="5"/>
      <c r="H1154" s="3" t="str">
        <f>IFERROR(__xludf.DUMMYFUNCTION("""COMPUTED_VALUE"""),"07.10.2023")</f>
        <v>07.10.2023</v>
      </c>
      <c r="I1154" s="4" t="str">
        <f>IFERROR(__xludf.DUMMYFUNCTION("""COMPUTED_VALUE"""),"רעים")</f>
        <v>רעים</v>
      </c>
      <c r="J1154" s="4" t="str">
        <f>IFERROR(__xludf.DUMMYFUNCTION("""COMPUTED_VALUE"""),"אזרחים וכיתות כוננות")</f>
        <v>אזרחים וכיתות כוננות</v>
      </c>
      <c r="K1154" s="5"/>
      <c r="L1154" s="3" t="str">
        <f>IFERROR(__xludf.DUMMYFUNCTION("""COMPUTED_VALUE"""),"Patee Kiattisak")</f>
        <v>Patee Kiattisak</v>
      </c>
      <c r="M1154" s="5"/>
    </row>
    <row r="1155">
      <c r="A1155" s="3">
        <f>IFERROR(__xludf.DUMMYFUNCTION("""COMPUTED_VALUE"""),2020.0)</f>
        <v>2020</v>
      </c>
      <c r="B1155" s="2" t="str">
        <f>IFERROR(__xludf.DUMMYFUNCTION("""COMPUTED_VALUE"""),"עלוש דני")</f>
        <v>עלוש דני</v>
      </c>
      <c r="C1155" s="3">
        <f>IFERROR(__xludf.DUMMYFUNCTION("""COMPUTED_VALUE"""),52.0)</f>
        <v>52</v>
      </c>
      <c r="D1155" s="5" t="str">
        <f>IFERROR(__xludf.DUMMYFUNCTION("""COMPUTED_VALUE"""),"עומר")</f>
        <v>עומר</v>
      </c>
      <c r="E1155" s="5" t="str">
        <f>IFERROR(__xludf.DUMMYFUNCTION("""COMPUTED_VALUE"""),"גבר")</f>
        <v>גבר</v>
      </c>
      <c r="F1155" s="5" t="str">
        <f>IFERROR(__xludf.DUMMYFUNCTION("""COMPUTED_VALUE"""),"אזרחים")</f>
        <v>אזרחים</v>
      </c>
      <c r="G1155" s="5"/>
      <c r="H1155" s="3" t="str">
        <f>IFERROR(__xludf.DUMMYFUNCTION("""COMPUTED_VALUE"""),"09.10.2023")</f>
        <v>09.10.2023</v>
      </c>
      <c r="I1155" s="4" t="str">
        <f>IFERROR(__xludf.DUMMYFUNCTION("""COMPUTED_VALUE"""),"ירי בשוגג בצומת אבשלום")</f>
        <v>ירי בשוגג בצומת אבשלום</v>
      </c>
      <c r="J1155" s="4" t="str">
        <f>IFERROR(__xludf.DUMMYFUNCTION("""COMPUTED_VALUE"""),"אזרחים וכיתות כוננות")</f>
        <v>אזרחים וכיתות כוננות</v>
      </c>
      <c r="K1155" s="5"/>
      <c r="L1155" s="3" t="str">
        <f>IFERROR(__xludf.DUMMYFUNCTION("""COMPUTED_VALUE"""),"Dani Alush")</f>
        <v>Dani Alush</v>
      </c>
      <c r="M1155" s="5"/>
    </row>
    <row r="1156">
      <c r="A1156" s="3">
        <f>IFERROR(__xludf.DUMMYFUNCTION("""COMPUTED_VALUE"""),2021.0)</f>
        <v>2021</v>
      </c>
      <c r="B1156" s="2" t="str">
        <f>IFERROR(__xludf.DUMMYFUNCTION("""COMPUTED_VALUE"""),"דניאלי טל")</f>
        <v>דניאלי טל</v>
      </c>
      <c r="C1156" s="3">
        <f>IFERROR(__xludf.DUMMYFUNCTION("""COMPUTED_VALUE"""),24.0)</f>
        <v>24</v>
      </c>
      <c r="D1156" s="5" t="str">
        <f>IFERROR(__xludf.DUMMYFUNCTION("""COMPUTED_VALUE"""),"באר שבע")</f>
        <v>באר שבע</v>
      </c>
      <c r="E1156" s="5" t="str">
        <f>IFERROR(__xludf.DUMMYFUNCTION("""COMPUTED_VALUE"""),"גבר")</f>
        <v>גבר</v>
      </c>
      <c r="F1156" s="5" t="str">
        <f>IFERROR(__xludf.DUMMYFUNCTION("""COMPUTED_VALUE"""),"אזרחים")</f>
        <v>אזרחים</v>
      </c>
      <c r="G1156" s="5"/>
      <c r="H1156" s="3" t="str">
        <f>IFERROR(__xludf.DUMMYFUNCTION("""COMPUTED_VALUE"""),"09.10.2023")</f>
        <v>09.10.2023</v>
      </c>
      <c r="I1156" s="4" t="str">
        <f>IFERROR(__xludf.DUMMYFUNCTION("""COMPUTED_VALUE"""),"ירי בשוגג בצומת אבשלום")</f>
        <v>ירי בשוגג בצומת אבשלום</v>
      </c>
      <c r="J1156" s="4" t="str">
        <f>IFERROR(__xludf.DUMMYFUNCTION("""COMPUTED_VALUE"""),"אזרחים וכיתות כוננות")</f>
        <v>אזרחים וכיתות כוננות</v>
      </c>
      <c r="K1156" s="5"/>
      <c r="L1156" s="3" t="str">
        <f>IFERROR(__xludf.DUMMYFUNCTION("""COMPUTED_VALUE"""),"Tal Danieli")</f>
        <v>Tal Danieli</v>
      </c>
    </row>
    <row r="1157">
      <c r="A1157" s="3">
        <f>IFERROR(__xludf.DUMMYFUNCTION("""COMPUTED_VALUE"""),135.0)</f>
        <v>135</v>
      </c>
      <c r="B1157" s="2" t="str">
        <f>IFERROR(__xludf.DUMMYFUNCTION("""COMPUTED_VALUE"""),"סבירסקי איתי")</f>
        <v>סבירסקי איתי</v>
      </c>
      <c r="C1157" s="3">
        <f>IFERROR(__xludf.DUMMYFUNCTION("""COMPUTED_VALUE"""),38.0)</f>
        <v>38</v>
      </c>
      <c r="D1157" s="5" t="str">
        <f>IFERROR(__xludf.DUMMYFUNCTION("""COMPUTED_VALUE"""),"תל אביב")</f>
        <v>תל אביב</v>
      </c>
      <c r="E1157" s="5" t="str">
        <f>IFERROR(__xludf.DUMMYFUNCTION("""COMPUTED_VALUE"""),"גבר")</f>
        <v>גבר</v>
      </c>
      <c r="F1157" s="5" t="str">
        <f>IFERROR(__xludf.DUMMYFUNCTION("""COMPUTED_VALUE"""),"אזרחים")</f>
        <v>אזרחים</v>
      </c>
      <c r="G1157" s="5"/>
      <c r="H1157" s="3" t="str">
        <f>IFERROR(__xludf.DUMMYFUNCTION("""COMPUTED_VALUE"""),"14.01.2024")</f>
        <v>14.01.2024</v>
      </c>
      <c r="I1157" s="2" t="str">
        <f>IFERROR(__xludf.DUMMYFUNCTION("""COMPUTED_VALUE"""),"נוסייראת")</f>
        <v>נוסייראת</v>
      </c>
      <c r="J1157" s="2" t="str">
        <f>IFERROR(__xludf.DUMMYFUNCTION("""COMPUTED_VALUE"""),"אזרחים וכיתות כוננות")</f>
        <v>אזרחים וכיתות כוננות</v>
      </c>
      <c r="K1157" s="5"/>
      <c r="L1157" s="3" t="str">
        <f>IFERROR(__xludf.DUMMYFUNCTION("""COMPUTED_VALUE"""),"Itay Svirski")</f>
        <v>Itay Svirski</v>
      </c>
      <c r="M1157" s="5"/>
    </row>
    <row r="1158">
      <c r="A1158" s="3">
        <f>IFERROR(__xludf.DUMMYFUNCTION("""COMPUTED_VALUE"""),122.0)</f>
        <v>122</v>
      </c>
      <c r="B1158" s="2" t="str">
        <f>IFERROR(__xludf.DUMMYFUNCTION("""COMPUTED_VALUE"""),"שרעבי יוסי")</f>
        <v>שרעבי יוסי</v>
      </c>
      <c r="C1158" s="3">
        <f>IFERROR(__xludf.DUMMYFUNCTION("""COMPUTED_VALUE"""),53.0)</f>
        <v>53</v>
      </c>
      <c r="D1158" s="5" t="str">
        <f>IFERROR(__xludf.DUMMYFUNCTION("""COMPUTED_VALUE"""),"בארי")</f>
        <v>בארי</v>
      </c>
      <c r="E1158" s="5" t="str">
        <f>IFERROR(__xludf.DUMMYFUNCTION("""COMPUTED_VALUE"""),"גבר")</f>
        <v>גבר</v>
      </c>
      <c r="F1158" s="5" t="str">
        <f>IFERROR(__xludf.DUMMYFUNCTION("""COMPUTED_VALUE"""),"אזרחים")</f>
        <v>אזרחים</v>
      </c>
      <c r="G1158" s="5"/>
      <c r="H1158" s="3" t="str">
        <f>IFERROR(__xludf.DUMMYFUNCTION("""COMPUTED_VALUE"""),"10.01.2024")</f>
        <v>10.01.2024</v>
      </c>
      <c r="I1158" s="2" t="str">
        <f>IFERROR(__xludf.DUMMYFUNCTION("""COMPUTED_VALUE"""),"נוסייראת")</f>
        <v>נוסייראת</v>
      </c>
      <c r="J1158" s="2" t="str">
        <f>IFERROR(__xludf.DUMMYFUNCTION("""COMPUTED_VALUE"""),"אזרחים וכיתות כוננות")</f>
        <v>אזרחים וכיתות כוננות</v>
      </c>
      <c r="K1158" s="5"/>
      <c r="L1158" s="3" t="str">
        <f>IFERROR(__xludf.DUMMYFUNCTION("""COMPUTED_VALUE"""),"Yossi Sharabi")</f>
        <v>Yossi Sharabi</v>
      </c>
      <c r="M1158" s="5"/>
    </row>
    <row r="1159">
      <c r="A1159" s="3">
        <f>IFERROR(__xludf.DUMMYFUNCTION("""COMPUTED_VALUE"""),1706.0)</f>
        <v>1706</v>
      </c>
      <c r="B1159" s="2" t="str">
        <f>IFERROR(__xludf.DUMMYFUNCTION("""COMPUTED_VALUE"""),"לוינסון שי")</f>
        <v>לוינסון שי</v>
      </c>
      <c r="C1159" s="3">
        <f>IFERROR(__xludf.DUMMYFUNCTION("""COMPUTED_VALUE"""),19.0)</f>
        <v>19</v>
      </c>
      <c r="D1159" s="5" t="str">
        <f>IFERROR(__xludf.DUMMYFUNCTION("""COMPUTED_VALUE"""),"גבעת אבני")</f>
        <v>גבעת אבני</v>
      </c>
      <c r="E1159" s="5" t="str">
        <f>IFERROR(__xludf.DUMMYFUNCTION("""COMPUTED_VALUE"""),"גבר")</f>
        <v>גבר</v>
      </c>
      <c r="F1159" s="5" t="str">
        <f>IFERROR(__xludf.DUMMYFUNCTION("""COMPUTED_VALUE"""),"צה""ל")</f>
        <v>צה"ל</v>
      </c>
      <c r="G1159" s="5" t="str">
        <f>IFERROR(__xludf.DUMMYFUNCTION("""COMPUTED_VALUE"""),"סמ""ר")</f>
        <v>סמ"ר</v>
      </c>
      <c r="H1159" s="3" t="str">
        <f>IFERROR(__xludf.DUMMYFUNCTION("""COMPUTED_VALUE"""),"07.10.2023")</f>
        <v>07.10.2023</v>
      </c>
      <c r="I1159" s="4" t="str">
        <f>IFERROR(__xludf.DUMMYFUNCTION("""COMPUTED_VALUE"""),"עמדה 91")</f>
        <v>עמדה 91</v>
      </c>
      <c r="J1159" s="2" t="str">
        <f>IFERROR(__xludf.DUMMYFUNCTION("""COMPUTED_VALUE"""),"חיילים")</f>
        <v>חיילים</v>
      </c>
      <c r="K1159" s="5"/>
      <c r="L1159" s="3" t="str">
        <f>IFERROR(__xludf.DUMMYFUNCTION("""COMPUTED_VALUE"""),"Shai Levinson")</f>
        <v>Shai Levinson</v>
      </c>
      <c r="M1159" s="5"/>
    </row>
    <row r="1160">
      <c r="A1160" s="3">
        <f>IFERROR(__xludf.DUMMYFUNCTION("""COMPUTED_VALUE"""),1697.0)</f>
        <v>1697</v>
      </c>
      <c r="B1160" s="4" t="str">
        <f>IFERROR(__xludf.DUMMYFUNCTION("""COMPUTED_VALUE"""),"Goyitom Gebrehiyet")</f>
        <v>Goyitom Gebrehiyet</v>
      </c>
      <c r="C1160" s="3"/>
      <c r="D1160" s="5" t="str">
        <f>IFERROR(__xludf.DUMMYFUNCTION("""COMPUTED_VALUE"""),"אריתריאה")</f>
        <v>אריתריאה</v>
      </c>
      <c r="E1160" s="5" t="str">
        <f>IFERROR(__xludf.DUMMYFUNCTION("""COMPUTED_VALUE"""),"גבר")</f>
        <v>גבר</v>
      </c>
      <c r="F1160" s="5" t="str">
        <f>IFERROR(__xludf.DUMMYFUNCTION("""COMPUTED_VALUE"""),"אזרחים זרים")</f>
        <v>אזרחים זרים</v>
      </c>
      <c r="G1160" s="3"/>
      <c r="H1160" s="3" t="str">
        <f>IFERROR(__xludf.DUMMYFUNCTION("""COMPUTED_VALUE"""),"07.10.2023")</f>
        <v>07.10.2023</v>
      </c>
      <c r="I1160" s="4" t="str">
        <f>IFERROR(__xludf.DUMMYFUNCTION("""COMPUTED_VALUE"""),"שדרות")</f>
        <v>שדרות</v>
      </c>
      <c r="J1160" s="2" t="str">
        <f>IFERROR(__xludf.DUMMYFUNCTION("""COMPUTED_VALUE"""),"אזרחים וכיתות כוננות")</f>
        <v>אזרחים וכיתות כוננות</v>
      </c>
      <c r="K1160" s="5"/>
      <c r="L1160" s="3" t="str">
        <f>IFERROR(__xludf.DUMMYFUNCTION("""COMPUTED_VALUE"""),"Goyitom Gebrehiyet")</f>
        <v>Goyitom Gebrehiyet</v>
      </c>
    </row>
    <row r="1161">
      <c r="A1161" s="3">
        <f>IFERROR(__xludf.DUMMYFUNCTION("""COMPUTED_VALUE"""),2023.0)</f>
        <v>2023</v>
      </c>
      <c r="B1161" s="4" t="str">
        <f>IFERROR(__xludf.DUMMYFUNCTION("""COMPUTED_VALUE"""),"Berhe Wolderaphael Hagos")</f>
        <v>Berhe Wolderaphael Hagos</v>
      </c>
      <c r="C1161" s="3"/>
      <c r="D1161" s="5" t="str">
        <f>IFERROR(__xludf.DUMMYFUNCTION("""COMPUTED_VALUE"""),"אריתריאה")</f>
        <v>אריתריאה</v>
      </c>
      <c r="E1161" s="5" t="str">
        <f>IFERROR(__xludf.DUMMYFUNCTION("""COMPUTED_VALUE"""),"גבר")</f>
        <v>גבר</v>
      </c>
      <c r="F1161" s="5" t="str">
        <f>IFERROR(__xludf.DUMMYFUNCTION("""COMPUTED_VALUE"""),"אזרחים זרים")</f>
        <v>אזרחים זרים</v>
      </c>
      <c r="G1161" s="5"/>
      <c r="H1161" s="3" t="str">
        <f>IFERROR(__xludf.DUMMYFUNCTION("""COMPUTED_VALUE"""),"07.10.2023")</f>
        <v>07.10.2023</v>
      </c>
      <c r="I1161" s="4" t="str">
        <f>IFERROR(__xludf.DUMMYFUNCTION("""COMPUTED_VALUE"""),"שדרות")</f>
        <v>שדרות</v>
      </c>
      <c r="J1161" s="2" t="str">
        <f>IFERROR(__xludf.DUMMYFUNCTION("""COMPUTED_VALUE"""),"אזרחים וכיתות כוננות")</f>
        <v>אזרחים וכיתות כוננות</v>
      </c>
      <c r="K1161" s="5"/>
      <c r="L1161" s="3" t="str">
        <f>IFERROR(__xludf.DUMMYFUNCTION("""COMPUTED_VALUE"""),"Berhe Wolderaphael Hagos")</f>
        <v>Berhe Wolderaphael Hagos</v>
      </c>
    </row>
    <row r="1162">
      <c r="A1162" s="3">
        <f>IFERROR(__xludf.DUMMYFUNCTION("""COMPUTED_VALUE"""),23.0)</f>
        <v>23</v>
      </c>
      <c r="B1162" s="4" t="str">
        <f>IFERROR(__xludf.DUMMYFUNCTION("""COMPUTED_VALUE"""),"גואילי רן")</f>
        <v>גואילי רן</v>
      </c>
      <c r="C1162" s="3">
        <f>IFERROR(__xludf.DUMMYFUNCTION("""COMPUTED_VALUE"""),24.0)</f>
        <v>24</v>
      </c>
      <c r="D1162" s="5" t="str">
        <f>IFERROR(__xludf.DUMMYFUNCTION("""COMPUTED_VALUE"""),"מיתר")</f>
        <v>מיתר</v>
      </c>
      <c r="E1162" s="5" t="str">
        <f>IFERROR(__xludf.DUMMYFUNCTION("""COMPUTED_VALUE"""),"גבר")</f>
        <v>גבר</v>
      </c>
      <c r="F1162" s="5" t="str">
        <f>IFERROR(__xludf.DUMMYFUNCTION("""COMPUTED_VALUE"""),"משטרה")</f>
        <v>משטרה</v>
      </c>
      <c r="G1162" s="3" t="str">
        <f>IFERROR(__xludf.DUMMYFUNCTION("""COMPUTED_VALUE"""),"רס""ל")</f>
        <v>רס"ל</v>
      </c>
      <c r="H1162" s="3" t="str">
        <f>IFERROR(__xludf.DUMMYFUNCTION("""COMPUTED_VALUE"""),"07.10.2023")</f>
        <v>07.10.2023</v>
      </c>
      <c r="I1162" s="4" t="str">
        <f>IFERROR(__xludf.DUMMYFUNCTION("""COMPUTED_VALUE"""),"עלומים")</f>
        <v>עלומים</v>
      </c>
      <c r="J1162" s="2" t="str">
        <f>IFERROR(__xludf.DUMMYFUNCTION("""COMPUTED_VALUE"""),"שוטרים וכוחות הצלה")</f>
        <v>שוטרים וכוחות הצלה</v>
      </c>
      <c r="K1162" s="5"/>
      <c r="L1162" s="3" t="str">
        <f>IFERROR(__xludf.DUMMYFUNCTION("""COMPUTED_VALUE"""),"Ran Guili")</f>
        <v>Ran Guili</v>
      </c>
    </row>
    <row r="1163">
      <c r="A1163" s="3">
        <f>IFERROR(__xludf.DUMMYFUNCTION("""COMPUTED_VALUE"""),644.0)</f>
        <v>644</v>
      </c>
      <c r="B1163" s="4" t="str">
        <f>IFERROR(__xludf.DUMMYFUNCTION("""COMPUTED_VALUE"""),"יעקב יאיר")</f>
        <v>יעקב יאיר</v>
      </c>
      <c r="C1163" s="3">
        <f>IFERROR(__xludf.DUMMYFUNCTION("""COMPUTED_VALUE"""),59.0)</f>
        <v>59</v>
      </c>
      <c r="D1163" s="5" t="str">
        <f>IFERROR(__xludf.DUMMYFUNCTION("""COMPUTED_VALUE"""),"ניר עוז")</f>
        <v>ניר עוז</v>
      </c>
      <c r="E1163" s="5" t="str">
        <f>IFERROR(__xludf.DUMMYFUNCTION("""COMPUTED_VALUE"""),"גבר")</f>
        <v>גבר</v>
      </c>
      <c r="F1163" s="5" t="str">
        <f>IFERROR(__xludf.DUMMYFUNCTION("""COMPUTED_VALUE"""),"אזרחים")</f>
        <v>אזרחים</v>
      </c>
      <c r="G1163" s="3"/>
      <c r="H1163" s="3" t="str">
        <f>IFERROR(__xludf.DUMMYFUNCTION("""COMPUTED_VALUE"""),"07.10.2023")</f>
        <v>07.10.2023</v>
      </c>
      <c r="I1163" s="4" t="str">
        <f>IFERROR(__xludf.DUMMYFUNCTION("""COMPUTED_VALUE"""),"מערבית לניר עוז")</f>
        <v>מערבית לניר עוז</v>
      </c>
      <c r="J1163" s="2" t="str">
        <f>IFERROR(__xludf.DUMMYFUNCTION("""COMPUTED_VALUE"""),"אזרחים וכיתות כוננות")</f>
        <v>אזרחים וכיתות כוננות</v>
      </c>
      <c r="K1163" s="3"/>
      <c r="L1163" s="3" t="str">
        <f>IFERROR(__xludf.DUMMYFUNCTION("""COMPUTED_VALUE"""),"Yaakov Yair")</f>
        <v>Yaakov Yair</v>
      </c>
    </row>
    <row r="1164">
      <c r="A1164" s="3">
        <f>IFERROR(__xludf.DUMMYFUNCTION("""COMPUTED_VALUE"""),1726.0)</f>
        <v>1726</v>
      </c>
      <c r="B1164" s="2" t="str">
        <f>IFERROR(__xludf.DUMMYFUNCTION("""COMPUTED_VALUE"""),"דניאל עוז")</f>
        <v>דניאל עוז</v>
      </c>
      <c r="C1164" s="3">
        <f>IFERROR(__xludf.DUMMYFUNCTION("""COMPUTED_VALUE"""),19.0)</f>
        <v>19</v>
      </c>
      <c r="D1164" s="3" t="str">
        <f>IFERROR(__xludf.DUMMYFUNCTION("""COMPUTED_VALUE"""),"כפר סבא")</f>
        <v>כפר סבא</v>
      </c>
      <c r="E1164" s="3" t="str">
        <f>IFERROR(__xludf.DUMMYFUNCTION("""COMPUTED_VALUE"""),"גבר")</f>
        <v>גבר</v>
      </c>
      <c r="F1164" s="3" t="str">
        <f>IFERROR(__xludf.DUMMYFUNCTION("""COMPUTED_VALUE"""),"צה""ל")</f>
        <v>צה"ל</v>
      </c>
      <c r="G1164" s="3" t="str">
        <f>IFERROR(__xludf.DUMMYFUNCTION("""COMPUTED_VALUE"""),"סמל")</f>
        <v>סמל</v>
      </c>
      <c r="H1164" s="3" t="str">
        <f>IFERROR(__xludf.DUMMYFUNCTION("""COMPUTED_VALUE"""),"07.10.2023")</f>
        <v>07.10.2023</v>
      </c>
      <c r="I1164" s="2" t="str">
        <f>IFERROR(__xludf.DUMMYFUNCTION("""COMPUTED_VALUE"""),"בין ניר עוז לגבול")</f>
        <v>בין ניר עוז לגבול</v>
      </c>
      <c r="J1164" s="2" t="str">
        <f>IFERROR(__xludf.DUMMYFUNCTION("""COMPUTED_VALUE"""),"חיילים")</f>
        <v>חיילים</v>
      </c>
      <c r="K1164" s="3"/>
      <c r="L1164" s="3" t="str">
        <f>IFERROR(__xludf.DUMMYFUNCTION("""COMPUTED_VALUE"""),"Oz Daniel")</f>
        <v>Oz Daniel</v>
      </c>
    </row>
    <row r="1165">
      <c r="A1165" s="3">
        <f>IFERROR(__xludf.DUMMYFUNCTION("""COMPUTED_VALUE"""),428.0)</f>
        <v>428</v>
      </c>
      <c r="B1165" s="2" t="str">
        <f>IFERROR(__xludf.DUMMYFUNCTION("""COMPUTED_VALUE"""),"חן איתי")</f>
        <v>חן איתי</v>
      </c>
      <c r="C1165" s="3">
        <f>IFERROR(__xludf.DUMMYFUNCTION("""COMPUTED_VALUE"""),19.0)</f>
        <v>19</v>
      </c>
      <c r="D1165" s="3" t="str">
        <f>IFERROR(__xludf.DUMMYFUNCTION("""COMPUTED_VALUE"""),"נתניה")</f>
        <v>נתניה</v>
      </c>
      <c r="E1165" s="3" t="str">
        <f>IFERROR(__xludf.DUMMYFUNCTION("""COMPUTED_VALUE"""),"גבר")</f>
        <v>גבר</v>
      </c>
      <c r="F1165" s="3" t="str">
        <f>IFERROR(__xludf.DUMMYFUNCTION("""COMPUTED_VALUE"""),"צה""ל")</f>
        <v>צה"ל</v>
      </c>
      <c r="G1165" s="3" t="str">
        <f>IFERROR(__xludf.DUMMYFUNCTION("""COMPUTED_VALUE"""),"סמ״ר")</f>
        <v>סמ״ר</v>
      </c>
      <c r="H1165" s="3" t="str">
        <f>IFERROR(__xludf.DUMMYFUNCTION("""COMPUTED_VALUE"""),"07.10.2023")</f>
        <v>07.10.2023</v>
      </c>
      <c r="I1165" s="2" t="str">
        <f>IFERROR(__xludf.DUMMYFUNCTION("""COMPUTED_VALUE"""),"מוצב נחל עוז; טנק ב")</f>
        <v>מוצב נחל עוז; טנק ב</v>
      </c>
      <c r="J1165" s="2" t="str">
        <f>IFERROR(__xludf.DUMMYFUNCTION("""COMPUTED_VALUE"""),"חיילים")</f>
        <v>חיילים</v>
      </c>
      <c r="K1165" s="3"/>
      <c r="L1165" s="3" t="str">
        <f>IFERROR(__xludf.DUMMYFUNCTION("""COMPUTED_VALUE"""),"Itay Hen")</f>
        <v>Itay Hen</v>
      </c>
    </row>
    <row r="1166">
      <c r="A1166" s="3">
        <f>IFERROR(__xludf.DUMMYFUNCTION("""COMPUTED_VALUE"""),1599.0)</f>
        <v>1599</v>
      </c>
      <c r="B1166" s="2" t="str">
        <f>IFERROR(__xludf.DUMMYFUNCTION("""COMPUTED_VALUE"""),"פרץ דניאל")</f>
        <v>פרץ דניאל</v>
      </c>
      <c r="C1166" s="3">
        <f>IFERROR(__xludf.DUMMYFUNCTION("""COMPUTED_VALUE"""),22.0)</f>
        <v>22</v>
      </c>
      <c r="D1166" s="3" t="str">
        <f>IFERROR(__xludf.DUMMYFUNCTION("""COMPUTED_VALUE"""),"יד בנימין")</f>
        <v>יד בנימין</v>
      </c>
      <c r="E1166" s="3" t="str">
        <f>IFERROR(__xludf.DUMMYFUNCTION("""COMPUTED_VALUE"""),"גבר")</f>
        <v>גבר</v>
      </c>
      <c r="F1166" s="3" t="str">
        <f>IFERROR(__xludf.DUMMYFUNCTION("""COMPUTED_VALUE"""),"צה""ל")</f>
        <v>צה"ל</v>
      </c>
      <c r="G1166" s="3" t="str">
        <f>IFERROR(__xludf.DUMMYFUNCTION("""COMPUTED_VALUE"""),"סרן")</f>
        <v>סרן</v>
      </c>
      <c r="H1166" s="3" t="str">
        <f>IFERROR(__xludf.DUMMYFUNCTION("""COMPUTED_VALUE"""),"07.10.2023")</f>
        <v>07.10.2023</v>
      </c>
      <c r="I1166" s="2" t="str">
        <f>IFERROR(__xludf.DUMMYFUNCTION("""COMPUTED_VALUE"""),"מוצב נחל עוז; טנק ב")</f>
        <v>מוצב נחל עוז; טנק ב</v>
      </c>
      <c r="J1166" s="2" t="str">
        <f>IFERROR(__xludf.DUMMYFUNCTION("""COMPUTED_VALUE"""),"חיילים")</f>
        <v>חיילים</v>
      </c>
      <c r="K1166" s="3"/>
      <c r="L1166" s="3" t="str">
        <f>IFERROR(__xludf.DUMMYFUNCTION("""COMPUTED_VALUE"""),"Daniel Perets")</f>
        <v>Daniel Perets</v>
      </c>
    </row>
    <row r="1167">
      <c r="A1167" s="3">
        <f>IFERROR(__xludf.DUMMYFUNCTION("""COMPUTED_VALUE"""),1338.0)</f>
        <v>1338</v>
      </c>
      <c r="B1167" s="2" t="str">
        <f>IFERROR(__xludf.DUMMYFUNCTION("""COMPUTED_VALUE"""),"ברוך אוריאל")</f>
        <v>ברוך אוריאל</v>
      </c>
      <c r="C1167" s="3">
        <f>IFERROR(__xludf.DUMMYFUNCTION("""COMPUTED_VALUE"""),35.0)</f>
        <v>35</v>
      </c>
      <c r="D1167" s="3" t="str">
        <f>IFERROR(__xludf.DUMMYFUNCTION("""COMPUTED_VALUE"""),"טבעון")</f>
        <v>טבעון</v>
      </c>
      <c r="E1167" s="3" t="str">
        <f>IFERROR(__xludf.DUMMYFUNCTION("""COMPUTED_VALUE"""),"גבר")</f>
        <v>גבר</v>
      </c>
      <c r="F1167" s="3" t="str">
        <f>IFERROR(__xludf.DUMMYFUNCTION("""COMPUTED_VALUE"""),"אזרחים")</f>
        <v>אזרחים</v>
      </c>
      <c r="G1167" s="3"/>
      <c r="H1167" s="3" t="str">
        <f>IFERROR(__xludf.DUMMYFUNCTION("""COMPUTED_VALUE"""),"07.10.2023")</f>
        <v>07.10.2023</v>
      </c>
      <c r="I1167" s="2" t="str">
        <f>IFERROR(__xludf.DUMMYFUNCTION("""COMPUTED_VALUE"""),"סמוך למפלסים")</f>
        <v>סמוך למפלסים</v>
      </c>
      <c r="J1167" s="2" t="str">
        <f>IFERROR(__xludf.DUMMYFUNCTION("""COMPUTED_VALUE"""),"אזרחים וכיתות כוננות")</f>
        <v>אזרחים וכיתות כוננות</v>
      </c>
      <c r="K1167" s="3" t="str">
        <f>IFERROR(__xludf.DUMMYFUNCTION("""COMPUTED_VALUE"""),"פסטיבל נובה")</f>
        <v>פסטיבל נובה</v>
      </c>
      <c r="L1167" s="3" t="str">
        <f>IFERROR(__xludf.DUMMYFUNCTION("""COMPUTED_VALUE"""),"Uriel Baruch")</f>
        <v>Uriel Baruch</v>
      </c>
    </row>
    <row r="1168">
      <c r="A1168" s="3">
        <f>IFERROR(__xludf.DUMMYFUNCTION("""COMPUTED_VALUE"""),2024.0)</f>
        <v>2024</v>
      </c>
      <c r="B1168" s="2" t="str">
        <f>IFERROR(__xludf.DUMMYFUNCTION("""COMPUTED_VALUE"""),"בראווי האשם")</f>
        <v>בראווי האשם</v>
      </c>
      <c r="C1168" s="3"/>
      <c r="D1168" s="3" t="str">
        <f>IFERROR(__xludf.DUMMYFUNCTION("""COMPUTED_VALUE"""),"עזה")</f>
        <v>עזה</v>
      </c>
      <c r="E1168" s="3" t="str">
        <f>IFERROR(__xludf.DUMMYFUNCTION("""COMPUTED_VALUE"""),"גבר")</f>
        <v>גבר</v>
      </c>
      <c r="F1168" s="3" t="str">
        <f>IFERROR(__xludf.DUMMYFUNCTION("""COMPUTED_VALUE"""),"אזרחים זרים")</f>
        <v>אזרחים זרים</v>
      </c>
      <c r="G1168" s="3"/>
      <c r="H1168" s="3" t="str">
        <f>IFERROR(__xludf.DUMMYFUNCTION("""COMPUTED_VALUE"""),"07.10.2023")</f>
        <v>07.10.2023</v>
      </c>
      <c r="I1168" s="2" t="str">
        <f>IFERROR(__xludf.DUMMYFUNCTION("""COMPUTED_VALUE"""),"צומת שער הנגב")</f>
        <v>צומת שער הנגב</v>
      </c>
      <c r="J1168" s="2" t="str">
        <f>IFERROR(__xludf.DUMMYFUNCTION("""COMPUTED_VALUE"""),"אזרחים וכיתות כוננות")</f>
        <v>אזרחים וכיתות כוננות</v>
      </c>
      <c r="K1168" s="3"/>
      <c r="L1168" s="3" t="str">
        <f>IFERROR(__xludf.DUMMYFUNCTION("""COMPUTED_VALUE"""),"Hashem Barawi")</f>
        <v>Hashem Barawi</v>
      </c>
    </row>
    <row r="1169">
      <c r="A1169" s="3">
        <f>IFERROR(__xludf.DUMMYFUNCTION("""COMPUTED_VALUE"""),2027.0)</f>
        <v>2027</v>
      </c>
      <c r="B1169" s="2" t="str">
        <f>IFERROR(__xludf.DUMMYFUNCTION("""COMPUTED_VALUE"""),"מסרי סוהייל")</f>
        <v>מסרי סוהייל</v>
      </c>
      <c r="C1169" s="3"/>
      <c r="D1169" s="3" t="str">
        <f>IFERROR(__xludf.DUMMYFUNCTION("""COMPUTED_VALUE"""),"עזה")</f>
        <v>עזה</v>
      </c>
      <c r="E1169" s="3" t="str">
        <f>IFERROR(__xludf.DUMMYFUNCTION("""COMPUTED_VALUE"""),"גבר")</f>
        <v>גבר</v>
      </c>
      <c r="F1169" s="3" t="str">
        <f>IFERROR(__xludf.DUMMYFUNCTION("""COMPUTED_VALUE"""),"אזרחים זרים")</f>
        <v>אזרחים זרים</v>
      </c>
      <c r="G1169" s="3"/>
      <c r="H1169" s="3" t="str">
        <f>IFERROR(__xludf.DUMMYFUNCTION("""COMPUTED_VALUE"""),"07.10.2023")</f>
        <v>07.10.2023</v>
      </c>
      <c r="I1169" s="2" t="str">
        <f>IFERROR(__xludf.DUMMYFUNCTION("""COMPUTED_VALUE"""),"צומת שער הנגב")</f>
        <v>צומת שער הנגב</v>
      </c>
      <c r="J1169" s="2" t="str">
        <f>IFERROR(__xludf.DUMMYFUNCTION("""COMPUTED_VALUE"""),"אזרחים וכיתות כוננות")</f>
        <v>אזרחים וכיתות כוננות</v>
      </c>
      <c r="K1169" s="3"/>
      <c r="L1169" s="3" t="str">
        <f>IFERROR(__xludf.DUMMYFUNCTION("""COMPUTED_VALUE"""),"Suheil Masri")</f>
        <v>Suheil Masri</v>
      </c>
    </row>
    <row r="1170">
      <c r="A1170" s="3">
        <f>IFERROR(__xludf.DUMMYFUNCTION("""COMPUTED_VALUE"""),2028.0)</f>
        <v>2028</v>
      </c>
      <c r="B1170" s="2" t="str">
        <f>IFERROR(__xludf.DUMMYFUNCTION("""COMPUTED_VALUE"""),"אלמסרי חורי")</f>
        <v>אלמסרי חורי</v>
      </c>
      <c r="C1170" s="3"/>
      <c r="D1170" s="3" t="str">
        <f>IFERROR(__xludf.DUMMYFUNCTION("""COMPUTED_VALUE"""),"עזה")</f>
        <v>עזה</v>
      </c>
      <c r="E1170" s="3" t="str">
        <f>IFERROR(__xludf.DUMMYFUNCTION("""COMPUTED_VALUE"""),"גבר")</f>
        <v>גבר</v>
      </c>
      <c r="F1170" s="3" t="str">
        <f>IFERROR(__xludf.DUMMYFUNCTION("""COMPUTED_VALUE"""),"אזרחים זרים")</f>
        <v>אזרחים זרים</v>
      </c>
      <c r="G1170" s="3"/>
      <c r="H1170" s="3" t="str">
        <f>IFERROR(__xludf.DUMMYFUNCTION("""COMPUTED_VALUE"""),"07.10.2023")</f>
        <v>07.10.2023</v>
      </c>
      <c r="I1170" s="2" t="str">
        <f>IFERROR(__xludf.DUMMYFUNCTION("""COMPUTED_VALUE"""),"צומת שער הנגב")</f>
        <v>צומת שער הנגב</v>
      </c>
      <c r="J1170" s="2" t="str">
        <f>IFERROR(__xludf.DUMMYFUNCTION("""COMPUTED_VALUE"""),"אזרחים וכיתות כוננות")</f>
        <v>אזרחים וכיתות כוננות</v>
      </c>
      <c r="K1170" s="3"/>
      <c r="L1170" s="3" t="str">
        <f>IFERROR(__xludf.DUMMYFUNCTION("""COMPUTED_VALUE"""),"Huri Elmasri")</f>
        <v>Huri Elmasri</v>
      </c>
    </row>
    <row r="1171">
      <c r="A1171" s="3">
        <f>IFERROR(__xludf.DUMMYFUNCTION("""COMPUTED_VALUE"""),2029.0)</f>
        <v>2029</v>
      </c>
      <c r="B1171" s="2" t="str">
        <f>IFERROR(__xludf.DUMMYFUNCTION("""COMPUTED_VALUE"""),"אלעטאר סלימאן")</f>
        <v>אלעטאר סלימאן</v>
      </c>
      <c r="C1171" s="3"/>
      <c r="D1171" s="3" t="str">
        <f>IFERROR(__xludf.DUMMYFUNCTION("""COMPUTED_VALUE"""),"עזה")</f>
        <v>עזה</v>
      </c>
      <c r="E1171" s="3" t="str">
        <f>IFERROR(__xludf.DUMMYFUNCTION("""COMPUTED_VALUE"""),"גבר")</f>
        <v>גבר</v>
      </c>
      <c r="F1171" s="3" t="str">
        <f>IFERROR(__xludf.DUMMYFUNCTION("""COMPUTED_VALUE"""),"אזרחים זרים")</f>
        <v>אזרחים זרים</v>
      </c>
      <c r="G1171" s="3"/>
      <c r="H1171" s="3" t="str">
        <f>IFERROR(__xludf.DUMMYFUNCTION("""COMPUTED_VALUE"""),"07.10.2023")</f>
        <v>07.10.2023</v>
      </c>
      <c r="I1171" s="2" t="str">
        <f>IFERROR(__xludf.DUMMYFUNCTION("""COMPUTED_VALUE"""),"צומת שער הנגב")</f>
        <v>צומת שער הנגב</v>
      </c>
      <c r="J1171" s="2" t="str">
        <f>IFERROR(__xludf.DUMMYFUNCTION("""COMPUTED_VALUE"""),"אזרחים וכיתות כוננות")</f>
        <v>אזרחים וכיתות כוננות</v>
      </c>
      <c r="K1171" s="3"/>
      <c r="L1171" s="3" t="str">
        <f>IFERROR(__xludf.DUMMYFUNCTION("""COMPUTED_VALUE"""),"Suliman Elatar")</f>
        <v>Suliman Elatar</v>
      </c>
    </row>
    <row r="1172">
      <c r="A1172" s="3">
        <f>IFERROR(__xludf.DUMMYFUNCTION("""COMPUTED_VALUE"""),2030.0)</f>
        <v>2030</v>
      </c>
      <c r="B1172" s="2" t="str">
        <f>IFERROR(__xludf.DUMMYFUNCTION("""COMPUTED_VALUE"""),"גאנם זיאד")</f>
        <v>גאנם זיאד</v>
      </c>
      <c r="C1172" s="3"/>
      <c r="D1172" s="3" t="str">
        <f>IFERROR(__xludf.DUMMYFUNCTION("""COMPUTED_VALUE"""),"עזה")</f>
        <v>עזה</v>
      </c>
      <c r="E1172" s="3" t="str">
        <f>IFERROR(__xludf.DUMMYFUNCTION("""COMPUTED_VALUE"""),"גבר")</f>
        <v>גבר</v>
      </c>
      <c r="F1172" s="3" t="str">
        <f>IFERROR(__xludf.DUMMYFUNCTION("""COMPUTED_VALUE"""),"אזרחים זרים")</f>
        <v>אזרחים זרים</v>
      </c>
      <c r="G1172" s="3"/>
      <c r="H1172" s="3" t="str">
        <f>IFERROR(__xludf.DUMMYFUNCTION("""COMPUTED_VALUE"""),"07.10.2023")</f>
        <v>07.10.2023</v>
      </c>
      <c r="I1172" s="2" t="str">
        <f>IFERROR(__xludf.DUMMYFUNCTION("""COMPUTED_VALUE"""),"צומת שער הנגב")</f>
        <v>צומת שער הנגב</v>
      </c>
      <c r="J1172" s="2" t="str">
        <f>IFERROR(__xludf.DUMMYFUNCTION("""COMPUTED_VALUE"""),"אזרחים וכיתות כוננות")</f>
        <v>אזרחים וכיתות כוננות</v>
      </c>
      <c r="K1172" s="3"/>
      <c r="L1172" s="3" t="str">
        <f>IFERROR(__xludf.DUMMYFUNCTION("""COMPUTED_VALUE"""),"Ziad Ganem")</f>
        <v>Ziad Ganem</v>
      </c>
    </row>
    <row r="1173">
      <c r="A1173" s="3">
        <f>IFERROR(__xludf.DUMMYFUNCTION("""COMPUTED_VALUE"""),584.0)</f>
        <v>584</v>
      </c>
      <c r="B1173" s="2" t="str">
        <f>IFERROR(__xludf.DUMMYFUNCTION("""COMPUTED_VALUE"""),"קציר אלעד")</f>
        <v>קציר אלעד</v>
      </c>
      <c r="C1173" s="3">
        <f>IFERROR(__xludf.DUMMYFUNCTION("""COMPUTED_VALUE"""),47.0)</f>
        <v>47</v>
      </c>
      <c r="D1173" s="3" t="str">
        <f>IFERROR(__xludf.DUMMYFUNCTION("""COMPUTED_VALUE"""),"ניר עוז")</f>
        <v>ניר עוז</v>
      </c>
      <c r="E1173" s="3" t="str">
        <f>IFERROR(__xludf.DUMMYFUNCTION("""COMPUTED_VALUE"""),"גבר")</f>
        <v>גבר</v>
      </c>
      <c r="F1173" s="3" t="str">
        <f>IFERROR(__xludf.DUMMYFUNCTION("""COMPUTED_VALUE"""),"אזרחים")</f>
        <v>אזרחים</v>
      </c>
      <c r="G1173" s="3"/>
      <c r="H1173" s="3" t="str">
        <f>IFERROR(__xludf.DUMMYFUNCTION("""COMPUTED_VALUE"""),"15.01.2024")</f>
        <v>15.01.2024</v>
      </c>
      <c r="I1173" s="2" t="str">
        <f>IFERROR(__xludf.DUMMYFUNCTION("""COMPUTED_VALUE"""),"חאן יונס")</f>
        <v>חאן יונס</v>
      </c>
      <c r="J1173" s="2" t="str">
        <f>IFERROR(__xludf.DUMMYFUNCTION("""COMPUTED_VALUE"""),"אזרחים וכיתות כוננות")</f>
        <v>אזרחים וכיתות כוננות</v>
      </c>
      <c r="K1173" s="3"/>
      <c r="L1173" s="3" t="str">
        <f>IFERROR(__xludf.DUMMYFUNCTION("""COMPUTED_VALUE"""),"Elad Katzir")</f>
        <v>Elad Katzir</v>
      </c>
    </row>
    <row r="1174">
      <c r="A1174" s="3">
        <f>IFERROR(__xludf.DUMMYFUNCTION("""COMPUTED_VALUE"""),1320.0)</f>
        <v>1320</v>
      </c>
      <c r="B1174" s="2" t="str">
        <f>IFERROR(__xludf.DUMMYFUNCTION("""COMPUTED_VALUE"""),"אור דרור")</f>
        <v>אור דרור</v>
      </c>
      <c r="C1174" s="3">
        <f>IFERROR(__xludf.DUMMYFUNCTION("""COMPUTED_VALUE"""),48.0)</f>
        <v>48</v>
      </c>
      <c r="D1174" s="3" t="str">
        <f>IFERROR(__xludf.DUMMYFUNCTION("""COMPUTED_VALUE"""),"בארי")</f>
        <v>בארי</v>
      </c>
      <c r="E1174" s="3" t="str">
        <f>IFERROR(__xludf.DUMMYFUNCTION("""COMPUTED_VALUE"""),"גבר")</f>
        <v>גבר</v>
      </c>
      <c r="F1174" s="3" t="str">
        <f>IFERROR(__xludf.DUMMYFUNCTION("""COMPUTED_VALUE"""),"אזרחים")</f>
        <v>אזרחים</v>
      </c>
      <c r="G1174" s="3"/>
      <c r="H1174" s="3" t="str">
        <f>IFERROR(__xludf.DUMMYFUNCTION("""COMPUTED_VALUE"""),"07.10.2023")</f>
        <v>07.10.2023</v>
      </c>
      <c r="I1174" s="2" t="str">
        <f>IFERROR(__xludf.DUMMYFUNCTION("""COMPUTED_VALUE"""),"בארי")</f>
        <v>בארי</v>
      </c>
      <c r="J1174" s="2" t="str">
        <f>IFERROR(__xludf.DUMMYFUNCTION("""COMPUTED_VALUE"""),"אזרחים וכיתות כוננות")</f>
        <v>אזרחים וכיתות כוננות</v>
      </c>
      <c r="K1174" s="3"/>
      <c r="L1174" s="3" t="str">
        <f>IFERROR(__xludf.DUMMYFUNCTION("""COMPUTED_VALUE"""),"Dror Or")</f>
        <v>Dror Or</v>
      </c>
    </row>
    <row r="1175">
      <c r="A1175" s="3">
        <f>IFERROR(__xludf.DUMMYFUNCTION("""COMPUTED_VALUE"""),798.0)</f>
        <v>798</v>
      </c>
      <c r="B1175" s="2" t="str">
        <f>IFERROR(__xludf.DUMMYFUNCTION("""COMPUTED_VALUE"""),"ליבמן אליקים")</f>
        <v>ליבמן אליקים</v>
      </c>
      <c r="C1175" s="3">
        <f>IFERROR(__xludf.DUMMYFUNCTION("""COMPUTED_VALUE"""),24.0)</f>
        <v>24</v>
      </c>
      <c r="D1175" s="3" t="str">
        <f>IFERROR(__xludf.DUMMYFUNCTION("""COMPUTED_VALUE"""),"קרית ארבע")</f>
        <v>קרית ארבע</v>
      </c>
      <c r="E1175" s="3" t="str">
        <f>IFERROR(__xludf.DUMMYFUNCTION("""COMPUTED_VALUE"""),"גבר")</f>
        <v>גבר</v>
      </c>
      <c r="F1175" s="3" t="str">
        <f>IFERROR(__xludf.DUMMYFUNCTION("""COMPUTED_VALUE"""),"אזרחים")</f>
        <v>אזרחים</v>
      </c>
      <c r="G1175" s="3"/>
      <c r="H1175" s="3" t="str">
        <f>IFERROR(__xludf.DUMMYFUNCTION("""COMPUTED_VALUE"""),"07.10.2023")</f>
        <v>07.10.2023</v>
      </c>
      <c r="I1175" s="2" t="str">
        <f>IFERROR(__xludf.DUMMYFUNCTION("""COMPUTED_VALUE"""),"פסטיבל נובה; אמבולנס")</f>
        <v>פסטיבל נובה; אמבולנס</v>
      </c>
      <c r="J1175" s="2" t="str">
        <f>IFERROR(__xludf.DUMMYFUNCTION("""COMPUTED_VALUE"""),"אזרחים וכיתות כוננות")</f>
        <v>אזרחים וכיתות כוננות</v>
      </c>
      <c r="K1175" s="3" t="str">
        <f>IFERROR(__xludf.DUMMYFUNCTION("""COMPUTED_VALUE"""),"פסטיבל נובה")</f>
        <v>פסטיבל נובה</v>
      </c>
      <c r="L1175" s="3" t="str">
        <f>IFERROR(__xludf.DUMMYFUNCTION("""COMPUTED_VALUE"""),"Elyakim Libman")</f>
        <v>Elyakim Libman</v>
      </c>
    </row>
    <row r="1176">
      <c r="A1176" s="3">
        <f>IFERROR(__xludf.DUMMYFUNCTION("""COMPUTED_VALUE"""),659.0)</f>
        <v>659</v>
      </c>
      <c r="B1176" s="2" t="str">
        <f>IFERROR(__xludf.DUMMYFUNCTION("""COMPUTED_VALUE"""),"רודאיף ליאור")</f>
        <v>רודאיף ליאור</v>
      </c>
      <c r="C1176" s="3">
        <f>IFERROR(__xludf.DUMMYFUNCTION("""COMPUTED_VALUE"""),61.0)</f>
        <v>61</v>
      </c>
      <c r="D1176" s="3" t="str">
        <f>IFERROR(__xludf.DUMMYFUNCTION("""COMPUTED_VALUE"""),"ניר יצחק")</f>
        <v>ניר יצחק</v>
      </c>
      <c r="E1176" s="3" t="str">
        <f>IFERROR(__xludf.DUMMYFUNCTION("""COMPUTED_VALUE"""),"גבר")</f>
        <v>גבר</v>
      </c>
      <c r="F1176" s="3" t="str">
        <f>IFERROR(__xludf.DUMMYFUNCTION("""COMPUTED_VALUE"""),"אזרחים")</f>
        <v>אזרחים</v>
      </c>
      <c r="G1176" s="3"/>
      <c r="H1176" s="3" t="str">
        <f>IFERROR(__xludf.DUMMYFUNCTION("""COMPUTED_VALUE"""),"07.10.2023")</f>
        <v>07.10.2023</v>
      </c>
      <c r="I1176" s="2" t="str">
        <f>IFERROR(__xludf.DUMMYFUNCTION("""COMPUTED_VALUE"""),"ניר יצחק")</f>
        <v>ניר יצחק</v>
      </c>
      <c r="J1176" s="2" t="str">
        <f>IFERROR(__xludf.DUMMYFUNCTION("""COMPUTED_VALUE"""),"אזרחים וכיתות כוננות")</f>
        <v>אזרחים וכיתות כוננות</v>
      </c>
      <c r="K1176" s="3"/>
      <c r="L1176" s="3" t="str">
        <f>IFERROR(__xludf.DUMMYFUNCTION("""COMPUTED_VALUE"""),"Lior Rudaeff")</f>
        <v>Lior Rudaeff</v>
      </c>
    </row>
    <row r="1177">
      <c r="A1177" s="3">
        <f>IFERROR(__xludf.DUMMYFUNCTION("""COMPUTED_VALUE"""),1702.0)</f>
        <v>1702</v>
      </c>
      <c r="B1177" s="2" t="str">
        <f>IFERROR(__xludf.DUMMYFUNCTION("""COMPUTED_VALUE"""),"Shi Zhenhong")</f>
        <v>Shi Zhenhong</v>
      </c>
      <c r="C1177" s="3">
        <f>IFERROR(__xludf.DUMMYFUNCTION("""COMPUTED_VALUE"""),47.0)</f>
        <v>47</v>
      </c>
      <c r="D1177" s="3" t="str">
        <f>IFERROR(__xludf.DUMMYFUNCTION("""COMPUTED_VALUE"""),"סין")</f>
        <v>סין</v>
      </c>
      <c r="E1177" s="3" t="str">
        <f>IFERROR(__xludf.DUMMYFUNCTION("""COMPUTED_VALUE"""),"גבר")</f>
        <v>גבר</v>
      </c>
      <c r="F1177" s="3" t="str">
        <f>IFERROR(__xludf.DUMMYFUNCTION("""COMPUTED_VALUE"""),"אזרחים זרים")</f>
        <v>אזרחים זרים</v>
      </c>
      <c r="G1177" s="3"/>
      <c r="H1177" s="3" t="str">
        <f>IFERROR(__xludf.DUMMYFUNCTION("""COMPUTED_VALUE"""),"07.10.2023")</f>
        <v>07.10.2023</v>
      </c>
      <c r="I1177" s="2" t="str">
        <f>IFERROR(__xludf.DUMMYFUNCTION("""COMPUTED_VALUE"""),"שדרות")</f>
        <v>שדרות</v>
      </c>
      <c r="J1177" s="2" t="str">
        <f>IFERROR(__xludf.DUMMYFUNCTION("""COMPUTED_VALUE"""),"אזרחים וכיתות כוננות")</f>
        <v>אזרחים וכיתות כוננות</v>
      </c>
      <c r="K1177" s="3"/>
      <c r="L1177" s="3" t="str">
        <f>IFERROR(__xludf.DUMMYFUNCTION("""COMPUTED_VALUE"""),"Zanhung Chi")</f>
        <v>Zanhung Chi</v>
      </c>
    </row>
    <row r="1178">
      <c r="A1178" s="3">
        <f>IFERROR(__xludf.DUMMYFUNCTION("""COMPUTED_VALUE"""),2031.0)</f>
        <v>2031</v>
      </c>
      <c r="B1178" s="2" t="str">
        <f>IFERROR(__xludf.DUMMYFUNCTION("""COMPUTED_VALUE"""),"Liu Jianhe")</f>
        <v>Liu Jianhe</v>
      </c>
      <c r="C1178" s="3">
        <f>IFERROR(__xludf.DUMMYFUNCTION("""COMPUTED_VALUE"""),51.0)</f>
        <v>51</v>
      </c>
      <c r="D1178" s="3" t="str">
        <f>IFERROR(__xludf.DUMMYFUNCTION("""COMPUTED_VALUE"""),"סין")</f>
        <v>סין</v>
      </c>
      <c r="E1178" s="3" t="str">
        <f>IFERROR(__xludf.DUMMYFUNCTION("""COMPUTED_VALUE"""),"גבר")</f>
        <v>גבר</v>
      </c>
      <c r="F1178" s="3" t="str">
        <f>IFERROR(__xludf.DUMMYFUNCTION("""COMPUTED_VALUE"""),"אזרחים זרים")</f>
        <v>אזרחים זרים</v>
      </c>
      <c r="G1178" s="3"/>
      <c r="H1178" s="3" t="str">
        <f>IFERROR(__xludf.DUMMYFUNCTION("""COMPUTED_VALUE"""),"07.10.2023")</f>
        <v>07.10.2023</v>
      </c>
      <c r="I1178" s="2" t="str">
        <f>IFERROR(__xludf.DUMMYFUNCTION("""COMPUTED_VALUE"""),"דרומית לגבים")</f>
        <v>דרומית לגבים</v>
      </c>
      <c r="J1178" s="2" t="str">
        <f>IFERROR(__xludf.DUMMYFUNCTION("""COMPUTED_VALUE"""),"אזרחים וכיתות כוננות")</f>
        <v>אזרחים וכיתות כוננות</v>
      </c>
      <c r="K1178" s="3"/>
      <c r="L1178" s="3" t="str">
        <f>IFERROR(__xludf.DUMMYFUNCTION("""COMPUTED_VALUE"""),"Jianhe Liu")</f>
        <v>Jianhe Liu</v>
      </c>
    </row>
    <row r="1179">
      <c r="A1179" s="3">
        <f>IFERROR(__xludf.DUMMYFUNCTION("""COMPUTED_VALUE"""),2032.0)</f>
        <v>2032</v>
      </c>
      <c r="B1179" s="2" t="str">
        <f>IFERROR(__xludf.DUMMYFUNCTION("""COMPUTED_VALUE"""),"Liu Zhiguo")</f>
        <v>Liu Zhiguo</v>
      </c>
      <c r="C1179" s="3">
        <f>IFERROR(__xludf.DUMMYFUNCTION("""COMPUTED_VALUE"""),43.0)</f>
        <v>43</v>
      </c>
      <c r="D1179" s="3" t="str">
        <f>IFERROR(__xludf.DUMMYFUNCTION("""COMPUTED_VALUE"""),"סין")</f>
        <v>סין</v>
      </c>
      <c r="E1179" s="3" t="str">
        <f>IFERROR(__xludf.DUMMYFUNCTION("""COMPUTED_VALUE"""),"גבר")</f>
        <v>גבר</v>
      </c>
      <c r="F1179" s="3" t="str">
        <f>IFERROR(__xludf.DUMMYFUNCTION("""COMPUTED_VALUE"""),"אזרחים זרים")</f>
        <v>אזרחים זרים</v>
      </c>
      <c r="G1179" s="3"/>
      <c r="H1179" s="3" t="str">
        <f>IFERROR(__xludf.DUMMYFUNCTION("""COMPUTED_VALUE"""),"07.10.2023")</f>
        <v>07.10.2023</v>
      </c>
      <c r="I1179" s="2" t="str">
        <f>IFERROR(__xludf.DUMMYFUNCTION("""COMPUTED_VALUE"""),"דרומית לגבים")</f>
        <v>דרומית לגבים</v>
      </c>
      <c r="J1179" s="2" t="str">
        <f>IFERROR(__xludf.DUMMYFUNCTION("""COMPUTED_VALUE"""),"אזרחים וכיתות כוננות")</f>
        <v>אזרחים וכיתות כוננות</v>
      </c>
      <c r="K1179" s="3"/>
      <c r="L1179" s="3" t="str">
        <f>IFERROR(__xludf.DUMMYFUNCTION("""COMPUTED_VALUE"""),"Zhiguo Liu")</f>
        <v>Zhiguo Liu</v>
      </c>
    </row>
    <row r="1180">
      <c r="A1180" s="3">
        <f>IFERROR(__xludf.DUMMYFUNCTION("""COMPUTED_VALUE"""),1734.0)</f>
        <v>1734</v>
      </c>
      <c r="B1180" s="2" t="str">
        <f>IFERROR(__xludf.DUMMYFUNCTION("""COMPUTED_VALUE"""),"Oakkharasri Sonthaya")</f>
        <v>Oakkharasri Sonthaya</v>
      </c>
      <c r="C1180" s="3"/>
      <c r="D1180" s="3" t="str">
        <f>IFERROR(__xludf.DUMMYFUNCTION("""COMPUTED_VALUE"""),"תאילנד")</f>
        <v>תאילנד</v>
      </c>
      <c r="E1180" s="3" t="str">
        <f>IFERROR(__xludf.DUMMYFUNCTION("""COMPUTED_VALUE"""),"גבר")</f>
        <v>גבר</v>
      </c>
      <c r="F1180" s="3" t="str">
        <f>IFERROR(__xludf.DUMMYFUNCTION("""COMPUTED_VALUE"""),"אזרחים זרים")</f>
        <v>אזרחים זרים</v>
      </c>
      <c r="G1180" s="3"/>
      <c r="H1180" s="3" t="str">
        <f>IFERROR(__xludf.DUMMYFUNCTION("""COMPUTED_VALUE"""),"07.10.2023")</f>
        <v>07.10.2023</v>
      </c>
      <c r="I1180" s="2" t="str">
        <f>IFERROR(__xludf.DUMMYFUNCTION("""COMPUTED_VALUE"""),"מטעים של בארי (מגורי עובדים)")</f>
        <v>מטעים של בארי (מגורי עובדים)</v>
      </c>
      <c r="J1180" s="2" t="str">
        <f>IFERROR(__xludf.DUMMYFUNCTION("""COMPUTED_VALUE"""),"אזרחים וכיתות כוננות")</f>
        <v>אזרחים וכיתות כוננות</v>
      </c>
      <c r="K1180" s="3"/>
      <c r="L1180" s="3" t="str">
        <f>IFERROR(__xludf.DUMMYFUNCTION("""COMPUTED_VALUE"""),"Sonthaya Oakkharasri")</f>
        <v>Sonthaya Oakkharasri</v>
      </c>
    </row>
    <row r="1181">
      <c r="A1181" s="3">
        <f>IFERROR(__xludf.DUMMYFUNCTION("""COMPUTED_VALUE"""),1735.0)</f>
        <v>1735</v>
      </c>
      <c r="B1181" s="2" t="str">
        <f>IFERROR(__xludf.DUMMYFUNCTION("""COMPUTED_VALUE"""),"Rinthalak Sudthisak")</f>
        <v>Rinthalak Sudthisak</v>
      </c>
      <c r="C1181" s="3"/>
      <c r="D1181" s="3" t="str">
        <f>IFERROR(__xludf.DUMMYFUNCTION("""COMPUTED_VALUE"""),"תאילנד")</f>
        <v>תאילנד</v>
      </c>
      <c r="E1181" s="3" t="str">
        <f>IFERROR(__xludf.DUMMYFUNCTION("""COMPUTED_VALUE"""),"גבר")</f>
        <v>גבר</v>
      </c>
      <c r="F1181" s="3" t="str">
        <f>IFERROR(__xludf.DUMMYFUNCTION("""COMPUTED_VALUE"""),"אזרחים זרים")</f>
        <v>אזרחים זרים</v>
      </c>
      <c r="G1181" s="3"/>
      <c r="H1181" s="3" t="str">
        <f>IFERROR(__xludf.DUMMYFUNCTION("""COMPUTED_VALUE"""),"07.10.2023")</f>
        <v>07.10.2023</v>
      </c>
      <c r="I1181" s="2" t="str">
        <f>IFERROR(__xludf.DUMMYFUNCTION("""COMPUTED_VALUE"""),"מטעים של בארי (מגורי עובדים)")</f>
        <v>מטעים של בארי (מגורי עובדים)</v>
      </c>
      <c r="J1181" s="2" t="str">
        <f>IFERROR(__xludf.DUMMYFUNCTION("""COMPUTED_VALUE"""),"אזרחים וכיתות כוננות")</f>
        <v>אזרחים וכיתות כוננות</v>
      </c>
      <c r="K1181" s="3"/>
      <c r="L1181" s="3" t="str">
        <f>IFERROR(__xludf.DUMMYFUNCTION("""COMPUTED_VALUE"""),"Sudthisak Rinthalak")</f>
        <v>Sudthisak Rinthalak</v>
      </c>
    </row>
    <row r="1182">
      <c r="A1182" s="3">
        <f>IFERROR(__xludf.DUMMYFUNCTION("""COMPUTED_VALUE"""),716.0)</f>
        <v>716</v>
      </c>
      <c r="B1182" s="2" t="str">
        <f>IFERROR(__xludf.DUMMYFUNCTION("""COMPUTED_VALUE"""),"בוסקילה עמית")</f>
        <v>בוסקילה עמית</v>
      </c>
      <c r="C1182" s="3">
        <f>IFERROR(__xludf.DUMMYFUNCTION("""COMPUTED_VALUE"""),28.0)</f>
        <v>28</v>
      </c>
      <c r="D1182" s="3" t="str">
        <f>IFERROR(__xludf.DUMMYFUNCTION("""COMPUTED_VALUE"""),"אשדוד")</f>
        <v>אשדוד</v>
      </c>
      <c r="E1182" s="3" t="str">
        <f>IFERROR(__xludf.DUMMYFUNCTION("""COMPUTED_VALUE"""),"אישה")</f>
        <v>אישה</v>
      </c>
      <c r="F1182" s="3" t="str">
        <f>IFERROR(__xludf.DUMMYFUNCTION("""COMPUTED_VALUE"""),"אזרחים")</f>
        <v>אזרחים</v>
      </c>
      <c r="G1182" s="3"/>
      <c r="H1182" s="3" t="str">
        <f>IFERROR(__xludf.DUMMYFUNCTION("""COMPUTED_VALUE"""),"07.10.2023")</f>
        <v>07.10.2023</v>
      </c>
      <c r="I1182" s="2" t="str">
        <f>IFERROR(__xludf.DUMMYFUNCTION("""COMPUTED_VALUE"""),"סמוך למפלסים")</f>
        <v>סמוך למפלסים</v>
      </c>
      <c r="J1182" s="2" t="str">
        <f>IFERROR(__xludf.DUMMYFUNCTION("""COMPUTED_VALUE"""),"אזרחים וכיתות כוננות")</f>
        <v>אזרחים וכיתות כוננות</v>
      </c>
      <c r="K1182" s="3" t="str">
        <f>IFERROR(__xludf.DUMMYFUNCTION("""COMPUTED_VALUE"""),"פסטיבל נובה")</f>
        <v>פסטיבל נובה</v>
      </c>
      <c r="L1182" s="3" t="str">
        <f>IFERROR(__xludf.DUMMYFUNCTION("""COMPUTED_VALUE"""),"Amit Esther Buskila")</f>
        <v>Amit Esther Buskila</v>
      </c>
    </row>
    <row r="1183">
      <c r="A1183" s="3">
        <f>IFERROR(__xludf.DUMMYFUNCTION("""COMPUTED_VALUE"""),1600.0)</f>
        <v>1600</v>
      </c>
      <c r="B1183" s="2" t="str">
        <f>IFERROR(__xludf.DUMMYFUNCTION("""COMPUTED_VALUE"""),"גלרנטר יצחק (איציק)")</f>
        <v>גלרנטר יצחק (איציק)</v>
      </c>
      <c r="C1183" s="3">
        <f>IFERROR(__xludf.DUMMYFUNCTION("""COMPUTED_VALUE"""),53.0)</f>
        <v>53</v>
      </c>
      <c r="D1183" s="3" t="str">
        <f>IFERROR(__xludf.DUMMYFUNCTION("""COMPUTED_VALUE"""),"אירוס")</f>
        <v>אירוס</v>
      </c>
      <c r="E1183" s="3" t="str">
        <f>IFERROR(__xludf.DUMMYFUNCTION("""COMPUTED_VALUE"""),"גבר")</f>
        <v>גבר</v>
      </c>
      <c r="F1183" s="3" t="str">
        <f>IFERROR(__xludf.DUMMYFUNCTION("""COMPUTED_VALUE"""),"אזרחים")</f>
        <v>אזרחים</v>
      </c>
      <c r="G1183" s="3"/>
      <c r="H1183" s="3" t="str">
        <f>IFERROR(__xludf.DUMMYFUNCTION("""COMPUTED_VALUE"""),"07.10.2023")</f>
        <v>07.10.2023</v>
      </c>
      <c r="I1183" s="2" t="str">
        <f>IFERROR(__xludf.DUMMYFUNCTION("""COMPUTED_VALUE"""),"סמוך למפלסים")</f>
        <v>סמוך למפלסים</v>
      </c>
      <c r="J1183" s="2" t="str">
        <f>IFERROR(__xludf.DUMMYFUNCTION("""COMPUTED_VALUE"""),"אזרחים וכיתות כוננות")</f>
        <v>אזרחים וכיתות כוננות</v>
      </c>
      <c r="K1183" s="3" t="str">
        <f>IFERROR(__xludf.DUMMYFUNCTION("""COMPUTED_VALUE"""),"פסטיבל נובה")</f>
        <v>פסטיבל נובה</v>
      </c>
      <c r="L1183" s="3" t="str">
        <f>IFERROR(__xludf.DUMMYFUNCTION("""COMPUTED_VALUE"""),"Itzhak Gelerenter")</f>
        <v>Itzhak Gelerenter</v>
      </c>
    </row>
    <row r="1184">
      <c r="A1184" s="3">
        <f>IFERROR(__xludf.DUMMYFUNCTION("""COMPUTED_VALUE"""),402.0)</f>
        <v>402</v>
      </c>
      <c r="B1184" s="2" t="str">
        <f>IFERROR(__xludf.DUMMYFUNCTION("""COMPUTED_VALUE"""),"בנימין רון")</f>
        <v>בנימין רון</v>
      </c>
      <c r="C1184" s="3">
        <f>IFERROR(__xludf.DUMMYFUNCTION("""COMPUTED_VALUE"""),59.0)</f>
        <v>59</v>
      </c>
      <c r="D1184" s="3" t="str">
        <f>IFERROR(__xludf.DUMMYFUNCTION("""COMPUTED_VALUE"""),"רחובות")</f>
        <v>רחובות</v>
      </c>
      <c r="E1184" s="3" t="str">
        <f>IFERROR(__xludf.DUMMYFUNCTION("""COMPUTED_VALUE"""),"גבר")</f>
        <v>גבר</v>
      </c>
      <c r="F1184" s="3" t="str">
        <f>IFERROR(__xludf.DUMMYFUNCTION("""COMPUTED_VALUE"""),"אזרחים")</f>
        <v>אזרחים</v>
      </c>
      <c r="G1184" s="3"/>
      <c r="H1184" s="3" t="str">
        <f>IFERROR(__xludf.DUMMYFUNCTION("""COMPUTED_VALUE"""),"07.10.2023")</f>
        <v>07.10.2023</v>
      </c>
      <c r="I1184" s="2" t="str">
        <f>IFERROR(__xludf.DUMMYFUNCTION("""COMPUTED_VALUE"""),"סמוך למפלסים")</f>
        <v>סמוך למפלסים</v>
      </c>
      <c r="J1184" s="2" t="str">
        <f>IFERROR(__xludf.DUMMYFUNCTION("""COMPUTED_VALUE"""),"אזרחים וכיתות כוננות")</f>
        <v>אזרחים וכיתות כוננות</v>
      </c>
      <c r="K1184" s="3"/>
      <c r="L1184" s="3" t="str">
        <f>IFERROR(__xludf.DUMMYFUNCTION("""COMPUTED_VALUE"""),"Ron Binyamin")</f>
        <v>Ron Binyamin</v>
      </c>
    </row>
    <row r="1185">
      <c r="A1185" s="3">
        <f>IFERROR(__xludf.DUMMYFUNCTION("""COMPUTED_VALUE"""),605.0)</f>
        <v>605</v>
      </c>
      <c r="B1185" s="2" t="str">
        <f>IFERROR(__xludf.DUMMYFUNCTION("""COMPUTED_VALUE"""),"ניסנבאום מישל")</f>
        <v>ניסנבאום מישל</v>
      </c>
      <c r="C1185" s="3">
        <f>IFERROR(__xludf.DUMMYFUNCTION("""COMPUTED_VALUE"""),59.0)</f>
        <v>59</v>
      </c>
      <c r="D1185" s="3" t="str">
        <f>IFERROR(__xludf.DUMMYFUNCTION("""COMPUTED_VALUE"""),"שדרות")</f>
        <v>שדרות</v>
      </c>
      <c r="E1185" s="3" t="str">
        <f>IFERROR(__xludf.DUMMYFUNCTION("""COMPUTED_VALUE"""),"גבר")</f>
        <v>גבר</v>
      </c>
      <c r="F1185" s="3" t="str">
        <f>IFERROR(__xludf.DUMMYFUNCTION("""COMPUTED_VALUE"""),"אזרחים")</f>
        <v>אזרחים</v>
      </c>
      <c r="G1185" s="3"/>
      <c r="H1185" s="3" t="str">
        <f>IFERROR(__xludf.DUMMYFUNCTION("""COMPUTED_VALUE"""),"07.10.2023")</f>
        <v>07.10.2023</v>
      </c>
      <c r="I1185" s="2" t="str">
        <f>IFERROR(__xludf.DUMMYFUNCTION("""COMPUTED_VALUE"""),"סמוך למפלסים")</f>
        <v>סמוך למפלסים</v>
      </c>
      <c r="J1185" s="2" t="str">
        <f>IFERROR(__xludf.DUMMYFUNCTION("""COMPUTED_VALUE"""),"אזרחים וכיתות כוננות")</f>
        <v>אזרחים וכיתות כוננות</v>
      </c>
      <c r="K1185" s="3"/>
      <c r="L1185" s="3" t="str">
        <f>IFERROR(__xludf.DUMMYFUNCTION("""COMPUTED_VALUE"""),"Michel Nisenbaum")</f>
        <v>Michel Nisenbaum</v>
      </c>
    </row>
    <row r="1186">
      <c r="A1186" s="3">
        <f>IFERROR(__xludf.DUMMYFUNCTION("""COMPUTED_VALUE"""),1589.0)</f>
        <v>1589</v>
      </c>
      <c r="B1186" s="2" t="str">
        <f>IFERROR(__xludf.DUMMYFUNCTION("""COMPUTED_VALUE"""),"ראדו אוריון הרננדס")</f>
        <v>ראדו אוריון הרננדס</v>
      </c>
      <c r="C1186" s="3">
        <f>IFERROR(__xludf.DUMMYFUNCTION("""COMPUTED_VALUE"""),30.0)</f>
        <v>30</v>
      </c>
      <c r="D1186" s="3" t="str">
        <f>IFERROR(__xludf.DUMMYFUNCTION("""COMPUTED_VALUE"""),"מקסיקו")</f>
        <v>מקסיקו</v>
      </c>
      <c r="E1186" s="3" t="str">
        <f>IFERROR(__xludf.DUMMYFUNCTION("""COMPUTED_VALUE"""),"גבר")</f>
        <v>גבר</v>
      </c>
      <c r="F1186" s="3" t="str">
        <f>IFERROR(__xludf.DUMMYFUNCTION("""COMPUTED_VALUE"""),"אזרחים זרים")</f>
        <v>אזרחים זרים</v>
      </c>
      <c r="G1186" s="3"/>
      <c r="H1186" s="3" t="str">
        <f>IFERROR(__xludf.DUMMYFUNCTION("""COMPUTED_VALUE"""),"07.10.2023")</f>
        <v>07.10.2023</v>
      </c>
      <c r="I1186" s="2" t="str">
        <f>IFERROR(__xludf.DUMMYFUNCTION("""COMPUTED_VALUE"""),"סמוך למפלסים")</f>
        <v>סמוך למפלסים</v>
      </c>
      <c r="J1186" s="2" t="str">
        <f>IFERROR(__xludf.DUMMYFUNCTION("""COMPUTED_VALUE"""),"אזרחים וכיתות כוננות")</f>
        <v>אזרחים וכיתות כוננות</v>
      </c>
      <c r="K1186" s="3" t="str">
        <f>IFERROR(__xludf.DUMMYFUNCTION("""COMPUTED_VALUE"""),"פסטיבל נובה")</f>
        <v>פסטיבל נובה</v>
      </c>
      <c r="L1186" s="3" t="str">
        <f>IFERROR(__xludf.DUMMYFUNCTION("""COMPUTED_VALUE"""),"Orión Hernández Radoux")</f>
        <v>Orión Hernández Radoux</v>
      </c>
    </row>
    <row r="1187">
      <c r="A1187" s="3">
        <f>IFERROR(__xludf.DUMMYFUNCTION("""COMPUTED_VALUE"""),1335.0)</f>
        <v>1335</v>
      </c>
      <c r="B1187" s="2" t="str">
        <f>IFERROR(__xludf.DUMMYFUNCTION("""COMPUTED_VALUE"""),"יבלונקה חנן")</f>
        <v>יבלונקה חנן</v>
      </c>
      <c r="C1187" s="3">
        <f>IFERROR(__xludf.DUMMYFUNCTION("""COMPUTED_VALUE"""),42.0)</f>
        <v>42</v>
      </c>
      <c r="D1187" s="3" t="str">
        <f>IFERROR(__xludf.DUMMYFUNCTION("""COMPUTED_VALUE"""),"תל אביב")</f>
        <v>תל אביב</v>
      </c>
      <c r="E1187" s="3" t="str">
        <f>IFERROR(__xludf.DUMMYFUNCTION("""COMPUTED_VALUE"""),"גבר")</f>
        <v>גבר</v>
      </c>
      <c r="F1187" s="3" t="str">
        <f>IFERROR(__xludf.DUMMYFUNCTION("""COMPUTED_VALUE"""),"אזרחים")</f>
        <v>אזרחים</v>
      </c>
      <c r="G1187" s="3"/>
      <c r="H1187" s="3" t="str">
        <f>IFERROR(__xludf.DUMMYFUNCTION("""COMPUTED_VALUE"""),"07.10.2023")</f>
        <v>07.10.2023</v>
      </c>
      <c r="I1187" s="2" t="str">
        <f>IFERROR(__xludf.DUMMYFUNCTION("""COMPUTED_VALUE"""),"סמוך למפלסים")</f>
        <v>סמוך למפלסים</v>
      </c>
      <c r="J1187" s="2" t="str">
        <f>IFERROR(__xludf.DUMMYFUNCTION("""COMPUTED_VALUE"""),"אזרחים וכיתות כוננות")</f>
        <v>אזרחים וכיתות כוננות</v>
      </c>
      <c r="K1187" s="3" t="str">
        <f>IFERROR(__xludf.DUMMYFUNCTION("""COMPUTED_VALUE"""),"פסטיבל נובה")</f>
        <v>פסטיבל נובה</v>
      </c>
      <c r="L1187" s="3" t="str">
        <f>IFERROR(__xludf.DUMMYFUNCTION("""COMPUTED_VALUE"""),"Chanan Yablonka")</f>
        <v>Chanan Yablonka</v>
      </c>
    </row>
    <row r="1188">
      <c r="A1188" s="3">
        <f>IFERROR(__xludf.DUMMYFUNCTION("""COMPUTED_VALUE"""),562.0)</f>
        <v>562</v>
      </c>
      <c r="B1188" s="2" t="str">
        <f>IFERROR(__xludf.DUMMYFUNCTION("""COMPUTED_VALUE"""),"יהוד דולב")</f>
        <v>יהוד דולב</v>
      </c>
      <c r="C1188" s="3">
        <f>IFERROR(__xludf.DUMMYFUNCTION("""COMPUTED_VALUE"""),35.0)</f>
        <v>35</v>
      </c>
      <c r="D1188" s="3" t="str">
        <f>IFERROR(__xludf.DUMMYFUNCTION("""COMPUTED_VALUE"""),"ניר עוז")</f>
        <v>ניר עוז</v>
      </c>
      <c r="E1188" s="3" t="str">
        <f>IFERROR(__xludf.DUMMYFUNCTION("""COMPUTED_VALUE"""),"גבר")</f>
        <v>גבר</v>
      </c>
      <c r="F1188" s="3" t="str">
        <f>IFERROR(__xludf.DUMMYFUNCTION("""COMPUTED_VALUE"""),"מגן דוד אדום")</f>
        <v>מגן דוד אדום</v>
      </c>
      <c r="G1188" s="3"/>
      <c r="H1188" s="3" t="str">
        <f>IFERROR(__xludf.DUMMYFUNCTION("""COMPUTED_VALUE"""),"07.10.2023")</f>
        <v>07.10.2023</v>
      </c>
      <c r="I1188" s="2" t="str">
        <f>IFERROR(__xludf.DUMMYFUNCTION("""COMPUTED_VALUE"""),"ניר עוז")</f>
        <v>ניר עוז</v>
      </c>
      <c r="J1188" s="2" t="str">
        <f>IFERROR(__xludf.DUMMYFUNCTION("""COMPUTED_VALUE"""),"שוטרים וכוחות הצלה")</f>
        <v>שוטרים וכוחות הצלה</v>
      </c>
      <c r="K1188" s="3"/>
      <c r="L1188" s="3" t="str">
        <f>IFERROR(__xludf.DUMMYFUNCTION("""COMPUTED_VALUE"""),"Dolev Yehoud")</f>
        <v>Dolev Yehoud</v>
      </c>
    </row>
    <row r="1189">
      <c r="A1189" s="3">
        <f>IFERROR(__xludf.DUMMYFUNCTION("""COMPUTED_VALUE"""),666.0)</f>
        <v>666</v>
      </c>
      <c r="B1189" s="2" t="str">
        <f>IFERROR(__xludf.DUMMYFUNCTION("""COMPUTED_VALUE"""),"פופלוול נדב")</f>
        <v>פופלוול נדב</v>
      </c>
      <c r="C1189" s="3">
        <f>IFERROR(__xludf.DUMMYFUNCTION("""COMPUTED_VALUE"""),51.0)</f>
        <v>51</v>
      </c>
      <c r="D1189" s="3" t="str">
        <f>IFERROR(__xludf.DUMMYFUNCTION("""COMPUTED_VALUE"""),"נירים")</f>
        <v>נירים</v>
      </c>
      <c r="E1189" s="3" t="str">
        <f>IFERROR(__xludf.DUMMYFUNCTION("""COMPUTED_VALUE"""),"גבר")</f>
        <v>גבר</v>
      </c>
      <c r="F1189" s="3" t="str">
        <f>IFERROR(__xludf.DUMMYFUNCTION("""COMPUTED_VALUE"""),"אזרחים")</f>
        <v>אזרחים</v>
      </c>
      <c r="G1189" s="3"/>
      <c r="H1189" s="3">
        <f>IFERROR(__xludf.DUMMYFUNCTION("""COMPUTED_VALUE"""),2024.0)</f>
        <v>2024</v>
      </c>
      <c r="I1189" s="2" t="str">
        <f>IFERROR(__xludf.DUMMYFUNCTION("""COMPUTED_VALUE"""),"חאן יונס")</f>
        <v>חאן יונס</v>
      </c>
      <c r="J1189" s="2" t="str">
        <f>IFERROR(__xludf.DUMMYFUNCTION("""COMPUTED_VALUE"""),"אזרחים וכיתות כוננות")</f>
        <v>אזרחים וכיתות כוננות</v>
      </c>
      <c r="K1189" s="3"/>
      <c r="L1189" s="3" t="str">
        <f>IFERROR(__xludf.DUMMYFUNCTION("""COMPUTED_VALUE"""),"Nadav Popplewell")</f>
        <v>Nadav Popplewell</v>
      </c>
    </row>
    <row r="1190">
      <c r="A1190" s="3">
        <f>IFERROR(__xludf.DUMMYFUNCTION("""COMPUTED_VALUE"""),556.0)</f>
        <v>556</v>
      </c>
      <c r="B1190" s="2" t="str">
        <f>IFERROR(__xludf.DUMMYFUNCTION("""COMPUTED_VALUE"""),"קופר עמירם")</f>
        <v>קופר עמירם</v>
      </c>
      <c r="C1190" s="3">
        <f>IFERROR(__xludf.DUMMYFUNCTION("""COMPUTED_VALUE"""),84.0)</f>
        <v>84</v>
      </c>
      <c r="D1190" s="3" t="str">
        <f>IFERROR(__xludf.DUMMYFUNCTION("""COMPUTED_VALUE"""),"ניר עוז")</f>
        <v>ניר עוז</v>
      </c>
      <c r="E1190" s="3" t="str">
        <f>IFERROR(__xludf.DUMMYFUNCTION("""COMPUTED_VALUE"""),"גבר")</f>
        <v>גבר</v>
      </c>
      <c r="F1190" s="3" t="str">
        <f>IFERROR(__xludf.DUMMYFUNCTION("""COMPUTED_VALUE"""),"אזרחים")</f>
        <v>אזרחים</v>
      </c>
      <c r="G1190" s="3"/>
      <c r="H1190" s="3">
        <f>IFERROR(__xludf.DUMMYFUNCTION("""COMPUTED_VALUE"""),2024.0)</f>
        <v>2024</v>
      </c>
      <c r="I1190" s="2" t="str">
        <f>IFERROR(__xludf.DUMMYFUNCTION("""COMPUTED_VALUE"""),"חאן יונס")</f>
        <v>חאן יונס</v>
      </c>
      <c r="J1190" s="2" t="str">
        <f>IFERROR(__xludf.DUMMYFUNCTION("""COMPUTED_VALUE"""),"אזרחים וכיתות כוננות")</f>
        <v>אזרחים וכיתות כוננות</v>
      </c>
      <c r="K1190" s="3"/>
      <c r="L1190" s="3" t="str">
        <f>IFERROR(__xludf.DUMMYFUNCTION("""COMPUTED_VALUE"""),"Amiram Cooper")</f>
        <v>Amiram Cooper</v>
      </c>
    </row>
    <row r="1191">
      <c r="A1191" s="3">
        <f>IFERROR(__xludf.DUMMYFUNCTION("""COMPUTED_VALUE"""),608.0)</f>
        <v>608</v>
      </c>
      <c r="B1191" s="2" t="str">
        <f>IFERROR(__xludf.DUMMYFUNCTION("""COMPUTED_VALUE"""),"פרי חיים")</f>
        <v>פרי חיים</v>
      </c>
      <c r="C1191" s="3">
        <f>IFERROR(__xludf.DUMMYFUNCTION("""COMPUTED_VALUE"""),79.0)</f>
        <v>79</v>
      </c>
      <c r="D1191" s="3" t="str">
        <f>IFERROR(__xludf.DUMMYFUNCTION("""COMPUTED_VALUE"""),"ניר עוז")</f>
        <v>ניר עוז</v>
      </c>
      <c r="E1191" s="3" t="str">
        <f>IFERROR(__xludf.DUMMYFUNCTION("""COMPUTED_VALUE"""),"גבר")</f>
        <v>גבר</v>
      </c>
      <c r="F1191" s="3" t="str">
        <f>IFERROR(__xludf.DUMMYFUNCTION("""COMPUTED_VALUE"""),"אזרחים")</f>
        <v>אזרחים</v>
      </c>
      <c r="G1191" s="3"/>
      <c r="H1191" s="3">
        <f>IFERROR(__xludf.DUMMYFUNCTION("""COMPUTED_VALUE"""),2024.0)</f>
        <v>2024</v>
      </c>
      <c r="I1191" s="2" t="str">
        <f>IFERROR(__xludf.DUMMYFUNCTION("""COMPUTED_VALUE"""),"חאן יונס")</f>
        <v>חאן יונס</v>
      </c>
      <c r="J1191" s="2" t="str">
        <f>IFERROR(__xludf.DUMMYFUNCTION("""COMPUTED_VALUE"""),"אזרחים וכיתות כוננות")</f>
        <v>אזרחים וכיתות כוננות</v>
      </c>
      <c r="K1191" s="3"/>
      <c r="L1191" s="3" t="str">
        <f>IFERROR(__xludf.DUMMYFUNCTION("""COMPUTED_VALUE"""),"Chaim Peri")</f>
        <v>Chaim Peri</v>
      </c>
    </row>
    <row r="1192">
      <c r="A1192" s="3">
        <f>IFERROR(__xludf.DUMMYFUNCTION("""COMPUTED_VALUE"""),595.0)</f>
        <v>595</v>
      </c>
      <c r="B1192" s="2" t="str">
        <f>IFERROR(__xludf.DUMMYFUNCTION("""COMPUTED_VALUE"""),"מצגר יורם")</f>
        <v>מצגר יורם</v>
      </c>
      <c r="C1192" s="3">
        <f>IFERROR(__xludf.DUMMYFUNCTION("""COMPUTED_VALUE"""),80.0)</f>
        <v>80</v>
      </c>
      <c r="D1192" s="3" t="str">
        <f>IFERROR(__xludf.DUMMYFUNCTION("""COMPUTED_VALUE"""),"ניר עוז")</f>
        <v>ניר עוז</v>
      </c>
      <c r="E1192" s="3" t="str">
        <f>IFERROR(__xludf.DUMMYFUNCTION("""COMPUTED_VALUE"""),"גבר")</f>
        <v>גבר</v>
      </c>
      <c r="F1192" s="3" t="str">
        <f>IFERROR(__xludf.DUMMYFUNCTION("""COMPUTED_VALUE"""),"אזרחים")</f>
        <v>אזרחים</v>
      </c>
      <c r="G1192" s="3"/>
      <c r="H1192" s="3">
        <f>IFERROR(__xludf.DUMMYFUNCTION("""COMPUTED_VALUE"""),2024.0)</f>
        <v>2024</v>
      </c>
      <c r="I1192" s="2" t="str">
        <f>IFERROR(__xludf.DUMMYFUNCTION("""COMPUTED_VALUE"""),"חאן יונס")</f>
        <v>חאן יונס</v>
      </c>
      <c r="J1192" s="2" t="str">
        <f>IFERROR(__xludf.DUMMYFUNCTION("""COMPUTED_VALUE"""),"אזרחים וכיתות כוננות")</f>
        <v>אזרחים וכיתות כוננות</v>
      </c>
      <c r="K1192" s="3"/>
      <c r="L1192" s="3" t="str">
        <f>IFERROR(__xludf.DUMMYFUNCTION("""COMPUTED_VALUE"""),"Yoram Metzger")</f>
        <v>Yoram Metzger</v>
      </c>
    </row>
    <row r="1193">
      <c r="A1193" s="3">
        <f>IFERROR(__xludf.DUMMYFUNCTION("""COMPUTED_VALUE"""),2038.0)</f>
        <v>2038</v>
      </c>
      <c r="B1193" s="2" t="str">
        <f>IFERROR(__xludf.DUMMYFUNCTION("""COMPUTED_VALUE"""),"חסיד שרגא")</f>
        <v>חסיד שרגא</v>
      </c>
      <c r="C1193" s="3">
        <f>IFERROR(__xludf.DUMMYFUNCTION("""COMPUTED_VALUE"""),77.0)</f>
        <v>77</v>
      </c>
      <c r="D1193" s="3" t="str">
        <f>IFERROR(__xludf.DUMMYFUNCTION("""COMPUTED_VALUE"""),"מזכרת בתיה")</f>
        <v>מזכרת בתיה</v>
      </c>
      <c r="E1193" s="3" t="str">
        <f>IFERROR(__xludf.DUMMYFUNCTION("""COMPUTED_VALUE"""),"גבר")</f>
        <v>גבר</v>
      </c>
      <c r="F1193" s="3" t="str">
        <f>IFERROR(__xludf.DUMMYFUNCTION("""COMPUTED_VALUE"""),"אזרחים")</f>
        <v>אזרחים</v>
      </c>
      <c r="G1193" s="3"/>
      <c r="H1193" s="3" t="str">
        <f>IFERROR(__xludf.DUMMYFUNCTION("""COMPUTED_VALUE"""),"09.10.2023")</f>
        <v>09.10.2023</v>
      </c>
      <c r="I1193" s="2" t="str">
        <f>IFERROR(__xludf.DUMMYFUNCTION("""COMPUTED_VALUE"""),"אשקלון; בי""ח ברזילי")</f>
        <v>אשקלון; בי"ח ברזילי</v>
      </c>
      <c r="J1193" s="2" t="str">
        <f>IFERROR(__xludf.DUMMYFUNCTION("""COMPUTED_VALUE"""),"ירי רקטי")</f>
        <v>ירי רקטי</v>
      </c>
      <c r="K1193" s="3"/>
      <c r="L1193" s="3" t="str">
        <f>IFERROR(__xludf.DUMMYFUNCTION("""COMPUTED_VALUE"""),"Shraga Hasid")</f>
        <v>Shraga Hasid</v>
      </c>
    </row>
    <row r="1194">
      <c r="A1194" s="3">
        <f>IFERROR(__xludf.DUMMYFUNCTION("""COMPUTED_VALUE"""),1695.0)</f>
        <v>1695</v>
      </c>
      <c r="B1194" s="2" t="str">
        <f>IFERROR(__xludf.DUMMYFUNCTION("""COMPUTED_VALUE"""),"אלאטרש מחמד")</f>
        <v>אלאטרש מחמד</v>
      </c>
      <c r="C1194" s="3">
        <f>IFERROR(__xludf.DUMMYFUNCTION("""COMPUTED_VALUE"""),40.0)</f>
        <v>40</v>
      </c>
      <c r="D1194" s="3" t="str">
        <f>IFERROR(__xludf.DUMMYFUNCTION("""COMPUTED_VALUE"""),"סעווה")</f>
        <v>סעווה</v>
      </c>
      <c r="E1194" s="3" t="str">
        <f>IFERROR(__xludf.DUMMYFUNCTION("""COMPUTED_VALUE"""),"גבר")</f>
        <v>גבר</v>
      </c>
      <c r="F1194" s="3" t="str">
        <f>IFERROR(__xludf.DUMMYFUNCTION("""COMPUTED_VALUE"""),"צה""ל")</f>
        <v>צה"ל</v>
      </c>
      <c r="G1194" s="3"/>
      <c r="H1194" s="3" t="str">
        <f>IFERROR(__xludf.DUMMYFUNCTION("""COMPUTED_VALUE"""),"07.10.2023")</f>
        <v>07.10.2023</v>
      </c>
      <c r="I1194" s="2" t="str">
        <f>IFERROR(__xludf.DUMMYFUNCTION("""COMPUTED_VALUE"""),"בין בארי לגבול")</f>
        <v>בין בארי לגבול</v>
      </c>
      <c r="J1194" s="2" t="str">
        <f>IFERROR(__xludf.DUMMYFUNCTION("""COMPUTED_VALUE"""),"חיילים")</f>
        <v>חיילים</v>
      </c>
      <c r="K1194" s="3"/>
      <c r="L1194" s="3" t="str">
        <f>IFERROR(__xludf.DUMMYFUNCTION("""COMPUTED_VALUE"""),"Muhammad Alatrash")</f>
        <v>Muhammad Alatrash</v>
      </c>
    </row>
    <row r="1195">
      <c r="A1195" s="3">
        <f>IFERROR(__xludf.DUMMYFUNCTION("""COMPUTED_VALUE"""),560.0)</f>
        <v>560</v>
      </c>
      <c r="B1195" s="2" t="str">
        <f>IFERROR(__xludf.DUMMYFUNCTION("""COMPUTED_VALUE"""),"אלכסנדר דנציג")</f>
        <v>אלכסנדר דנציג</v>
      </c>
      <c r="C1195" s="3">
        <f>IFERROR(__xludf.DUMMYFUNCTION("""COMPUTED_VALUE"""),75.0)</f>
        <v>75</v>
      </c>
      <c r="D1195" s="3" t="str">
        <f>IFERROR(__xludf.DUMMYFUNCTION("""COMPUTED_VALUE"""),"ניר עוז")</f>
        <v>ניר עוז</v>
      </c>
      <c r="E1195" s="3" t="str">
        <f>IFERROR(__xludf.DUMMYFUNCTION("""COMPUTED_VALUE"""),"גבר")</f>
        <v>גבר</v>
      </c>
      <c r="F1195" s="3" t="str">
        <f>IFERROR(__xludf.DUMMYFUNCTION("""COMPUTED_VALUE"""),"אזרחים")</f>
        <v>אזרחים</v>
      </c>
      <c r="G1195" s="3"/>
      <c r="H1195" s="3">
        <f>IFERROR(__xludf.DUMMYFUNCTION("""COMPUTED_VALUE"""),2024.0)</f>
        <v>2024</v>
      </c>
      <c r="I1195" s="2" t="str">
        <f>IFERROR(__xludf.DUMMYFUNCTION("""COMPUTED_VALUE"""),"חאן יונס")</f>
        <v>חאן יונס</v>
      </c>
      <c r="J1195" s="2" t="str">
        <f>IFERROR(__xludf.DUMMYFUNCTION("""COMPUTED_VALUE"""),"אזרחים וכיתות כוננות")</f>
        <v>אזרחים וכיתות כוננות</v>
      </c>
      <c r="K1195" s="3"/>
      <c r="L1195" s="3" t="str">
        <f>IFERROR(__xludf.DUMMYFUNCTION("""COMPUTED_VALUE"""),"Alexander Dancyg")</f>
        <v>Alexander Dancyg</v>
      </c>
    </row>
    <row r="1196">
      <c r="A1196" s="3">
        <f>IFERROR(__xludf.DUMMYFUNCTION("""COMPUTED_VALUE"""),1347.0)</f>
        <v>1347</v>
      </c>
      <c r="B1196" s="2" t="str">
        <f>IFERROR(__xludf.DUMMYFUNCTION("""COMPUTED_VALUE"""),"בוכשטב יגב")</f>
        <v>בוכשטב יגב</v>
      </c>
      <c r="C1196" s="3">
        <f>IFERROR(__xludf.DUMMYFUNCTION("""COMPUTED_VALUE"""),34.0)</f>
        <v>34</v>
      </c>
      <c r="D1196" s="3" t="str">
        <f>IFERROR(__xludf.DUMMYFUNCTION("""COMPUTED_VALUE"""),"נירים")</f>
        <v>נירים</v>
      </c>
      <c r="E1196" s="3" t="str">
        <f>IFERROR(__xludf.DUMMYFUNCTION("""COMPUTED_VALUE"""),"גבר")</f>
        <v>גבר</v>
      </c>
      <c r="F1196" s="3" t="str">
        <f>IFERROR(__xludf.DUMMYFUNCTION("""COMPUTED_VALUE"""),"אזרחים")</f>
        <v>אזרחים</v>
      </c>
      <c r="G1196" s="3"/>
      <c r="H1196" s="3">
        <f>IFERROR(__xludf.DUMMYFUNCTION("""COMPUTED_VALUE"""),2024.0)</f>
        <v>2024</v>
      </c>
      <c r="I1196" s="2" t="str">
        <f>IFERROR(__xludf.DUMMYFUNCTION("""COMPUTED_VALUE"""),"חאן יונס")</f>
        <v>חאן יונס</v>
      </c>
      <c r="J1196" s="2" t="str">
        <f>IFERROR(__xludf.DUMMYFUNCTION("""COMPUTED_VALUE"""),"אזרחים וכיתות כוננות")</f>
        <v>אזרחים וכיתות כוננות</v>
      </c>
      <c r="K1196" s="3"/>
      <c r="L1196" s="3" t="str">
        <f>IFERROR(__xludf.DUMMYFUNCTION("""COMPUTED_VALUE"""),"Yegev Buchshtab")</f>
        <v>Yegev Buchshtab</v>
      </c>
    </row>
    <row r="1197">
      <c r="A1197" s="3">
        <f>IFERROR(__xludf.DUMMYFUNCTION("""COMPUTED_VALUE"""),600.0)</f>
        <v>600</v>
      </c>
      <c r="B1197" s="2" t="str">
        <f>IFERROR(__xludf.DUMMYFUNCTION("""COMPUTED_VALUE"""),"מונדר אברהם")</f>
        <v>מונדר אברהם</v>
      </c>
      <c r="C1197" s="3">
        <f>IFERROR(__xludf.DUMMYFUNCTION("""COMPUTED_VALUE"""),78.0)</f>
        <v>78</v>
      </c>
      <c r="D1197" s="3" t="str">
        <f>IFERROR(__xludf.DUMMYFUNCTION("""COMPUTED_VALUE"""),"ניר עוז")</f>
        <v>ניר עוז</v>
      </c>
      <c r="E1197" s="3" t="str">
        <f>IFERROR(__xludf.DUMMYFUNCTION("""COMPUTED_VALUE"""),"גבר")</f>
        <v>גבר</v>
      </c>
      <c r="F1197" s="3" t="str">
        <f>IFERROR(__xludf.DUMMYFUNCTION("""COMPUTED_VALUE"""),"אזרחים")</f>
        <v>אזרחים</v>
      </c>
      <c r="G1197" s="3"/>
      <c r="H1197" s="3">
        <f>IFERROR(__xludf.DUMMYFUNCTION("""COMPUTED_VALUE"""),2024.0)</f>
        <v>2024</v>
      </c>
      <c r="I1197" s="2" t="str">
        <f>IFERROR(__xludf.DUMMYFUNCTION("""COMPUTED_VALUE"""),"חאן יונס")</f>
        <v>חאן יונס</v>
      </c>
      <c r="J1197" s="2" t="str">
        <f>IFERROR(__xludf.DUMMYFUNCTION("""COMPUTED_VALUE"""),"אזרחים וכיתות כוננות")</f>
        <v>אזרחים וכיתות כוננות</v>
      </c>
      <c r="K1197" s="3"/>
      <c r="L1197" s="3" t="str">
        <f>IFERROR(__xludf.DUMMYFUNCTION("""COMPUTED_VALUE"""),"Abraham Munder")</f>
        <v>Abraham Munder</v>
      </c>
    </row>
    <row r="1198">
      <c r="A1198" s="3">
        <f>IFERROR(__xludf.DUMMYFUNCTION("""COMPUTED_VALUE"""),74.0)</f>
        <v>74</v>
      </c>
      <c r="B1198" s="2" t="str">
        <f>IFERROR(__xludf.DUMMYFUNCTION("""COMPUTED_VALUE"""),"גת כרמל")</f>
        <v>גת כרמל</v>
      </c>
      <c r="C1198" s="3">
        <f>IFERROR(__xludf.DUMMYFUNCTION("""COMPUTED_VALUE"""),39.0)</f>
        <v>39</v>
      </c>
      <c r="D1198" s="3" t="str">
        <f>IFERROR(__xludf.DUMMYFUNCTION("""COMPUTED_VALUE"""),"בארי")</f>
        <v>בארי</v>
      </c>
      <c r="E1198" s="3" t="str">
        <f>IFERROR(__xludf.DUMMYFUNCTION("""COMPUTED_VALUE"""),"אישה")</f>
        <v>אישה</v>
      </c>
      <c r="F1198" s="3" t="str">
        <f>IFERROR(__xludf.DUMMYFUNCTION("""COMPUTED_VALUE"""),"אזרחים")</f>
        <v>אזרחים</v>
      </c>
      <c r="G1198" s="3"/>
      <c r="H1198" s="3" t="str">
        <f>IFERROR(__xludf.DUMMYFUNCTION("""COMPUTED_VALUE"""),"29.8.2024")</f>
        <v>29.8.2024</v>
      </c>
      <c r="I1198" s="2" t="str">
        <f>IFERROR(__xludf.DUMMYFUNCTION("""COMPUTED_VALUE"""),"רפיח")</f>
        <v>רפיח</v>
      </c>
      <c r="J1198" s="2" t="str">
        <f>IFERROR(__xludf.DUMMYFUNCTION("""COMPUTED_VALUE"""),"אזרחים וכיתות כוננות")</f>
        <v>אזרחים וכיתות כוננות</v>
      </c>
      <c r="K1198" s="3"/>
      <c r="L1198" s="3" t="str">
        <f>IFERROR(__xludf.DUMMYFUNCTION("""COMPUTED_VALUE"""),"Carmel Gat")</f>
        <v>Carmel Gat</v>
      </c>
    </row>
    <row r="1199">
      <c r="A1199" s="3">
        <f>IFERROR(__xludf.DUMMYFUNCTION("""COMPUTED_VALUE"""),1336.0)</f>
        <v>1336</v>
      </c>
      <c r="B1199" s="2" t="str">
        <f>IFERROR(__xludf.DUMMYFUNCTION("""COMPUTED_VALUE"""),"ירושלמי עדן")</f>
        <v>ירושלמי עדן</v>
      </c>
      <c r="C1199" s="3">
        <f>IFERROR(__xludf.DUMMYFUNCTION("""COMPUTED_VALUE"""),24.0)</f>
        <v>24</v>
      </c>
      <c r="D1199" s="3" t="str">
        <f>IFERROR(__xludf.DUMMYFUNCTION("""COMPUTED_VALUE"""),"תל אביב")</f>
        <v>תל אביב</v>
      </c>
      <c r="E1199" s="3" t="str">
        <f>IFERROR(__xludf.DUMMYFUNCTION("""COMPUTED_VALUE"""),"אישה")</f>
        <v>אישה</v>
      </c>
      <c r="F1199" s="3" t="str">
        <f>IFERROR(__xludf.DUMMYFUNCTION("""COMPUTED_VALUE"""),"אזרחים")</f>
        <v>אזרחים</v>
      </c>
      <c r="G1199" s="3"/>
      <c r="H1199" s="3" t="str">
        <f>IFERROR(__xludf.DUMMYFUNCTION("""COMPUTED_VALUE"""),"29.8.2024")</f>
        <v>29.8.2024</v>
      </c>
      <c r="I1199" s="2" t="str">
        <f>IFERROR(__xludf.DUMMYFUNCTION("""COMPUTED_VALUE"""),"רפיח")</f>
        <v>רפיח</v>
      </c>
      <c r="J1199" s="2" t="str">
        <f>IFERROR(__xludf.DUMMYFUNCTION("""COMPUTED_VALUE"""),"אזרחים וכיתות כוננות")</f>
        <v>אזרחים וכיתות כוננות</v>
      </c>
      <c r="K1199" s="3" t="str">
        <f>IFERROR(__xludf.DUMMYFUNCTION("""COMPUTED_VALUE"""),"פסטיבל נובה")</f>
        <v>פסטיבל נובה</v>
      </c>
      <c r="L1199" s="3" t="str">
        <f>IFERROR(__xludf.DUMMYFUNCTION("""COMPUTED_VALUE"""),"Eden Yerushalmi")</f>
        <v>Eden Yerushalmi</v>
      </c>
    </row>
    <row r="1200">
      <c r="A1200" s="3">
        <f>IFERROR(__xludf.DUMMYFUNCTION("""COMPUTED_VALUE"""),773.0)</f>
        <v>773</v>
      </c>
      <c r="B1200" s="2" t="str">
        <f>IFERROR(__xludf.DUMMYFUNCTION("""COMPUTED_VALUE"""),"גולדברג-פולין הירש")</f>
        <v>גולדברג-פולין הירש</v>
      </c>
      <c r="C1200" s="3">
        <f>IFERROR(__xludf.DUMMYFUNCTION("""COMPUTED_VALUE"""),23.0)</f>
        <v>23</v>
      </c>
      <c r="D1200" s="3" t="str">
        <f>IFERROR(__xludf.DUMMYFUNCTION("""COMPUTED_VALUE"""),"ירושלים")</f>
        <v>ירושלים</v>
      </c>
      <c r="E1200" s="3" t="str">
        <f>IFERROR(__xludf.DUMMYFUNCTION("""COMPUTED_VALUE"""),"גבר")</f>
        <v>גבר</v>
      </c>
      <c r="F1200" s="3" t="str">
        <f>IFERROR(__xludf.DUMMYFUNCTION("""COMPUTED_VALUE"""),"אזרחים")</f>
        <v>אזרחים</v>
      </c>
      <c r="G1200" s="3"/>
      <c r="H1200" s="3" t="str">
        <f>IFERROR(__xludf.DUMMYFUNCTION("""COMPUTED_VALUE"""),"29.8.2024")</f>
        <v>29.8.2024</v>
      </c>
      <c r="I1200" s="2" t="str">
        <f>IFERROR(__xludf.DUMMYFUNCTION("""COMPUTED_VALUE"""),"רפיח")</f>
        <v>רפיח</v>
      </c>
      <c r="J1200" s="2" t="str">
        <f>IFERROR(__xludf.DUMMYFUNCTION("""COMPUTED_VALUE"""),"אזרחים וכיתות כוננות")</f>
        <v>אזרחים וכיתות כוננות</v>
      </c>
      <c r="K1200" s="3" t="str">
        <f>IFERROR(__xludf.DUMMYFUNCTION("""COMPUTED_VALUE"""),"פסטיבל נובה")</f>
        <v>פסטיבל נובה</v>
      </c>
      <c r="L1200" s="3" t="str">
        <f>IFERROR(__xludf.DUMMYFUNCTION("""COMPUTED_VALUE"""),"Hersh Goldberg-Polin")</f>
        <v>Hersh Goldberg-Polin</v>
      </c>
    </row>
    <row r="1201">
      <c r="A1201" s="3">
        <f>IFERROR(__xludf.DUMMYFUNCTION("""COMPUTED_VALUE"""),100.0)</f>
        <v>100</v>
      </c>
      <c r="B1201" s="2" t="str">
        <f>IFERROR(__xludf.DUMMYFUNCTION("""COMPUTED_VALUE"""),"לובנוב אלכסנדר")</f>
        <v>לובנוב אלכסנדר</v>
      </c>
      <c r="C1201" s="3">
        <f>IFERROR(__xludf.DUMMYFUNCTION("""COMPUTED_VALUE"""),32.0)</f>
        <v>32</v>
      </c>
      <c r="D1201" s="3" t="str">
        <f>IFERROR(__xludf.DUMMYFUNCTION("""COMPUTED_VALUE"""),"אשקלון")</f>
        <v>אשקלון</v>
      </c>
      <c r="E1201" s="3" t="str">
        <f>IFERROR(__xludf.DUMMYFUNCTION("""COMPUTED_VALUE"""),"גבר")</f>
        <v>גבר</v>
      </c>
      <c r="F1201" s="3" t="str">
        <f>IFERROR(__xludf.DUMMYFUNCTION("""COMPUTED_VALUE"""),"אזרחים")</f>
        <v>אזרחים</v>
      </c>
      <c r="G1201" s="3"/>
      <c r="H1201" s="3" t="str">
        <f>IFERROR(__xludf.DUMMYFUNCTION("""COMPUTED_VALUE"""),"29.8.2024")</f>
        <v>29.8.2024</v>
      </c>
      <c r="I1201" s="2" t="str">
        <f>IFERROR(__xludf.DUMMYFUNCTION("""COMPUTED_VALUE"""),"רפיח")</f>
        <v>רפיח</v>
      </c>
      <c r="J1201" s="2" t="str">
        <f>IFERROR(__xludf.DUMMYFUNCTION("""COMPUTED_VALUE"""),"אזרחים וכיתות כוננות")</f>
        <v>אזרחים וכיתות כוננות</v>
      </c>
      <c r="K1201" s="3" t="str">
        <f>IFERROR(__xludf.DUMMYFUNCTION("""COMPUTED_VALUE"""),"פסטיבל נובה")</f>
        <v>פסטיבל נובה</v>
      </c>
      <c r="L1201" s="3" t="str">
        <f>IFERROR(__xludf.DUMMYFUNCTION("""COMPUTED_VALUE"""),"Alexander Lubnov")</f>
        <v>Alexander Lubnov</v>
      </c>
    </row>
    <row r="1202">
      <c r="A1202" s="3">
        <f>IFERROR(__xludf.DUMMYFUNCTION("""COMPUTED_VALUE"""),1458.0)</f>
        <v>1458</v>
      </c>
      <c r="B1202" s="2" t="str">
        <f>IFERROR(__xludf.DUMMYFUNCTION("""COMPUTED_VALUE"""),"סרוסי אלמוג")</f>
        <v>סרוסי אלמוג</v>
      </c>
      <c r="C1202" s="3">
        <f>IFERROR(__xludf.DUMMYFUNCTION("""COMPUTED_VALUE"""),26.0)</f>
        <v>26</v>
      </c>
      <c r="D1202" s="3" t="str">
        <f>IFERROR(__xludf.DUMMYFUNCTION("""COMPUTED_VALUE"""),"רעננה")</f>
        <v>רעננה</v>
      </c>
      <c r="E1202" s="3" t="str">
        <f>IFERROR(__xludf.DUMMYFUNCTION("""COMPUTED_VALUE"""),"גבר")</f>
        <v>גבר</v>
      </c>
      <c r="F1202" s="3" t="str">
        <f>IFERROR(__xludf.DUMMYFUNCTION("""COMPUTED_VALUE"""),"אזרחים")</f>
        <v>אזרחים</v>
      </c>
      <c r="G1202" s="3"/>
      <c r="H1202" s="3" t="str">
        <f>IFERROR(__xludf.DUMMYFUNCTION("""COMPUTED_VALUE"""),"29.8.2024")</f>
        <v>29.8.2024</v>
      </c>
      <c r="I1202" s="2" t="str">
        <f>IFERROR(__xludf.DUMMYFUNCTION("""COMPUTED_VALUE"""),"רפיח")</f>
        <v>רפיח</v>
      </c>
      <c r="J1202" s="2" t="str">
        <f>IFERROR(__xludf.DUMMYFUNCTION("""COMPUTED_VALUE"""),"אזרחים וכיתות כוננות")</f>
        <v>אזרחים וכיתות כוננות</v>
      </c>
      <c r="K1202" s="3" t="str">
        <f>IFERROR(__xludf.DUMMYFUNCTION("""COMPUTED_VALUE"""),"פסטיבל נובה")</f>
        <v>פסטיבל נובה</v>
      </c>
      <c r="L1202" s="3" t="str">
        <f>IFERROR(__xludf.DUMMYFUNCTION("""COMPUTED_VALUE"""),"Almog Sarusi")</f>
        <v>Almog Sarusi</v>
      </c>
    </row>
    <row r="1203">
      <c r="A1203" s="3">
        <f>IFERROR(__xludf.DUMMYFUNCTION("""COMPUTED_VALUE"""),726.0)</f>
        <v>726</v>
      </c>
      <c r="B1203" s="2" t="str">
        <f>IFERROR(__xludf.DUMMYFUNCTION("""COMPUTED_VALUE"""),"דנינו אורי")</f>
        <v>דנינו אורי</v>
      </c>
      <c r="C1203" s="3">
        <f>IFERROR(__xludf.DUMMYFUNCTION("""COMPUTED_VALUE"""),25.0)</f>
        <v>25</v>
      </c>
      <c r="D1203" s="3" t="str">
        <f>IFERROR(__xludf.DUMMYFUNCTION("""COMPUTED_VALUE"""),"ירושלים")</f>
        <v>ירושלים</v>
      </c>
      <c r="E1203" s="3" t="str">
        <f>IFERROR(__xludf.DUMMYFUNCTION("""COMPUTED_VALUE"""),"גבר")</f>
        <v>גבר</v>
      </c>
      <c r="F1203" s="3" t="str">
        <f>IFERROR(__xludf.DUMMYFUNCTION("""COMPUTED_VALUE"""),"אזרחים")</f>
        <v>אזרחים</v>
      </c>
      <c r="G1203" s="3"/>
      <c r="H1203" s="3" t="str">
        <f>IFERROR(__xludf.DUMMYFUNCTION("""COMPUTED_VALUE"""),"29.8.2024")</f>
        <v>29.8.2024</v>
      </c>
      <c r="I1203" s="2" t="str">
        <f>IFERROR(__xludf.DUMMYFUNCTION("""COMPUTED_VALUE"""),"רפיח")</f>
        <v>רפיח</v>
      </c>
      <c r="J1203" s="2" t="str">
        <f>IFERROR(__xludf.DUMMYFUNCTION("""COMPUTED_VALUE"""),"אזרחים וכיתות כוננות")</f>
        <v>אזרחים וכיתות כוננות</v>
      </c>
      <c r="K1203" s="3" t="str">
        <f>IFERROR(__xludf.DUMMYFUNCTION("""COMPUTED_VALUE"""),"פסטיבל נובה")</f>
        <v>פסטיבל נובה</v>
      </c>
      <c r="L1203" s="3" t="str">
        <f>IFERROR(__xludf.DUMMYFUNCTION("""COMPUTED_VALUE"""),"Ori Danino")</f>
        <v>Ori Danino</v>
      </c>
    </row>
    <row r="1204">
      <c r="A1204" s="3">
        <f>IFERROR(__xludf.DUMMYFUNCTION("""COMPUTED_VALUE"""),1329.0)</f>
        <v>1329</v>
      </c>
      <c r="B1204" s="2" t="str">
        <f>IFERROR(__xludf.DUMMYFUNCTION("""COMPUTED_VALUE"""),"שתיוי עידן")</f>
        <v>שתיוי עידן</v>
      </c>
      <c r="C1204" s="3">
        <f>IFERROR(__xludf.DUMMYFUNCTION("""COMPUTED_VALUE"""),28.0)</f>
        <v>28</v>
      </c>
      <c r="D1204" s="3" t="str">
        <f>IFERROR(__xludf.DUMMYFUNCTION("""COMPUTED_VALUE"""),"תל אביב")</f>
        <v>תל אביב</v>
      </c>
      <c r="E1204" s="3" t="str">
        <f>IFERROR(__xludf.DUMMYFUNCTION("""COMPUTED_VALUE"""),"גבר")</f>
        <v>גבר</v>
      </c>
      <c r="F1204" s="3" t="str">
        <f>IFERROR(__xludf.DUMMYFUNCTION("""COMPUTED_VALUE"""),"אזרחים")</f>
        <v>אזרחים</v>
      </c>
      <c r="G1204" s="3"/>
      <c r="H1204" s="3" t="str">
        <f>IFERROR(__xludf.DUMMYFUNCTION("""COMPUTED_VALUE"""),"07.10.2023")</f>
        <v>07.10.2023</v>
      </c>
      <c r="I1204" s="2" t="str">
        <f>IFERROR(__xludf.DUMMYFUNCTION("""COMPUTED_VALUE"""),"צפונית לצומת גמה")</f>
        <v>צפונית לצומת גמה</v>
      </c>
      <c r="J1204" s="2" t="str">
        <f>IFERROR(__xludf.DUMMYFUNCTION("""COMPUTED_VALUE"""),"אזרחים וכיתות כוננות")</f>
        <v>אזרחים וכיתות כוננות</v>
      </c>
      <c r="K1204" s="3" t="str">
        <f>IFERROR(__xludf.DUMMYFUNCTION("""COMPUTED_VALUE"""),"פסטיבל נובה")</f>
        <v>פסטיבל נובה</v>
      </c>
      <c r="L1204" s="3" t="str">
        <f>IFERROR(__xludf.DUMMYFUNCTION("""COMPUTED_VALUE"""),"Idan Shtivi")</f>
        <v>Idan Shtivi</v>
      </c>
    </row>
    <row r="1205">
      <c r="B1205" s="2"/>
      <c r="I1205" s="2"/>
      <c r="J1205" s="2"/>
    </row>
    <row r="1206">
      <c r="B1206" s="2"/>
      <c r="I1206" s="2"/>
      <c r="J1206" s="2"/>
    </row>
    <row r="1207">
      <c r="B1207" s="2"/>
      <c r="I1207" s="2"/>
      <c r="J1207" s="2"/>
    </row>
    <row r="1208">
      <c r="B1208" s="2"/>
      <c r="I1208" s="2"/>
      <c r="J1208" s="2"/>
    </row>
    <row r="1209">
      <c r="B1209" s="2"/>
      <c r="I1209" s="2"/>
      <c r="J1209" s="2"/>
    </row>
    <row r="1210">
      <c r="B1210" s="2"/>
      <c r="I1210" s="2"/>
      <c r="J1210" s="2"/>
    </row>
    <row r="1211">
      <c r="B1211" s="2"/>
      <c r="I1211" s="2"/>
      <c r="J1211" s="2"/>
    </row>
    <row r="1212">
      <c r="B1212" s="2"/>
      <c r="I1212" s="2"/>
      <c r="J1212" s="2"/>
    </row>
    <row r="1213">
      <c r="B1213" s="2"/>
      <c r="I1213" s="2"/>
      <c r="J1213" s="2"/>
    </row>
    <row r="1214">
      <c r="B1214" s="2"/>
      <c r="I1214" s="2"/>
      <c r="J1214" s="2"/>
    </row>
    <row r="1215">
      <c r="B1215" s="2"/>
      <c r="I1215" s="2"/>
      <c r="J1215" s="2"/>
    </row>
    <row r="1216">
      <c r="B1216" s="2"/>
      <c r="I1216" s="2"/>
      <c r="J1216" s="2"/>
    </row>
    <row r="1217">
      <c r="B1217" s="2"/>
      <c r="I1217" s="2"/>
      <c r="J1217" s="2"/>
    </row>
    <row r="1218">
      <c r="B1218" s="2"/>
      <c r="I1218" s="2"/>
      <c r="J1218" s="2"/>
    </row>
    <row r="1219">
      <c r="B1219" s="2"/>
      <c r="I1219" s="2"/>
      <c r="J1219" s="2"/>
    </row>
    <row r="1220">
      <c r="B1220" s="2"/>
      <c r="I1220" s="2"/>
      <c r="J1220" s="2"/>
    </row>
    <row r="1221">
      <c r="B1221" s="2"/>
      <c r="I1221" s="2"/>
      <c r="J1221" s="2"/>
    </row>
    <row r="1222">
      <c r="B1222" s="2"/>
      <c r="I1222" s="2"/>
      <c r="J1222" s="2"/>
    </row>
    <row r="1223">
      <c r="B1223" s="2"/>
      <c r="I1223" s="2"/>
      <c r="J1223" s="2"/>
    </row>
    <row r="1224">
      <c r="B1224" s="2"/>
      <c r="I1224" s="2"/>
      <c r="J1224" s="2"/>
    </row>
    <row r="1225">
      <c r="B1225" s="2"/>
      <c r="I1225" s="2"/>
      <c r="J1225" s="2"/>
    </row>
    <row r="1226">
      <c r="B1226" s="2"/>
      <c r="I1226" s="2"/>
      <c r="J1226" s="2"/>
    </row>
    <row r="1227">
      <c r="B1227" s="2"/>
      <c r="I1227" s="2"/>
      <c r="J1227" s="2"/>
    </row>
    <row r="1228">
      <c r="B1228" s="2"/>
      <c r="I1228" s="2"/>
      <c r="J1228" s="2"/>
    </row>
    <row r="1229">
      <c r="B1229" s="2"/>
      <c r="I1229" s="2"/>
      <c r="J1229" s="2"/>
    </row>
    <row r="1230">
      <c r="B1230" s="2"/>
      <c r="I1230" s="2"/>
      <c r="J1230" s="2"/>
    </row>
    <row r="1231">
      <c r="B1231" s="2"/>
      <c r="I1231" s="2"/>
      <c r="J1231" s="2"/>
    </row>
    <row r="1232">
      <c r="B1232" s="2"/>
      <c r="I1232" s="2"/>
      <c r="J1232" s="2"/>
    </row>
    <row r="1233">
      <c r="B1233" s="2"/>
      <c r="I1233" s="2"/>
      <c r="J1233" s="2"/>
    </row>
    <row r="1234">
      <c r="B1234" s="2"/>
      <c r="I1234" s="2"/>
      <c r="J1234" s="2"/>
    </row>
    <row r="1235">
      <c r="B1235" s="2"/>
      <c r="I1235" s="2"/>
      <c r="J1235" s="2"/>
    </row>
    <row r="1236">
      <c r="B1236" s="2"/>
      <c r="I1236" s="2"/>
      <c r="J1236" s="2"/>
    </row>
    <row r="1237">
      <c r="B1237" s="2"/>
      <c r="I1237" s="2"/>
      <c r="J1237" s="2"/>
    </row>
    <row r="1238">
      <c r="B1238" s="2"/>
      <c r="I1238" s="2"/>
      <c r="J1238" s="2"/>
    </row>
    <row r="1239">
      <c r="B1239" s="2"/>
      <c r="I1239" s="2"/>
      <c r="J1239" s="2"/>
    </row>
    <row r="1240">
      <c r="B1240" s="2"/>
      <c r="I1240" s="2"/>
      <c r="J1240" s="2"/>
    </row>
    <row r="1241">
      <c r="B1241" s="2"/>
      <c r="I1241" s="2"/>
      <c r="J1241" s="2"/>
    </row>
    <row r="1242">
      <c r="B1242" s="2"/>
      <c r="I1242" s="2"/>
      <c r="J1242" s="2"/>
    </row>
    <row r="1243">
      <c r="B1243" s="2"/>
      <c r="I1243" s="2"/>
      <c r="J1243" s="2"/>
    </row>
    <row r="1244">
      <c r="B1244" s="2"/>
      <c r="I1244" s="2"/>
      <c r="J1244" s="2"/>
    </row>
    <row r="1245">
      <c r="B1245" s="2"/>
      <c r="I1245" s="2"/>
      <c r="J1245" s="2"/>
    </row>
    <row r="1246">
      <c r="B1246" s="2"/>
      <c r="I1246" s="2"/>
      <c r="J1246" s="2"/>
    </row>
    <row r="1247">
      <c r="B1247" s="2"/>
      <c r="I1247" s="2"/>
      <c r="J1247" s="2"/>
    </row>
    <row r="1248">
      <c r="B1248" s="2"/>
      <c r="I1248" s="2"/>
      <c r="J1248" s="2"/>
    </row>
    <row r="1249">
      <c r="B1249" s="2"/>
      <c r="I1249" s="2"/>
      <c r="J1249" s="2"/>
    </row>
    <row r="1250">
      <c r="B1250" s="2"/>
      <c r="I1250" s="2"/>
      <c r="J1250" s="2"/>
    </row>
    <row r="1251">
      <c r="B1251" s="2"/>
      <c r="I1251" s="2"/>
      <c r="J1251" s="2"/>
    </row>
    <row r="1252">
      <c r="B1252" s="2"/>
      <c r="I1252" s="2"/>
      <c r="J1252" s="2"/>
    </row>
    <row r="1253">
      <c r="B1253" s="2"/>
      <c r="I1253" s="2"/>
      <c r="J1253" s="2"/>
    </row>
    <row r="1254">
      <c r="B1254" s="2"/>
      <c r="I1254" s="2"/>
      <c r="J1254" s="2"/>
    </row>
    <row r="1255">
      <c r="B1255" s="2"/>
      <c r="I1255" s="2"/>
      <c r="J1255" s="2"/>
    </row>
    <row r="1256">
      <c r="B1256" s="2"/>
      <c r="I1256" s="2"/>
      <c r="J1256" s="2"/>
    </row>
    <row r="1257">
      <c r="B1257" s="2"/>
      <c r="I1257" s="2"/>
      <c r="J1257" s="2"/>
    </row>
    <row r="1258">
      <c r="B1258" s="2"/>
      <c r="I1258" s="2"/>
      <c r="J1258" s="2"/>
    </row>
    <row r="1259">
      <c r="B1259" s="2"/>
      <c r="I1259" s="2"/>
      <c r="J1259" s="2"/>
    </row>
    <row r="1260">
      <c r="B1260" s="2"/>
      <c r="I1260" s="2"/>
      <c r="J1260" s="2"/>
    </row>
    <row r="1261">
      <c r="B1261" s="2"/>
      <c r="I1261" s="2"/>
      <c r="J1261" s="2"/>
    </row>
    <row r="1262">
      <c r="B1262" s="2"/>
      <c r="I1262" s="2"/>
      <c r="J1262" s="2"/>
    </row>
    <row r="1263">
      <c r="B1263" s="2"/>
      <c r="I1263" s="2"/>
      <c r="J1263" s="2"/>
    </row>
    <row r="1264">
      <c r="B1264" s="2"/>
      <c r="I1264" s="2"/>
      <c r="J1264" s="2"/>
    </row>
    <row r="1265">
      <c r="B1265" s="2"/>
      <c r="I1265" s="2"/>
      <c r="J1265" s="2"/>
    </row>
    <row r="1266">
      <c r="B1266" s="2"/>
      <c r="I1266" s="2"/>
      <c r="J1266" s="2"/>
    </row>
    <row r="1267">
      <c r="B1267" s="2"/>
      <c r="I1267" s="2"/>
      <c r="J1267" s="2"/>
    </row>
    <row r="1268">
      <c r="B1268" s="2"/>
      <c r="I1268" s="2"/>
      <c r="J1268" s="2"/>
    </row>
    <row r="1269">
      <c r="B1269" s="2"/>
      <c r="I1269" s="2"/>
      <c r="J1269" s="2"/>
    </row>
    <row r="1270">
      <c r="B1270" s="2"/>
      <c r="I1270" s="2"/>
      <c r="J1270" s="2"/>
    </row>
    <row r="1271">
      <c r="B1271" s="2"/>
      <c r="I1271" s="2"/>
      <c r="J1271" s="2"/>
    </row>
    <row r="1272">
      <c r="B1272" s="2"/>
      <c r="I1272" s="2"/>
      <c r="J1272" s="2"/>
    </row>
    <row r="1273">
      <c r="B1273" s="2"/>
      <c r="I1273" s="2"/>
      <c r="J1273" s="2"/>
    </row>
    <row r="1274">
      <c r="B1274" s="2"/>
      <c r="I1274" s="2"/>
      <c r="J1274" s="2"/>
    </row>
    <row r="1275">
      <c r="B1275" s="2"/>
      <c r="I1275" s="2"/>
      <c r="J1275" s="2"/>
    </row>
    <row r="1276">
      <c r="B1276" s="2"/>
      <c r="I1276" s="2"/>
      <c r="J1276" s="2"/>
    </row>
    <row r="1277">
      <c r="B1277" s="2"/>
      <c r="I1277" s="2"/>
      <c r="J1277" s="2"/>
    </row>
    <row r="1278">
      <c r="B1278" s="2"/>
      <c r="I1278" s="2"/>
      <c r="J1278" s="2"/>
    </row>
    <row r="1279">
      <c r="B1279" s="2"/>
      <c r="I1279" s="2"/>
      <c r="J1279" s="2"/>
    </row>
    <row r="1280">
      <c r="B1280" s="2"/>
      <c r="I1280" s="2"/>
      <c r="J1280" s="2"/>
    </row>
    <row r="1281">
      <c r="B1281" s="2"/>
      <c r="I1281" s="2"/>
      <c r="J1281" s="2"/>
    </row>
    <row r="1282">
      <c r="B1282" s="2"/>
      <c r="I1282" s="2"/>
      <c r="J1282" s="2"/>
    </row>
    <row r="1283">
      <c r="B1283" s="2"/>
      <c r="I1283" s="2"/>
      <c r="J1283" s="2"/>
    </row>
    <row r="1284">
      <c r="B1284" s="2"/>
      <c r="I1284" s="2"/>
      <c r="J1284" s="2"/>
    </row>
    <row r="1285">
      <c r="B1285" s="2"/>
      <c r="I1285" s="2"/>
      <c r="J1285" s="2"/>
    </row>
    <row r="1286">
      <c r="B1286" s="2"/>
      <c r="I1286" s="2"/>
      <c r="J1286" s="2"/>
    </row>
    <row r="1287">
      <c r="B1287" s="2"/>
      <c r="I1287" s="2"/>
      <c r="J1287" s="2"/>
    </row>
    <row r="1288">
      <c r="B1288" s="2"/>
      <c r="I1288" s="2"/>
      <c r="J1288" s="2"/>
    </row>
    <row r="1289">
      <c r="B1289" s="2"/>
      <c r="I1289" s="2"/>
      <c r="J1289" s="2"/>
    </row>
    <row r="1290">
      <c r="B1290" s="2"/>
      <c r="I1290" s="2"/>
      <c r="J1290" s="2"/>
    </row>
    <row r="1291">
      <c r="B1291" s="2"/>
      <c r="I1291" s="2"/>
      <c r="J1291" s="2"/>
    </row>
    <row r="1292">
      <c r="B1292" s="2"/>
      <c r="I1292" s="2"/>
      <c r="J1292" s="2"/>
    </row>
    <row r="1293">
      <c r="B1293" s="2"/>
      <c r="I1293" s="2"/>
      <c r="J1293" s="2"/>
    </row>
    <row r="1294">
      <c r="B1294" s="2"/>
      <c r="I1294" s="2"/>
      <c r="J1294" s="2"/>
    </row>
    <row r="1295">
      <c r="B1295" s="2"/>
      <c r="I1295" s="2"/>
      <c r="J1295" s="2"/>
    </row>
    <row r="1296">
      <c r="B1296" s="2"/>
      <c r="I1296" s="2"/>
      <c r="J1296" s="2"/>
    </row>
    <row r="1297">
      <c r="B1297" s="2"/>
      <c r="I1297" s="2"/>
      <c r="J1297" s="2"/>
    </row>
    <row r="1298">
      <c r="B1298" s="2"/>
      <c r="I1298" s="2"/>
      <c r="J1298" s="2"/>
    </row>
    <row r="1299">
      <c r="B1299" s="2"/>
      <c r="I1299" s="2"/>
      <c r="J1299" s="2"/>
    </row>
    <row r="1300">
      <c r="B1300" s="2"/>
      <c r="I1300" s="2"/>
      <c r="J1300" s="2"/>
    </row>
    <row r="1301">
      <c r="B1301" s="2"/>
      <c r="I1301" s="2"/>
      <c r="J1301" s="2"/>
    </row>
    <row r="1302">
      <c r="B1302" s="2"/>
      <c r="I1302" s="2"/>
      <c r="J1302" s="2"/>
    </row>
    <row r="1303">
      <c r="B1303" s="2"/>
      <c r="I1303" s="2"/>
      <c r="J1303" s="2"/>
    </row>
    <row r="1304">
      <c r="B1304" s="2"/>
      <c r="I1304" s="2"/>
      <c r="J1304" s="2"/>
    </row>
    <row r="1305">
      <c r="B1305" s="2"/>
      <c r="I1305" s="2"/>
      <c r="J1305" s="2"/>
    </row>
    <row r="1306">
      <c r="B1306" s="2"/>
      <c r="I1306" s="2"/>
      <c r="J1306" s="2"/>
    </row>
    <row r="1307">
      <c r="B1307" s="2"/>
      <c r="I1307" s="2"/>
      <c r="J1307" s="2"/>
    </row>
    <row r="1308">
      <c r="B1308" s="2"/>
      <c r="I1308" s="2"/>
      <c r="J1308" s="2"/>
    </row>
    <row r="1309">
      <c r="B1309" s="2"/>
      <c r="I1309" s="2"/>
      <c r="J1309" s="2"/>
    </row>
    <row r="1310">
      <c r="B1310" s="2"/>
      <c r="I1310" s="2"/>
      <c r="J1310" s="2"/>
    </row>
    <row r="1311">
      <c r="B1311" s="2"/>
      <c r="I1311" s="2"/>
      <c r="J1311" s="2"/>
    </row>
    <row r="1312">
      <c r="B1312" s="2"/>
      <c r="I1312" s="2"/>
      <c r="J1312" s="2"/>
    </row>
    <row r="1313">
      <c r="B1313" s="2"/>
      <c r="I1313" s="2"/>
      <c r="J1313" s="2"/>
    </row>
    <row r="1314">
      <c r="B1314" s="2"/>
      <c r="I1314" s="2"/>
      <c r="J1314" s="2"/>
    </row>
    <row r="1315">
      <c r="B1315" s="2"/>
      <c r="I1315" s="2"/>
      <c r="J1315" s="2"/>
    </row>
    <row r="1316">
      <c r="B1316" s="2"/>
      <c r="I1316" s="2"/>
      <c r="J1316" s="2"/>
    </row>
    <row r="1317">
      <c r="B1317" s="2"/>
      <c r="I1317" s="2"/>
      <c r="J1317" s="2"/>
    </row>
    <row r="1318">
      <c r="B1318" s="2"/>
      <c r="I1318" s="2"/>
      <c r="J1318" s="2"/>
    </row>
    <row r="1319">
      <c r="B1319" s="2"/>
      <c r="I1319" s="2"/>
      <c r="J1319" s="2"/>
    </row>
    <row r="1320">
      <c r="B1320" s="2"/>
      <c r="I1320" s="2"/>
      <c r="J1320" s="2"/>
    </row>
    <row r="1321">
      <c r="B1321" s="2"/>
      <c r="I1321" s="2"/>
      <c r="J1321" s="2"/>
    </row>
    <row r="1322">
      <c r="B1322" s="2"/>
      <c r="I1322" s="2"/>
      <c r="J1322" s="2"/>
    </row>
    <row r="1323">
      <c r="B1323" s="2"/>
      <c r="I1323" s="2"/>
      <c r="J1323" s="2"/>
    </row>
    <row r="1324">
      <c r="B1324" s="2"/>
      <c r="I1324" s="2"/>
      <c r="J1324" s="2"/>
    </row>
    <row r="1325">
      <c r="B1325" s="2"/>
      <c r="I1325" s="2"/>
      <c r="J1325" s="2"/>
    </row>
    <row r="1326">
      <c r="B1326" s="2"/>
      <c r="I1326" s="2"/>
      <c r="J1326" s="2"/>
    </row>
    <row r="1327">
      <c r="B1327" s="2"/>
      <c r="I1327" s="2"/>
      <c r="J1327" s="2"/>
    </row>
    <row r="1328">
      <c r="B1328" s="2"/>
      <c r="I1328" s="2"/>
      <c r="J1328" s="2"/>
    </row>
    <row r="1329">
      <c r="B1329" s="2"/>
      <c r="I1329" s="2"/>
      <c r="J1329" s="2"/>
    </row>
    <row r="1330">
      <c r="B1330" s="2"/>
      <c r="I1330" s="2"/>
      <c r="J1330" s="2"/>
    </row>
    <row r="1331">
      <c r="B1331" s="2"/>
      <c r="I1331" s="2"/>
      <c r="J1331" s="2"/>
    </row>
    <row r="1332">
      <c r="B1332" s="2"/>
      <c r="I1332" s="2"/>
      <c r="J1332" s="2"/>
    </row>
    <row r="1333">
      <c r="B1333" s="2"/>
      <c r="I1333" s="2"/>
      <c r="J1333" s="2"/>
    </row>
    <row r="1334">
      <c r="B1334" s="2"/>
      <c r="I1334" s="2"/>
      <c r="J1334" s="2"/>
    </row>
    <row r="1335">
      <c r="B1335" s="2"/>
      <c r="I1335" s="2"/>
      <c r="J1335" s="2"/>
    </row>
    <row r="1336">
      <c r="B1336" s="2"/>
      <c r="I1336" s="2"/>
      <c r="J1336" s="2"/>
    </row>
    <row r="1337">
      <c r="B1337" s="2"/>
      <c r="I1337" s="2"/>
      <c r="J1337" s="2"/>
    </row>
    <row r="1338">
      <c r="B1338" s="2"/>
      <c r="I1338" s="2"/>
      <c r="J1338" s="2"/>
    </row>
    <row r="1339">
      <c r="B1339" s="2"/>
      <c r="I1339" s="2"/>
      <c r="J1339" s="2"/>
    </row>
    <row r="1340">
      <c r="B1340" s="2"/>
      <c r="I1340" s="2"/>
      <c r="J1340" s="2"/>
    </row>
    <row r="1341">
      <c r="B1341" s="2"/>
      <c r="I1341" s="2"/>
      <c r="J1341" s="2"/>
    </row>
    <row r="1342">
      <c r="B1342" s="2"/>
      <c r="I1342" s="2"/>
      <c r="J1342" s="2"/>
    </row>
    <row r="1343">
      <c r="B1343" s="2"/>
      <c r="I1343" s="2"/>
      <c r="J1343" s="2"/>
    </row>
    <row r="1344">
      <c r="B1344" s="2"/>
      <c r="I1344" s="2"/>
      <c r="J1344" s="2"/>
    </row>
    <row r="1345">
      <c r="B1345" s="2"/>
      <c r="I1345" s="2"/>
      <c r="J1345" s="2"/>
    </row>
    <row r="1346">
      <c r="B1346" s="2"/>
      <c r="I1346" s="2"/>
      <c r="J1346" s="2"/>
    </row>
    <row r="1347">
      <c r="B1347" s="2"/>
      <c r="I1347" s="2"/>
      <c r="J1347" s="2"/>
    </row>
    <row r="1348">
      <c r="B1348" s="2"/>
      <c r="I1348" s="2"/>
      <c r="J1348" s="2"/>
    </row>
    <row r="1349">
      <c r="B1349" s="2"/>
      <c r="I1349" s="2"/>
      <c r="J1349" s="2"/>
    </row>
    <row r="1350">
      <c r="B1350" s="2"/>
      <c r="I1350" s="2"/>
      <c r="J1350" s="2"/>
    </row>
    <row r="1351">
      <c r="B1351" s="2"/>
      <c r="I1351" s="2"/>
      <c r="J1351" s="2"/>
    </row>
    <row r="1352">
      <c r="B1352" s="2"/>
      <c r="I1352" s="2"/>
      <c r="J1352" s="2"/>
    </row>
    <row r="1353">
      <c r="B1353" s="2"/>
      <c r="I1353" s="2"/>
      <c r="J1353" s="2"/>
    </row>
    <row r="1354">
      <c r="B1354" s="2"/>
      <c r="I1354" s="2"/>
      <c r="J1354" s="2"/>
    </row>
    <row r="1355">
      <c r="B1355" s="2"/>
      <c r="I1355" s="2"/>
      <c r="J1355" s="2"/>
    </row>
    <row r="1356">
      <c r="B1356" s="2"/>
      <c r="I1356" s="2"/>
      <c r="J1356" s="2"/>
    </row>
    <row r="1357">
      <c r="B1357" s="2"/>
      <c r="I1357" s="2"/>
      <c r="J1357" s="2"/>
    </row>
    <row r="1358">
      <c r="B1358" s="2"/>
      <c r="I1358" s="2"/>
      <c r="J1358" s="2"/>
    </row>
    <row r="1359">
      <c r="B1359" s="2"/>
      <c r="I1359" s="2"/>
      <c r="J1359" s="2"/>
    </row>
    <row r="1360">
      <c r="B1360" s="2"/>
      <c r="I1360" s="2"/>
      <c r="J1360" s="2"/>
    </row>
    <row r="1361">
      <c r="B1361" s="2"/>
      <c r="I1361" s="2"/>
      <c r="J1361" s="2"/>
    </row>
    <row r="1362">
      <c r="B1362" s="2"/>
      <c r="I1362" s="2"/>
      <c r="J1362" s="2"/>
    </row>
    <row r="1363">
      <c r="B1363" s="2"/>
      <c r="I1363" s="2"/>
      <c r="J1363" s="2"/>
    </row>
    <row r="1364">
      <c r="B1364" s="2"/>
      <c r="I1364" s="2"/>
      <c r="J1364" s="2"/>
    </row>
    <row r="1365">
      <c r="B1365" s="2"/>
      <c r="I1365" s="2"/>
      <c r="J1365" s="2"/>
    </row>
    <row r="1366">
      <c r="B1366" s="2"/>
      <c r="I1366" s="2"/>
      <c r="J1366" s="2"/>
    </row>
    <row r="1367">
      <c r="B1367" s="2"/>
      <c r="I1367" s="2"/>
      <c r="J1367" s="2"/>
    </row>
    <row r="1368">
      <c r="B1368" s="2"/>
      <c r="I1368" s="2"/>
      <c r="J1368" s="2"/>
    </row>
    <row r="1369">
      <c r="B1369" s="2"/>
      <c r="I1369" s="2"/>
      <c r="J1369" s="2"/>
    </row>
    <row r="1370">
      <c r="B1370" s="2"/>
      <c r="I1370" s="2"/>
      <c r="J1370" s="2"/>
    </row>
    <row r="1371">
      <c r="B1371" s="2"/>
      <c r="I1371" s="2"/>
      <c r="J1371" s="2"/>
    </row>
    <row r="1372">
      <c r="B1372" s="2"/>
      <c r="I1372" s="2"/>
      <c r="J1372" s="2"/>
    </row>
    <row r="1373">
      <c r="B1373" s="2"/>
      <c r="I1373" s="2"/>
      <c r="J1373" s="2"/>
    </row>
    <row r="1374">
      <c r="B1374" s="2"/>
      <c r="I1374" s="2"/>
      <c r="J1374" s="2"/>
    </row>
    <row r="1375">
      <c r="B1375" s="2"/>
      <c r="I1375" s="2"/>
      <c r="J1375" s="2"/>
    </row>
    <row r="1376">
      <c r="B1376" s="2"/>
      <c r="I1376" s="2"/>
      <c r="J1376" s="2"/>
    </row>
    <row r="1377">
      <c r="B1377" s="2"/>
      <c r="I1377" s="2"/>
      <c r="J1377" s="2"/>
    </row>
    <row r="1378">
      <c r="B1378" s="2"/>
      <c r="I1378" s="2"/>
      <c r="J1378" s="2"/>
    </row>
    <row r="1379">
      <c r="B1379" s="2"/>
      <c r="I1379" s="2"/>
      <c r="J1379" s="2"/>
    </row>
    <row r="1380">
      <c r="B1380" s="2"/>
      <c r="I1380" s="2"/>
      <c r="J1380" s="2"/>
    </row>
    <row r="1381">
      <c r="B1381" s="2"/>
      <c r="I1381" s="2"/>
      <c r="J1381" s="2"/>
    </row>
    <row r="1382">
      <c r="B1382" s="2"/>
      <c r="I1382" s="2"/>
      <c r="J1382" s="2"/>
    </row>
    <row r="1383">
      <c r="B1383" s="2"/>
      <c r="I1383" s="2"/>
      <c r="J1383" s="2"/>
    </row>
    <row r="1384">
      <c r="B1384" s="2"/>
      <c r="I1384" s="2"/>
      <c r="J1384" s="2"/>
    </row>
    <row r="1385">
      <c r="B1385" s="2"/>
      <c r="I1385" s="2"/>
      <c r="J1385" s="2"/>
    </row>
    <row r="1386">
      <c r="B1386" s="2"/>
      <c r="I1386" s="2"/>
      <c r="J1386" s="2"/>
    </row>
    <row r="1387">
      <c r="B1387" s="2"/>
      <c r="I1387" s="2"/>
      <c r="J1387" s="2"/>
    </row>
    <row r="1388">
      <c r="B1388" s="2"/>
      <c r="I1388" s="2"/>
      <c r="J1388" s="2"/>
    </row>
    <row r="1389">
      <c r="B1389" s="2"/>
      <c r="I1389" s="2"/>
      <c r="J1389" s="2"/>
    </row>
    <row r="1390">
      <c r="B1390" s="2"/>
      <c r="I1390" s="2"/>
      <c r="J1390" s="2"/>
    </row>
    <row r="1391">
      <c r="B1391" s="2"/>
      <c r="I1391" s="2"/>
      <c r="J1391" s="2"/>
    </row>
    <row r="1392">
      <c r="B1392" s="2"/>
      <c r="I1392" s="2"/>
      <c r="J1392" s="2"/>
    </row>
    <row r="1393">
      <c r="B1393" s="2"/>
      <c r="I1393" s="2"/>
      <c r="J1393" s="2"/>
    </row>
    <row r="1394">
      <c r="B1394" s="2"/>
      <c r="I1394" s="2"/>
      <c r="J1394" s="2"/>
    </row>
    <row r="1395">
      <c r="B1395" s="2"/>
      <c r="I1395" s="2"/>
      <c r="J1395" s="2"/>
    </row>
    <row r="1396">
      <c r="B1396" s="2"/>
      <c r="I1396" s="2"/>
      <c r="J1396" s="2"/>
    </row>
    <row r="1397">
      <c r="B1397" s="2"/>
      <c r="I1397" s="2"/>
      <c r="J1397" s="2"/>
    </row>
    <row r="1398">
      <c r="B1398" s="2"/>
      <c r="I1398" s="2"/>
      <c r="J1398" s="2"/>
    </row>
    <row r="1399">
      <c r="B1399" s="2"/>
      <c r="I1399" s="2"/>
      <c r="J1399" s="2"/>
    </row>
    <row r="1400">
      <c r="B1400" s="2"/>
      <c r="I1400" s="2"/>
      <c r="J1400" s="2"/>
    </row>
    <row r="1401">
      <c r="B1401" s="2"/>
      <c r="I1401" s="2"/>
      <c r="J1401" s="2"/>
    </row>
    <row r="1402">
      <c r="B1402" s="2"/>
      <c r="I1402" s="2"/>
      <c r="J1402" s="2"/>
    </row>
    <row r="1403">
      <c r="B1403" s="2"/>
      <c r="I1403" s="2"/>
      <c r="J1403" s="2"/>
    </row>
    <row r="1404">
      <c r="B1404" s="2"/>
      <c r="I1404" s="2"/>
      <c r="J1404" s="2"/>
    </row>
    <row r="1405">
      <c r="B1405" s="2"/>
      <c r="I1405" s="2"/>
      <c r="J1405" s="2"/>
    </row>
    <row r="1406">
      <c r="B1406" s="2"/>
      <c r="I1406" s="2"/>
      <c r="J1406" s="2"/>
    </row>
    <row r="1407">
      <c r="B1407" s="2"/>
      <c r="I1407" s="2"/>
      <c r="J1407" s="2"/>
    </row>
    <row r="1408">
      <c r="B1408" s="2"/>
      <c r="I1408" s="2"/>
      <c r="J1408" s="2"/>
    </row>
    <row r="1409">
      <c r="B1409" s="2"/>
      <c r="I1409" s="2"/>
      <c r="J1409" s="2"/>
    </row>
    <row r="1410">
      <c r="B1410" s="2"/>
      <c r="I1410" s="2"/>
      <c r="J1410" s="2"/>
    </row>
    <row r="1411">
      <c r="B1411" s="2"/>
      <c r="I1411" s="2"/>
      <c r="J1411" s="2"/>
    </row>
    <row r="1412">
      <c r="B1412" s="2"/>
      <c r="I1412" s="2"/>
      <c r="J1412" s="2"/>
    </row>
    <row r="1413">
      <c r="B1413" s="2"/>
      <c r="I1413" s="2"/>
      <c r="J1413" s="2"/>
    </row>
    <row r="1414">
      <c r="B1414" s="2"/>
      <c r="I1414" s="2"/>
      <c r="J1414" s="2"/>
    </row>
    <row r="1415">
      <c r="B1415" s="2"/>
      <c r="I1415" s="2"/>
      <c r="J1415" s="2"/>
    </row>
    <row r="1416">
      <c r="B1416" s="2"/>
      <c r="I1416" s="2"/>
      <c r="J1416" s="2"/>
    </row>
    <row r="1417">
      <c r="B1417" s="2"/>
      <c r="I1417" s="2"/>
      <c r="J1417" s="2"/>
    </row>
    <row r="1418">
      <c r="B1418" s="2"/>
      <c r="I1418" s="2"/>
      <c r="J1418" s="2"/>
    </row>
    <row r="1419">
      <c r="B1419" s="2"/>
      <c r="I1419" s="2"/>
      <c r="J1419" s="2"/>
    </row>
    <row r="1420">
      <c r="B1420" s="2"/>
      <c r="I1420" s="2"/>
      <c r="J1420" s="2"/>
    </row>
    <row r="1421">
      <c r="B1421" s="2"/>
      <c r="I1421" s="2"/>
      <c r="J1421" s="2"/>
    </row>
    <row r="1422">
      <c r="B1422" s="2"/>
      <c r="I1422" s="2"/>
      <c r="J1422" s="2"/>
    </row>
    <row r="1423">
      <c r="B1423" s="2"/>
      <c r="I1423" s="2"/>
      <c r="J1423" s="2"/>
    </row>
    <row r="1424">
      <c r="B1424" s="2"/>
      <c r="I1424" s="2"/>
      <c r="J1424" s="2"/>
    </row>
    <row r="1425">
      <c r="B1425" s="2"/>
      <c r="I1425" s="2"/>
      <c r="J1425" s="2"/>
    </row>
    <row r="1426">
      <c r="B1426" s="2"/>
      <c r="I1426" s="2"/>
      <c r="J1426" s="2"/>
    </row>
    <row r="1427">
      <c r="B1427" s="2"/>
      <c r="I1427" s="2"/>
      <c r="J1427" s="2"/>
    </row>
    <row r="1428">
      <c r="B1428" s="2"/>
      <c r="I1428" s="2"/>
      <c r="J1428" s="2"/>
    </row>
    <row r="1429">
      <c r="B1429" s="2"/>
      <c r="I1429" s="2"/>
      <c r="J1429" s="2"/>
    </row>
    <row r="1430">
      <c r="B1430" s="2"/>
      <c r="I1430" s="2"/>
      <c r="J1430" s="2"/>
    </row>
    <row r="1431">
      <c r="B1431" s="2"/>
      <c r="I1431" s="2"/>
      <c r="J1431" s="2"/>
    </row>
    <row r="1432">
      <c r="B1432" s="2"/>
      <c r="I1432" s="2"/>
      <c r="J1432" s="2"/>
    </row>
    <row r="1433">
      <c r="B1433" s="2"/>
      <c r="I1433" s="2"/>
      <c r="J1433" s="2"/>
    </row>
    <row r="1434">
      <c r="B1434" s="2"/>
      <c r="I1434" s="2"/>
      <c r="J1434" s="2"/>
    </row>
    <row r="1435">
      <c r="B1435" s="2"/>
      <c r="I1435" s="2"/>
      <c r="J1435" s="2"/>
    </row>
    <row r="1436">
      <c r="B1436" s="2"/>
      <c r="I1436" s="2"/>
      <c r="J1436" s="2"/>
    </row>
    <row r="1437">
      <c r="B1437" s="2"/>
      <c r="I1437" s="2"/>
      <c r="J1437" s="2"/>
    </row>
    <row r="1438">
      <c r="B1438" s="2"/>
      <c r="I1438" s="2"/>
      <c r="J1438" s="2"/>
    </row>
    <row r="1439">
      <c r="B1439" s="2"/>
      <c r="I1439" s="2"/>
      <c r="J1439" s="2"/>
    </row>
    <row r="1440">
      <c r="B1440" s="2"/>
      <c r="I1440" s="2"/>
      <c r="J1440" s="2"/>
    </row>
    <row r="1441">
      <c r="B1441" s="2"/>
      <c r="I1441" s="2"/>
      <c r="J1441" s="2"/>
    </row>
    <row r="1442">
      <c r="B1442" s="2"/>
      <c r="I1442" s="2"/>
      <c r="J1442" s="2"/>
    </row>
    <row r="1443">
      <c r="B1443" s="2"/>
      <c r="I1443" s="2"/>
      <c r="J1443" s="2"/>
    </row>
    <row r="1444">
      <c r="B1444" s="2"/>
      <c r="I1444" s="2"/>
      <c r="J1444" s="2"/>
    </row>
    <row r="1445">
      <c r="B1445" s="2"/>
      <c r="I1445" s="2"/>
      <c r="J1445" s="2"/>
    </row>
    <row r="1446">
      <c r="B1446" s="2"/>
      <c r="I1446" s="2"/>
      <c r="J1446" s="2"/>
    </row>
    <row r="1447">
      <c r="B1447" s="2"/>
      <c r="I1447" s="2"/>
      <c r="J1447" s="2"/>
    </row>
    <row r="1448">
      <c r="B1448" s="2"/>
      <c r="I1448" s="2"/>
      <c r="J1448" s="2"/>
    </row>
    <row r="1449">
      <c r="B1449" s="2"/>
      <c r="I1449" s="2"/>
      <c r="J1449" s="2"/>
    </row>
    <row r="1450">
      <c r="B1450" s="2"/>
      <c r="I1450" s="2"/>
      <c r="J1450" s="2"/>
    </row>
    <row r="1451">
      <c r="B1451" s="2"/>
      <c r="I1451" s="2"/>
      <c r="J1451" s="2"/>
    </row>
    <row r="1452">
      <c r="B1452" s="2"/>
      <c r="I1452" s="2"/>
      <c r="J1452" s="2"/>
    </row>
    <row r="1453">
      <c r="B1453" s="2"/>
      <c r="I1453" s="2"/>
      <c r="J1453" s="2"/>
    </row>
    <row r="1454">
      <c r="B1454" s="2"/>
      <c r="I1454" s="2"/>
      <c r="J1454" s="2"/>
    </row>
    <row r="1455">
      <c r="B1455" s="2"/>
      <c r="I1455" s="2"/>
      <c r="J1455" s="2"/>
    </row>
    <row r="1456">
      <c r="B1456" s="2"/>
      <c r="I1456" s="2"/>
      <c r="J1456" s="2"/>
    </row>
    <row r="1457">
      <c r="B1457" s="2"/>
      <c r="I1457" s="2"/>
      <c r="J1457" s="2"/>
    </row>
    <row r="1458">
      <c r="B1458" s="2"/>
      <c r="I1458" s="2"/>
      <c r="J1458" s="2"/>
    </row>
    <row r="1459">
      <c r="B1459" s="2"/>
      <c r="I1459" s="2"/>
      <c r="J1459" s="2"/>
    </row>
    <row r="1460">
      <c r="B1460" s="2"/>
      <c r="I1460" s="2"/>
      <c r="J1460" s="2"/>
    </row>
    <row r="1461">
      <c r="B1461" s="2"/>
      <c r="I1461" s="2"/>
      <c r="J1461" s="2"/>
    </row>
    <row r="1462">
      <c r="B1462" s="2"/>
      <c r="I1462" s="2"/>
      <c r="J1462" s="2"/>
    </row>
    <row r="1463">
      <c r="B1463" s="2"/>
      <c r="I1463" s="2"/>
      <c r="J1463" s="2"/>
    </row>
    <row r="1464">
      <c r="B1464" s="2"/>
      <c r="I1464" s="2"/>
      <c r="J1464" s="2"/>
    </row>
    <row r="1465">
      <c r="B1465" s="2"/>
      <c r="I1465" s="2"/>
      <c r="J1465" s="2"/>
    </row>
    <row r="1466">
      <c r="B1466" s="2"/>
      <c r="I1466" s="2"/>
      <c r="J1466" s="2"/>
    </row>
    <row r="1467">
      <c r="B1467" s="2"/>
      <c r="I1467" s="2"/>
      <c r="J1467" s="2"/>
    </row>
    <row r="1468">
      <c r="B1468" s="2"/>
      <c r="I1468" s="2"/>
      <c r="J1468" s="2"/>
    </row>
    <row r="1469">
      <c r="B1469" s="2"/>
      <c r="I1469" s="2"/>
      <c r="J1469" s="2"/>
    </row>
    <row r="1470">
      <c r="B1470" s="2"/>
      <c r="I1470" s="2"/>
      <c r="J1470" s="2"/>
    </row>
    <row r="1471">
      <c r="B1471" s="2"/>
      <c r="I1471" s="2"/>
      <c r="J1471" s="2"/>
    </row>
    <row r="1472">
      <c r="B1472" s="2"/>
      <c r="I1472" s="2"/>
      <c r="J1472" s="2"/>
    </row>
    <row r="1473">
      <c r="B1473" s="2"/>
      <c r="I1473" s="2"/>
      <c r="J1473" s="2"/>
    </row>
    <row r="1474">
      <c r="B1474" s="2"/>
      <c r="I1474" s="2"/>
      <c r="J1474" s="2"/>
    </row>
    <row r="1475">
      <c r="B1475" s="2"/>
      <c r="I1475" s="2"/>
      <c r="J1475" s="2"/>
    </row>
    <row r="1476">
      <c r="B1476" s="2"/>
      <c r="I1476" s="2"/>
      <c r="J1476" s="2"/>
    </row>
    <row r="1477">
      <c r="B1477" s="2"/>
      <c r="I1477" s="2"/>
      <c r="J1477" s="2"/>
    </row>
    <row r="1478">
      <c r="B1478" s="2"/>
      <c r="I1478" s="2"/>
      <c r="J1478" s="2"/>
    </row>
    <row r="1479">
      <c r="B1479" s="2"/>
      <c r="I1479" s="2"/>
      <c r="J1479" s="2"/>
    </row>
    <row r="1480">
      <c r="B1480" s="2"/>
      <c r="I1480" s="2"/>
      <c r="J1480" s="2"/>
    </row>
    <row r="1481">
      <c r="B1481" s="2"/>
      <c r="I1481" s="2"/>
      <c r="J1481" s="2"/>
    </row>
    <row r="1482">
      <c r="B1482" s="2"/>
      <c r="I1482" s="2"/>
      <c r="J1482" s="2"/>
    </row>
    <row r="1483">
      <c r="B1483" s="2"/>
      <c r="I1483" s="2"/>
      <c r="J1483" s="2"/>
    </row>
    <row r="1484">
      <c r="B1484" s="2"/>
      <c r="I1484" s="2"/>
      <c r="J1484" s="2"/>
    </row>
    <row r="1485">
      <c r="B1485" s="2"/>
      <c r="I1485" s="2"/>
      <c r="J1485" s="2"/>
    </row>
    <row r="1486">
      <c r="B1486" s="2"/>
      <c r="I1486" s="2"/>
      <c r="J1486" s="2"/>
    </row>
    <row r="1487">
      <c r="B1487" s="2"/>
      <c r="I1487" s="2"/>
      <c r="J1487" s="2"/>
    </row>
    <row r="1488">
      <c r="B1488" s="2"/>
      <c r="I1488" s="2"/>
      <c r="J1488" s="2"/>
    </row>
    <row r="1489">
      <c r="B1489" s="2"/>
      <c r="I1489" s="2"/>
      <c r="J1489" s="2"/>
    </row>
    <row r="1490">
      <c r="B1490" s="2"/>
      <c r="I1490" s="2"/>
      <c r="J1490" s="2"/>
    </row>
    <row r="1491">
      <c r="B1491" s="2"/>
      <c r="I1491" s="2"/>
      <c r="J1491" s="2"/>
    </row>
    <row r="1492">
      <c r="B1492" s="2"/>
      <c r="I1492" s="2"/>
      <c r="J1492" s="2"/>
    </row>
    <row r="1493">
      <c r="B1493" s="2"/>
      <c r="I1493" s="2"/>
      <c r="J1493" s="2"/>
    </row>
    <row r="1494">
      <c r="B1494" s="2"/>
      <c r="I1494" s="2"/>
      <c r="J1494" s="2"/>
    </row>
    <row r="1495">
      <c r="B1495" s="2"/>
      <c r="I1495" s="2"/>
      <c r="J1495" s="2"/>
    </row>
    <row r="1496">
      <c r="B1496" s="2"/>
      <c r="I1496" s="2"/>
      <c r="J1496" s="2"/>
    </row>
    <row r="1497">
      <c r="B1497" s="2"/>
      <c r="I1497" s="2"/>
      <c r="J1497" s="2"/>
    </row>
    <row r="1498">
      <c r="B1498" s="2"/>
      <c r="I1498" s="2"/>
      <c r="J1498" s="2"/>
    </row>
    <row r="1499">
      <c r="B1499" s="2"/>
      <c r="I1499" s="2"/>
      <c r="J1499" s="2"/>
    </row>
    <row r="1500">
      <c r="B1500" s="2"/>
      <c r="I1500" s="2"/>
      <c r="J1500" s="2"/>
    </row>
    <row r="1501">
      <c r="B1501" s="2"/>
      <c r="I1501" s="2"/>
      <c r="J1501" s="2"/>
    </row>
    <row r="1502">
      <c r="B1502" s="2"/>
      <c r="I1502" s="2"/>
      <c r="J1502" s="2"/>
    </row>
    <row r="1503">
      <c r="B1503" s="2"/>
      <c r="I1503" s="2"/>
      <c r="J1503" s="2"/>
    </row>
    <row r="1504">
      <c r="B1504" s="2"/>
      <c r="I1504" s="2"/>
      <c r="J1504" s="2"/>
    </row>
    <row r="1505">
      <c r="B1505" s="2"/>
      <c r="I1505" s="2"/>
      <c r="J1505" s="2"/>
    </row>
    <row r="1506">
      <c r="B1506" s="2"/>
      <c r="I1506" s="2"/>
      <c r="J1506" s="2"/>
    </row>
    <row r="1507">
      <c r="B1507" s="2"/>
      <c r="I1507" s="2"/>
      <c r="J1507" s="2"/>
    </row>
    <row r="1508">
      <c r="B1508" s="2"/>
      <c r="I1508" s="2"/>
      <c r="J1508" s="2"/>
    </row>
    <row r="1509">
      <c r="B1509" s="2"/>
      <c r="I1509" s="2"/>
      <c r="J1509" s="2"/>
    </row>
    <row r="1510">
      <c r="B1510" s="2"/>
      <c r="I1510" s="2"/>
      <c r="J1510" s="2"/>
    </row>
    <row r="1511">
      <c r="B1511" s="2"/>
      <c r="I1511" s="2"/>
      <c r="J1511" s="2"/>
    </row>
    <row r="1512">
      <c r="B1512" s="2"/>
      <c r="I1512" s="2"/>
      <c r="J1512" s="2"/>
    </row>
    <row r="1513">
      <c r="B1513" s="2"/>
      <c r="I1513" s="2"/>
      <c r="J1513" s="2"/>
    </row>
    <row r="1514">
      <c r="B1514" s="2"/>
      <c r="I1514" s="2"/>
      <c r="J1514" s="2"/>
    </row>
    <row r="1515">
      <c r="B1515" s="2"/>
      <c r="I1515" s="2"/>
      <c r="J1515" s="2"/>
    </row>
    <row r="1516">
      <c r="B1516" s="2"/>
      <c r="I1516" s="2"/>
      <c r="J1516" s="2"/>
    </row>
    <row r="1517">
      <c r="B1517" s="2"/>
      <c r="I1517" s="2"/>
      <c r="J1517" s="2"/>
    </row>
    <row r="1518">
      <c r="B1518" s="2"/>
      <c r="I1518" s="2"/>
      <c r="J1518" s="2"/>
    </row>
    <row r="1519">
      <c r="B1519" s="2"/>
      <c r="I1519" s="2"/>
      <c r="J1519" s="2"/>
    </row>
    <row r="1520">
      <c r="B1520" s="2"/>
      <c r="I1520" s="2"/>
      <c r="J1520" s="2"/>
    </row>
    <row r="1521">
      <c r="B1521" s="2"/>
      <c r="I1521" s="2"/>
      <c r="J1521" s="2"/>
    </row>
    <row r="1522">
      <c r="B1522" s="2"/>
      <c r="I1522" s="2"/>
      <c r="J1522" s="2"/>
    </row>
    <row r="1523">
      <c r="B1523" s="2"/>
      <c r="I1523" s="2"/>
      <c r="J1523" s="2"/>
    </row>
    <row r="1524">
      <c r="B1524" s="2"/>
      <c r="I1524" s="2"/>
      <c r="J1524" s="2"/>
    </row>
    <row r="1525">
      <c r="B1525" s="2"/>
      <c r="I1525" s="2"/>
      <c r="J1525" s="2"/>
    </row>
    <row r="1526">
      <c r="B1526" s="2"/>
      <c r="I1526" s="2"/>
      <c r="J1526" s="2"/>
    </row>
    <row r="1527">
      <c r="B1527" s="2"/>
      <c r="I1527" s="2"/>
      <c r="J1527" s="2"/>
    </row>
    <row r="1528">
      <c r="B1528" s="2"/>
      <c r="I1528" s="2"/>
      <c r="J1528" s="2"/>
    </row>
    <row r="1529">
      <c r="B1529" s="2"/>
      <c r="I1529" s="2"/>
      <c r="J1529" s="2"/>
    </row>
    <row r="1530">
      <c r="B1530" s="2"/>
      <c r="I1530" s="2"/>
      <c r="J1530" s="2"/>
    </row>
    <row r="1531">
      <c r="B1531" s="2"/>
      <c r="I1531" s="2"/>
      <c r="J1531" s="2"/>
    </row>
    <row r="1532">
      <c r="B1532" s="2"/>
      <c r="I1532" s="2"/>
      <c r="J1532" s="2"/>
    </row>
    <row r="1533">
      <c r="B1533" s="2"/>
      <c r="I1533" s="2"/>
      <c r="J1533" s="2"/>
    </row>
    <row r="1534">
      <c r="B1534" s="2"/>
      <c r="I1534" s="2"/>
      <c r="J1534" s="2"/>
    </row>
    <row r="1535">
      <c r="B1535" s="2"/>
      <c r="I1535" s="2"/>
      <c r="J1535" s="2"/>
    </row>
    <row r="1536">
      <c r="B1536" s="2"/>
      <c r="I1536" s="2"/>
      <c r="J1536" s="2"/>
    </row>
    <row r="1537">
      <c r="B1537" s="2"/>
      <c r="I1537" s="2"/>
      <c r="J1537" s="2"/>
    </row>
    <row r="1538">
      <c r="B1538" s="2"/>
      <c r="I1538" s="2"/>
      <c r="J1538" s="2"/>
    </row>
    <row r="1539">
      <c r="B1539" s="2"/>
      <c r="I1539" s="2"/>
      <c r="J1539" s="2"/>
    </row>
    <row r="1540">
      <c r="B1540" s="2"/>
      <c r="I1540" s="2"/>
      <c r="J1540" s="2"/>
    </row>
    <row r="1541">
      <c r="B1541" s="2"/>
      <c r="I1541" s="2"/>
      <c r="J1541" s="2"/>
    </row>
    <row r="1542">
      <c r="B1542" s="2"/>
      <c r="I1542" s="2"/>
      <c r="J1542" s="2"/>
    </row>
    <row r="1543">
      <c r="B1543" s="2"/>
      <c r="I1543" s="2"/>
      <c r="J1543" s="2"/>
    </row>
    <row r="1544">
      <c r="B1544" s="2"/>
      <c r="I1544" s="2"/>
      <c r="J1544" s="2"/>
    </row>
    <row r="1545">
      <c r="B1545" s="2"/>
      <c r="I1545" s="2"/>
      <c r="J1545" s="2"/>
    </row>
    <row r="1546">
      <c r="B1546" s="2"/>
      <c r="I1546" s="2"/>
      <c r="J1546" s="2"/>
    </row>
    <row r="1547">
      <c r="B1547" s="2"/>
      <c r="I1547" s="2"/>
      <c r="J1547" s="2"/>
    </row>
    <row r="1548">
      <c r="B1548" s="2"/>
      <c r="I1548" s="2"/>
      <c r="J1548" s="2"/>
    </row>
    <row r="1549">
      <c r="B1549" s="2"/>
      <c r="I1549" s="2"/>
      <c r="J1549" s="2"/>
    </row>
    <row r="1550">
      <c r="B1550" s="2"/>
      <c r="I1550" s="2"/>
      <c r="J1550" s="2"/>
    </row>
    <row r="1551">
      <c r="B1551" s="2"/>
      <c r="I1551" s="2"/>
      <c r="J1551" s="2"/>
    </row>
    <row r="1552">
      <c r="B1552" s="2"/>
      <c r="I1552" s="2"/>
      <c r="J1552" s="2"/>
    </row>
    <row r="1553">
      <c r="B1553" s="2"/>
      <c r="I1553" s="2"/>
      <c r="J1553" s="2"/>
    </row>
    <row r="1554">
      <c r="B1554" s="2"/>
      <c r="I1554" s="2"/>
      <c r="J1554" s="2"/>
    </row>
    <row r="1555">
      <c r="B1555" s="2"/>
      <c r="I1555" s="2"/>
      <c r="J1555" s="2"/>
    </row>
    <row r="1556">
      <c r="B1556" s="2"/>
      <c r="I1556" s="2"/>
      <c r="J1556" s="2"/>
    </row>
    <row r="1557">
      <c r="B1557" s="2"/>
      <c r="I1557" s="2"/>
      <c r="J1557" s="2"/>
    </row>
    <row r="1558">
      <c r="B1558" s="2"/>
      <c r="I1558" s="2"/>
      <c r="J1558" s="2"/>
    </row>
    <row r="1559">
      <c r="B1559" s="2"/>
      <c r="I1559" s="2"/>
      <c r="J1559" s="2"/>
    </row>
    <row r="1560">
      <c r="B1560" s="2"/>
      <c r="I1560" s="2"/>
      <c r="J1560" s="2"/>
    </row>
    <row r="1561">
      <c r="B1561" s="2"/>
      <c r="I1561" s="2"/>
      <c r="J1561" s="2"/>
    </row>
    <row r="1562">
      <c r="B1562" s="2"/>
      <c r="I1562" s="2"/>
      <c r="J1562" s="2"/>
    </row>
    <row r="1563">
      <c r="B1563" s="2"/>
      <c r="I1563" s="2"/>
      <c r="J1563" s="2"/>
    </row>
    <row r="1564">
      <c r="B1564" s="2"/>
      <c r="I1564" s="2"/>
      <c r="J1564" s="2"/>
    </row>
    <row r="1565">
      <c r="B1565" s="2"/>
      <c r="I1565" s="2"/>
      <c r="J1565" s="2"/>
    </row>
    <row r="1566">
      <c r="B1566" s="2"/>
      <c r="I1566" s="2"/>
      <c r="J1566" s="2"/>
    </row>
    <row r="1567">
      <c r="B1567" s="2"/>
      <c r="I1567" s="2"/>
      <c r="J1567" s="2"/>
    </row>
    <row r="1568">
      <c r="B1568" s="2"/>
      <c r="I1568" s="2"/>
      <c r="J1568" s="2"/>
    </row>
    <row r="1569">
      <c r="B1569" s="2"/>
      <c r="I1569" s="2"/>
      <c r="J1569" s="2"/>
    </row>
    <row r="1570">
      <c r="B1570" s="2"/>
      <c r="I1570" s="2"/>
      <c r="J1570" s="2"/>
    </row>
    <row r="1571">
      <c r="B1571" s="2"/>
      <c r="I1571" s="2"/>
      <c r="J1571" s="2"/>
    </row>
    <row r="1572">
      <c r="B1572" s="2"/>
      <c r="I1572" s="2"/>
      <c r="J1572" s="2"/>
    </row>
    <row r="1573">
      <c r="B1573" s="2"/>
      <c r="I1573" s="2"/>
      <c r="J1573" s="2"/>
    </row>
    <row r="1574">
      <c r="B1574" s="2"/>
      <c r="I1574" s="2"/>
      <c r="J1574" s="2"/>
    </row>
    <row r="1575">
      <c r="B1575" s="2"/>
      <c r="I1575" s="2"/>
      <c r="J1575" s="2"/>
    </row>
    <row r="1576">
      <c r="B1576" s="2"/>
      <c r="I1576" s="2"/>
      <c r="J1576" s="2"/>
    </row>
    <row r="1577">
      <c r="B1577" s="2"/>
      <c r="I1577" s="2"/>
      <c r="J1577" s="2"/>
    </row>
    <row r="1578">
      <c r="B1578" s="2"/>
      <c r="I1578" s="2"/>
      <c r="J1578" s="2"/>
    </row>
    <row r="1579">
      <c r="B1579" s="2"/>
      <c r="I1579" s="2"/>
      <c r="J1579" s="2"/>
    </row>
    <row r="1580">
      <c r="B1580" s="2"/>
      <c r="I1580" s="2"/>
      <c r="J1580" s="2"/>
    </row>
    <row r="1581">
      <c r="B1581" s="2"/>
      <c r="I1581" s="2"/>
      <c r="J1581" s="2"/>
    </row>
    <row r="1582">
      <c r="B1582" s="2"/>
      <c r="I1582" s="2"/>
      <c r="J1582" s="2"/>
    </row>
    <row r="1583">
      <c r="B1583" s="2"/>
      <c r="I1583" s="2"/>
      <c r="J1583" s="2"/>
    </row>
    <row r="1584">
      <c r="B1584" s="2"/>
      <c r="I1584" s="2"/>
      <c r="J1584" s="2"/>
    </row>
    <row r="1585">
      <c r="B1585" s="2"/>
      <c r="I1585" s="2"/>
      <c r="J1585" s="2"/>
    </row>
    <row r="1586">
      <c r="B1586" s="2"/>
      <c r="I1586" s="2"/>
      <c r="J1586" s="2"/>
    </row>
    <row r="1587">
      <c r="B1587" s="2"/>
      <c r="I1587" s="2"/>
      <c r="J1587" s="2"/>
    </row>
    <row r="1588">
      <c r="B1588" s="2"/>
      <c r="I1588" s="2"/>
      <c r="J1588" s="2"/>
    </row>
    <row r="1589">
      <c r="B1589" s="2"/>
      <c r="I1589" s="2"/>
      <c r="J1589" s="2"/>
    </row>
    <row r="1590">
      <c r="B1590" s="2"/>
      <c r="I1590" s="2"/>
      <c r="J1590" s="2"/>
    </row>
    <row r="1591">
      <c r="B1591" s="2"/>
      <c r="I1591" s="2"/>
      <c r="J1591" s="2"/>
    </row>
    <row r="1592">
      <c r="B1592" s="2"/>
      <c r="I1592" s="2"/>
      <c r="J1592" s="2"/>
    </row>
    <row r="1593">
      <c r="B1593" s="2"/>
      <c r="I1593" s="2"/>
      <c r="J1593" s="2"/>
    </row>
    <row r="1594">
      <c r="B1594" s="2"/>
      <c r="I1594" s="2"/>
      <c r="J1594" s="2"/>
    </row>
    <row r="1595">
      <c r="B1595" s="2"/>
      <c r="I1595" s="2"/>
      <c r="J1595" s="2"/>
    </row>
    <row r="1596">
      <c r="B1596" s="2"/>
      <c r="I1596" s="2"/>
      <c r="J1596" s="2"/>
    </row>
    <row r="1597">
      <c r="B1597" s="2"/>
      <c r="I1597" s="2"/>
      <c r="J1597" s="2"/>
    </row>
    <row r="1598">
      <c r="B1598" s="2"/>
      <c r="I1598" s="2"/>
      <c r="J1598" s="2"/>
    </row>
    <row r="1599">
      <c r="B1599" s="2"/>
      <c r="I1599" s="2"/>
      <c r="J1599" s="2"/>
    </row>
    <row r="1600">
      <c r="B1600" s="2"/>
      <c r="I1600" s="2"/>
      <c r="J1600" s="2"/>
    </row>
    <row r="1601">
      <c r="B1601" s="2"/>
      <c r="I1601" s="2"/>
      <c r="J1601" s="2"/>
    </row>
    <row r="1602">
      <c r="B1602" s="2"/>
      <c r="I1602" s="2"/>
      <c r="J1602" s="2"/>
    </row>
    <row r="1603">
      <c r="B1603" s="2"/>
      <c r="I1603" s="2"/>
      <c r="J1603" s="2"/>
    </row>
    <row r="1604">
      <c r="B1604" s="2"/>
      <c r="I1604" s="2"/>
      <c r="J1604" s="2"/>
    </row>
    <row r="1605">
      <c r="B1605" s="2"/>
      <c r="I1605" s="2"/>
      <c r="J1605" s="2"/>
    </row>
    <row r="1606">
      <c r="B1606" s="2"/>
      <c r="I1606" s="2"/>
      <c r="J1606" s="2"/>
    </row>
    <row r="1607">
      <c r="B1607" s="2"/>
      <c r="I1607" s="2"/>
      <c r="J1607" s="2"/>
    </row>
    <row r="1608">
      <c r="B1608" s="2"/>
      <c r="I1608" s="2"/>
      <c r="J1608" s="2"/>
    </row>
    <row r="1609">
      <c r="B1609" s="2"/>
      <c r="I1609" s="2"/>
      <c r="J1609" s="2"/>
    </row>
    <row r="1610">
      <c r="B1610" s="2"/>
      <c r="I1610" s="2"/>
      <c r="J1610" s="2"/>
    </row>
    <row r="1611">
      <c r="B1611" s="2"/>
      <c r="I1611" s="2"/>
      <c r="J1611" s="2"/>
    </row>
    <row r="1612">
      <c r="B1612" s="2"/>
      <c r="I1612" s="2"/>
      <c r="J1612" s="2"/>
    </row>
    <row r="1613">
      <c r="B1613" s="2"/>
      <c r="I1613" s="2"/>
      <c r="J1613" s="2"/>
    </row>
    <row r="1614">
      <c r="B1614" s="2"/>
      <c r="I1614" s="2"/>
      <c r="J1614" s="2"/>
    </row>
    <row r="1615">
      <c r="B1615" s="2"/>
      <c r="I1615" s="2"/>
      <c r="J1615" s="2"/>
    </row>
    <row r="1616">
      <c r="B1616" s="2"/>
      <c r="I1616" s="2"/>
      <c r="J1616" s="2"/>
    </row>
    <row r="1617">
      <c r="B1617" s="2"/>
      <c r="I1617" s="2"/>
      <c r="J1617" s="2"/>
    </row>
    <row r="1618">
      <c r="B1618" s="2"/>
      <c r="I1618" s="2"/>
      <c r="J1618" s="2"/>
    </row>
    <row r="1619">
      <c r="B1619" s="2"/>
      <c r="I1619" s="2"/>
      <c r="J1619" s="2"/>
    </row>
    <row r="1620">
      <c r="B1620" s="2"/>
      <c r="I1620" s="2"/>
      <c r="J1620" s="2"/>
    </row>
    <row r="1621">
      <c r="B1621" s="2"/>
      <c r="I1621" s="2"/>
      <c r="J1621" s="2"/>
    </row>
    <row r="1622">
      <c r="B1622" s="2"/>
      <c r="I1622" s="2"/>
      <c r="J1622" s="2"/>
    </row>
    <row r="1623">
      <c r="B1623" s="2"/>
      <c r="I1623" s="2"/>
      <c r="J1623" s="2"/>
    </row>
    <row r="1624">
      <c r="B1624" s="2"/>
      <c r="I1624" s="2"/>
      <c r="J1624" s="2"/>
    </row>
    <row r="1625">
      <c r="B1625" s="2"/>
      <c r="I1625" s="2"/>
      <c r="J1625" s="2"/>
    </row>
    <row r="1626">
      <c r="B1626" s="2"/>
      <c r="I1626" s="2"/>
      <c r="J1626" s="2"/>
    </row>
    <row r="1627">
      <c r="B1627" s="2"/>
      <c r="I1627" s="2"/>
      <c r="J1627" s="2"/>
    </row>
    <row r="1628">
      <c r="B1628" s="2"/>
      <c r="I1628" s="2"/>
      <c r="J1628" s="2"/>
    </row>
    <row r="1629">
      <c r="B1629" s="2"/>
      <c r="I1629" s="2"/>
      <c r="J1629" s="2"/>
    </row>
    <row r="1630">
      <c r="B1630" s="2"/>
      <c r="I1630" s="2"/>
      <c r="J1630" s="2"/>
    </row>
    <row r="1631">
      <c r="B1631" s="2"/>
      <c r="I1631" s="2"/>
      <c r="J1631" s="2"/>
    </row>
    <row r="1632">
      <c r="B1632" s="2"/>
      <c r="I1632" s="2"/>
      <c r="J1632" s="2"/>
    </row>
    <row r="1633">
      <c r="B1633" s="2"/>
      <c r="I1633" s="2"/>
      <c r="J1633" s="2"/>
    </row>
    <row r="1634">
      <c r="B1634" s="2"/>
      <c r="I1634" s="2"/>
      <c r="J1634" s="2"/>
    </row>
    <row r="1635">
      <c r="B1635" s="2"/>
      <c r="I1635" s="2"/>
      <c r="J1635" s="2"/>
    </row>
    <row r="1636">
      <c r="B1636" s="2"/>
      <c r="I1636" s="2"/>
      <c r="J1636" s="2"/>
    </row>
    <row r="1637">
      <c r="B1637" s="2"/>
      <c r="I1637" s="2"/>
      <c r="J1637" s="2"/>
    </row>
    <row r="1638">
      <c r="B1638" s="2"/>
      <c r="I1638" s="2"/>
      <c r="J1638" s="2"/>
    </row>
    <row r="1639">
      <c r="B1639" s="2"/>
      <c r="I1639" s="2"/>
      <c r="J1639" s="2"/>
    </row>
    <row r="1640">
      <c r="B1640" s="2"/>
      <c r="I1640" s="2"/>
      <c r="J1640" s="2"/>
    </row>
    <row r="1641">
      <c r="B1641" s="2"/>
      <c r="I1641" s="2"/>
      <c r="J1641" s="2"/>
    </row>
    <row r="1642">
      <c r="B1642" s="2"/>
      <c r="I1642" s="2"/>
      <c r="J1642" s="2"/>
    </row>
    <row r="1643">
      <c r="B1643" s="2"/>
      <c r="I1643" s="2"/>
      <c r="J1643" s="2"/>
    </row>
    <row r="1644">
      <c r="B1644" s="2"/>
      <c r="I1644" s="2"/>
      <c r="J1644" s="2"/>
    </row>
    <row r="1645">
      <c r="B1645" s="2"/>
      <c r="I1645" s="2"/>
      <c r="J1645" s="2"/>
    </row>
    <row r="1646">
      <c r="B1646" s="2"/>
      <c r="I1646" s="2"/>
      <c r="J1646" s="2"/>
    </row>
    <row r="1647">
      <c r="B1647" s="2"/>
      <c r="I1647" s="2"/>
      <c r="J1647" s="2"/>
    </row>
    <row r="1648">
      <c r="B1648" s="2"/>
      <c r="I1648" s="2"/>
      <c r="J1648" s="2"/>
    </row>
    <row r="1649">
      <c r="B1649" s="2"/>
      <c r="I1649" s="2"/>
      <c r="J1649" s="2"/>
    </row>
    <row r="1650">
      <c r="B1650" s="2"/>
      <c r="I1650" s="2"/>
      <c r="J1650" s="2"/>
    </row>
    <row r="1651">
      <c r="B1651" s="2"/>
      <c r="I1651" s="2"/>
      <c r="J1651" s="2"/>
    </row>
    <row r="1652">
      <c r="B1652" s="2"/>
      <c r="I1652" s="2"/>
      <c r="J16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75"/>
    <col customWidth="1" min="4" max="4" width="12.75"/>
    <col customWidth="1" min="6" max="6" width="14.88"/>
    <col customWidth="1" min="10" max="10" width="14.5"/>
    <col customWidth="1" min="12" max="12" width="16.0"/>
  </cols>
  <sheetData>
    <row r="1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9" t="s">
        <v>14</v>
      </c>
    </row>
    <row r="2">
      <c r="A2" s="10">
        <v>1719.0</v>
      </c>
      <c r="B2" s="11" t="s">
        <v>15</v>
      </c>
      <c r="C2" s="12">
        <v>77.0</v>
      </c>
      <c r="D2" s="11" t="s">
        <v>16</v>
      </c>
      <c r="E2" s="11" t="s">
        <v>17</v>
      </c>
      <c r="F2" s="11" t="s">
        <v>18</v>
      </c>
      <c r="G2" s="13"/>
      <c r="H2" s="12" t="s">
        <v>19</v>
      </c>
      <c r="I2" s="11" t="s">
        <v>20</v>
      </c>
      <c r="J2" s="11" t="s">
        <v>21</v>
      </c>
      <c r="K2" s="13"/>
      <c r="L2" s="14" t="s">
        <v>22</v>
      </c>
    </row>
    <row r="3">
      <c r="A3" s="15">
        <v>1363.0</v>
      </c>
      <c r="B3" s="16" t="s">
        <v>23</v>
      </c>
      <c r="C3" s="17">
        <v>35.0</v>
      </c>
      <c r="D3" s="16" t="s">
        <v>24</v>
      </c>
      <c r="E3" s="16" t="s">
        <v>25</v>
      </c>
      <c r="F3" s="16" t="s">
        <v>18</v>
      </c>
      <c r="G3" s="18"/>
      <c r="H3" s="17" t="s">
        <v>19</v>
      </c>
      <c r="I3" s="16" t="s">
        <v>26</v>
      </c>
      <c r="J3" s="16" t="s">
        <v>21</v>
      </c>
      <c r="K3" s="18"/>
      <c r="L3" s="19" t="s">
        <v>27</v>
      </c>
    </row>
    <row r="4">
      <c r="A4" s="10">
        <v>976.0</v>
      </c>
      <c r="B4" s="11" t="s">
        <v>28</v>
      </c>
      <c r="C4" s="12">
        <v>28.0</v>
      </c>
      <c r="D4" s="11" t="s">
        <v>16</v>
      </c>
      <c r="E4" s="11" t="s">
        <v>17</v>
      </c>
      <c r="F4" s="11" t="s">
        <v>18</v>
      </c>
      <c r="G4" s="13"/>
      <c r="H4" s="12" t="s">
        <v>19</v>
      </c>
      <c r="I4" s="11" t="s">
        <v>16</v>
      </c>
      <c r="J4" s="11" t="s">
        <v>21</v>
      </c>
      <c r="K4" s="13"/>
      <c r="L4" s="14" t="s">
        <v>29</v>
      </c>
    </row>
    <row r="5">
      <c r="A5" s="15">
        <v>974.0</v>
      </c>
      <c r="B5" s="16" t="s">
        <v>30</v>
      </c>
      <c r="C5" s="17">
        <v>53.0</v>
      </c>
      <c r="D5" s="16" t="s">
        <v>16</v>
      </c>
      <c r="E5" s="16" t="s">
        <v>17</v>
      </c>
      <c r="F5" s="16" t="s">
        <v>18</v>
      </c>
      <c r="G5" s="18"/>
      <c r="H5" s="17" t="s">
        <v>19</v>
      </c>
      <c r="I5" s="16" t="s">
        <v>16</v>
      </c>
      <c r="J5" s="16" t="s">
        <v>21</v>
      </c>
      <c r="K5" s="18"/>
      <c r="L5" s="19" t="s">
        <v>31</v>
      </c>
    </row>
    <row r="6">
      <c r="A6" s="10">
        <v>1005.0</v>
      </c>
      <c r="B6" s="11" t="s">
        <v>32</v>
      </c>
      <c r="C6" s="12">
        <v>58.0</v>
      </c>
      <c r="D6" s="11" t="s">
        <v>33</v>
      </c>
      <c r="E6" s="11" t="s">
        <v>17</v>
      </c>
      <c r="F6" s="11" t="s">
        <v>18</v>
      </c>
      <c r="G6" s="13"/>
      <c r="H6" s="12" t="s">
        <v>19</v>
      </c>
      <c r="I6" s="11" t="s">
        <v>16</v>
      </c>
      <c r="J6" s="11" t="s">
        <v>21</v>
      </c>
      <c r="K6" s="13"/>
      <c r="L6" s="14" t="s">
        <v>34</v>
      </c>
    </row>
    <row r="7">
      <c r="A7" s="15">
        <v>987.0</v>
      </c>
      <c r="B7" s="16" t="s">
        <v>35</v>
      </c>
      <c r="C7" s="17">
        <v>39.0</v>
      </c>
      <c r="D7" s="16" t="s">
        <v>16</v>
      </c>
      <c r="E7" s="16" t="s">
        <v>17</v>
      </c>
      <c r="F7" s="16" t="s">
        <v>18</v>
      </c>
      <c r="G7" s="18"/>
      <c r="H7" s="17" t="s">
        <v>19</v>
      </c>
      <c r="I7" s="16" t="s">
        <v>16</v>
      </c>
      <c r="J7" s="16" t="s">
        <v>21</v>
      </c>
      <c r="K7" s="18"/>
      <c r="L7" s="19" t="s">
        <v>36</v>
      </c>
    </row>
    <row r="8">
      <c r="A8" s="10">
        <v>1720.0</v>
      </c>
      <c r="B8" s="11" t="s">
        <v>37</v>
      </c>
      <c r="C8" s="12">
        <v>45.0</v>
      </c>
      <c r="D8" s="11" t="s">
        <v>16</v>
      </c>
      <c r="E8" s="11" t="s">
        <v>25</v>
      </c>
      <c r="F8" s="11" t="s">
        <v>18</v>
      </c>
      <c r="G8" s="13"/>
      <c r="H8" s="12" t="s">
        <v>19</v>
      </c>
      <c r="I8" s="11" t="s">
        <v>16</v>
      </c>
      <c r="J8" s="11" t="s">
        <v>21</v>
      </c>
      <c r="K8" s="13"/>
      <c r="L8" s="14" t="s">
        <v>38</v>
      </c>
    </row>
    <row r="9">
      <c r="A9" s="15">
        <v>1500.0</v>
      </c>
      <c r="B9" s="16" t="s">
        <v>39</v>
      </c>
      <c r="C9" s="17">
        <v>81.0</v>
      </c>
      <c r="D9" s="16" t="s">
        <v>16</v>
      </c>
      <c r="E9" s="16" t="s">
        <v>25</v>
      </c>
      <c r="F9" s="16" t="s">
        <v>18</v>
      </c>
      <c r="G9" s="18"/>
      <c r="H9" s="17" t="s">
        <v>19</v>
      </c>
      <c r="I9" s="16" t="s">
        <v>16</v>
      </c>
      <c r="J9" s="16" t="s">
        <v>21</v>
      </c>
      <c r="K9" s="18"/>
      <c r="L9" s="19" t="s">
        <v>40</v>
      </c>
    </row>
    <row r="10">
      <c r="A10" s="10">
        <v>1501.0</v>
      </c>
      <c r="B10" s="11" t="s">
        <v>41</v>
      </c>
      <c r="C10" s="12">
        <v>81.0</v>
      </c>
      <c r="D10" s="11" t="s">
        <v>16</v>
      </c>
      <c r="E10" s="11" t="s">
        <v>17</v>
      </c>
      <c r="F10" s="11" t="s">
        <v>18</v>
      </c>
      <c r="G10" s="13"/>
      <c r="H10" s="12" t="s">
        <v>19</v>
      </c>
      <c r="I10" s="11" t="s">
        <v>16</v>
      </c>
      <c r="J10" s="11" t="s">
        <v>21</v>
      </c>
      <c r="K10" s="13"/>
      <c r="L10" s="14" t="s">
        <v>42</v>
      </c>
    </row>
    <row r="11">
      <c r="A11" s="15">
        <v>1717.0</v>
      </c>
      <c r="B11" s="16" t="s">
        <v>43</v>
      </c>
      <c r="C11" s="17">
        <v>56.0</v>
      </c>
      <c r="D11" s="16" t="s">
        <v>16</v>
      </c>
      <c r="E11" s="16" t="s">
        <v>17</v>
      </c>
      <c r="F11" s="16" t="s">
        <v>18</v>
      </c>
      <c r="G11" s="18"/>
      <c r="H11" s="17" t="s">
        <v>19</v>
      </c>
      <c r="I11" s="16" t="s">
        <v>16</v>
      </c>
      <c r="J11" s="16" t="s">
        <v>21</v>
      </c>
      <c r="K11" s="18"/>
      <c r="L11" s="19" t="s">
        <v>44</v>
      </c>
    </row>
    <row r="12">
      <c r="A12" s="10">
        <v>985.0</v>
      </c>
      <c r="B12" s="11" t="s">
        <v>45</v>
      </c>
      <c r="C12" s="12">
        <v>43.0</v>
      </c>
      <c r="D12" s="11" t="s">
        <v>16</v>
      </c>
      <c r="E12" s="11" t="s">
        <v>17</v>
      </c>
      <c r="F12" s="11" t="s">
        <v>18</v>
      </c>
      <c r="G12" s="13"/>
      <c r="H12" s="12" t="s">
        <v>19</v>
      </c>
      <c r="I12" s="11" t="s">
        <v>16</v>
      </c>
      <c r="J12" s="11" t="s">
        <v>21</v>
      </c>
      <c r="K12" s="13"/>
      <c r="L12" s="14" t="s">
        <v>46</v>
      </c>
    </row>
    <row r="13">
      <c r="A13" s="15">
        <v>999.0</v>
      </c>
      <c r="B13" s="16" t="s">
        <v>47</v>
      </c>
      <c r="C13" s="17">
        <v>53.0</v>
      </c>
      <c r="D13" s="16" t="s">
        <v>16</v>
      </c>
      <c r="E13" s="16" t="s">
        <v>17</v>
      </c>
      <c r="F13" s="16" t="s">
        <v>18</v>
      </c>
      <c r="G13" s="18"/>
      <c r="H13" s="17" t="s">
        <v>19</v>
      </c>
      <c r="I13" s="16" t="s">
        <v>16</v>
      </c>
      <c r="J13" s="16" t="s">
        <v>21</v>
      </c>
      <c r="K13" s="18"/>
      <c r="L13" s="19" t="s">
        <v>48</v>
      </c>
    </row>
    <row r="14">
      <c r="A14" s="10">
        <v>1718.0</v>
      </c>
      <c r="B14" s="11" t="s">
        <v>49</v>
      </c>
      <c r="C14" s="12">
        <v>52.0</v>
      </c>
      <c r="D14" s="11" t="s">
        <v>16</v>
      </c>
      <c r="E14" s="11" t="s">
        <v>17</v>
      </c>
      <c r="F14" s="11" t="s">
        <v>18</v>
      </c>
      <c r="G14" s="13"/>
      <c r="H14" s="12" t="s">
        <v>19</v>
      </c>
      <c r="I14" s="11" t="s">
        <v>16</v>
      </c>
      <c r="J14" s="11" t="s">
        <v>21</v>
      </c>
      <c r="K14" s="13"/>
      <c r="L14" s="14" t="s">
        <v>50</v>
      </c>
    </row>
    <row r="15">
      <c r="A15" s="15">
        <v>1608.0</v>
      </c>
      <c r="B15" s="16" t="s">
        <v>51</v>
      </c>
      <c r="C15" s="17">
        <v>29.0</v>
      </c>
      <c r="D15" s="16" t="s">
        <v>16</v>
      </c>
      <c r="E15" s="16" t="s">
        <v>17</v>
      </c>
      <c r="F15" s="16" t="s">
        <v>18</v>
      </c>
      <c r="G15" s="18"/>
      <c r="H15" s="17" t="s">
        <v>19</v>
      </c>
      <c r="I15" s="16" t="s">
        <v>52</v>
      </c>
      <c r="J15" s="16" t="s">
        <v>21</v>
      </c>
      <c r="K15" s="16" t="s">
        <v>53</v>
      </c>
      <c r="L15" s="19" t="s">
        <v>54</v>
      </c>
    </row>
    <row r="16">
      <c r="A16" s="10">
        <v>984.0</v>
      </c>
      <c r="B16" s="11" t="s">
        <v>55</v>
      </c>
      <c r="C16" s="12">
        <v>25.0</v>
      </c>
      <c r="D16" s="11" t="s">
        <v>16</v>
      </c>
      <c r="E16" s="11" t="s">
        <v>17</v>
      </c>
      <c r="F16" s="11" t="s">
        <v>56</v>
      </c>
      <c r="G16" s="13"/>
      <c r="H16" s="12" t="s">
        <v>19</v>
      </c>
      <c r="I16" s="11" t="s">
        <v>16</v>
      </c>
      <c r="J16" s="11" t="s">
        <v>57</v>
      </c>
      <c r="K16" s="13"/>
      <c r="L16" s="14" t="s">
        <v>58</v>
      </c>
    </row>
    <row r="17">
      <c r="A17" s="15">
        <v>1030.0</v>
      </c>
      <c r="B17" s="16" t="s">
        <v>59</v>
      </c>
      <c r="C17" s="17">
        <v>66.0</v>
      </c>
      <c r="D17" s="16" t="s">
        <v>16</v>
      </c>
      <c r="E17" s="16" t="s">
        <v>17</v>
      </c>
      <c r="F17" s="16" t="s">
        <v>18</v>
      </c>
      <c r="G17" s="18"/>
      <c r="H17" s="17" t="s">
        <v>19</v>
      </c>
      <c r="I17" s="16" t="s">
        <v>16</v>
      </c>
      <c r="J17" s="16" t="s">
        <v>21</v>
      </c>
      <c r="K17" s="18"/>
      <c r="L17" s="19" t="s">
        <v>60</v>
      </c>
    </row>
    <row r="18">
      <c r="A18" s="10">
        <v>1029.0</v>
      </c>
      <c r="B18" s="11" t="s">
        <v>61</v>
      </c>
      <c r="C18" s="12">
        <v>61.0</v>
      </c>
      <c r="D18" s="11" t="s">
        <v>16</v>
      </c>
      <c r="E18" s="11" t="s">
        <v>25</v>
      </c>
      <c r="F18" s="11" t="s">
        <v>18</v>
      </c>
      <c r="G18" s="13"/>
      <c r="H18" s="12" t="s">
        <v>19</v>
      </c>
      <c r="I18" s="11" t="s">
        <v>16</v>
      </c>
      <c r="J18" s="11" t="s">
        <v>21</v>
      </c>
      <c r="K18" s="13"/>
      <c r="L18" s="14" t="s">
        <v>62</v>
      </c>
    </row>
    <row r="19">
      <c r="A19" s="15">
        <v>1487.0</v>
      </c>
      <c r="B19" s="16" t="s">
        <v>63</v>
      </c>
      <c r="C19" s="17">
        <v>76.0</v>
      </c>
      <c r="D19" s="16" t="s">
        <v>16</v>
      </c>
      <c r="E19" s="16" t="s">
        <v>17</v>
      </c>
      <c r="F19" s="16" t="s">
        <v>18</v>
      </c>
      <c r="G19" s="18"/>
      <c r="H19" s="17" t="s">
        <v>19</v>
      </c>
      <c r="I19" s="16" t="s">
        <v>16</v>
      </c>
      <c r="J19" s="16" t="s">
        <v>21</v>
      </c>
      <c r="K19" s="18"/>
      <c r="L19" s="19" t="s">
        <v>64</v>
      </c>
    </row>
    <row r="20">
      <c r="A20" s="10">
        <v>1488.0</v>
      </c>
      <c r="B20" s="11" t="s">
        <v>65</v>
      </c>
      <c r="C20" s="12">
        <v>81.0</v>
      </c>
      <c r="D20" s="11" t="s">
        <v>16</v>
      </c>
      <c r="E20" s="11" t="s">
        <v>25</v>
      </c>
      <c r="F20" s="11" t="s">
        <v>18</v>
      </c>
      <c r="G20" s="13"/>
      <c r="H20" s="12" t="s">
        <v>19</v>
      </c>
      <c r="I20" s="11" t="s">
        <v>16</v>
      </c>
      <c r="J20" s="11" t="s">
        <v>21</v>
      </c>
      <c r="K20" s="13"/>
      <c r="L20" s="14" t="s">
        <v>66</v>
      </c>
    </row>
    <row r="21">
      <c r="A21" s="15">
        <v>1001.0</v>
      </c>
      <c r="B21" s="16" t="s">
        <v>67</v>
      </c>
      <c r="C21" s="17">
        <v>45.0</v>
      </c>
      <c r="D21" s="16" t="s">
        <v>16</v>
      </c>
      <c r="E21" s="16" t="s">
        <v>25</v>
      </c>
      <c r="F21" s="16" t="s">
        <v>18</v>
      </c>
      <c r="G21" s="18"/>
      <c r="H21" s="17" t="s">
        <v>19</v>
      </c>
      <c r="I21" s="16" t="s">
        <v>16</v>
      </c>
      <c r="J21" s="16" t="s">
        <v>21</v>
      </c>
      <c r="K21" s="18"/>
      <c r="L21" s="19" t="s">
        <v>68</v>
      </c>
    </row>
    <row r="22">
      <c r="A22" s="10">
        <v>1002.0</v>
      </c>
      <c r="B22" s="11" t="s">
        <v>69</v>
      </c>
      <c r="C22" s="12">
        <v>65.0</v>
      </c>
      <c r="D22" s="11" t="s">
        <v>16</v>
      </c>
      <c r="E22" s="11" t="s">
        <v>25</v>
      </c>
      <c r="F22" s="11" t="s">
        <v>18</v>
      </c>
      <c r="G22" s="13"/>
      <c r="H22" s="12" t="s">
        <v>19</v>
      </c>
      <c r="I22" s="11" t="s">
        <v>16</v>
      </c>
      <c r="J22" s="11" t="s">
        <v>21</v>
      </c>
      <c r="K22" s="13"/>
      <c r="L22" s="14" t="s">
        <v>70</v>
      </c>
    </row>
    <row r="23">
      <c r="A23" s="15">
        <v>1722.0</v>
      </c>
      <c r="B23" s="16" t="s">
        <v>71</v>
      </c>
      <c r="C23" s="17">
        <v>86.0</v>
      </c>
      <c r="D23" s="16" t="s">
        <v>16</v>
      </c>
      <c r="E23" s="16" t="s">
        <v>25</v>
      </c>
      <c r="F23" s="16" t="s">
        <v>18</v>
      </c>
      <c r="G23" s="18"/>
      <c r="H23" s="17" t="s">
        <v>19</v>
      </c>
      <c r="I23" s="16" t="s">
        <v>16</v>
      </c>
      <c r="J23" s="16" t="s">
        <v>21</v>
      </c>
      <c r="K23" s="18"/>
      <c r="L23" s="19" t="s">
        <v>72</v>
      </c>
    </row>
    <row r="24">
      <c r="A24" s="10">
        <v>1721.0</v>
      </c>
      <c r="B24" s="11" t="s">
        <v>73</v>
      </c>
      <c r="C24" s="12">
        <v>78.0</v>
      </c>
      <c r="D24" s="11" t="s">
        <v>16</v>
      </c>
      <c r="E24" s="11" t="s">
        <v>25</v>
      </c>
      <c r="F24" s="11" t="s">
        <v>18</v>
      </c>
      <c r="G24" s="13"/>
      <c r="H24" s="12" t="s">
        <v>19</v>
      </c>
      <c r="I24" s="11" t="s">
        <v>16</v>
      </c>
      <c r="J24" s="11" t="s">
        <v>21</v>
      </c>
      <c r="K24" s="13"/>
      <c r="L24" s="14" t="s">
        <v>74</v>
      </c>
    </row>
    <row r="25">
      <c r="A25" s="15">
        <v>992.0</v>
      </c>
      <c r="B25" s="16" t="s">
        <v>75</v>
      </c>
      <c r="C25" s="17">
        <v>52.0</v>
      </c>
      <c r="D25" s="16" t="s">
        <v>16</v>
      </c>
      <c r="E25" s="16" t="s">
        <v>17</v>
      </c>
      <c r="F25" s="16" t="s">
        <v>18</v>
      </c>
      <c r="G25" s="18"/>
      <c r="H25" s="17" t="s">
        <v>19</v>
      </c>
      <c r="I25" s="16" t="s">
        <v>76</v>
      </c>
      <c r="J25" s="16" t="s">
        <v>21</v>
      </c>
      <c r="K25" s="18"/>
      <c r="L25" s="19" t="s">
        <v>77</v>
      </c>
    </row>
    <row r="26">
      <c r="A26" s="10">
        <v>1359.0</v>
      </c>
      <c r="B26" s="11" t="s">
        <v>78</v>
      </c>
      <c r="C26" s="12">
        <v>40.0</v>
      </c>
      <c r="D26" s="11" t="s">
        <v>79</v>
      </c>
      <c r="E26" s="11" t="s">
        <v>17</v>
      </c>
      <c r="F26" s="11" t="s">
        <v>18</v>
      </c>
      <c r="G26" s="13"/>
      <c r="H26" s="12" t="s">
        <v>19</v>
      </c>
      <c r="I26" s="11" t="s">
        <v>80</v>
      </c>
      <c r="J26" s="11" t="s">
        <v>21</v>
      </c>
      <c r="K26" s="13"/>
      <c r="L26" s="14" t="s">
        <v>81</v>
      </c>
    </row>
    <row r="27">
      <c r="A27" s="15">
        <v>1360.0</v>
      </c>
      <c r="B27" s="16" t="s">
        <v>82</v>
      </c>
      <c r="C27" s="17">
        <v>68.0</v>
      </c>
      <c r="D27" s="16" t="s">
        <v>79</v>
      </c>
      <c r="E27" s="16" t="s">
        <v>17</v>
      </c>
      <c r="F27" s="16" t="s">
        <v>18</v>
      </c>
      <c r="G27" s="18"/>
      <c r="H27" s="17" t="s">
        <v>19</v>
      </c>
      <c r="I27" s="16" t="s">
        <v>80</v>
      </c>
      <c r="J27" s="16" t="s">
        <v>21</v>
      </c>
      <c r="K27" s="18"/>
      <c r="L27" s="19" t="s">
        <v>83</v>
      </c>
    </row>
    <row r="28">
      <c r="A28" s="10">
        <v>1210.0</v>
      </c>
      <c r="B28" s="11" t="s">
        <v>84</v>
      </c>
      <c r="C28" s="12">
        <v>29.0</v>
      </c>
      <c r="D28" s="11" t="s">
        <v>85</v>
      </c>
      <c r="E28" s="11" t="s">
        <v>17</v>
      </c>
      <c r="F28" s="11" t="s">
        <v>18</v>
      </c>
      <c r="G28" s="13"/>
      <c r="H28" s="12" t="s">
        <v>19</v>
      </c>
      <c r="I28" s="11" t="s">
        <v>86</v>
      </c>
      <c r="J28" s="11" t="s">
        <v>21</v>
      </c>
      <c r="K28" s="13"/>
      <c r="L28" s="14" t="s">
        <v>87</v>
      </c>
    </row>
    <row r="29">
      <c r="A29" s="15">
        <v>1676.0</v>
      </c>
      <c r="B29" s="16" t="s">
        <v>88</v>
      </c>
      <c r="C29" s="17">
        <v>71.0</v>
      </c>
      <c r="D29" s="16" t="s">
        <v>89</v>
      </c>
      <c r="E29" s="16" t="s">
        <v>17</v>
      </c>
      <c r="F29" s="16" t="s">
        <v>18</v>
      </c>
      <c r="G29" s="18"/>
      <c r="H29" s="17" t="s">
        <v>19</v>
      </c>
      <c r="I29" s="16" t="s">
        <v>86</v>
      </c>
      <c r="J29" s="16" t="s">
        <v>21</v>
      </c>
      <c r="K29" s="18"/>
      <c r="L29" s="19" t="s">
        <v>90</v>
      </c>
    </row>
    <row r="30">
      <c r="A30" s="10">
        <v>1207.0</v>
      </c>
      <c r="B30" s="11" t="s">
        <v>91</v>
      </c>
      <c r="C30" s="12">
        <v>70.0</v>
      </c>
      <c r="D30" s="11" t="s">
        <v>92</v>
      </c>
      <c r="E30" s="11" t="s">
        <v>17</v>
      </c>
      <c r="F30" s="11" t="s">
        <v>18</v>
      </c>
      <c r="G30" s="13"/>
      <c r="H30" s="12" t="s">
        <v>19</v>
      </c>
      <c r="I30" s="11" t="s">
        <v>86</v>
      </c>
      <c r="J30" s="11" t="s">
        <v>21</v>
      </c>
      <c r="K30" s="13"/>
      <c r="L30" s="14" t="s">
        <v>93</v>
      </c>
    </row>
    <row r="31">
      <c r="A31" s="15">
        <v>883.0</v>
      </c>
      <c r="B31" s="16" t="s">
        <v>94</v>
      </c>
      <c r="C31" s="17">
        <v>17.0</v>
      </c>
      <c r="D31" s="16" t="s">
        <v>95</v>
      </c>
      <c r="E31" s="16" t="s">
        <v>96</v>
      </c>
      <c r="F31" s="16" t="s">
        <v>18</v>
      </c>
      <c r="G31" s="18"/>
      <c r="H31" s="17" t="s">
        <v>19</v>
      </c>
      <c r="I31" s="16" t="s">
        <v>97</v>
      </c>
      <c r="J31" s="16" t="s">
        <v>21</v>
      </c>
      <c r="K31" s="18"/>
      <c r="L31" s="19" t="s">
        <v>98</v>
      </c>
    </row>
    <row r="32">
      <c r="A32" s="10">
        <v>1208.0</v>
      </c>
      <c r="B32" s="11" t="s">
        <v>99</v>
      </c>
      <c r="C32" s="12">
        <v>53.0</v>
      </c>
      <c r="D32" s="11" t="s">
        <v>100</v>
      </c>
      <c r="E32" s="11" t="s">
        <v>17</v>
      </c>
      <c r="F32" s="11" t="s">
        <v>18</v>
      </c>
      <c r="G32" s="13"/>
      <c r="H32" s="12" t="s">
        <v>19</v>
      </c>
      <c r="I32" s="11" t="s">
        <v>80</v>
      </c>
      <c r="J32" s="11" t="s">
        <v>21</v>
      </c>
      <c r="K32" s="13"/>
      <c r="L32" s="14" t="s">
        <v>101</v>
      </c>
    </row>
    <row r="33">
      <c r="A33" s="15">
        <v>1211.0</v>
      </c>
      <c r="B33" s="16" t="s">
        <v>102</v>
      </c>
      <c r="C33" s="17">
        <v>17.0</v>
      </c>
      <c r="D33" s="16" t="s">
        <v>103</v>
      </c>
      <c r="E33" s="16" t="s">
        <v>104</v>
      </c>
      <c r="F33" s="16" t="s">
        <v>18</v>
      </c>
      <c r="G33" s="18"/>
      <c r="H33" s="17" t="s">
        <v>19</v>
      </c>
      <c r="I33" s="16" t="s">
        <v>97</v>
      </c>
      <c r="J33" s="16" t="s">
        <v>21</v>
      </c>
      <c r="K33" s="18"/>
      <c r="L33" s="19" t="s">
        <v>105</v>
      </c>
    </row>
    <row r="34">
      <c r="A34" s="10">
        <v>1463.0</v>
      </c>
      <c r="B34" s="11" t="s">
        <v>106</v>
      </c>
      <c r="C34" s="12">
        <v>63.0</v>
      </c>
      <c r="D34" s="11" t="s">
        <v>89</v>
      </c>
      <c r="E34" s="11" t="s">
        <v>17</v>
      </c>
      <c r="F34" s="11" t="s">
        <v>18</v>
      </c>
      <c r="G34" s="13"/>
      <c r="H34" s="12" t="s">
        <v>19</v>
      </c>
      <c r="I34" s="11" t="s">
        <v>86</v>
      </c>
      <c r="J34" s="11" t="s">
        <v>21</v>
      </c>
      <c r="K34" s="13"/>
      <c r="L34" s="14" t="s">
        <v>107</v>
      </c>
    </row>
    <row r="35">
      <c r="A35" s="15">
        <v>1462.0</v>
      </c>
      <c r="B35" s="16" t="s">
        <v>108</v>
      </c>
      <c r="C35" s="17">
        <v>61.0</v>
      </c>
      <c r="D35" s="16" t="s">
        <v>89</v>
      </c>
      <c r="E35" s="16" t="s">
        <v>25</v>
      </c>
      <c r="F35" s="16" t="s">
        <v>18</v>
      </c>
      <c r="G35" s="18"/>
      <c r="H35" s="17" t="s">
        <v>19</v>
      </c>
      <c r="I35" s="16" t="s">
        <v>86</v>
      </c>
      <c r="J35" s="16" t="s">
        <v>21</v>
      </c>
      <c r="K35" s="18"/>
      <c r="L35" s="19" t="s">
        <v>109</v>
      </c>
    </row>
    <row r="36">
      <c r="A36" s="10">
        <v>1558.0</v>
      </c>
      <c r="B36" s="11" t="s">
        <v>110</v>
      </c>
      <c r="C36" s="12">
        <v>24.0</v>
      </c>
      <c r="D36" s="11" t="s">
        <v>95</v>
      </c>
      <c r="E36" s="11" t="s">
        <v>25</v>
      </c>
      <c r="F36" s="11" t="s">
        <v>18</v>
      </c>
      <c r="G36" s="13"/>
      <c r="H36" s="12" t="s">
        <v>19</v>
      </c>
      <c r="I36" s="11" t="s">
        <v>86</v>
      </c>
      <c r="J36" s="11" t="s">
        <v>21</v>
      </c>
      <c r="K36" s="13"/>
      <c r="L36" s="14" t="s">
        <v>111</v>
      </c>
    </row>
    <row r="37">
      <c r="A37" s="15">
        <v>1209.0</v>
      </c>
      <c r="B37" s="16" t="s">
        <v>112</v>
      </c>
      <c r="C37" s="17">
        <v>64.0</v>
      </c>
      <c r="D37" s="16" t="s">
        <v>92</v>
      </c>
      <c r="E37" s="16" t="s">
        <v>17</v>
      </c>
      <c r="F37" s="16" t="s">
        <v>18</v>
      </c>
      <c r="G37" s="18"/>
      <c r="H37" s="17" t="s">
        <v>19</v>
      </c>
      <c r="I37" s="16" t="s">
        <v>86</v>
      </c>
      <c r="J37" s="16" t="s">
        <v>21</v>
      </c>
      <c r="K37" s="18"/>
      <c r="L37" s="19" t="s">
        <v>113</v>
      </c>
    </row>
    <row r="38">
      <c r="A38" s="10">
        <v>1492.0</v>
      </c>
      <c r="B38" s="11" t="s">
        <v>114</v>
      </c>
      <c r="C38" s="12">
        <v>17.0</v>
      </c>
      <c r="D38" s="11" t="s">
        <v>79</v>
      </c>
      <c r="E38" s="11" t="s">
        <v>96</v>
      </c>
      <c r="F38" s="11" t="s">
        <v>18</v>
      </c>
      <c r="G38" s="13"/>
      <c r="H38" s="12" t="s">
        <v>19</v>
      </c>
      <c r="I38" s="11" t="s">
        <v>97</v>
      </c>
      <c r="J38" s="11" t="s">
        <v>21</v>
      </c>
      <c r="K38" s="13"/>
      <c r="L38" s="14" t="s">
        <v>115</v>
      </c>
    </row>
    <row r="39">
      <c r="A39" s="15">
        <v>507.0</v>
      </c>
      <c r="B39" s="16" t="s">
        <v>116</v>
      </c>
      <c r="C39" s="17">
        <v>17.0</v>
      </c>
      <c r="D39" s="16" t="s">
        <v>117</v>
      </c>
      <c r="E39" s="16" t="s">
        <v>104</v>
      </c>
      <c r="F39" s="16" t="s">
        <v>18</v>
      </c>
      <c r="G39" s="18"/>
      <c r="H39" s="17" t="s">
        <v>19</v>
      </c>
      <c r="I39" s="16" t="s">
        <v>97</v>
      </c>
      <c r="J39" s="16" t="s">
        <v>21</v>
      </c>
      <c r="K39" s="18"/>
      <c r="L39" s="19" t="s">
        <v>118</v>
      </c>
    </row>
    <row r="40">
      <c r="A40" s="10">
        <v>1675.0</v>
      </c>
      <c r="B40" s="11" t="s">
        <v>119</v>
      </c>
      <c r="C40" s="12">
        <v>70.0</v>
      </c>
      <c r="D40" s="11" t="s">
        <v>89</v>
      </c>
      <c r="E40" s="11" t="s">
        <v>17</v>
      </c>
      <c r="F40" s="11" t="s">
        <v>18</v>
      </c>
      <c r="G40" s="13"/>
      <c r="H40" s="12" t="s">
        <v>19</v>
      </c>
      <c r="I40" s="11" t="s">
        <v>86</v>
      </c>
      <c r="J40" s="11" t="s">
        <v>21</v>
      </c>
      <c r="K40" s="13"/>
      <c r="L40" s="14" t="s">
        <v>120</v>
      </c>
    </row>
    <row r="41">
      <c r="A41" s="15">
        <v>515.0</v>
      </c>
      <c r="B41" s="16" t="s">
        <v>121</v>
      </c>
      <c r="C41" s="17">
        <v>17.0</v>
      </c>
      <c r="D41" s="16" t="s">
        <v>117</v>
      </c>
      <c r="E41" s="16" t="s">
        <v>104</v>
      </c>
      <c r="F41" s="16" t="s">
        <v>18</v>
      </c>
      <c r="G41" s="18"/>
      <c r="H41" s="17" t="s">
        <v>19</v>
      </c>
      <c r="I41" s="16" t="s">
        <v>97</v>
      </c>
      <c r="J41" s="16" t="s">
        <v>21</v>
      </c>
      <c r="K41" s="18"/>
      <c r="L41" s="19" t="s">
        <v>122</v>
      </c>
    </row>
    <row r="42">
      <c r="A42" s="10">
        <v>1420.0</v>
      </c>
      <c r="B42" s="11" t="s">
        <v>123</v>
      </c>
      <c r="C42" s="12">
        <v>77.0</v>
      </c>
      <c r="D42" s="11" t="s">
        <v>124</v>
      </c>
      <c r="E42" s="11" t="s">
        <v>25</v>
      </c>
      <c r="F42" s="11" t="s">
        <v>18</v>
      </c>
      <c r="G42" s="13"/>
      <c r="H42" s="12" t="s">
        <v>19</v>
      </c>
      <c r="I42" s="11" t="s">
        <v>124</v>
      </c>
      <c r="J42" s="11" t="s">
        <v>125</v>
      </c>
      <c r="K42" s="13"/>
      <c r="L42" s="14" t="s">
        <v>126</v>
      </c>
    </row>
    <row r="43">
      <c r="A43" s="15">
        <v>2001.0</v>
      </c>
      <c r="B43" s="16" t="s">
        <v>127</v>
      </c>
      <c r="C43" s="17">
        <v>43.0</v>
      </c>
      <c r="D43" s="16" t="s">
        <v>128</v>
      </c>
      <c r="E43" s="16" t="s">
        <v>17</v>
      </c>
      <c r="F43" s="16" t="s">
        <v>18</v>
      </c>
      <c r="G43" s="18"/>
      <c r="H43" s="17" t="s">
        <v>19</v>
      </c>
      <c r="I43" s="16" t="s">
        <v>129</v>
      </c>
      <c r="J43" s="16" t="s">
        <v>21</v>
      </c>
      <c r="K43" s="18"/>
      <c r="L43" s="19" t="s">
        <v>130</v>
      </c>
    </row>
    <row r="44">
      <c r="A44" s="10">
        <v>517.0</v>
      </c>
      <c r="B44" s="11" t="s">
        <v>131</v>
      </c>
      <c r="C44" s="12">
        <v>56.0</v>
      </c>
      <c r="D44" s="11" t="s">
        <v>117</v>
      </c>
      <c r="E44" s="11" t="s">
        <v>17</v>
      </c>
      <c r="F44" s="11" t="s">
        <v>18</v>
      </c>
      <c r="G44" s="13"/>
      <c r="H44" s="12" t="s">
        <v>19</v>
      </c>
      <c r="I44" s="11" t="s">
        <v>132</v>
      </c>
      <c r="J44" s="11" t="s">
        <v>21</v>
      </c>
      <c r="K44" s="13"/>
      <c r="L44" s="14" t="s">
        <v>133</v>
      </c>
    </row>
    <row r="45">
      <c r="A45" s="15">
        <v>652.0</v>
      </c>
      <c r="B45" s="16" t="s">
        <v>134</v>
      </c>
      <c r="C45" s="17">
        <v>33.0</v>
      </c>
      <c r="D45" s="16" t="s">
        <v>135</v>
      </c>
      <c r="E45" s="16" t="s">
        <v>17</v>
      </c>
      <c r="F45" s="16" t="s">
        <v>136</v>
      </c>
      <c r="G45" s="18"/>
      <c r="H45" s="17" t="s">
        <v>19</v>
      </c>
      <c r="I45" s="16" t="s">
        <v>135</v>
      </c>
      <c r="J45" s="16" t="s">
        <v>21</v>
      </c>
      <c r="K45" s="18"/>
      <c r="L45" s="19" t="s">
        <v>137</v>
      </c>
    </row>
    <row r="46">
      <c r="A46" s="10">
        <v>1596.0</v>
      </c>
      <c r="B46" s="11" t="s">
        <v>138</v>
      </c>
      <c r="C46" s="12">
        <v>34.0</v>
      </c>
      <c r="D46" s="11" t="s">
        <v>92</v>
      </c>
      <c r="E46" s="11" t="s">
        <v>17</v>
      </c>
      <c r="F46" s="11" t="s">
        <v>18</v>
      </c>
      <c r="G46" s="13"/>
      <c r="H46" s="12" t="s">
        <v>19</v>
      </c>
      <c r="I46" s="11" t="s">
        <v>139</v>
      </c>
      <c r="J46" s="11" t="s">
        <v>21</v>
      </c>
      <c r="K46" s="13"/>
      <c r="L46" s="14" t="s">
        <v>140</v>
      </c>
    </row>
    <row r="47">
      <c r="A47" s="15">
        <v>1591.0</v>
      </c>
      <c r="B47" s="16" t="s">
        <v>141</v>
      </c>
      <c r="C47" s="17">
        <v>36.0</v>
      </c>
      <c r="D47" s="16" t="s">
        <v>92</v>
      </c>
      <c r="E47" s="16" t="s">
        <v>17</v>
      </c>
      <c r="F47" s="16" t="s">
        <v>142</v>
      </c>
      <c r="G47" s="16" t="s">
        <v>143</v>
      </c>
      <c r="H47" s="17" t="s">
        <v>19</v>
      </c>
      <c r="I47" s="16" t="s">
        <v>144</v>
      </c>
      <c r="J47" s="16" t="s">
        <v>57</v>
      </c>
      <c r="K47" s="18"/>
      <c r="L47" s="19" t="s">
        <v>145</v>
      </c>
    </row>
    <row r="48">
      <c r="A48" s="10">
        <v>1629.0</v>
      </c>
      <c r="B48" s="11" t="s">
        <v>146</v>
      </c>
      <c r="C48" s="12">
        <v>25.0</v>
      </c>
      <c r="D48" s="11" t="s">
        <v>89</v>
      </c>
      <c r="E48" s="11" t="s">
        <v>17</v>
      </c>
      <c r="F48" s="11" t="s">
        <v>18</v>
      </c>
      <c r="G48" s="13"/>
      <c r="H48" s="12" t="s">
        <v>19</v>
      </c>
      <c r="I48" s="11" t="s">
        <v>147</v>
      </c>
      <c r="J48" s="11" t="s">
        <v>21</v>
      </c>
      <c r="K48" s="13"/>
      <c r="L48" s="14" t="s">
        <v>148</v>
      </c>
    </row>
    <row r="49">
      <c r="A49" s="15">
        <v>498.0</v>
      </c>
      <c r="B49" s="16" t="s">
        <v>149</v>
      </c>
      <c r="C49" s="17">
        <v>4.0</v>
      </c>
      <c r="D49" s="16" t="s">
        <v>95</v>
      </c>
      <c r="E49" s="16" t="s">
        <v>104</v>
      </c>
      <c r="F49" s="16" t="s">
        <v>18</v>
      </c>
      <c r="G49" s="18"/>
      <c r="H49" s="17" t="s">
        <v>19</v>
      </c>
      <c r="I49" s="16" t="s">
        <v>150</v>
      </c>
      <c r="J49" s="16" t="s">
        <v>21</v>
      </c>
      <c r="K49" s="18"/>
      <c r="L49" s="19" t="s">
        <v>151</v>
      </c>
    </row>
    <row r="50">
      <c r="A50" s="10">
        <v>500.0</v>
      </c>
      <c r="B50" s="11" t="s">
        <v>152</v>
      </c>
      <c r="C50" s="12">
        <v>7.0</v>
      </c>
      <c r="D50" s="11" t="s">
        <v>95</v>
      </c>
      <c r="E50" s="11" t="s">
        <v>96</v>
      </c>
      <c r="F50" s="11" t="s">
        <v>18</v>
      </c>
      <c r="G50" s="13"/>
      <c r="H50" s="12" t="s">
        <v>19</v>
      </c>
      <c r="I50" s="11" t="s">
        <v>150</v>
      </c>
      <c r="J50" s="11" t="s">
        <v>21</v>
      </c>
      <c r="K50" s="13"/>
      <c r="L50" s="14" t="s">
        <v>153</v>
      </c>
    </row>
    <row r="51">
      <c r="A51" s="15">
        <v>497.0</v>
      </c>
      <c r="B51" s="16" t="s">
        <v>154</v>
      </c>
      <c r="C51" s="17">
        <v>35.0</v>
      </c>
      <c r="D51" s="16" t="s">
        <v>95</v>
      </c>
      <c r="E51" s="16" t="s">
        <v>25</v>
      </c>
      <c r="F51" s="16" t="s">
        <v>18</v>
      </c>
      <c r="G51" s="18"/>
      <c r="H51" s="17" t="s">
        <v>19</v>
      </c>
      <c r="I51" s="16" t="s">
        <v>150</v>
      </c>
      <c r="J51" s="16" t="s">
        <v>21</v>
      </c>
      <c r="K51" s="18"/>
      <c r="L51" s="19" t="s">
        <v>155</v>
      </c>
    </row>
    <row r="52">
      <c r="A52" s="10">
        <v>499.0</v>
      </c>
      <c r="B52" s="11" t="s">
        <v>156</v>
      </c>
      <c r="C52" s="12">
        <v>36.0</v>
      </c>
      <c r="D52" s="11" t="s">
        <v>95</v>
      </c>
      <c r="E52" s="11" t="s">
        <v>17</v>
      </c>
      <c r="F52" s="11" t="s">
        <v>18</v>
      </c>
      <c r="G52" s="13"/>
      <c r="H52" s="12" t="s">
        <v>19</v>
      </c>
      <c r="I52" s="11" t="s">
        <v>150</v>
      </c>
      <c r="J52" s="11" t="s">
        <v>21</v>
      </c>
      <c r="K52" s="13"/>
      <c r="L52" s="14" t="s">
        <v>157</v>
      </c>
    </row>
    <row r="53">
      <c r="A53" s="15">
        <v>143.0</v>
      </c>
      <c r="B53" s="16" t="s">
        <v>158</v>
      </c>
      <c r="C53" s="17">
        <v>48.0</v>
      </c>
      <c r="D53" s="16" t="s">
        <v>159</v>
      </c>
      <c r="E53" s="16" t="s">
        <v>25</v>
      </c>
      <c r="F53" s="16" t="s">
        <v>18</v>
      </c>
      <c r="G53" s="18"/>
      <c r="H53" s="17" t="s">
        <v>19</v>
      </c>
      <c r="I53" s="16" t="s">
        <v>160</v>
      </c>
      <c r="J53" s="16" t="s">
        <v>21</v>
      </c>
      <c r="K53" s="16" t="s">
        <v>161</v>
      </c>
      <c r="L53" s="19" t="s">
        <v>162</v>
      </c>
    </row>
    <row r="54">
      <c r="A54" s="10">
        <v>1370.0</v>
      </c>
      <c r="B54" s="11" t="s">
        <v>163</v>
      </c>
      <c r="C54" s="12">
        <v>26.0</v>
      </c>
      <c r="D54" s="11" t="s">
        <v>164</v>
      </c>
      <c r="E54" s="11" t="s">
        <v>17</v>
      </c>
      <c r="F54" s="11" t="s">
        <v>18</v>
      </c>
      <c r="G54" s="13"/>
      <c r="H54" s="12" t="s">
        <v>19</v>
      </c>
      <c r="I54" s="11" t="s">
        <v>165</v>
      </c>
      <c r="J54" s="11" t="s">
        <v>21</v>
      </c>
      <c r="K54" s="11" t="s">
        <v>53</v>
      </c>
      <c r="L54" s="14" t="s">
        <v>166</v>
      </c>
    </row>
    <row r="55">
      <c r="A55" s="15">
        <v>146.0</v>
      </c>
      <c r="B55" s="17" t="s">
        <v>167</v>
      </c>
      <c r="C55" s="17">
        <v>49.0</v>
      </c>
      <c r="D55" s="16" t="s">
        <v>168</v>
      </c>
      <c r="E55" s="16" t="s">
        <v>25</v>
      </c>
      <c r="F55" s="16" t="s">
        <v>169</v>
      </c>
      <c r="G55" s="18"/>
      <c r="H55" s="17" t="s">
        <v>19</v>
      </c>
      <c r="I55" s="16" t="s">
        <v>170</v>
      </c>
      <c r="J55" s="16" t="s">
        <v>21</v>
      </c>
      <c r="K55" s="18"/>
      <c r="L55" s="19" t="s">
        <v>167</v>
      </c>
    </row>
    <row r="56">
      <c r="A56" s="10">
        <v>1698.0</v>
      </c>
      <c r="B56" s="12" t="s">
        <v>171</v>
      </c>
      <c r="C56" s="12">
        <v>47.0</v>
      </c>
      <c r="D56" s="11" t="s">
        <v>172</v>
      </c>
      <c r="E56" s="11" t="s">
        <v>17</v>
      </c>
      <c r="F56" s="11" t="s">
        <v>169</v>
      </c>
      <c r="G56" s="13"/>
      <c r="H56" s="12" t="s">
        <v>19</v>
      </c>
      <c r="I56" s="11" t="s">
        <v>173</v>
      </c>
      <c r="J56" s="11" t="s">
        <v>21</v>
      </c>
      <c r="K56" s="13"/>
      <c r="L56" s="14" t="s">
        <v>171</v>
      </c>
    </row>
    <row r="57">
      <c r="A57" s="15">
        <v>1396.0</v>
      </c>
      <c r="B57" s="17" t="s">
        <v>174</v>
      </c>
      <c r="C57" s="17">
        <v>38.0</v>
      </c>
      <c r="D57" s="16" t="s">
        <v>175</v>
      </c>
      <c r="E57" s="16" t="s">
        <v>17</v>
      </c>
      <c r="F57" s="16" t="s">
        <v>169</v>
      </c>
      <c r="G57" s="18"/>
      <c r="H57" s="17" t="s">
        <v>19</v>
      </c>
      <c r="I57" s="16" t="s">
        <v>176</v>
      </c>
      <c r="J57" s="16" t="s">
        <v>21</v>
      </c>
      <c r="K57" s="18"/>
      <c r="L57" s="19" t="s">
        <v>174</v>
      </c>
    </row>
    <row r="58">
      <c r="A58" s="10">
        <v>1696.0</v>
      </c>
      <c r="B58" s="12" t="s">
        <v>177</v>
      </c>
      <c r="C58" s="12">
        <v>24.0</v>
      </c>
      <c r="D58" s="11" t="s">
        <v>178</v>
      </c>
      <c r="E58" s="11" t="s">
        <v>17</v>
      </c>
      <c r="F58" s="11" t="s">
        <v>169</v>
      </c>
      <c r="G58" s="13"/>
      <c r="H58" s="12" t="s">
        <v>19</v>
      </c>
      <c r="I58" s="11" t="s">
        <v>179</v>
      </c>
      <c r="J58" s="11" t="s">
        <v>21</v>
      </c>
      <c r="K58" s="13"/>
      <c r="L58" s="14" t="s">
        <v>177</v>
      </c>
    </row>
    <row r="59">
      <c r="A59" s="15">
        <v>1401.0</v>
      </c>
      <c r="B59" s="17" t="s">
        <v>180</v>
      </c>
      <c r="C59" s="17">
        <v>40.0</v>
      </c>
      <c r="D59" s="16" t="s">
        <v>175</v>
      </c>
      <c r="E59" s="16" t="s">
        <v>17</v>
      </c>
      <c r="F59" s="16" t="s">
        <v>169</v>
      </c>
      <c r="G59" s="18"/>
      <c r="H59" s="17" t="s">
        <v>19</v>
      </c>
      <c r="I59" s="16" t="s">
        <v>181</v>
      </c>
      <c r="J59" s="16" t="s">
        <v>21</v>
      </c>
      <c r="K59" s="18"/>
      <c r="L59" s="19" t="s">
        <v>180</v>
      </c>
    </row>
    <row r="60">
      <c r="A60" s="10">
        <v>1682.0</v>
      </c>
      <c r="B60" s="12" t="s">
        <v>182</v>
      </c>
      <c r="C60" s="12">
        <v>22.0</v>
      </c>
      <c r="D60" s="11" t="s">
        <v>183</v>
      </c>
      <c r="E60" s="11" t="s">
        <v>17</v>
      </c>
      <c r="F60" s="11" t="s">
        <v>169</v>
      </c>
      <c r="G60" s="13"/>
      <c r="H60" s="12" t="s">
        <v>19</v>
      </c>
      <c r="I60" s="11" t="s">
        <v>176</v>
      </c>
      <c r="J60" s="11" t="s">
        <v>21</v>
      </c>
      <c r="K60" s="13"/>
      <c r="L60" s="14" t="s">
        <v>182</v>
      </c>
    </row>
    <row r="61">
      <c r="A61" s="15">
        <v>1413.0</v>
      </c>
      <c r="B61" s="17" t="s">
        <v>184</v>
      </c>
      <c r="C61" s="17">
        <v>29.0</v>
      </c>
      <c r="D61" s="16" t="s">
        <v>175</v>
      </c>
      <c r="E61" s="16" t="s">
        <v>17</v>
      </c>
      <c r="F61" s="16" t="s">
        <v>169</v>
      </c>
      <c r="G61" s="18"/>
      <c r="H61" s="17" t="s">
        <v>19</v>
      </c>
      <c r="I61" s="16" t="s">
        <v>176</v>
      </c>
      <c r="J61" s="16" t="s">
        <v>21</v>
      </c>
      <c r="K61" s="18"/>
      <c r="L61" s="19" t="s">
        <v>184</v>
      </c>
    </row>
    <row r="62">
      <c r="A62" s="10">
        <v>1409.0</v>
      </c>
      <c r="B62" s="12" t="s">
        <v>185</v>
      </c>
      <c r="C62" s="12">
        <v>26.0</v>
      </c>
      <c r="D62" s="11" t="s">
        <v>175</v>
      </c>
      <c r="E62" s="11" t="s">
        <v>17</v>
      </c>
      <c r="F62" s="11" t="s">
        <v>169</v>
      </c>
      <c r="G62" s="13"/>
      <c r="H62" s="12" t="s">
        <v>19</v>
      </c>
      <c r="I62" s="11" t="s">
        <v>176</v>
      </c>
      <c r="J62" s="11" t="s">
        <v>21</v>
      </c>
      <c r="K62" s="13"/>
      <c r="L62" s="14" t="s">
        <v>186</v>
      </c>
    </row>
    <row r="63">
      <c r="A63" s="15">
        <v>1412.0</v>
      </c>
      <c r="B63" s="17" t="s">
        <v>187</v>
      </c>
      <c r="C63" s="17">
        <v>27.0</v>
      </c>
      <c r="D63" s="16" t="s">
        <v>175</v>
      </c>
      <c r="E63" s="16" t="s">
        <v>17</v>
      </c>
      <c r="F63" s="16" t="s">
        <v>169</v>
      </c>
      <c r="G63" s="18"/>
      <c r="H63" s="17" t="s">
        <v>19</v>
      </c>
      <c r="I63" s="16" t="s">
        <v>176</v>
      </c>
      <c r="J63" s="16" t="s">
        <v>21</v>
      </c>
      <c r="K63" s="18"/>
      <c r="L63" s="19" t="s">
        <v>188</v>
      </c>
    </row>
    <row r="64">
      <c r="A64" s="10">
        <v>1419.0</v>
      </c>
      <c r="B64" s="12" t="s">
        <v>189</v>
      </c>
      <c r="C64" s="12">
        <v>39.0</v>
      </c>
      <c r="D64" s="11" t="s">
        <v>175</v>
      </c>
      <c r="E64" s="11" t="s">
        <v>17</v>
      </c>
      <c r="F64" s="11" t="s">
        <v>169</v>
      </c>
      <c r="G64" s="13"/>
      <c r="H64" s="12" t="s">
        <v>19</v>
      </c>
      <c r="I64" s="11" t="s">
        <v>181</v>
      </c>
      <c r="J64" s="11" t="s">
        <v>21</v>
      </c>
      <c r="K64" s="13"/>
      <c r="L64" s="14" t="s">
        <v>189</v>
      </c>
    </row>
    <row r="65">
      <c r="A65" s="15">
        <v>1404.0</v>
      </c>
      <c r="B65" s="17" t="s">
        <v>190</v>
      </c>
      <c r="C65" s="17">
        <v>27.0</v>
      </c>
      <c r="D65" s="16" t="s">
        <v>175</v>
      </c>
      <c r="E65" s="16" t="s">
        <v>17</v>
      </c>
      <c r="F65" s="16" t="s">
        <v>169</v>
      </c>
      <c r="G65" s="18"/>
      <c r="H65" s="17" t="s">
        <v>19</v>
      </c>
      <c r="I65" s="16" t="s">
        <v>191</v>
      </c>
      <c r="J65" s="16" t="s">
        <v>21</v>
      </c>
      <c r="K65" s="18"/>
      <c r="L65" s="19" t="s">
        <v>190</v>
      </c>
    </row>
    <row r="66">
      <c r="A66" s="10">
        <v>1397.0</v>
      </c>
      <c r="B66" s="12" t="s">
        <v>192</v>
      </c>
      <c r="C66" s="12">
        <v>26.0</v>
      </c>
      <c r="D66" s="11" t="s">
        <v>175</v>
      </c>
      <c r="E66" s="11" t="s">
        <v>17</v>
      </c>
      <c r="F66" s="11" t="s">
        <v>169</v>
      </c>
      <c r="G66" s="13"/>
      <c r="H66" s="12" t="s">
        <v>19</v>
      </c>
      <c r="I66" s="11" t="s">
        <v>181</v>
      </c>
      <c r="J66" s="11" t="s">
        <v>21</v>
      </c>
      <c r="K66" s="13"/>
      <c r="L66" s="14" t="s">
        <v>192</v>
      </c>
    </row>
    <row r="67">
      <c r="A67" s="15">
        <v>1398.0</v>
      </c>
      <c r="B67" s="17" t="s">
        <v>193</v>
      </c>
      <c r="C67" s="17">
        <v>42.0</v>
      </c>
      <c r="D67" s="16" t="s">
        <v>175</v>
      </c>
      <c r="E67" s="16" t="s">
        <v>17</v>
      </c>
      <c r="F67" s="16" t="s">
        <v>169</v>
      </c>
      <c r="G67" s="18"/>
      <c r="H67" s="17" t="s">
        <v>19</v>
      </c>
      <c r="I67" s="16" t="s">
        <v>181</v>
      </c>
      <c r="J67" s="16" t="s">
        <v>21</v>
      </c>
      <c r="K67" s="18"/>
      <c r="L67" s="19" t="s">
        <v>193</v>
      </c>
    </row>
    <row r="68">
      <c r="A68" s="10">
        <v>1411.0</v>
      </c>
      <c r="B68" s="12" t="s">
        <v>194</v>
      </c>
      <c r="C68" s="12">
        <v>26.0</v>
      </c>
      <c r="D68" s="11" t="s">
        <v>175</v>
      </c>
      <c r="E68" s="11" t="s">
        <v>17</v>
      </c>
      <c r="F68" s="11" t="s">
        <v>169</v>
      </c>
      <c r="G68" s="13"/>
      <c r="H68" s="12" t="s">
        <v>19</v>
      </c>
      <c r="I68" s="11" t="s">
        <v>195</v>
      </c>
      <c r="J68" s="11" t="s">
        <v>21</v>
      </c>
      <c r="K68" s="13"/>
      <c r="L68" s="14" t="s">
        <v>194</v>
      </c>
    </row>
    <row r="69">
      <c r="A69" s="15">
        <v>1415.0</v>
      </c>
      <c r="B69" s="17" t="s">
        <v>196</v>
      </c>
      <c r="C69" s="17">
        <v>31.0</v>
      </c>
      <c r="D69" s="16" t="s">
        <v>175</v>
      </c>
      <c r="E69" s="16" t="s">
        <v>17</v>
      </c>
      <c r="F69" s="16" t="s">
        <v>169</v>
      </c>
      <c r="G69" s="18"/>
      <c r="H69" s="17" t="s">
        <v>19</v>
      </c>
      <c r="I69" s="16" t="s">
        <v>176</v>
      </c>
      <c r="J69" s="16" t="s">
        <v>21</v>
      </c>
      <c r="K69" s="18"/>
      <c r="L69" s="19" t="s">
        <v>196</v>
      </c>
    </row>
    <row r="70">
      <c r="A70" s="10">
        <v>1399.0</v>
      </c>
      <c r="B70" s="12" t="s">
        <v>197</v>
      </c>
      <c r="C70" s="12">
        <v>37.0</v>
      </c>
      <c r="D70" s="11" t="s">
        <v>175</v>
      </c>
      <c r="E70" s="11" t="s">
        <v>17</v>
      </c>
      <c r="F70" s="11" t="s">
        <v>169</v>
      </c>
      <c r="G70" s="13"/>
      <c r="H70" s="12" t="s">
        <v>19</v>
      </c>
      <c r="I70" s="11" t="s">
        <v>179</v>
      </c>
      <c r="J70" s="11" t="s">
        <v>21</v>
      </c>
      <c r="K70" s="13"/>
      <c r="L70" s="14" t="s">
        <v>197</v>
      </c>
    </row>
    <row r="71">
      <c r="A71" s="15">
        <v>1414.0</v>
      </c>
      <c r="B71" s="17" t="s">
        <v>198</v>
      </c>
      <c r="C71" s="17">
        <v>34.0</v>
      </c>
      <c r="D71" s="16" t="s">
        <v>175</v>
      </c>
      <c r="E71" s="16" t="s">
        <v>17</v>
      </c>
      <c r="F71" s="16" t="s">
        <v>169</v>
      </c>
      <c r="G71" s="18"/>
      <c r="H71" s="17" t="s">
        <v>19</v>
      </c>
      <c r="I71" s="16" t="s">
        <v>176</v>
      </c>
      <c r="J71" s="16" t="s">
        <v>21</v>
      </c>
      <c r="K71" s="18"/>
      <c r="L71" s="19" t="s">
        <v>198</v>
      </c>
    </row>
    <row r="72">
      <c r="A72" s="10">
        <v>1403.0</v>
      </c>
      <c r="B72" s="12" t="s">
        <v>199</v>
      </c>
      <c r="C72" s="12">
        <v>54.0</v>
      </c>
      <c r="D72" s="11" t="s">
        <v>175</v>
      </c>
      <c r="E72" s="11" t="s">
        <v>17</v>
      </c>
      <c r="F72" s="11" t="s">
        <v>169</v>
      </c>
      <c r="G72" s="13"/>
      <c r="H72" s="12" t="s">
        <v>19</v>
      </c>
      <c r="I72" s="11" t="s">
        <v>200</v>
      </c>
      <c r="J72" s="11" t="s">
        <v>21</v>
      </c>
      <c r="K72" s="13"/>
      <c r="L72" s="14" t="s">
        <v>199</v>
      </c>
    </row>
    <row r="73">
      <c r="A73" s="15">
        <v>1402.0</v>
      </c>
      <c r="B73" s="17" t="s">
        <v>201</v>
      </c>
      <c r="C73" s="17">
        <v>25.0</v>
      </c>
      <c r="D73" s="16" t="s">
        <v>175</v>
      </c>
      <c r="E73" s="16" t="s">
        <v>17</v>
      </c>
      <c r="F73" s="16" t="s">
        <v>169</v>
      </c>
      <c r="G73" s="18"/>
      <c r="H73" s="17" t="s">
        <v>19</v>
      </c>
      <c r="I73" s="16" t="s">
        <v>176</v>
      </c>
      <c r="J73" s="16" t="s">
        <v>21</v>
      </c>
      <c r="K73" s="18"/>
      <c r="L73" s="19" t="s">
        <v>201</v>
      </c>
    </row>
    <row r="74">
      <c r="A74" s="10">
        <v>1564.0</v>
      </c>
      <c r="B74" s="11" t="s">
        <v>202</v>
      </c>
      <c r="C74" s="12">
        <v>60.0</v>
      </c>
      <c r="D74" s="11" t="s">
        <v>203</v>
      </c>
      <c r="E74" s="11" t="s">
        <v>17</v>
      </c>
      <c r="F74" s="11" t="s">
        <v>18</v>
      </c>
      <c r="G74" s="13"/>
      <c r="H74" s="12" t="s">
        <v>19</v>
      </c>
      <c r="I74" s="11" t="s">
        <v>203</v>
      </c>
      <c r="J74" s="11" t="s">
        <v>21</v>
      </c>
      <c r="K74" s="13"/>
      <c r="L74" s="14" t="s">
        <v>204</v>
      </c>
    </row>
    <row r="75">
      <c r="A75" s="15">
        <v>1451.0</v>
      </c>
      <c r="B75" s="16" t="s">
        <v>205</v>
      </c>
      <c r="C75" s="17">
        <v>18.0</v>
      </c>
      <c r="D75" s="16" t="s">
        <v>203</v>
      </c>
      <c r="E75" s="16" t="s">
        <v>17</v>
      </c>
      <c r="F75" s="16" t="s">
        <v>18</v>
      </c>
      <c r="G75" s="18"/>
      <c r="H75" s="17" t="s">
        <v>19</v>
      </c>
      <c r="I75" s="16" t="s">
        <v>203</v>
      </c>
      <c r="J75" s="16" t="s">
        <v>21</v>
      </c>
      <c r="K75" s="18"/>
      <c r="L75" s="19" t="s">
        <v>206</v>
      </c>
    </row>
    <row r="76">
      <c r="A76" s="10">
        <v>1563.0</v>
      </c>
      <c r="B76" s="11" t="s">
        <v>207</v>
      </c>
      <c r="C76" s="12">
        <v>66.0</v>
      </c>
      <c r="D76" s="11" t="s">
        <v>203</v>
      </c>
      <c r="E76" s="11" t="s">
        <v>17</v>
      </c>
      <c r="F76" s="11" t="s">
        <v>18</v>
      </c>
      <c r="G76" s="13"/>
      <c r="H76" s="12" t="s">
        <v>19</v>
      </c>
      <c r="I76" s="11" t="s">
        <v>203</v>
      </c>
      <c r="J76" s="11" t="s">
        <v>21</v>
      </c>
      <c r="K76" s="13"/>
      <c r="L76" s="14" t="s">
        <v>208</v>
      </c>
    </row>
    <row r="77">
      <c r="A77" s="15">
        <v>1362.0</v>
      </c>
      <c r="B77" s="16" t="s">
        <v>209</v>
      </c>
      <c r="C77" s="17">
        <v>28.0</v>
      </c>
      <c r="D77" s="16" t="s">
        <v>85</v>
      </c>
      <c r="E77" s="16" t="s">
        <v>17</v>
      </c>
      <c r="F77" s="16" t="s">
        <v>18</v>
      </c>
      <c r="G77" s="18"/>
      <c r="H77" s="17" t="s">
        <v>19</v>
      </c>
      <c r="I77" s="16" t="s">
        <v>210</v>
      </c>
      <c r="J77" s="16" t="s">
        <v>21</v>
      </c>
      <c r="K77" s="18"/>
      <c r="L77" s="19" t="s">
        <v>211</v>
      </c>
    </row>
    <row r="78">
      <c r="A78" s="10">
        <v>1524.0</v>
      </c>
      <c r="B78" s="11" t="s">
        <v>212</v>
      </c>
      <c r="C78" s="12">
        <v>21.0</v>
      </c>
      <c r="D78" s="11" t="s">
        <v>213</v>
      </c>
      <c r="E78" s="11" t="s">
        <v>25</v>
      </c>
      <c r="F78" s="11" t="s">
        <v>18</v>
      </c>
      <c r="G78" s="13"/>
      <c r="H78" s="12" t="s">
        <v>19</v>
      </c>
      <c r="I78" s="11" t="s">
        <v>165</v>
      </c>
      <c r="J78" s="11" t="s">
        <v>21</v>
      </c>
      <c r="K78" s="11" t="s">
        <v>53</v>
      </c>
      <c r="L78" s="14" t="s">
        <v>214</v>
      </c>
    </row>
    <row r="79">
      <c r="A79" s="15">
        <v>1625.0</v>
      </c>
      <c r="B79" s="16" t="s">
        <v>215</v>
      </c>
      <c r="C79" s="17">
        <v>72.0</v>
      </c>
      <c r="D79" s="16" t="s">
        <v>216</v>
      </c>
      <c r="E79" s="16" t="s">
        <v>17</v>
      </c>
      <c r="F79" s="16" t="s">
        <v>18</v>
      </c>
      <c r="G79" s="18"/>
      <c r="H79" s="17" t="s">
        <v>19</v>
      </c>
      <c r="I79" s="16" t="s">
        <v>165</v>
      </c>
      <c r="J79" s="16" t="s">
        <v>21</v>
      </c>
      <c r="K79" s="18"/>
      <c r="L79" s="19" t="s">
        <v>217</v>
      </c>
    </row>
    <row r="80">
      <c r="A80" s="10">
        <v>504.0</v>
      </c>
      <c r="B80" s="11" t="s">
        <v>218</v>
      </c>
      <c r="C80" s="12">
        <v>76.0</v>
      </c>
      <c r="D80" s="11" t="s">
        <v>219</v>
      </c>
      <c r="E80" s="11" t="s">
        <v>25</v>
      </c>
      <c r="F80" s="11" t="s">
        <v>18</v>
      </c>
      <c r="G80" s="13"/>
      <c r="H80" s="12" t="s">
        <v>19</v>
      </c>
      <c r="I80" s="11" t="s">
        <v>117</v>
      </c>
      <c r="J80" s="11" t="s">
        <v>21</v>
      </c>
      <c r="K80" s="13"/>
      <c r="L80" s="14" t="s">
        <v>220</v>
      </c>
    </row>
    <row r="81">
      <c r="A81" s="15">
        <v>502.0</v>
      </c>
      <c r="B81" s="16" t="s">
        <v>221</v>
      </c>
      <c r="C81" s="17">
        <v>32.0</v>
      </c>
      <c r="D81" s="16" t="s">
        <v>117</v>
      </c>
      <c r="E81" s="16" t="s">
        <v>25</v>
      </c>
      <c r="F81" s="16" t="s">
        <v>18</v>
      </c>
      <c r="G81" s="18"/>
      <c r="H81" s="17" t="s">
        <v>19</v>
      </c>
      <c r="I81" s="16" t="s">
        <v>117</v>
      </c>
      <c r="J81" s="16" t="s">
        <v>21</v>
      </c>
      <c r="K81" s="18"/>
      <c r="L81" s="19" t="s">
        <v>222</v>
      </c>
    </row>
    <row r="82">
      <c r="A82" s="10">
        <v>501.0</v>
      </c>
      <c r="B82" s="11" t="s">
        <v>223</v>
      </c>
      <c r="C82" s="12">
        <v>68.0</v>
      </c>
      <c r="D82" s="11" t="s">
        <v>117</v>
      </c>
      <c r="E82" s="11" t="s">
        <v>17</v>
      </c>
      <c r="F82" s="11" t="s">
        <v>18</v>
      </c>
      <c r="G82" s="13"/>
      <c r="H82" s="12" t="s">
        <v>19</v>
      </c>
      <c r="I82" s="11" t="s">
        <v>117</v>
      </c>
      <c r="J82" s="11" t="s">
        <v>21</v>
      </c>
      <c r="K82" s="13"/>
      <c r="L82" s="14" t="s">
        <v>224</v>
      </c>
    </row>
    <row r="83">
      <c r="A83" s="15">
        <v>503.0</v>
      </c>
      <c r="B83" s="16" t="s">
        <v>225</v>
      </c>
      <c r="C83" s="17">
        <v>67.0</v>
      </c>
      <c r="D83" s="16" t="s">
        <v>117</v>
      </c>
      <c r="E83" s="16" t="s">
        <v>25</v>
      </c>
      <c r="F83" s="16" t="s">
        <v>18</v>
      </c>
      <c r="G83" s="18"/>
      <c r="H83" s="17" t="s">
        <v>19</v>
      </c>
      <c r="I83" s="16" t="s">
        <v>117</v>
      </c>
      <c r="J83" s="16" t="s">
        <v>21</v>
      </c>
      <c r="K83" s="18"/>
      <c r="L83" s="19" t="s">
        <v>226</v>
      </c>
    </row>
    <row r="84">
      <c r="A84" s="10">
        <v>506.0</v>
      </c>
      <c r="B84" s="11" t="s">
        <v>227</v>
      </c>
      <c r="C84" s="12">
        <v>59.0</v>
      </c>
      <c r="D84" s="11" t="s">
        <v>117</v>
      </c>
      <c r="E84" s="11" t="s">
        <v>25</v>
      </c>
      <c r="F84" s="11" t="s">
        <v>18</v>
      </c>
      <c r="G84" s="13"/>
      <c r="H84" s="12" t="s">
        <v>19</v>
      </c>
      <c r="I84" s="11" t="s">
        <v>117</v>
      </c>
      <c r="J84" s="11" t="s">
        <v>21</v>
      </c>
      <c r="K84" s="13"/>
      <c r="L84" s="14" t="s">
        <v>228</v>
      </c>
    </row>
    <row r="85">
      <c r="A85" s="15">
        <v>531.0</v>
      </c>
      <c r="B85" s="16" t="s">
        <v>229</v>
      </c>
      <c r="C85" s="17">
        <v>45.0</v>
      </c>
      <c r="D85" s="16" t="s">
        <v>117</v>
      </c>
      <c r="E85" s="16" t="s">
        <v>17</v>
      </c>
      <c r="F85" s="16" t="s">
        <v>18</v>
      </c>
      <c r="G85" s="18"/>
      <c r="H85" s="17" t="s">
        <v>19</v>
      </c>
      <c r="I85" s="16" t="s">
        <v>117</v>
      </c>
      <c r="J85" s="16" t="s">
        <v>21</v>
      </c>
      <c r="K85" s="18"/>
      <c r="L85" s="19" t="s">
        <v>230</v>
      </c>
    </row>
    <row r="86">
      <c r="A86" s="10">
        <v>532.0</v>
      </c>
      <c r="B86" s="11" t="s">
        <v>231</v>
      </c>
      <c r="C86" s="12">
        <v>76.0</v>
      </c>
      <c r="D86" s="11" t="s">
        <v>117</v>
      </c>
      <c r="E86" s="11" t="s">
        <v>25</v>
      </c>
      <c r="F86" s="11" t="s">
        <v>18</v>
      </c>
      <c r="G86" s="13"/>
      <c r="H86" s="12" t="s">
        <v>19</v>
      </c>
      <c r="I86" s="11" t="s">
        <v>117</v>
      </c>
      <c r="J86" s="11" t="s">
        <v>21</v>
      </c>
      <c r="K86" s="13"/>
      <c r="L86" s="14" t="s">
        <v>232</v>
      </c>
    </row>
    <row r="87">
      <c r="A87" s="15">
        <v>533.0</v>
      </c>
      <c r="B87" s="16" t="s">
        <v>233</v>
      </c>
      <c r="C87" s="17">
        <v>78.0</v>
      </c>
      <c r="D87" s="16" t="s">
        <v>117</v>
      </c>
      <c r="E87" s="16" t="s">
        <v>17</v>
      </c>
      <c r="F87" s="16" t="s">
        <v>18</v>
      </c>
      <c r="G87" s="18"/>
      <c r="H87" s="17" t="s">
        <v>19</v>
      </c>
      <c r="I87" s="16" t="s">
        <v>117</v>
      </c>
      <c r="J87" s="16" t="s">
        <v>21</v>
      </c>
      <c r="K87" s="18"/>
      <c r="L87" s="19" t="s">
        <v>234</v>
      </c>
    </row>
    <row r="88">
      <c r="A88" s="10">
        <v>510.0</v>
      </c>
      <c r="B88" s="11" t="s">
        <v>235</v>
      </c>
      <c r="C88" s="12">
        <v>54.0</v>
      </c>
      <c r="D88" s="11" t="s">
        <v>117</v>
      </c>
      <c r="E88" s="11" t="s">
        <v>25</v>
      </c>
      <c r="F88" s="11" t="s">
        <v>18</v>
      </c>
      <c r="G88" s="13"/>
      <c r="H88" s="12" t="s">
        <v>19</v>
      </c>
      <c r="I88" s="11" t="s">
        <v>117</v>
      </c>
      <c r="J88" s="11" t="s">
        <v>21</v>
      </c>
      <c r="K88" s="13"/>
      <c r="L88" s="14" t="s">
        <v>236</v>
      </c>
    </row>
    <row r="89">
      <c r="A89" s="15">
        <v>511.0</v>
      </c>
      <c r="B89" s="16" t="s">
        <v>237</v>
      </c>
      <c r="C89" s="17">
        <v>62.0</v>
      </c>
      <c r="D89" s="16" t="s">
        <v>117</v>
      </c>
      <c r="E89" s="16" t="s">
        <v>17</v>
      </c>
      <c r="F89" s="16" t="s">
        <v>18</v>
      </c>
      <c r="G89" s="18"/>
      <c r="H89" s="17" t="s">
        <v>19</v>
      </c>
      <c r="I89" s="16" t="s">
        <v>117</v>
      </c>
      <c r="J89" s="16" t="s">
        <v>21</v>
      </c>
      <c r="K89" s="18"/>
      <c r="L89" s="19" t="s">
        <v>238</v>
      </c>
    </row>
    <row r="90">
      <c r="A90" s="10">
        <v>512.0</v>
      </c>
      <c r="B90" s="11" t="s">
        <v>239</v>
      </c>
      <c r="C90" s="12">
        <v>78.0</v>
      </c>
      <c r="D90" s="11" t="s">
        <v>117</v>
      </c>
      <c r="E90" s="11" t="s">
        <v>25</v>
      </c>
      <c r="F90" s="11" t="s">
        <v>18</v>
      </c>
      <c r="G90" s="13"/>
      <c r="H90" s="12" t="s">
        <v>19</v>
      </c>
      <c r="I90" s="11" t="s">
        <v>117</v>
      </c>
      <c r="J90" s="11" t="s">
        <v>21</v>
      </c>
      <c r="K90" s="13"/>
      <c r="L90" s="14" t="s">
        <v>240</v>
      </c>
    </row>
    <row r="91">
      <c r="A91" s="15">
        <v>1039.0</v>
      </c>
      <c r="B91" s="16" t="s">
        <v>241</v>
      </c>
      <c r="C91" s="17">
        <v>40.0</v>
      </c>
      <c r="D91" s="16" t="s">
        <v>242</v>
      </c>
      <c r="E91" s="16" t="s">
        <v>17</v>
      </c>
      <c r="F91" s="16" t="s">
        <v>18</v>
      </c>
      <c r="G91" s="18"/>
      <c r="H91" s="17" t="s">
        <v>19</v>
      </c>
      <c r="I91" s="16" t="s">
        <v>165</v>
      </c>
      <c r="J91" s="16" t="s">
        <v>21</v>
      </c>
      <c r="K91" s="16" t="s">
        <v>243</v>
      </c>
      <c r="L91" s="19" t="s">
        <v>244</v>
      </c>
    </row>
    <row r="92">
      <c r="A92" s="10">
        <v>1036.0</v>
      </c>
      <c r="B92" s="11" t="s">
        <v>245</v>
      </c>
      <c r="C92" s="12">
        <v>28.0</v>
      </c>
      <c r="D92" s="11" t="s">
        <v>246</v>
      </c>
      <c r="E92" s="11" t="s">
        <v>17</v>
      </c>
      <c r="F92" s="11" t="s">
        <v>18</v>
      </c>
      <c r="G92" s="13"/>
      <c r="H92" s="12" t="s">
        <v>19</v>
      </c>
      <c r="I92" s="11" t="s">
        <v>247</v>
      </c>
      <c r="J92" s="11" t="s">
        <v>21</v>
      </c>
      <c r="K92" s="11" t="s">
        <v>243</v>
      </c>
      <c r="L92" s="14" t="s">
        <v>248</v>
      </c>
    </row>
    <row r="93">
      <c r="A93" s="15">
        <v>707.0</v>
      </c>
      <c r="B93" s="16" t="s">
        <v>249</v>
      </c>
      <c r="C93" s="17">
        <v>26.0</v>
      </c>
      <c r="D93" s="16" t="s">
        <v>100</v>
      </c>
      <c r="E93" s="16" t="s">
        <v>25</v>
      </c>
      <c r="F93" s="16" t="s">
        <v>18</v>
      </c>
      <c r="G93" s="18"/>
      <c r="H93" s="17" t="s">
        <v>19</v>
      </c>
      <c r="I93" s="16" t="s">
        <v>250</v>
      </c>
      <c r="J93" s="16" t="s">
        <v>21</v>
      </c>
      <c r="K93" s="16" t="s">
        <v>243</v>
      </c>
      <c r="L93" s="19" t="s">
        <v>251</v>
      </c>
    </row>
    <row r="94">
      <c r="A94" s="10">
        <v>1040.0</v>
      </c>
      <c r="B94" s="11" t="s">
        <v>252</v>
      </c>
      <c r="C94" s="12">
        <v>27.0</v>
      </c>
      <c r="D94" s="11" t="s">
        <v>253</v>
      </c>
      <c r="E94" s="11" t="s">
        <v>17</v>
      </c>
      <c r="F94" s="11" t="s">
        <v>18</v>
      </c>
      <c r="G94" s="13"/>
      <c r="H94" s="12" t="s">
        <v>19</v>
      </c>
      <c r="I94" s="11" t="s">
        <v>254</v>
      </c>
      <c r="J94" s="11" t="s">
        <v>21</v>
      </c>
      <c r="K94" s="11" t="s">
        <v>243</v>
      </c>
      <c r="L94" s="14" t="s">
        <v>255</v>
      </c>
    </row>
    <row r="95">
      <c r="A95" s="15">
        <v>1051.0</v>
      </c>
      <c r="B95" s="16" t="s">
        <v>256</v>
      </c>
      <c r="C95" s="17">
        <v>27.0</v>
      </c>
      <c r="D95" s="16" t="s">
        <v>257</v>
      </c>
      <c r="E95" s="16" t="s">
        <v>17</v>
      </c>
      <c r="F95" s="16" t="s">
        <v>18</v>
      </c>
      <c r="G95" s="18"/>
      <c r="H95" s="17" t="s">
        <v>19</v>
      </c>
      <c r="I95" s="16" t="s">
        <v>247</v>
      </c>
      <c r="J95" s="16" t="s">
        <v>21</v>
      </c>
      <c r="K95" s="16" t="s">
        <v>53</v>
      </c>
      <c r="L95" s="19" t="s">
        <v>258</v>
      </c>
    </row>
    <row r="96">
      <c r="A96" s="10">
        <v>1044.0</v>
      </c>
      <c r="B96" s="11" t="s">
        <v>259</v>
      </c>
      <c r="C96" s="12">
        <v>27.0</v>
      </c>
      <c r="D96" s="11" t="s">
        <v>260</v>
      </c>
      <c r="E96" s="11" t="s">
        <v>25</v>
      </c>
      <c r="F96" s="11" t="s">
        <v>18</v>
      </c>
      <c r="G96" s="13"/>
      <c r="H96" s="12" t="s">
        <v>19</v>
      </c>
      <c r="I96" s="11" t="s">
        <v>254</v>
      </c>
      <c r="J96" s="11" t="s">
        <v>21</v>
      </c>
      <c r="K96" s="11" t="s">
        <v>243</v>
      </c>
      <c r="L96" s="14" t="s">
        <v>261</v>
      </c>
    </row>
    <row r="97">
      <c r="A97" s="15">
        <v>1037.0</v>
      </c>
      <c r="B97" s="16" t="s">
        <v>262</v>
      </c>
      <c r="C97" s="17">
        <v>32.0</v>
      </c>
      <c r="D97" s="16" t="s">
        <v>100</v>
      </c>
      <c r="E97" s="16" t="s">
        <v>17</v>
      </c>
      <c r="F97" s="16" t="s">
        <v>18</v>
      </c>
      <c r="G97" s="18"/>
      <c r="H97" s="17" t="s">
        <v>19</v>
      </c>
      <c r="I97" s="16" t="s">
        <v>263</v>
      </c>
      <c r="J97" s="16" t="s">
        <v>21</v>
      </c>
      <c r="K97" s="16" t="s">
        <v>243</v>
      </c>
      <c r="L97" s="19" t="s">
        <v>264</v>
      </c>
    </row>
    <row r="98">
      <c r="A98" s="10">
        <v>1043.0</v>
      </c>
      <c r="B98" s="11" t="s">
        <v>265</v>
      </c>
      <c r="C98" s="12">
        <v>29.0</v>
      </c>
      <c r="D98" s="11" t="s">
        <v>242</v>
      </c>
      <c r="E98" s="11" t="s">
        <v>17</v>
      </c>
      <c r="F98" s="11" t="s">
        <v>18</v>
      </c>
      <c r="G98" s="13"/>
      <c r="H98" s="12" t="s">
        <v>19</v>
      </c>
      <c r="I98" s="11" t="s">
        <v>165</v>
      </c>
      <c r="J98" s="11" t="s">
        <v>21</v>
      </c>
      <c r="K98" s="11" t="s">
        <v>243</v>
      </c>
      <c r="L98" s="14" t="s">
        <v>266</v>
      </c>
    </row>
    <row r="99">
      <c r="A99" s="15">
        <v>1041.0</v>
      </c>
      <c r="B99" s="16" t="s">
        <v>267</v>
      </c>
      <c r="C99" s="17">
        <v>34.0</v>
      </c>
      <c r="D99" s="16" t="s">
        <v>268</v>
      </c>
      <c r="E99" s="16" t="s">
        <v>17</v>
      </c>
      <c r="F99" s="16" t="s">
        <v>18</v>
      </c>
      <c r="G99" s="18"/>
      <c r="H99" s="17" t="s">
        <v>19</v>
      </c>
      <c r="I99" s="16" t="s">
        <v>254</v>
      </c>
      <c r="J99" s="16" t="s">
        <v>21</v>
      </c>
      <c r="K99" s="16" t="s">
        <v>243</v>
      </c>
      <c r="L99" s="19" t="s">
        <v>269</v>
      </c>
    </row>
    <row r="100">
      <c r="A100" s="10">
        <v>1042.0</v>
      </c>
      <c r="B100" s="11" t="s">
        <v>270</v>
      </c>
      <c r="C100" s="12">
        <v>28.0</v>
      </c>
      <c r="D100" s="11" t="s">
        <v>271</v>
      </c>
      <c r="E100" s="11" t="s">
        <v>25</v>
      </c>
      <c r="F100" s="11" t="s">
        <v>18</v>
      </c>
      <c r="G100" s="13"/>
      <c r="H100" s="12" t="s">
        <v>19</v>
      </c>
      <c r="I100" s="11" t="s">
        <v>254</v>
      </c>
      <c r="J100" s="11" t="s">
        <v>21</v>
      </c>
      <c r="K100" s="11" t="s">
        <v>243</v>
      </c>
      <c r="L100" s="14" t="s">
        <v>272</v>
      </c>
    </row>
    <row r="101">
      <c r="A101" s="15">
        <v>1048.0</v>
      </c>
      <c r="B101" s="16" t="s">
        <v>273</v>
      </c>
      <c r="C101" s="17">
        <v>31.0</v>
      </c>
      <c r="D101" s="16" t="s">
        <v>274</v>
      </c>
      <c r="E101" s="16" t="s">
        <v>25</v>
      </c>
      <c r="F101" s="16" t="s">
        <v>18</v>
      </c>
      <c r="G101" s="18"/>
      <c r="H101" s="17" t="s">
        <v>19</v>
      </c>
      <c r="I101" s="16" t="s">
        <v>250</v>
      </c>
      <c r="J101" s="16" t="s">
        <v>21</v>
      </c>
      <c r="K101" s="16" t="s">
        <v>243</v>
      </c>
      <c r="L101" s="19" t="s">
        <v>275</v>
      </c>
    </row>
    <row r="102">
      <c r="A102" s="10">
        <v>1046.0</v>
      </c>
      <c r="B102" s="11" t="s">
        <v>276</v>
      </c>
      <c r="C102" s="12">
        <v>33.0</v>
      </c>
      <c r="D102" s="11" t="s">
        <v>200</v>
      </c>
      <c r="E102" s="11" t="s">
        <v>17</v>
      </c>
      <c r="F102" s="11" t="s">
        <v>18</v>
      </c>
      <c r="G102" s="13"/>
      <c r="H102" s="12" t="s">
        <v>19</v>
      </c>
      <c r="I102" s="11" t="s">
        <v>254</v>
      </c>
      <c r="J102" s="11" t="s">
        <v>21</v>
      </c>
      <c r="K102" s="11" t="s">
        <v>243</v>
      </c>
      <c r="L102" s="14" t="s">
        <v>277</v>
      </c>
    </row>
    <row r="103">
      <c r="A103" s="15">
        <v>1045.0</v>
      </c>
      <c r="B103" s="16" t="s">
        <v>278</v>
      </c>
      <c r="C103" s="17">
        <v>30.0</v>
      </c>
      <c r="D103" s="16" t="s">
        <v>200</v>
      </c>
      <c r="E103" s="16" t="s">
        <v>17</v>
      </c>
      <c r="F103" s="16" t="s">
        <v>18</v>
      </c>
      <c r="G103" s="18"/>
      <c r="H103" s="17" t="s">
        <v>19</v>
      </c>
      <c r="I103" s="16" t="s">
        <v>254</v>
      </c>
      <c r="J103" s="16" t="s">
        <v>21</v>
      </c>
      <c r="K103" s="16" t="s">
        <v>243</v>
      </c>
      <c r="L103" s="19" t="s">
        <v>279</v>
      </c>
    </row>
    <row r="104">
      <c r="A104" s="10">
        <v>1047.0</v>
      </c>
      <c r="B104" s="11" t="s">
        <v>280</v>
      </c>
      <c r="C104" s="12">
        <v>17.0</v>
      </c>
      <c r="D104" s="11" t="s">
        <v>281</v>
      </c>
      <c r="E104" s="11" t="s">
        <v>104</v>
      </c>
      <c r="F104" s="11" t="s">
        <v>18</v>
      </c>
      <c r="G104" s="13"/>
      <c r="H104" s="12" t="s">
        <v>19</v>
      </c>
      <c r="I104" s="11" t="s">
        <v>165</v>
      </c>
      <c r="J104" s="11" t="s">
        <v>21</v>
      </c>
      <c r="K104" s="11" t="s">
        <v>243</v>
      </c>
      <c r="L104" s="14" t="s">
        <v>282</v>
      </c>
    </row>
    <row r="105">
      <c r="A105" s="15">
        <v>1049.0</v>
      </c>
      <c r="B105" s="16" t="s">
        <v>283</v>
      </c>
      <c r="C105" s="17">
        <v>30.0</v>
      </c>
      <c r="D105" s="16" t="s">
        <v>284</v>
      </c>
      <c r="E105" s="16" t="s">
        <v>17</v>
      </c>
      <c r="F105" s="16" t="s">
        <v>18</v>
      </c>
      <c r="G105" s="18"/>
      <c r="H105" s="17" t="s">
        <v>19</v>
      </c>
      <c r="I105" s="16" t="s">
        <v>250</v>
      </c>
      <c r="J105" s="16" t="s">
        <v>21</v>
      </c>
      <c r="K105" s="16" t="s">
        <v>243</v>
      </c>
      <c r="L105" s="19" t="s">
        <v>285</v>
      </c>
    </row>
    <row r="106">
      <c r="A106" s="10">
        <v>1050.0</v>
      </c>
      <c r="B106" s="11" t="s">
        <v>286</v>
      </c>
      <c r="C106" s="12">
        <v>47.0</v>
      </c>
      <c r="D106" s="11" t="s">
        <v>287</v>
      </c>
      <c r="E106" s="11" t="s">
        <v>17</v>
      </c>
      <c r="F106" s="11" t="s">
        <v>18</v>
      </c>
      <c r="G106" s="13"/>
      <c r="H106" s="12" t="s">
        <v>19</v>
      </c>
      <c r="I106" s="11" t="s">
        <v>250</v>
      </c>
      <c r="J106" s="11" t="s">
        <v>21</v>
      </c>
      <c r="K106" s="11" t="s">
        <v>243</v>
      </c>
      <c r="L106" s="14" t="s">
        <v>288</v>
      </c>
    </row>
    <row r="107">
      <c r="A107" s="15">
        <v>912.0</v>
      </c>
      <c r="B107" s="16" t="s">
        <v>289</v>
      </c>
      <c r="C107" s="17">
        <v>33.0</v>
      </c>
      <c r="D107" s="16" t="s">
        <v>95</v>
      </c>
      <c r="E107" s="16" t="s">
        <v>17</v>
      </c>
      <c r="F107" s="16" t="s">
        <v>18</v>
      </c>
      <c r="G107" s="18"/>
      <c r="H107" s="17" t="s">
        <v>19</v>
      </c>
      <c r="I107" s="16" t="s">
        <v>150</v>
      </c>
      <c r="J107" s="16" t="s">
        <v>21</v>
      </c>
      <c r="K107" s="18"/>
      <c r="L107" s="19" t="s">
        <v>290</v>
      </c>
    </row>
    <row r="108">
      <c r="A108" s="10">
        <v>735.0</v>
      </c>
      <c r="B108" s="11" t="s">
        <v>291</v>
      </c>
      <c r="C108" s="12">
        <v>23.0</v>
      </c>
      <c r="D108" s="11" t="s">
        <v>100</v>
      </c>
      <c r="E108" s="11" t="s">
        <v>25</v>
      </c>
      <c r="F108" s="11" t="s">
        <v>18</v>
      </c>
      <c r="G108" s="13"/>
      <c r="H108" s="12" t="s">
        <v>19</v>
      </c>
      <c r="I108" s="11" t="s">
        <v>292</v>
      </c>
      <c r="J108" s="11" t="s">
        <v>21</v>
      </c>
      <c r="K108" s="11" t="s">
        <v>53</v>
      </c>
      <c r="L108" s="14" t="s">
        <v>293</v>
      </c>
    </row>
    <row r="109">
      <c r="A109" s="15">
        <v>1384.0</v>
      </c>
      <c r="B109" s="16" t="s">
        <v>294</v>
      </c>
      <c r="C109" s="17">
        <v>41.0</v>
      </c>
      <c r="D109" s="16" t="s">
        <v>295</v>
      </c>
      <c r="E109" s="16" t="s">
        <v>17</v>
      </c>
      <c r="F109" s="16" t="s">
        <v>18</v>
      </c>
      <c r="G109" s="18"/>
      <c r="H109" s="17" t="s">
        <v>19</v>
      </c>
      <c r="I109" s="16" t="s">
        <v>296</v>
      </c>
      <c r="J109" s="16" t="s">
        <v>21</v>
      </c>
      <c r="K109" s="18"/>
      <c r="L109" s="19" t="s">
        <v>297</v>
      </c>
    </row>
    <row r="110">
      <c r="A110" s="10">
        <v>1432.0</v>
      </c>
      <c r="B110" s="11" t="s">
        <v>298</v>
      </c>
      <c r="C110" s="12">
        <v>22.0</v>
      </c>
      <c r="D110" s="11" t="s">
        <v>299</v>
      </c>
      <c r="E110" s="11" t="s">
        <v>17</v>
      </c>
      <c r="F110" s="11" t="s">
        <v>18</v>
      </c>
      <c r="G110" s="13"/>
      <c r="H110" s="12" t="s">
        <v>19</v>
      </c>
      <c r="I110" s="11" t="s">
        <v>300</v>
      </c>
      <c r="J110" s="11" t="s">
        <v>21</v>
      </c>
      <c r="K110" s="11" t="s">
        <v>53</v>
      </c>
      <c r="L110" s="14" t="s">
        <v>301</v>
      </c>
    </row>
    <row r="111">
      <c r="A111" s="15">
        <v>1383.0</v>
      </c>
      <c r="B111" s="16" t="s">
        <v>302</v>
      </c>
      <c r="C111" s="17">
        <v>36.0</v>
      </c>
      <c r="D111" s="16" t="s">
        <v>303</v>
      </c>
      <c r="E111" s="16" t="s">
        <v>17</v>
      </c>
      <c r="F111" s="16" t="s">
        <v>18</v>
      </c>
      <c r="G111" s="18"/>
      <c r="H111" s="17" t="s">
        <v>19</v>
      </c>
      <c r="I111" s="16" t="s">
        <v>304</v>
      </c>
      <c r="J111" s="16" t="s">
        <v>21</v>
      </c>
      <c r="K111" s="18"/>
      <c r="L111" s="19" t="s">
        <v>305</v>
      </c>
    </row>
    <row r="112">
      <c r="A112" s="10">
        <v>672.0</v>
      </c>
      <c r="B112" s="11" t="s">
        <v>306</v>
      </c>
      <c r="C112" s="12">
        <v>25.0</v>
      </c>
      <c r="D112" s="11" t="s">
        <v>307</v>
      </c>
      <c r="E112" s="11" t="s">
        <v>17</v>
      </c>
      <c r="F112" s="11" t="s">
        <v>18</v>
      </c>
      <c r="G112" s="13"/>
      <c r="H112" s="12" t="s">
        <v>19</v>
      </c>
      <c r="I112" s="11" t="s">
        <v>308</v>
      </c>
      <c r="J112" s="11" t="s">
        <v>21</v>
      </c>
      <c r="K112" s="11" t="s">
        <v>53</v>
      </c>
      <c r="L112" s="14" t="s">
        <v>309</v>
      </c>
    </row>
    <row r="113">
      <c r="A113" s="15">
        <v>890.0</v>
      </c>
      <c r="B113" s="16" t="s">
        <v>310</v>
      </c>
      <c r="C113" s="17">
        <v>29.0</v>
      </c>
      <c r="D113" s="16" t="s">
        <v>311</v>
      </c>
      <c r="E113" s="16" t="s">
        <v>25</v>
      </c>
      <c r="F113" s="16" t="s">
        <v>18</v>
      </c>
      <c r="G113" s="18"/>
      <c r="H113" s="17" t="s">
        <v>19</v>
      </c>
      <c r="I113" s="16" t="s">
        <v>312</v>
      </c>
      <c r="J113" s="16" t="s">
        <v>21</v>
      </c>
      <c r="K113" s="16" t="s">
        <v>53</v>
      </c>
      <c r="L113" s="19" t="s">
        <v>313</v>
      </c>
    </row>
    <row r="114">
      <c r="A114" s="10">
        <v>1438.0</v>
      </c>
      <c r="B114" s="11" t="s">
        <v>314</v>
      </c>
      <c r="C114" s="12">
        <v>26.0</v>
      </c>
      <c r="D114" s="11" t="s">
        <v>311</v>
      </c>
      <c r="E114" s="11" t="s">
        <v>17</v>
      </c>
      <c r="F114" s="11" t="s">
        <v>18</v>
      </c>
      <c r="G114" s="13"/>
      <c r="H114" s="12" t="s">
        <v>19</v>
      </c>
      <c r="I114" s="11" t="s">
        <v>308</v>
      </c>
      <c r="J114" s="11" t="s">
        <v>21</v>
      </c>
      <c r="K114" s="11" t="s">
        <v>53</v>
      </c>
      <c r="L114" s="14" t="s">
        <v>315</v>
      </c>
    </row>
    <row r="115">
      <c r="A115" s="15">
        <v>1421.0</v>
      </c>
      <c r="B115" s="16" t="s">
        <v>316</v>
      </c>
      <c r="C115" s="17">
        <v>24.0</v>
      </c>
      <c r="D115" s="16" t="s">
        <v>317</v>
      </c>
      <c r="E115" s="16" t="s">
        <v>17</v>
      </c>
      <c r="F115" s="16" t="s">
        <v>18</v>
      </c>
      <c r="G115" s="18"/>
      <c r="H115" s="17" t="s">
        <v>19</v>
      </c>
      <c r="I115" s="16" t="s">
        <v>247</v>
      </c>
      <c r="J115" s="16" t="s">
        <v>21</v>
      </c>
      <c r="K115" s="16" t="s">
        <v>53</v>
      </c>
      <c r="L115" s="19" t="s">
        <v>318</v>
      </c>
    </row>
    <row r="116">
      <c r="A116" s="10">
        <v>1521.0</v>
      </c>
      <c r="B116" s="11" t="s">
        <v>319</v>
      </c>
      <c r="C116" s="12">
        <v>26.0</v>
      </c>
      <c r="D116" s="11" t="s">
        <v>320</v>
      </c>
      <c r="E116" s="11" t="s">
        <v>17</v>
      </c>
      <c r="F116" s="11" t="s">
        <v>18</v>
      </c>
      <c r="G116" s="13"/>
      <c r="H116" s="12" t="s">
        <v>19</v>
      </c>
      <c r="I116" s="11" t="s">
        <v>321</v>
      </c>
      <c r="J116" s="11" t="s">
        <v>21</v>
      </c>
      <c r="K116" s="11" t="s">
        <v>53</v>
      </c>
      <c r="L116" s="14" t="s">
        <v>322</v>
      </c>
    </row>
    <row r="117">
      <c r="A117" s="15">
        <v>1304.0</v>
      </c>
      <c r="B117" s="16" t="s">
        <v>323</v>
      </c>
      <c r="C117" s="17">
        <v>27.0</v>
      </c>
      <c r="D117" s="16" t="s">
        <v>324</v>
      </c>
      <c r="E117" s="16" t="s">
        <v>17</v>
      </c>
      <c r="F117" s="16" t="s">
        <v>18</v>
      </c>
      <c r="G117" s="18"/>
      <c r="H117" s="17" t="s">
        <v>19</v>
      </c>
      <c r="I117" s="16" t="s">
        <v>325</v>
      </c>
      <c r="J117" s="16" t="s">
        <v>21</v>
      </c>
      <c r="K117" s="16" t="s">
        <v>53</v>
      </c>
      <c r="L117" s="19" t="s">
        <v>326</v>
      </c>
    </row>
    <row r="118">
      <c r="A118" s="10">
        <v>1490.0</v>
      </c>
      <c r="B118" s="11" t="s">
        <v>327</v>
      </c>
      <c r="C118" s="12">
        <v>57.0</v>
      </c>
      <c r="D118" s="11" t="s">
        <v>328</v>
      </c>
      <c r="E118" s="11" t="s">
        <v>17</v>
      </c>
      <c r="F118" s="11" t="s">
        <v>18</v>
      </c>
      <c r="G118" s="13"/>
      <c r="H118" s="12" t="s">
        <v>19</v>
      </c>
      <c r="I118" s="11" t="s">
        <v>203</v>
      </c>
      <c r="J118" s="11" t="s">
        <v>21</v>
      </c>
      <c r="K118" s="11" t="s">
        <v>53</v>
      </c>
      <c r="L118" s="14" t="s">
        <v>329</v>
      </c>
    </row>
    <row r="119">
      <c r="A119" s="15">
        <v>1470.0</v>
      </c>
      <c r="B119" s="16" t="s">
        <v>330</v>
      </c>
      <c r="C119" s="17">
        <v>20.0</v>
      </c>
      <c r="D119" s="16" t="s">
        <v>331</v>
      </c>
      <c r="E119" s="16" t="s">
        <v>17</v>
      </c>
      <c r="F119" s="16" t="s">
        <v>18</v>
      </c>
      <c r="G119" s="18"/>
      <c r="H119" s="17" t="s">
        <v>19</v>
      </c>
      <c r="I119" s="16" t="s">
        <v>304</v>
      </c>
      <c r="J119" s="16" t="s">
        <v>21</v>
      </c>
      <c r="K119" s="16" t="s">
        <v>53</v>
      </c>
      <c r="L119" s="19" t="s">
        <v>332</v>
      </c>
    </row>
    <row r="120">
      <c r="A120" s="10">
        <v>1393.0</v>
      </c>
      <c r="B120" s="11" t="s">
        <v>333</v>
      </c>
      <c r="C120" s="12">
        <v>23.0</v>
      </c>
      <c r="D120" s="11" t="s">
        <v>334</v>
      </c>
      <c r="E120" s="11" t="s">
        <v>17</v>
      </c>
      <c r="F120" s="11" t="s">
        <v>18</v>
      </c>
      <c r="G120" s="13"/>
      <c r="H120" s="12" t="s">
        <v>19</v>
      </c>
      <c r="I120" s="11" t="s">
        <v>53</v>
      </c>
      <c r="J120" s="11" t="s">
        <v>21</v>
      </c>
      <c r="K120" s="11" t="s">
        <v>53</v>
      </c>
      <c r="L120" s="14" t="s">
        <v>335</v>
      </c>
    </row>
    <row r="121">
      <c r="A121" s="15">
        <v>673.0</v>
      </c>
      <c r="B121" s="16" t="s">
        <v>336</v>
      </c>
      <c r="C121" s="17">
        <v>27.0</v>
      </c>
      <c r="D121" s="16" t="s">
        <v>337</v>
      </c>
      <c r="E121" s="16" t="s">
        <v>25</v>
      </c>
      <c r="F121" s="16" t="s">
        <v>18</v>
      </c>
      <c r="G121" s="18"/>
      <c r="H121" s="17" t="s">
        <v>19</v>
      </c>
      <c r="I121" s="16" t="s">
        <v>53</v>
      </c>
      <c r="J121" s="16" t="s">
        <v>21</v>
      </c>
      <c r="K121" s="16" t="s">
        <v>53</v>
      </c>
      <c r="L121" s="19" t="s">
        <v>338</v>
      </c>
    </row>
    <row r="122">
      <c r="A122" s="10">
        <v>674.0</v>
      </c>
      <c r="B122" s="11" t="s">
        <v>339</v>
      </c>
      <c r="C122" s="12">
        <v>24.0</v>
      </c>
      <c r="D122" s="11" t="s">
        <v>340</v>
      </c>
      <c r="E122" s="11" t="s">
        <v>25</v>
      </c>
      <c r="F122" s="11" t="s">
        <v>18</v>
      </c>
      <c r="G122" s="13"/>
      <c r="H122" s="12" t="s">
        <v>19</v>
      </c>
      <c r="I122" s="11" t="s">
        <v>341</v>
      </c>
      <c r="J122" s="11" t="s">
        <v>21</v>
      </c>
      <c r="K122" s="11" t="s">
        <v>53</v>
      </c>
      <c r="L122" s="14" t="s">
        <v>342</v>
      </c>
    </row>
    <row r="123">
      <c r="A123" s="15">
        <v>817.0</v>
      </c>
      <c r="B123" s="16" t="s">
        <v>343</v>
      </c>
      <c r="C123" s="17">
        <v>24.0</v>
      </c>
      <c r="D123" s="16" t="s">
        <v>344</v>
      </c>
      <c r="E123" s="16" t="s">
        <v>25</v>
      </c>
      <c r="F123" s="16" t="s">
        <v>18</v>
      </c>
      <c r="G123" s="18"/>
      <c r="H123" s="17" t="s">
        <v>19</v>
      </c>
      <c r="I123" s="16" t="s">
        <v>308</v>
      </c>
      <c r="J123" s="16" t="s">
        <v>21</v>
      </c>
      <c r="K123" s="16" t="s">
        <v>53</v>
      </c>
      <c r="L123" s="19" t="s">
        <v>345</v>
      </c>
    </row>
    <row r="124">
      <c r="A124" s="10">
        <v>816.0</v>
      </c>
      <c r="B124" s="11" t="s">
        <v>346</v>
      </c>
      <c r="C124" s="12">
        <v>24.0</v>
      </c>
      <c r="D124" s="11" t="s">
        <v>299</v>
      </c>
      <c r="E124" s="11" t="s">
        <v>17</v>
      </c>
      <c r="F124" s="11" t="s">
        <v>18</v>
      </c>
      <c r="G124" s="13"/>
      <c r="H124" s="12" t="s">
        <v>19</v>
      </c>
      <c r="I124" s="11" t="s">
        <v>347</v>
      </c>
      <c r="J124" s="11" t="s">
        <v>21</v>
      </c>
      <c r="K124" s="11" t="s">
        <v>53</v>
      </c>
      <c r="L124" s="14" t="s">
        <v>348</v>
      </c>
    </row>
    <row r="125">
      <c r="A125" s="15">
        <v>820.0</v>
      </c>
      <c r="B125" s="16" t="s">
        <v>349</v>
      </c>
      <c r="C125" s="17">
        <v>31.0</v>
      </c>
      <c r="D125" s="16" t="s">
        <v>350</v>
      </c>
      <c r="E125" s="16" t="s">
        <v>17</v>
      </c>
      <c r="F125" s="16" t="s">
        <v>18</v>
      </c>
      <c r="G125" s="18"/>
      <c r="H125" s="17" t="s">
        <v>19</v>
      </c>
      <c r="I125" s="16" t="s">
        <v>53</v>
      </c>
      <c r="J125" s="16" t="s">
        <v>21</v>
      </c>
      <c r="K125" s="16" t="s">
        <v>53</v>
      </c>
      <c r="L125" s="19" t="s">
        <v>351</v>
      </c>
    </row>
    <row r="126">
      <c r="A126" s="10">
        <v>819.0</v>
      </c>
      <c r="B126" s="11" t="s">
        <v>352</v>
      </c>
      <c r="C126" s="12">
        <v>28.0</v>
      </c>
      <c r="D126" s="11" t="s">
        <v>299</v>
      </c>
      <c r="E126" s="11" t="s">
        <v>17</v>
      </c>
      <c r="F126" s="11" t="s">
        <v>18</v>
      </c>
      <c r="G126" s="13"/>
      <c r="H126" s="12" t="s">
        <v>19</v>
      </c>
      <c r="I126" s="11" t="s">
        <v>347</v>
      </c>
      <c r="J126" s="11" t="s">
        <v>21</v>
      </c>
      <c r="K126" s="11" t="s">
        <v>53</v>
      </c>
      <c r="L126" s="14" t="s">
        <v>353</v>
      </c>
    </row>
    <row r="127">
      <c r="A127" s="15">
        <v>891.0</v>
      </c>
      <c r="B127" s="16" t="s">
        <v>354</v>
      </c>
      <c r="C127" s="17">
        <v>44.0</v>
      </c>
      <c r="D127" s="16" t="s">
        <v>355</v>
      </c>
      <c r="E127" s="16" t="s">
        <v>17</v>
      </c>
      <c r="F127" s="16" t="s">
        <v>18</v>
      </c>
      <c r="G127" s="18"/>
      <c r="H127" s="17" t="s">
        <v>19</v>
      </c>
      <c r="I127" s="16" t="s">
        <v>356</v>
      </c>
      <c r="J127" s="16" t="s">
        <v>21</v>
      </c>
      <c r="K127" s="16" t="s">
        <v>53</v>
      </c>
      <c r="L127" s="19" t="s">
        <v>357</v>
      </c>
    </row>
    <row r="128">
      <c r="A128" s="10">
        <v>690.0</v>
      </c>
      <c r="B128" s="11" t="s">
        <v>358</v>
      </c>
      <c r="C128" s="12">
        <v>28.0</v>
      </c>
      <c r="D128" s="11" t="s">
        <v>253</v>
      </c>
      <c r="E128" s="11" t="s">
        <v>17</v>
      </c>
      <c r="F128" s="11" t="s">
        <v>18</v>
      </c>
      <c r="G128" s="13"/>
      <c r="H128" s="12" t="s">
        <v>19</v>
      </c>
      <c r="I128" s="11" t="s">
        <v>53</v>
      </c>
      <c r="J128" s="11" t="s">
        <v>21</v>
      </c>
      <c r="K128" s="11" t="s">
        <v>53</v>
      </c>
      <c r="L128" s="14" t="s">
        <v>359</v>
      </c>
    </row>
    <row r="129">
      <c r="A129" s="15">
        <v>689.0</v>
      </c>
      <c r="B129" s="16" t="s">
        <v>360</v>
      </c>
      <c r="C129" s="17">
        <v>25.0</v>
      </c>
      <c r="D129" s="16" t="s">
        <v>299</v>
      </c>
      <c r="E129" s="16" t="s">
        <v>17</v>
      </c>
      <c r="F129" s="16" t="s">
        <v>18</v>
      </c>
      <c r="G129" s="18"/>
      <c r="H129" s="17" t="s">
        <v>19</v>
      </c>
      <c r="I129" s="16" t="s">
        <v>361</v>
      </c>
      <c r="J129" s="16" t="s">
        <v>21</v>
      </c>
      <c r="K129" s="16" t="s">
        <v>53</v>
      </c>
      <c r="L129" s="19" t="s">
        <v>362</v>
      </c>
    </row>
    <row r="130">
      <c r="A130" s="10">
        <v>1519.0</v>
      </c>
      <c r="B130" s="11" t="s">
        <v>363</v>
      </c>
      <c r="C130" s="12">
        <v>26.0</v>
      </c>
      <c r="D130" s="11" t="s">
        <v>364</v>
      </c>
      <c r="E130" s="11" t="s">
        <v>17</v>
      </c>
      <c r="F130" s="11" t="s">
        <v>18</v>
      </c>
      <c r="G130" s="13"/>
      <c r="H130" s="12" t="s">
        <v>19</v>
      </c>
      <c r="I130" s="11" t="s">
        <v>365</v>
      </c>
      <c r="J130" s="11" t="s">
        <v>21</v>
      </c>
      <c r="K130" s="11" t="s">
        <v>53</v>
      </c>
      <c r="L130" s="14" t="s">
        <v>366</v>
      </c>
    </row>
    <row r="131">
      <c r="A131" s="15">
        <v>686.0</v>
      </c>
      <c r="B131" s="16" t="s">
        <v>367</v>
      </c>
      <c r="C131" s="17">
        <v>24.0</v>
      </c>
      <c r="D131" s="16" t="s">
        <v>253</v>
      </c>
      <c r="E131" s="16" t="s">
        <v>17</v>
      </c>
      <c r="F131" s="16" t="s">
        <v>18</v>
      </c>
      <c r="G131" s="18"/>
      <c r="H131" s="17" t="s">
        <v>19</v>
      </c>
      <c r="I131" s="16" t="s">
        <v>368</v>
      </c>
      <c r="J131" s="16" t="s">
        <v>21</v>
      </c>
      <c r="K131" s="16" t="s">
        <v>53</v>
      </c>
      <c r="L131" s="19" t="s">
        <v>369</v>
      </c>
    </row>
    <row r="132">
      <c r="A132" s="10">
        <v>733.0</v>
      </c>
      <c r="B132" s="11" t="s">
        <v>370</v>
      </c>
      <c r="C132" s="12">
        <v>23.0</v>
      </c>
      <c r="D132" s="11" t="s">
        <v>371</v>
      </c>
      <c r="E132" s="11" t="s">
        <v>25</v>
      </c>
      <c r="F132" s="11" t="s">
        <v>18</v>
      </c>
      <c r="G132" s="13"/>
      <c r="H132" s="12" t="s">
        <v>19</v>
      </c>
      <c r="I132" s="11" t="s">
        <v>365</v>
      </c>
      <c r="J132" s="11" t="s">
        <v>21</v>
      </c>
      <c r="K132" s="11" t="s">
        <v>53</v>
      </c>
      <c r="L132" s="14" t="s">
        <v>372</v>
      </c>
    </row>
    <row r="133">
      <c r="A133" s="15">
        <v>738.0</v>
      </c>
      <c r="B133" s="16" t="s">
        <v>373</v>
      </c>
      <c r="C133" s="17">
        <v>22.0</v>
      </c>
      <c r="D133" s="16" t="s">
        <v>374</v>
      </c>
      <c r="E133" s="16" t="s">
        <v>17</v>
      </c>
      <c r="F133" s="16" t="s">
        <v>18</v>
      </c>
      <c r="G133" s="18"/>
      <c r="H133" s="17" t="s">
        <v>19</v>
      </c>
      <c r="I133" s="16" t="s">
        <v>53</v>
      </c>
      <c r="J133" s="16" t="s">
        <v>21</v>
      </c>
      <c r="K133" s="16" t="s">
        <v>53</v>
      </c>
      <c r="L133" s="19" t="s">
        <v>375</v>
      </c>
    </row>
    <row r="134">
      <c r="A134" s="10">
        <v>739.0</v>
      </c>
      <c r="B134" s="11" t="s">
        <v>376</v>
      </c>
      <c r="C134" s="12">
        <v>27.0</v>
      </c>
      <c r="D134" s="11" t="s">
        <v>95</v>
      </c>
      <c r="E134" s="11" t="s">
        <v>25</v>
      </c>
      <c r="F134" s="11" t="s">
        <v>18</v>
      </c>
      <c r="G134" s="13"/>
      <c r="H134" s="12" t="s">
        <v>19</v>
      </c>
      <c r="I134" s="11" t="s">
        <v>312</v>
      </c>
      <c r="J134" s="11" t="s">
        <v>21</v>
      </c>
      <c r="K134" s="11" t="s">
        <v>53</v>
      </c>
      <c r="L134" s="14" t="s">
        <v>377</v>
      </c>
    </row>
    <row r="135">
      <c r="A135" s="15">
        <v>687.0</v>
      </c>
      <c r="B135" s="16" t="s">
        <v>378</v>
      </c>
      <c r="C135" s="17">
        <v>23.0</v>
      </c>
      <c r="D135" s="16" t="s">
        <v>350</v>
      </c>
      <c r="E135" s="16" t="s">
        <v>25</v>
      </c>
      <c r="F135" s="16" t="s">
        <v>18</v>
      </c>
      <c r="G135" s="18"/>
      <c r="H135" s="17" t="s">
        <v>19</v>
      </c>
      <c r="I135" s="16" t="s">
        <v>53</v>
      </c>
      <c r="J135" s="16" t="s">
        <v>21</v>
      </c>
      <c r="K135" s="16" t="s">
        <v>53</v>
      </c>
      <c r="L135" s="19" t="s">
        <v>379</v>
      </c>
    </row>
    <row r="136">
      <c r="A136" s="10">
        <v>776.0</v>
      </c>
      <c r="B136" s="11" t="s">
        <v>380</v>
      </c>
      <c r="C136" s="12">
        <v>27.0</v>
      </c>
      <c r="D136" s="11" t="s">
        <v>92</v>
      </c>
      <c r="E136" s="11" t="s">
        <v>17</v>
      </c>
      <c r="F136" s="11" t="s">
        <v>18</v>
      </c>
      <c r="G136" s="13"/>
      <c r="H136" s="12" t="s">
        <v>19</v>
      </c>
      <c r="I136" s="11" t="s">
        <v>53</v>
      </c>
      <c r="J136" s="11" t="s">
        <v>21</v>
      </c>
      <c r="K136" s="11" t="s">
        <v>53</v>
      </c>
      <c r="L136" s="14" t="s">
        <v>381</v>
      </c>
    </row>
    <row r="137">
      <c r="A137" s="15">
        <v>1575.0</v>
      </c>
      <c r="B137" s="16" t="s">
        <v>382</v>
      </c>
      <c r="C137" s="17">
        <v>22.0</v>
      </c>
      <c r="D137" s="16" t="s">
        <v>89</v>
      </c>
      <c r="E137" s="16" t="s">
        <v>17</v>
      </c>
      <c r="F137" s="16" t="s">
        <v>18</v>
      </c>
      <c r="G137" s="18"/>
      <c r="H137" s="17" t="s">
        <v>19</v>
      </c>
      <c r="I137" s="16" t="s">
        <v>170</v>
      </c>
      <c r="J137" s="16" t="s">
        <v>21</v>
      </c>
      <c r="K137" s="16" t="s">
        <v>53</v>
      </c>
      <c r="L137" s="19" t="s">
        <v>383</v>
      </c>
    </row>
    <row r="138">
      <c r="A138" s="10">
        <v>383.0</v>
      </c>
      <c r="B138" s="11" t="s">
        <v>384</v>
      </c>
      <c r="C138" s="12">
        <v>46.0</v>
      </c>
      <c r="D138" s="11" t="s">
        <v>191</v>
      </c>
      <c r="E138" s="11" t="s">
        <v>17</v>
      </c>
      <c r="F138" s="11" t="s">
        <v>18</v>
      </c>
      <c r="G138" s="13"/>
      <c r="H138" s="12" t="s">
        <v>19</v>
      </c>
      <c r="I138" s="11" t="s">
        <v>191</v>
      </c>
      <c r="J138" s="11" t="s">
        <v>21</v>
      </c>
      <c r="K138" s="13"/>
      <c r="L138" s="14" t="s">
        <v>385</v>
      </c>
    </row>
    <row r="139">
      <c r="A139" s="15">
        <v>743.0</v>
      </c>
      <c r="B139" s="16" t="s">
        <v>386</v>
      </c>
      <c r="C139" s="17">
        <v>21.0</v>
      </c>
      <c r="D139" s="16" t="s">
        <v>350</v>
      </c>
      <c r="E139" s="16" t="s">
        <v>17</v>
      </c>
      <c r="F139" s="16" t="s">
        <v>18</v>
      </c>
      <c r="G139" s="18"/>
      <c r="H139" s="17" t="s">
        <v>19</v>
      </c>
      <c r="I139" s="16" t="s">
        <v>53</v>
      </c>
      <c r="J139" s="16" t="s">
        <v>21</v>
      </c>
      <c r="K139" s="16" t="s">
        <v>53</v>
      </c>
      <c r="L139" s="19" t="s">
        <v>387</v>
      </c>
    </row>
    <row r="140">
      <c r="A140" s="10">
        <v>1595.0</v>
      </c>
      <c r="B140" s="11" t="s">
        <v>388</v>
      </c>
      <c r="C140" s="12">
        <v>52.0</v>
      </c>
      <c r="D140" s="11" t="s">
        <v>92</v>
      </c>
      <c r="E140" s="11" t="s">
        <v>17</v>
      </c>
      <c r="F140" s="11" t="s">
        <v>18</v>
      </c>
      <c r="G140" s="13"/>
      <c r="H140" s="12" t="s">
        <v>19</v>
      </c>
      <c r="I140" s="11" t="s">
        <v>389</v>
      </c>
      <c r="J140" s="11" t="s">
        <v>21</v>
      </c>
      <c r="K140" s="11" t="s">
        <v>53</v>
      </c>
      <c r="L140" s="14" t="s">
        <v>390</v>
      </c>
    </row>
    <row r="141">
      <c r="A141" s="15">
        <v>1381.0</v>
      </c>
      <c r="B141" s="16" t="s">
        <v>391</v>
      </c>
      <c r="C141" s="17">
        <v>50.0</v>
      </c>
      <c r="D141" s="16" t="s">
        <v>24</v>
      </c>
      <c r="E141" s="16" t="s">
        <v>17</v>
      </c>
      <c r="F141" s="16" t="s">
        <v>18</v>
      </c>
      <c r="G141" s="18"/>
      <c r="H141" s="17" t="s">
        <v>19</v>
      </c>
      <c r="I141" s="16" t="s">
        <v>173</v>
      </c>
      <c r="J141" s="16" t="s">
        <v>21</v>
      </c>
      <c r="K141" s="16" t="s">
        <v>53</v>
      </c>
      <c r="L141" s="19" t="s">
        <v>392</v>
      </c>
    </row>
    <row r="142">
      <c r="A142" s="10">
        <v>745.0</v>
      </c>
      <c r="B142" s="11" t="s">
        <v>393</v>
      </c>
      <c r="C142" s="12">
        <v>32.0</v>
      </c>
      <c r="D142" s="11" t="s">
        <v>350</v>
      </c>
      <c r="E142" s="11" t="s">
        <v>25</v>
      </c>
      <c r="F142" s="11" t="s">
        <v>18</v>
      </c>
      <c r="G142" s="13"/>
      <c r="H142" s="12" t="s">
        <v>19</v>
      </c>
      <c r="I142" s="11" t="s">
        <v>304</v>
      </c>
      <c r="J142" s="11" t="s">
        <v>21</v>
      </c>
      <c r="K142" s="11" t="s">
        <v>53</v>
      </c>
      <c r="L142" s="14" t="s">
        <v>394</v>
      </c>
    </row>
    <row r="143">
      <c r="A143" s="15">
        <v>1380.0</v>
      </c>
      <c r="B143" s="16" t="s">
        <v>395</v>
      </c>
      <c r="C143" s="17">
        <v>50.0</v>
      </c>
      <c r="D143" s="16" t="s">
        <v>396</v>
      </c>
      <c r="E143" s="16" t="s">
        <v>17</v>
      </c>
      <c r="F143" s="16" t="s">
        <v>18</v>
      </c>
      <c r="G143" s="18"/>
      <c r="H143" s="17" t="s">
        <v>19</v>
      </c>
      <c r="I143" s="16" t="s">
        <v>397</v>
      </c>
      <c r="J143" s="16" t="s">
        <v>21</v>
      </c>
      <c r="K143" s="16" t="s">
        <v>53</v>
      </c>
      <c r="L143" s="19" t="s">
        <v>398</v>
      </c>
    </row>
    <row r="144">
      <c r="A144" s="10">
        <v>1616.0</v>
      </c>
      <c r="B144" s="11" t="s">
        <v>399</v>
      </c>
      <c r="C144" s="12">
        <v>28.0</v>
      </c>
      <c r="D144" s="11" t="s">
        <v>400</v>
      </c>
      <c r="E144" s="11" t="s">
        <v>17</v>
      </c>
      <c r="F144" s="11" t="s">
        <v>18</v>
      </c>
      <c r="G144" s="13"/>
      <c r="H144" s="12" t="s">
        <v>19</v>
      </c>
      <c r="I144" s="11" t="s">
        <v>53</v>
      </c>
      <c r="J144" s="11" t="s">
        <v>21</v>
      </c>
      <c r="K144" s="11" t="s">
        <v>53</v>
      </c>
      <c r="L144" s="14" t="s">
        <v>401</v>
      </c>
    </row>
    <row r="145">
      <c r="A145" s="15">
        <v>676.0</v>
      </c>
      <c r="B145" s="16" t="s">
        <v>402</v>
      </c>
      <c r="C145" s="17">
        <v>18.0</v>
      </c>
      <c r="D145" s="16" t="s">
        <v>89</v>
      </c>
      <c r="E145" s="16" t="s">
        <v>25</v>
      </c>
      <c r="F145" s="16" t="s">
        <v>18</v>
      </c>
      <c r="G145" s="18"/>
      <c r="H145" s="17" t="s">
        <v>19</v>
      </c>
      <c r="I145" s="16" t="s">
        <v>170</v>
      </c>
      <c r="J145" s="16" t="s">
        <v>21</v>
      </c>
      <c r="K145" s="16" t="s">
        <v>53</v>
      </c>
      <c r="L145" s="19" t="s">
        <v>403</v>
      </c>
    </row>
    <row r="146">
      <c r="A146" s="10">
        <v>747.0</v>
      </c>
      <c r="B146" s="11" t="s">
        <v>404</v>
      </c>
      <c r="C146" s="12">
        <v>23.0</v>
      </c>
      <c r="D146" s="11" t="s">
        <v>405</v>
      </c>
      <c r="E146" s="11" t="s">
        <v>25</v>
      </c>
      <c r="F146" s="11" t="s">
        <v>18</v>
      </c>
      <c r="G146" s="13"/>
      <c r="H146" s="12" t="s">
        <v>19</v>
      </c>
      <c r="I146" s="11" t="s">
        <v>341</v>
      </c>
      <c r="J146" s="11" t="s">
        <v>21</v>
      </c>
      <c r="K146" s="11" t="s">
        <v>53</v>
      </c>
      <c r="L146" s="14" t="s">
        <v>406</v>
      </c>
    </row>
    <row r="147">
      <c r="A147" s="15">
        <v>684.0</v>
      </c>
      <c r="B147" s="16" t="s">
        <v>407</v>
      </c>
      <c r="C147" s="17">
        <v>44.0</v>
      </c>
      <c r="D147" s="16" t="s">
        <v>408</v>
      </c>
      <c r="E147" s="16" t="s">
        <v>17</v>
      </c>
      <c r="F147" s="16" t="s">
        <v>18</v>
      </c>
      <c r="G147" s="18"/>
      <c r="H147" s="17" t="s">
        <v>19</v>
      </c>
      <c r="I147" s="16" t="s">
        <v>389</v>
      </c>
      <c r="J147" s="16" t="s">
        <v>21</v>
      </c>
      <c r="K147" s="16" t="s">
        <v>53</v>
      </c>
      <c r="L147" s="19" t="s">
        <v>409</v>
      </c>
    </row>
    <row r="148">
      <c r="A148" s="10">
        <v>685.0</v>
      </c>
      <c r="B148" s="11" t="s">
        <v>410</v>
      </c>
      <c r="C148" s="12">
        <v>37.0</v>
      </c>
      <c r="D148" s="11" t="s">
        <v>355</v>
      </c>
      <c r="E148" s="11" t="s">
        <v>25</v>
      </c>
      <c r="F148" s="11" t="s">
        <v>18</v>
      </c>
      <c r="G148" s="13"/>
      <c r="H148" s="12" t="s">
        <v>19</v>
      </c>
      <c r="I148" s="11" t="s">
        <v>147</v>
      </c>
      <c r="J148" s="11" t="s">
        <v>21</v>
      </c>
      <c r="K148" s="11" t="s">
        <v>53</v>
      </c>
      <c r="L148" s="14" t="s">
        <v>411</v>
      </c>
    </row>
    <row r="149">
      <c r="A149" s="15">
        <v>682.0</v>
      </c>
      <c r="B149" s="16" t="s">
        <v>412</v>
      </c>
      <c r="C149" s="17">
        <v>24.0</v>
      </c>
      <c r="D149" s="16" t="s">
        <v>413</v>
      </c>
      <c r="E149" s="16" t="s">
        <v>17</v>
      </c>
      <c r="F149" s="16" t="s">
        <v>18</v>
      </c>
      <c r="G149" s="18"/>
      <c r="H149" s="17" t="s">
        <v>19</v>
      </c>
      <c r="I149" s="16" t="s">
        <v>53</v>
      </c>
      <c r="J149" s="16" t="s">
        <v>21</v>
      </c>
      <c r="K149" s="16" t="s">
        <v>53</v>
      </c>
      <c r="L149" s="19" t="s">
        <v>414</v>
      </c>
    </row>
    <row r="150">
      <c r="A150" s="10">
        <v>1478.0</v>
      </c>
      <c r="B150" s="11" t="s">
        <v>415</v>
      </c>
      <c r="C150" s="12">
        <v>24.0</v>
      </c>
      <c r="D150" s="11" t="s">
        <v>416</v>
      </c>
      <c r="E150" s="11" t="s">
        <v>17</v>
      </c>
      <c r="F150" s="11" t="s">
        <v>18</v>
      </c>
      <c r="G150" s="13"/>
      <c r="H150" s="12" t="s">
        <v>19</v>
      </c>
      <c r="I150" s="11" t="s">
        <v>308</v>
      </c>
      <c r="J150" s="11" t="s">
        <v>21</v>
      </c>
      <c r="K150" s="11" t="s">
        <v>53</v>
      </c>
      <c r="L150" s="14" t="s">
        <v>417</v>
      </c>
    </row>
    <row r="151">
      <c r="A151" s="15">
        <v>1433.0</v>
      </c>
      <c r="B151" s="16" t="s">
        <v>418</v>
      </c>
      <c r="C151" s="17">
        <v>24.0</v>
      </c>
      <c r="D151" s="16" t="s">
        <v>419</v>
      </c>
      <c r="E151" s="16" t="s">
        <v>17</v>
      </c>
      <c r="F151" s="16" t="s">
        <v>18</v>
      </c>
      <c r="G151" s="18"/>
      <c r="H151" s="17" t="s">
        <v>19</v>
      </c>
      <c r="I151" s="16" t="s">
        <v>341</v>
      </c>
      <c r="J151" s="16" t="s">
        <v>21</v>
      </c>
      <c r="K151" s="16" t="s">
        <v>53</v>
      </c>
      <c r="L151" s="19" t="s">
        <v>420</v>
      </c>
    </row>
    <row r="152">
      <c r="A152" s="10">
        <v>740.0</v>
      </c>
      <c r="B152" s="11" t="s">
        <v>421</v>
      </c>
      <c r="C152" s="12">
        <v>23.0</v>
      </c>
      <c r="D152" s="11" t="s">
        <v>422</v>
      </c>
      <c r="E152" s="11" t="s">
        <v>17</v>
      </c>
      <c r="F152" s="11" t="s">
        <v>18</v>
      </c>
      <c r="G152" s="13"/>
      <c r="H152" s="12" t="s">
        <v>19</v>
      </c>
      <c r="I152" s="11" t="s">
        <v>423</v>
      </c>
      <c r="J152" s="11" t="s">
        <v>21</v>
      </c>
      <c r="K152" s="11" t="s">
        <v>53</v>
      </c>
      <c r="L152" s="14" t="s">
        <v>424</v>
      </c>
    </row>
    <row r="153">
      <c r="A153" s="15">
        <v>679.0</v>
      </c>
      <c r="B153" s="16" t="s">
        <v>425</v>
      </c>
      <c r="C153" s="17">
        <v>22.0</v>
      </c>
      <c r="D153" s="16" t="s">
        <v>253</v>
      </c>
      <c r="E153" s="16" t="s">
        <v>17</v>
      </c>
      <c r="F153" s="16" t="s">
        <v>18</v>
      </c>
      <c r="G153" s="18"/>
      <c r="H153" s="17" t="s">
        <v>19</v>
      </c>
      <c r="I153" s="16" t="s">
        <v>147</v>
      </c>
      <c r="J153" s="16" t="s">
        <v>21</v>
      </c>
      <c r="K153" s="16" t="s">
        <v>53</v>
      </c>
      <c r="L153" s="19" t="s">
        <v>426</v>
      </c>
    </row>
    <row r="154">
      <c r="A154" s="10">
        <v>678.0</v>
      </c>
      <c r="B154" s="11" t="s">
        <v>427</v>
      </c>
      <c r="C154" s="12">
        <v>25.0</v>
      </c>
      <c r="D154" s="11" t="s">
        <v>428</v>
      </c>
      <c r="E154" s="11" t="s">
        <v>17</v>
      </c>
      <c r="F154" s="11" t="s">
        <v>18</v>
      </c>
      <c r="G154" s="13"/>
      <c r="H154" s="12" t="s">
        <v>19</v>
      </c>
      <c r="I154" s="11" t="s">
        <v>53</v>
      </c>
      <c r="J154" s="11" t="s">
        <v>21</v>
      </c>
      <c r="K154" s="11" t="s">
        <v>53</v>
      </c>
      <c r="L154" s="14" t="s">
        <v>429</v>
      </c>
    </row>
    <row r="155">
      <c r="A155" s="15">
        <v>681.0</v>
      </c>
      <c r="B155" s="16" t="s">
        <v>430</v>
      </c>
      <c r="C155" s="17">
        <v>23.0</v>
      </c>
      <c r="D155" s="16" t="s">
        <v>431</v>
      </c>
      <c r="E155" s="16" t="s">
        <v>17</v>
      </c>
      <c r="F155" s="16" t="s">
        <v>18</v>
      </c>
      <c r="G155" s="18"/>
      <c r="H155" s="17" t="s">
        <v>19</v>
      </c>
      <c r="I155" s="16" t="s">
        <v>432</v>
      </c>
      <c r="J155" s="16" t="s">
        <v>21</v>
      </c>
      <c r="K155" s="16" t="s">
        <v>53</v>
      </c>
      <c r="L155" s="19" t="s">
        <v>433</v>
      </c>
    </row>
    <row r="156">
      <c r="A156" s="10">
        <v>1536.0</v>
      </c>
      <c r="B156" s="11" t="s">
        <v>434</v>
      </c>
      <c r="C156" s="12">
        <v>22.0</v>
      </c>
      <c r="D156" s="11" t="s">
        <v>435</v>
      </c>
      <c r="E156" s="11" t="s">
        <v>25</v>
      </c>
      <c r="F156" s="11" t="s">
        <v>18</v>
      </c>
      <c r="G156" s="13"/>
      <c r="H156" s="12" t="s">
        <v>19</v>
      </c>
      <c r="I156" s="11" t="s">
        <v>304</v>
      </c>
      <c r="J156" s="11" t="s">
        <v>21</v>
      </c>
      <c r="K156" s="11" t="s">
        <v>53</v>
      </c>
      <c r="L156" s="14" t="s">
        <v>436</v>
      </c>
    </row>
    <row r="157">
      <c r="A157" s="15">
        <v>683.0</v>
      </c>
      <c r="B157" s="16" t="s">
        <v>437</v>
      </c>
      <c r="C157" s="17">
        <v>22.0</v>
      </c>
      <c r="D157" s="16" t="s">
        <v>438</v>
      </c>
      <c r="E157" s="16" t="s">
        <v>17</v>
      </c>
      <c r="F157" s="16" t="s">
        <v>18</v>
      </c>
      <c r="G157" s="18"/>
      <c r="H157" s="17" t="s">
        <v>19</v>
      </c>
      <c r="I157" s="16" t="s">
        <v>53</v>
      </c>
      <c r="J157" s="16" t="s">
        <v>21</v>
      </c>
      <c r="K157" s="16" t="s">
        <v>53</v>
      </c>
      <c r="L157" s="19" t="s">
        <v>439</v>
      </c>
    </row>
    <row r="158">
      <c r="A158" s="10">
        <v>1504.0</v>
      </c>
      <c r="B158" s="11" t="s">
        <v>440</v>
      </c>
      <c r="C158" s="12">
        <v>30.0</v>
      </c>
      <c r="D158" s="11" t="s">
        <v>441</v>
      </c>
      <c r="E158" s="11" t="s">
        <v>17</v>
      </c>
      <c r="F158" s="11" t="s">
        <v>18</v>
      </c>
      <c r="G158" s="13"/>
      <c r="H158" s="12" t="s">
        <v>19</v>
      </c>
      <c r="I158" s="11" t="s">
        <v>53</v>
      </c>
      <c r="J158" s="11" t="s">
        <v>21</v>
      </c>
      <c r="K158" s="11" t="s">
        <v>53</v>
      </c>
      <c r="L158" s="14" t="s">
        <v>442</v>
      </c>
    </row>
    <row r="159">
      <c r="A159" s="15">
        <v>715.0</v>
      </c>
      <c r="B159" s="16" t="s">
        <v>443</v>
      </c>
      <c r="C159" s="17">
        <v>24.0</v>
      </c>
      <c r="D159" s="16" t="s">
        <v>299</v>
      </c>
      <c r="E159" s="16" t="s">
        <v>25</v>
      </c>
      <c r="F159" s="16" t="s">
        <v>18</v>
      </c>
      <c r="G159" s="18"/>
      <c r="H159" s="17" t="s">
        <v>19</v>
      </c>
      <c r="I159" s="16" t="s">
        <v>347</v>
      </c>
      <c r="J159" s="16" t="s">
        <v>21</v>
      </c>
      <c r="K159" s="16" t="s">
        <v>53</v>
      </c>
      <c r="L159" s="19" t="s">
        <v>444</v>
      </c>
    </row>
    <row r="160">
      <c r="A160" s="10">
        <v>1485.0</v>
      </c>
      <c r="B160" s="11" t="s">
        <v>445</v>
      </c>
      <c r="C160" s="12">
        <v>34.0</v>
      </c>
      <c r="D160" s="11" t="s">
        <v>446</v>
      </c>
      <c r="E160" s="11" t="s">
        <v>17</v>
      </c>
      <c r="F160" s="11" t="s">
        <v>18</v>
      </c>
      <c r="G160" s="13"/>
      <c r="H160" s="12" t="s">
        <v>19</v>
      </c>
      <c r="I160" s="11" t="s">
        <v>447</v>
      </c>
      <c r="J160" s="11" t="s">
        <v>21</v>
      </c>
      <c r="K160" s="11" t="s">
        <v>53</v>
      </c>
      <c r="L160" s="14" t="s">
        <v>448</v>
      </c>
    </row>
    <row r="161">
      <c r="A161" s="15">
        <v>1499.0</v>
      </c>
      <c r="B161" s="16" t="s">
        <v>449</v>
      </c>
      <c r="C161" s="17">
        <v>21.0</v>
      </c>
      <c r="D161" s="16" t="s">
        <v>450</v>
      </c>
      <c r="E161" s="16" t="s">
        <v>25</v>
      </c>
      <c r="F161" s="16" t="s">
        <v>18</v>
      </c>
      <c r="G161" s="18"/>
      <c r="H161" s="17" t="s">
        <v>19</v>
      </c>
      <c r="I161" s="16" t="s">
        <v>247</v>
      </c>
      <c r="J161" s="16" t="s">
        <v>21</v>
      </c>
      <c r="K161" s="16" t="s">
        <v>53</v>
      </c>
      <c r="L161" s="19" t="s">
        <v>451</v>
      </c>
    </row>
    <row r="162">
      <c r="A162" s="10">
        <v>717.0</v>
      </c>
      <c r="B162" s="11" t="s">
        <v>452</v>
      </c>
      <c r="C162" s="12">
        <v>25.0</v>
      </c>
      <c r="D162" s="11" t="s">
        <v>453</v>
      </c>
      <c r="E162" s="11" t="s">
        <v>17</v>
      </c>
      <c r="F162" s="11" t="s">
        <v>18</v>
      </c>
      <c r="G162" s="13"/>
      <c r="H162" s="12" t="s">
        <v>19</v>
      </c>
      <c r="I162" s="11" t="s">
        <v>308</v>
      </c>
      <c r="J162" s="11" t="s">
        <v>21</v>
      </c>
      <c r="K162" s="11" t="s">
        <v>53</v>
      </c>
      <c r="L162" s="14" t="s">
        <v>454</v>
      </c>
    </row>
    <row r="163">
      <c r="A163" s="15">
        <v>713.0</v>
      </c>
      <c r="B163" s="16" t="s">
        <v>455</v>
      </c>
      <c r="C163" s="17">
        <v>40.0</v>
      </c>
      <c r="D163" s="16" t="s">
        <v>350</v>
      </c>
      <c r="E163" s="16" t="s">
        <v>25</v>
      </c>
      <c r="F163" s="16" t="s">
        <v>18</v>
      </c>
      <c r="G163" s="18"/>
      <c r="H163" s="17" t="s">
        <v>19</v>
      </c>
      <c r="I163" s="16" t="s">
        <v>341</v>
      </c>
      <c r="J163" s="16" t="s">
        <v>21</v>
      </c>
      <c r="K163" s="16" t="s">
        <v>53</v>
      </c>
      <c r="L163" s="19" t="s">
        <v>456</v>
      </c>
    </row>
    <row r="164">
      <c r="A164" s="10">
        <v>915.0</v>
      </c>
      <c r="B164" s="11" t="s">
        <v>457</v>
      </c>
      <c r="C164" s="12">
        <v>23.0</v>
      </c>
      <c r="D164" s="11" t="s">
        <v>458</v>
      </c>
      <c r="E164" s="11" t="s">
        <v>17</v>
      </c>
      <c r="F164" s="11" t="s">
        <v>18</v>
      </c>
      <c r="G164" s="13"/>
      <c r="H164" s="12" t="s">
        <v>19</v>
      </c>
      <c r="I164" s="11" t="s">
        <v>459</v>
      </c>
      <c r="J164" s="11" t="s">
        <v>21</v>
      </c>
      <c r="K164" s="11" t="s">
        <v>53</v>
      </c>
      <c r="L164" s="14" t="s">
        <v>460</v>
      </c>
    </row>
    <row r="165">
      <c r="A165" s="15">
        <v>1389.0</v>
      </c>
      <c r="B165" s="16" t="s">
        <v>461</v>
      </c>
      <c r="C165" s="17">
        <v>26.0</v>
      </c>
      <c r="D165" s="16" t="s">
        <v>337</v>
      </c>
      <c r="E165" s="16" t="s">
        <v>17</v>
      </c>
      <c r="F165" s="16" t="s">
        <v>18</v>
      </c>
      <c r="G165" s="18"/>
      <c r="H165" s="17" t="s">
        <v>19</v>
      </c>
      <c r="I165" s="16" t="s">
        <v>462</v>
      </c>
      <c r="J165" s="16" t="s">
        <v>21</v>
      </c>
      <c r="K165" s="16" t="s">
        <v>53</v>
      </c>
      <c r="L165" s="19" t="s">
        <v>463</v>
      </c>
    </row>
    <row r="166">
      <c r="A166" s="10">
        <v>1436.0</v>
      </c>
      <c r="B166" s="11" t="s">
        <v>464</v>
      </c>
      <c r="C166" s="12">
        <v>41.0</v>
      </c>
      <c r="D166" s="11" t="s">
        <v>450</v>
      </c>
      <c r="E166" s="11" t="s">
        <v>17</v>
      </c>
      <c r="F166" s="11" t="s">
        <v>18</v>
      </c>
      <c r="G166" s="13"/>
      <c r="H166" s="12" t="s">
        <v>19</v>
      </c>
      <c r="I166" s="11" t="s">
        <v>465</v>
      </c>
      <c r="J166" s="11" t="s">
        <v>21</v>
      </c>
      <c r="K166" s="11" t="s">
        <v>53</v>
      </c>
      <c r="L166" s="14" t="s">
        <v>466</v>
      </c>
    </row>
    <row r="167">
      <c r="A167" s="15">
        <v>1435.0</v>
      </c>
      <c r="B167" s="16" t="s">
        <v>467</v>
      </c>
      <c r="C167" s="17">
        <v>39.0</v>
      </c>
      <c r="D167" s="16" t="s">
        <v>450</v>
      </c>
      <c r="E167" s="16" t="s">
        <v>25</v>
      </c>
      <c r="F167" s="16" t="s">
        <v>18</v>
      </c>
      <c r="G167" s="18"/>
      <c r="H167" s="17" t="s">
        <v>19</v>
      </c>
      <c r="I167" s="16" t="s">
        <v>465</v>
      </c>
      <c r="J167" s="16" t="s">
        <v>21</v>
      </c>
      <c r="K167" s="16" t="s">
        <v>53</v>
      </c>
      <c r="L167" s="19" t="s">
        <v>468</v>
      </c>
    </row>
    <row r="168">
      <c r="A168" s="10">
        <v>711.0</v>
      </c>
      <c r="B168" s="11" t="s">
        <v>469</v>
      </c>
      <c r="C168" s="12">
        <v>23.0</v>
      </c>
      <c r="D168" s="11" t="s">
        <v>299</v>
      </c>
      <c r="E168" s="11" t="s">
        <v>17</v>
      </c>
      <c r="F168" s="11" t="s">
        <v>18</v>
      </c>
      <c r="G168" s="13"/>
      <c r="H168" s="12" t="s">
        <v>19</v>
      </c>
      <c r="I168" s="11" t="s">
        <v>470</v>
      </c>
      <c r="J168" s="11" t="s">
        <v>21</v>
      </c>
      <c r="K168" s="11" t="s">
        <v>53</v>
      </c>
      <c r="L168" s="14" t="s">
        <v>471</v>
      </c>
    </row>
    <row r="169">
      <c r="A169" s="15">
        <v>1526.0</v>
      </c>
      <c r="B169" s="16" t="s">
        <v>472</v>
      </c>
      <c r="C169" s="17">
        <v>23.0</v>
      </c>
      <c r="D169" s="16" t="s">
        <v>416</v>
      </c>
      <c r="E169" s="16" t="s">
        <v>25</v>
      </c>
      <c r="F169" s="16" t="s">
        <v>18</v>
      </c>
      <c r="G169" s="18"/>
      <c r="H169" s="17" t="s">
        <v>19</v>
      </c>
      <c r="I169" s="16" t="s">
        <v>473</v>
      </c>
      <c r="J169" s="16" t="s">
        <v>21</v>
      </c>
      <c r="K169" s="16" t="s">
        <v>53</v>
      </c>
      <c r="L169" s="19" t="s">
        <v>474</v>
      </c>
    </row>
    <row r="170">
      <c r="A170" s="10">
        <v>913.0</v>
      </c>
      <c r="B170" s="11" t="s">
        <v>475</v>
      </c>
      <c r="C170" s="12">
        <v>22.0</v>
      </c>
      <c r="D170" s="11" t="s">
        <v>253</v>
      </c>
      <c r="E170" s="11" t="s">
        <v>17</v>
      </c>
      <c r="F170" s="11" t="s">
        <v>18</v>
      </c>
      <c r="G170" s="13"/>
      <c r="H170" s="12" t="s">
        <v>19</v>
      </c>
      <c r="I170" s="11" t="s">
        <v>247</v>
      </c>
      <c r="J170" s="11" t="s">
        <v>21</v>
      </c>
      <c r="K170" s="11" t="s">
        <v>53</v>
      </c>
      <c r="L170" s="14" t="s">
        <v>476</v>
      </c>
    </row>
    <row r="171">
      <c r="A171" s="15">
        <v>712.0</v>
      </c>
      <c r="B171" s="16" t="s">
        <v>477</v>
      </c>
      <c r="C171" s="17">
        <v>20.0</v>
      </c>
      <c r="D171" s="16" t="s">
        <v>16</v>
      </c>
      <c r="E171" s="16" t="s">
        <v>17</v>
      </c>
      <c r="F171" s="16" t="s">
        <v>478</v>
      </c>
      <c r="G171" s="16" t="s">
        <v>479</v>
      </c>
      <c r="H171" s="17" t="s">
        <v>19</v>
      </c>
      <c r="I171" s="16" t="s">
        <v>480</v>
      </c>
      <c r="J171" s="16" t="s">
        <v>21</v>
      </c>
      <c r="K171" s="16" t="s">
        <v>53</v>
      </c>
      <c r="L171" s="19" t="s">
        <v>481</v>
      </c>
    </row>
    <row r="172">
      <c r="A172" s="10">
        <v>701.0</v>
      </c>
      <c r="B172" s="11" t="s">
        <v>482</v>
      </c>
      <c r="C172" s="12">
        <v>24.0</v>
      </c>
      <c r="D172" s="11" t="s">
        <v>100</v>
      </c>
      <c r="E172" s="11" t="s">
        <v>17</v>
      </c>
      <c r="F172" s="11" t="s">
        <v>18</v>
      </c>
      <c r="G172" s="13"/>
      <c r="H172" s="12" t="s">
        <v>19</v>
      </c>
      <c r="I172" s="11" t="s">
        <v>483</v>
      </c>
      <c r="J172" s="11" t="s">
        <v>21</v>
      </c>
      <c r="K172" s="11" t="s">
        <v>53</v>
      </c>
      <c r="L172" s="14" t="s">
        <v>484</v>
      </c>
    </row>
    <row r="173">
      <c r="A173" s="15">
        <v>1339.0</v>
      </c>
      <c r="B173" s="16" t="s">
        <v>485</v>
      </c>
      <c r="C173" s="17">
        <v>24.0</v>
      </c>
      <c r="D173" s="16" t="s">
        <v>253</v>
      </c>
      <c r="E173" s="16" t="s">
        <v>17</v>
      </c>
      <c r="F173" s="16" t="s">
        <v>18</v>
      </c>
      <c r="G173" s="18"/>
      <c r="H173" s="17" t="s">
        <v>19</v>
      </c>
      <c r="I173" s="16" t="s">
        <v>147</v>
      </c>
      <c r="J173" s="16" t="s">
        <v>21</v>
      </c>
      <c r="K173" s="16" t="s">
        <v>53</v>
      </c>
      <c r="L173" s="19" t="s">
        <v>486</v>
      </c>
    </row>
    <row r="174">
      <c r="A174" s="10">
        <v>710.0</v>
      </c>
      <c r="B174" s="11" t="s">
        <v>487</v>
      </c>
      <c r="C174" s="12">
        <v>19.0</v>
      </c>
      <c r="D174" s="11" t="s">
        <v>89</v>
      </c>
      <c r="E174" s="11" t="s">
        <v>25</v>
      </c>
      <c r="F174" s="11" t="s">
        <v>18</v>
      </c>
      <c r="G174" s="13"/>
      <c r="H174" s="12" t="s">
        <v>19</v>
      </c>
      <c r="I174" s="11" t="s">
        <v>150</v>
      </c>
      <c r="J174" s="11" t="s">
        <v>21</v>
      </c>
      <c r="K174" s="11" t="s">
        <v>53</v>
      </c>
      <c r="L174" s="14" t="s">
        <v>488</v>
      </c>
    </row>
    <row r="175">
      <c r="A175" s="15">
        <v>1583.0</v>
      </c>
      <c r="B175" s="16" t="s">
        <v>489</v>
      </c>
      <c r="C175" s="17">
        <v>24.0</v>
      </c>
      <c r="D175" s="16" t="s">
        <v>350</v>
      </c>
      <c r="E175" s="16" t="s">
        <v>25</v>
      </c>
      <c r="F175" s="16" t="s">
        <v>18</v>
      </c>
      <c r="G175" s="18"/>
      <c r="H175" s="17" t="s">
        <v>19</v>
      </c>
      <c r="I175" s="16" t="s">
        <v>356</v>
      </c>
      <c r="J175" s="16" t="s">
        <v>21</v>
      </c>
      <c r="K175" s="16" t="s">
        <v>53</v>
      </c>
      <c r="L175" s="19" t="s">
        <v>490</v>
      </c>
    </row>
    <row r="176">
      <c r="A176" s="10">
        <v>691.0</v>
      </c>
      <c r="B176" s="11" t="s">
        <v>491</v>
      </c>
      <c r="C176" s="12">
        <v>24.0</v>
      </c>
      <c r="D176" s="11" t="s">
        <v>492</v>
      </c>
      <c r="E176" s="11" t="s">
        <v>17</v>
      </c>
      <c r="F176" s="11" t="s">
        <v>18</v>
      </c>
      <c r="G176" s="13"/>
      <c r="H176" s="12" t="s">
        <v>19</v>
      </c>
      <c r="I176" s="11" t="s">
        <v>465</v>
      </c>
      <c r="J176" s="11" t="s">
        <v>21</v>
      </c>
      <c r="K176" s="11" t="s">
        <v>53</v>
      </c>
      <c r="L176" s="14" t="s">
        <v>493</v>
      </c>
    </row>
    <row r="177">
      <c r="A177" s="15">
        <v>886.0</v>
      </c>
      <c r="B177" s="16" t="s">
        <v>494</v>
      </c>
      <c r="C177" s="17">
        <v>21.0</v>
      </c>
      <c r="D177" s="16" t="s">
        <v>495</v>
      </c>
      <c r="E177" s="16" t="s">
        <v>25</v>
      </c>
      <c r="F177" s="16" t="s">
        <v>18</v>
      </c>
      <c r="G177" s="18"/>
      <c r="H177" s="17" t="s">
        <v>19</v>
      </c>
      <c r="I177" s="16" t="s">
        <v>165</v>
      </c>
      <c r="J177" s="16" t="s">
        <v>21</v>
      </c>
      <c r="K177" s="16" t="s">
        <v>53</v>
      </c>
      <c r="L177" s="19" t="s">
        <v>496</v>
      </c>
    </row>
    <row r="178">
      <c r="A178" s="10">
        <v>922.0</v>
      </c>
      <c r="B178" s="11" t="s">
        <v>497</v>
      </c>
      <c r="C178" s="12">
        <v>19.0</v>
      </c>
      <c r="D178" s="11" t="s">
        <v>337</v>
      </c>
      <c r="E178" s="11" t="s">
        <v>17</v>
      </c>
      <c r="F178" s="11" t="s">
        <v>18</v>
      </c>
      <c r="G178" s="13"/>
      <c r="H178" s="12" t="s">
        <v>19</v>
      </c>
      <c r="I178" s="11" t="s">
        <v>304</v>
      </c>
      <c r="J178" s="11" t="s">
        <v>21</v>
      </c>
      <c r="K178" s="11" t="s">
        <v>53</v>
      </c>
      <c r="L178" s="14" t="s">
        <v>498</v>
      </c>
    </row>
    <row r="179">
      <c r="A179" s="15">
        <v>703.0</v>
      </c>
      <c r="B179" s="16" t="s">
        <v>499</v>
      </c>
      <c r="C179" s="17">
        <v>32.0</v>
      </c>
      <c r="D179" s="16" t="s">
        <v>253</v>
      </c>
      <c r="E179" s="16" t="s">
        <v>25</v>
      </c>
      <c r="F179" s="16" t="s">
        <v>18</v>
      </c>
      <c r="G179" s="18"/>
      <c r="H179" s="17" t="s">
        <v>19</v>
      </c>
      <c r="I179" s="16" t="s">
        <v>500</v>
      </c>
      <c r="J179" s="16" t="s">
        <v>21</v>
      </c>
      <c r="K179" s="16" t="s">
        <v>53</v>
      </c>
      <c r="L179" s="19" t="s">
        <v>501</v>
      </c>
    </row>
    <row r="180">
      <c r="A180" s="10">
        <v>1531.0</v>
      </c>
      <c r="B180" s="11" t="s">
        <v>502</v>
      </c>
      <c r="C180" s="12">
        <v>26.0</v>
      </c>
      <c r="D180" s="11" t="s">
        <v>324</v>
      </c>
      <c r="E180" s="11" t="s">
        <v>17</v>
      </c>
      <c r="F180" s="11" t="s">
        <v>18</v>
      </c>
      <c r="G180" s="13"/>
      <c r="H180" s="12" t="s">
        <v>19</v>
      </c>
      <c r="I180" s="11" t="s">
        <v>503</v>
      </c>
      <c r="J180" s="11" t="s">
        <v>21</v>
      </c>
      <c r="K180" s="11" t="s">
        <v>53</v>
      </c>
      <c r="L180" s="14" t="s">
        <v>504</v>
      </c>
    </row>
    <row r="181">
      <c r="A181" s="15">
        <v>1590.0</v>
      </c>
      <c r="B181" s="16" t="s">
        <v>505</v>
      </c>
      <c r="C181" s="17">
        <v>23.0</v>
      </c>
      <c r="D181" s="16" t="s">
        <v>438</v>
      </c>
      <c r="E181" s="16" t="s">
        <v>17</v>
      </c>
      <c r="F181" s="16" t="s">
        <v>18</v>
      </c>
      <c r="G181" s="18"/>
      <c r="H181" s="17" t="s">
        <v>19</v>
      </c>
      <c r="I181" s="16" t="s">
        <v>53</v>
      </c>
      <c r="J181" s="16" t="s">
        <v>21</v>
      </c>
      <c r="K181" s="16" t="s">
        <v>53</v>
      </c>
      <c r="L181" s="19" t="s">
        <v>506</v>
      </c>
    </row>
    <row r="182">
      <c r="A182" s="10">
        <v>1522.0</v>
      </c>
      <c r="B182" s="11" t="s">
        <v>507</v>
      </c>
      <c r="C182" s="12">
        <v>19.0</v>
      </c>
      <c r="D182" s="11" t="s">
        <v>508</v>
      </c>
      <c r="E182" s="11" t="s">
        <v>17</v>
      </c>
      <c r="F182" s="11" t="s">
        <v>18</v>
      </c>
      <c r="G182" s="13"/>
      <c r="H182" s="12" t="s">
        <v>19</v>
      </c>
      <c r="I182" s="11" t="s">
        <v>147</v>
      </c>
      <c r="J182" s="11" t="s">
        <v>21</v>
      </c>
      <c r="K182" s="11" t="s">
        <v>53</v>
      </c>
      <c r="L182" s="14" t="s">
        <v>509</v>
      </c>
    </row>
    <row r="183">
      <c r="A183" s="15">
        <v>704.0</v>
      </c>
      <c r="B183" s="16" t="s">
        <v>510</v>
      </c>
      <c r="C183" s="17">
        <v>26.0</v>
      </c>
      <c r="D183" s="16" t="s">
        <v>408</v>
      </c>
      <c r="E183" s="16" t="s">
        <v>17</v>
      </c>
      <c r="F183" s="16" t="s">
        <v>18</v>
      </c>
      <c r="G183" s="18"/>
      <c r="H183" s="17" t="s">
        <v>19</v>
      </c>
      <c r="I183" s="16" t="s">
        <v>511</v>
      </c>
      <c r="J183" s="16" t="s">
        <v>21</v>
      </c>
      <c r="K183" s="16" t="s">
        <v>53</v>
      </c>
      <c r="L183" s="19" t="s">
        <v>512</v>
      </c>
    </row>
    <row r="184">
      <c r="A184" s="10">
        <v>1557.0</v>
      </c>
      <c r="B184" s="11" t="s">
        <v>513</v>
      </c>
      <c r="C184" s="12">
        <v>42.0</v>
      </c>
      <c r="D184" s="11" t="s">
        <v>514</v>
      </c>
      <c r="E184" s="11" t="s">
        <v>17</v>
      </c>
      <c r="F184" s="11" t="s">
        <v>18</v>
      </c>
      <c r="G184" s="13"/>
      <c r="H184" s="12" t="s">
        <v>19</v>
      </c>
      <c r="I184" s="11" t="s">
        <v>389</v>
      </c>
      <c r="J184" s="11" t="s">
        <v>21</v>
      </c>
      <c r="K184" s="11" t="s">
        <v>53</v>
      </c>
      <c r="L184" s="14" t="s">
        <v>515</v>
      </c>
    </row>
    <row r="185">
      <c r="A185" s="15">
        <v>706.0</v>
      </c>
      <c r="B185" s="16" t="s">
        <v>516</v>
      </c>
      <c r="C185" s="17">
        <v>34.0</v>
      </c>
      <c r="D185" s="16" t="s">
        <v>517</v>
      </c>
      <c r="E185" s="16" t="s">
        <v>25</v>
      </c>
      <c r="F185" s="16" t="s">
        <v>18</v>
      </c>
      <c r="G185" s="18"/>
      <c r="H185" s="17" t="s">
        <v>19</v>
      </c>
      <c r="I185" s="16" t="s">
        <v>147</v>
      </c>
      <c r="J185" s="16" t="s">
        <v>21</v>
      </c>
      <c r="K185" s="16" t="s">
        <v>53</v>
      </c>
      <c r="L185" s="19" t="s">
        <v>518</v>
      </c>
    </row>
    <row r="186">
      <c r="A186" s="10">
        <v>702.0</v>
      </c>
      <c r="B186" s="11" t="s">
        <v>519</v>
      </c>
      <c r="C186" s="12">
        <v>27.0</v>
      </c>
      <c r="D186" s="11" t="s">
        <v>253</v>
      </c>
      <c r="E186" s="11" t="s">
        <v>25</v>
      </c>
      <c r="F186" s="11" t="s">
        <v>18</v>
      </c>
      <c r="G186" s="13"/>
      <c r="H186" s="12" t="s">
        <v>19</v>
      </c>
      <c r="I186" s="11" t="s">
        <v>292</v>
      </c>
      <c r="J186" s="11" t="s">
        <v>21</v>
      </c>
      <c r="K186" s="11" t="s">
        <v>53</v>
      </c>
      <c r="L186" s="14" t="s">
        <v>520</v>
      </c>
    </row>
    <row r="187">
      <c r="A187" s="15">
        <v>1082.0</v>
      </c>
      <c r="B187" s="16" t="s">
        <v>521</v>
      </c>
      <c r="C187" s="17">
        <v>21.0</v>
      </c>
      <c r="D187" s="16" t="s">
        <v>522</v>
      </c>
      <c r="E187" s="16" t="s">
        <v>17</v>
      </c>
      <c r="F187" s="16" t="s">
        <v>478</v>
      </c>
      <c r="G187" s="16" t="s">
        <v>479</v>
      </c>
      <c r="H187" s="17" t="s">
        <v>19</v>
      </c>
      <c r="I187" s="16" t="s">
        <v>147</v>
      </c>
      <c r="J187" s="16" t="s">
        <v>21</v>
      </c>
      <c r="K187" s="16" t="s">
        <v>53</v>
      </c>
      <c r="L187" s="19" t="s">
        <v>523</v>
      </c>
    </row>
    <row r="188">
      <c r="A188" s="10">
        <v>705.0</v>
      </c>
      <c r="B188" s="11" t="s">
        <v>524</v>
      </c>
      <c r="C188" s="12">
        <v>23.0</v>
      </c>
      <c r="D188" s="11" t="s">
        <v>350</v>
      </c>
      <c r="E188" s="11" t="s">
        <v>25</v>
      </c>
      <c r="F188" s="11" t="s">
        <v>18</v>
      </c>
      <c r="G188" s="13"/>
      <c r="H188" s="12" t="s">
        <v>19</v>
      </c>
      <c r="I188" s="11" t="s">
        <v>247</v>
      </c>
      <c r="J188" s="11" t="s">
        <v>21</v>
      </c>
      <c r="K188" s="11" t="s">
        <v>53</v>
      </c>
      <c r="L188" s="14" t="s">
        <v>525</v>
      </c>
    </row>
    <row r="189">
      <c r="A189" s="15">
        <v>1446.0</v>
      </c>
      <c r="B189" s="16" t="s">
        <v>526</v>
      </c>
      <c r="C189" s="17">
        <v>30.0</v>
      </c>
      <c r="D189" s="16" t="s">
        <v>527</v>
      </c>
      <c r="E189" s="16" t="s">
        <v>17</v>
      </c>
      <c r="F189" s="16" t="s">
        <v>18</v>
      </c>
      <c r="G189" s="18"/>
      <c r="H189" s="17" t="s">
        <v>19</v>
      </c>
      <c r="I189" s="16" t="s">
        <v>304</v>
      </c>
      <c r="J189" s="16" t="s">
        <v>21</v>
      </c>
      <c r="K189" s="16" t="s">
        <v>53</v>
      </c>
      <c r="L189" s="19" t="s">
        <v>528</v>
      </c>
    </row>
    <row r="190">
      <c r="A190" s="10">
        <v>692.0</v>
      </c>
      <c r="B190" s="11" t="s">
        <v>529</v>
      </c>
      <c r="C190" s="12">
        <v>27.0</v>
      </c>
      <c r="D190" s="11" t="s">
        <v>530</v>
      </c>
      <c r="E190" s="11" t="s">
        <v>17</v>
      </c>
      <c r="F190" s="11" t="s">
        <v>18</v>
      </c>
      <c r="G190" s="13"/>
      <c r="H190" s="12" t="s">
        <v>19</v>
      </c>
      <c r="I190" s="11" t="s">
        <v>312</v>
      </c>
      <c r="J190" s="11" t="s">
        <v>21</v>
      </c>
      <c r="K190" s="11" t="s">
        <v>53</v>
      </c>
      <c r="L190" s="14" t="s">
        <v>531</v>
      </c>
    </row>
    <row r="191">
      <c r="A191" s="15">
        <v>693.0</v>
      </c>
      <c r="B191" s="16" t="s">
        <v>532</v>
      </c>
      <c r="C191" s="17">
        <v>21.0</v>
      </c>
      <c r="D191" s="16" t="s">
        <v>530</v>
      </c>
      <c r="E191" s="16" t="s">
        <v>17</v>
      </c>
      <c r="F191" s="16" t="s">
        <v>478</v>
      </c>
      <c r="G191" s="16" t="s">
        <v>479</v>
      </c>
      <c r="H191" s="17" t="s">
        <v>19</v>
      </c>
      <c r="I191" s="16" t="s">
        <v>312</v>
      </c>
      <c r="J191" s="16" t="s">
        <v>21</v>
      </c>
      <c r="K191" s="16" t="s">
        <v>53</v>
      </c>
      <c r="L191" s="19" t="s">
        <v>533</v>
      </c>
    </row>
    <row r="192">
      <c r="A192" s="10">
        <v>695.0</v>
      </c>
      <c r="B192" s="11" t="s">
        <v>534</v>
      </c>
      <c r="C192" s="12">
        <v>25.0</v>
      </c>
      <c r="D192" s="11" t="s">
        <v>535</v>
      </c>
      <c r="E192" s="11" t="s">
        <v>25</v>
      </c>
      <c r="F192" s="11" t="s">
        <v>18</v>
      </c>
      <c r="G192" s="13"/>
      <c r="H192" s="12" t="s">
        <v>19</v>
      </c>
      <c r="I192" s="11" t="s">
        <v>321</v>
      </c>
      <c r="J192" s="11" t="s">
        <v>21</v>
      </c>
      <c r="K192" s="11" t="s">
        <v>53</v>
      </c>
      <c r="L192" s="14" t="s">
        <v>536</v>
      </c>
    </row>
    <row r="193">
      <c r="A193" s="15">
        <v>1617.0</v>
      </c>
      <c r="B193" s="16" t="s">
        <v>537</v>
      </c>
      <c r="C193" s="17">
        <v>22.0</v>
      </c>
      <c r="D193" s="16" t="s">
        <v>522</v>
      </c>
      <c r="E193" s="16" t="s">
        <v>17</v>
      </c>
      <c r="F193" s="16" t="s">
        <v>18</v>
      </c>
      <c r="G193" s="18"/>
      <c r="H193" s="17" t="s">
        <v>19</v>
      </c>
      <c r="I193" s="16" t="s">
        <v>147</v>
      </c>
      <c r="J193" s="16" t="s">
        <v>21</v>
      </c>
      <c r="K193" s="16" t="s">
        <v>53</v>
      </c>
      <c r="L193" s="19" t="s">
        <v>538</v>
      </c>
    </row>
    <row r="194">
      <c r="A194" s="10">
        <v>1303.0</v>
      </c>
      <c r="B194" s="11" t="s">
        <v>539</v>
      </c>
      <c r="C194" s="12">
        <v>26.0</v>
      </c>
      <c r="D194" s="11" t="s">
        <v>324</v>
      </c>
      <c r="E194" s="11" t="s">
        <v>17</v>
      </c>
      <c r="F194" s="11" t="s">
        <v>18</v>
      </c>
      <c r="G194" s="13"/>
      <c r="H194" s="12" t="s">
        <v>19</v>
      </c>
      <c r="I194" s="11" t="s">
        <v>247</v>
      </c>
      <c r="J194" s="11" t="s">
        <v>21</v>
      </c>
      <c r="K194" s="11" t="s">
        <v>53</v>
      </c>
      <c r="L194" s="14" t="s">
        <v>540</v>
      </c>
    </row>
    <row r="195">
      <c r="A195" s="15">
        <v>698.0</v>
      </c>
      <c r="B195" s="16" t="s">
        <v>541</v>
      </c>
      <c r="C195" s="17">
        <v>27.0</v>
      </c>
      <c r="D195" s="16" t="s">
        <v>542</v>
      </c>
      <c r="E195" s="16" t="s">
        <v>25</v>
      </c>
      <c r="F195" s="16" t="s">
        <v>18</v>
      </c>
      <c r="G195" s="18"/>
      <c r="H195" s="17" t="s">
        <v>19</v>
      </c>
      <c r="I195" s="16" t="s">
        <v>53</v>
      </c>
      <c r="J195" s="16" t="s">
        <v>21</v>
      </c>
      <c r="K195" s="16" t="s">
        <v>53</v>
      </c>
      <c r="L195" s="19" t="s">
        <v>543</v>
      </c>
    </row>
    <row r="196">
      <c r="A196" s="10">
        <v>1390.0</v>
      </c>
      <c r="B196" s="11" t="s">
        <v>544</v>
      </c>
      <c r="C196" s="12">
        <v>22.0</v>
      </c>
      <c r="D196" s="11" t="s">
        <v>545</v>
      </c>
      <c r="E196" s="11" t="s">
        <v>25</v>
      </c>
      <c r="F196" s="11" t="s">
        <v>18</v>
      </c>
      <c r="G196" s="13"/>
      <c r="H196" s="12" t="s">
        <v>19</v>
      </c>
      <c r="I196" s="11" t="s">
        <v>53</v>
      </c>
      <c r="J196" s="11" t="s">
        <v>21</v>
      </c>
      <c r="K196" s="11" t="s">
        <v>53</v>
      </c>
      <c r="L196" s="14" t="s">
        <v>546</v>
      </c>
    </row>
    <row r="197">
      <c r="A197" s="15">
        <v>700.0</v>
      </c>
      <c r="B197" s="16" t="s">
        <v>547</v>
      </c>
      <c r="C197" s="17">
        <v>48.0</v>
      </c>
      <c r="D197" s="16" t="s">
        <v>95</v>
      </c>
      <c r="E197" s="16" t="s">
        <v>25</v>
      </c>
      <c r="F197" s="16" t="s">
        <v>18</v>
      </c>
      <c r="G197" s="18"/>
      <c r="H197" s="17" t="s">
        <v>19</v>
      </c>
      <c r="I197" s="16" t="s">
        <v>312</v>
      </c>
      <c r="J197" s="16" t="s">
        <v>21</v>
      </c>
      <c r="K197" s="16" t="s">
        <v>53</v>
      </c>
      <c r="L197" s="19" t="s">
        <v>548</v>
      </c>
    </row>
    <row r="198">
      <c r="A198" s="10">
        <v>699.0</v>
      </c>
      <c r="B198" s="11" t="s">
        <v>549</v>
      </c>
      <c r="C198" s="12">
        <v>23.0</v>
      </c>
      <c r="D198" s="11" t="s">
        <v>328</v>
      </c>
      <c r="E198" s="11" t="s">
        <v>17</v>
      </c>
      <c r="F198" s="11" t="s">
        <v>18</v>
      </c>
      <c r="G198" s="13"/>
      <c r="H198" s="12" t="s">
        <v>19</v>
      </c>
      <c r="I198" s="11" t="s">
        <v>147</v>
      </c>
      <c r="J198" s="11" t="s">
        <v>21</v>
      </c>
      <c r="K198" s="11" t="s">
        <v>53</v>
      </c>
      <c r="L198" s="14" t="s">
        <v>550</v>
      </c>
    </row>
    <row r="199">
      <c r="A199" s="15">
        <v>1422.0</v>
      </c>
      <c r="B199" s="16" t="s">
        <v>551</v>
      </c>
      <c r="C199" s="17">
        <v>38.0</v>
      </c>
      <c r="D199" s="16" t="s">
        <v>284</v>
      </c>
      <c r="E199" s="16" t="s">
        <v>25</v>
      </c>
      <c r="F199" s="16" t="s">
        <v>18</v>
      </c>
      <c r="G199" s="18"/>
      <c r="H199" s="17" t="s">
        <v>19</v>
      </c>
      <c r="I199" s="16" t="s">
        <v>53</v>
      </c>
      <c r="J199" s="16" t="s">
        <v>21</v>
      </c>
      <c r="K199" s="16" t="s">
        <v>53</v>
      </c>
      <c r="L199" s="19" t="s">
        <v>552</v>
      </c>
    </row>
    <row r="200">
      <c r="A200" s="10">
        <v>1517.0</v>
      </c>
      <c r="B200" s="11" t="s">
        <v>553</v>
      </c>
      <c r="C200" s="12">
        <v>20.0</v>
      </c>
      <c r="D200" s="11" t="s">
        <v>299</v>
      </c>
      <c r="E200" s="11" t="s">
        <v>17</v>
      </c>
      <c r="F200" s="11" t="s">
        <v>18</v>
      </c>
      <c r="G200" s="13"/>
      <c r="H200" s="12" t="s">
        <v>19</v>
      </c>
      <c r="I200" s="11" t="s">
        <v>554</v>
      </c>
      <c r="J200" s="11" t="s">
        <v>21</v>
      </c>
      <c r="K200" s="11" t="s">
        <v>53</v>
      </c>
      <c r="L200" s="14" t="s">
        <v>555</v>
      </c>
    </row>
    <row r="201">
      <c r="A201" s="15">
        <v>709.0</v>
      </c>
      <c r="B201" s="16" t="s">
        <v>556</v>
      </c>
      <c r="C201" s="17">
        <v>23.0</v>
      </c>
      <c r="D201" s="16" t="s">
        <v>557</v>
      </c>
      <c r="E201" s="16" t="s">
        <v>17</v>
      </c>
      <c r="F201" s="16" t="s">
        <v>18</v>
      </c>
      <c r="G201" s="18"/>
      <c r="H201" s="17" t="s">
        <v>19</v>
      </c>
      <c r="I201" s="16" t="s">
        <v>558</v>
      </c>
      <c r="J201" s="16" t="s">
        <v>21</v>
      </c>
      <c r="K201" s="16" t="s">
        <v>53</v>
      </c>
      <c r="L201" s="19" t="s">
        <v>559</v>
      </c>
    </row>
    <row r="202">
      <c r="A202" s="10">
        <v>1550.0</v>
      </c>
      <c r="B202" s="11" t="s">
        <v>560</v>
      </c>
      <c r="C202" s="12">
        <v>32.0</v>
      </c>
      <c r="D202" s="11" t="s">
        <v>271</v>
      </c>
      <c r="E202" s="11" t="s">
        <v>17</v>
      </c>
      <c r="F202" s="11" t="s">
        <v>18</v>
      </c>
      <c r="G202" s="13"/>
      <c r="H202" s="12" t="s">
        <v>19</v>
      </c>
      <c r="I202" s="11" t="s">
        <v>341</v>
      </c>
      <c r="J202" s="11" t="s">
        <v>21</v>
      </c>
      <c r="K202" s="11" t="s">
        <v>53</v>
      </c>
      <c r="L202" s="14" t="s">
        <v>561</v>
      </c>
    </row>
    <row r="203">
      <c r="A203" s="15">
        <v>697.0</v>
      </c>
      <c r="B203" s="16" t="s">
        <v>562</v>
      </c>
      <c r="C203" s="17">
        <v>27.0</v>
      </c>
      <c r="D203" s="16" t="s">
        <v>100</v>
      </c>
      <c r="E203" s="16" t="s">
        <v>17</v>
      </c>
      <c r="F203" s="16" t="s">
        <v>18</v>
      </c>
      <c r="G203" s="18"/>
      <c r="H203" s="17" t="s">
        <v>19</v>
      </c>
      <c r="I203" s="16" t="s">
        <v>170</v>
      </c>
      <c r="J203" s="16" t="s">
        <v>21</v>
      </c>
      <c r="K203" s="16" t="s">
        <v>53</v>
      </c>
      <c r="L203" s="19" t="s">
        <v>563</v>
      </c>
    </row>
    <row r="204">
      <c r="A204" s="10">
        <v>755.0</v>
      </c>
      <c r="B204" s="11" t="s">
        <v>564</v>
      </c>
      <c r="C204" s="12">
        <v>22.0</v>
      </c>
      <c r="D204" s="11" t="s">
        <v>350</v>
      </c>
      <c r="E204" s="11" t="s">
        <v>25</v>
      </c>
      <c r="F204" s="11" t="s">
        <v>18</v>
      </c>
      <c r="G204" s="13"/>
      <c r="H204" s="12" t="s">
        <v>19</v>
      </c>
      <c r="I204" s="11" t="s">
        <v>565</v>
      </c>
      <c r="J204" s="11" t="s">
        <v>21</v>
      </c>
      <c r="K204" s="11" t="s">
        <v>53</v>
      </c>
      <c r="L204" s="14" t="s">
        <v>566</v>
      </c>
    </row>
    <row r="205">
      <c r="A205" s="15">
        <v>1428.0</v>
      </c>
      <c r="B205" s="16" t="s">
        <v>567</v>
      </c>
      <c r="C205" s="17">
        <v>18.0</v>
      </c>
      <c r="D205" s="16" t="s">
        <v>299</v>
      </c>
      <c r="E205" s="16" t="s">
        <v>17</v>
      </c>
      <c r="F205" s="16" t="s">
        <v>18</v>
      </c>
      <c r="G205" s="18"/>
      <c r="H205" s="17" t="s">
        <v>19</v>
      </c>
      <c r="I205" s="16" t="s">
        <v>312</v>
      </c>
      <c r="J205" s="16" t="s">
        <v>21</v>
      </c>
      <c r="K205" s="16" t="s">
        <v>53</v>
      </c>
      <c r="L205" s="19" t="s">
        <v>568</v>
      </c>
    </row>
    <row r="206">
      <c r="A206" s="10">
        <v>751.0</v>
      </c>
      <c r="B206" s="11" t="s">
        <v>569</v>
      </c>
      <c r="C206" s="12">
        <v>25.0</v>
      </c>
      <c r="D206" s="11" t="s">
        <v>570</v>
      </c>
      <c r="E206" s="11" t="s">
        <v>25</v>
      </c>
      <c r="F206" s="11" t="s">
        <v>18</v>
      </c>
      <c r="G206" s="13"/>
      <c r="H206" s="12" t="s">
        <v>19</v>
      </c>
      <c r="I206" s="11" t="s">
        <v>565</v>
      </c>
      <c r="J206" s="11" t="s">
        <v>21</v>
      </c>
      <c r="K206" s="11" t="s">
        <v>53</v>
      </c>
      <c r="L206" s="14" t="s">
        <v>571</v>
      </c>
    </row>
    <row r="207">
      <c r="A207" s="15">
        <v>766.0</v>
      </c>
      <c r="B207" s="16" t="s">
        <v>572</v>
      </c>
      <c r="C207" s="17">
        <v>27.0</v>
      </c>
      <c r="D207" s="16" t="s">
        <v>573</v>
      </c>
      <c r="E207" s="16" t="s">
        <v>25</v>
      </c>
      <c r="F207" s="16" t="s">
        <v>18</v>
      </c>
      <c r="G207" s="18"/>
      <c r="H207" s="17" t="s">
        <v>19</v>
      </c>
      <c r="I207" s="16" t="s">
        <v>574</v>
      </c>
      <c r="J207" s="16" t="s">
        <v>21</v>
      </c>
      <c r="K207" s="16" t="s">
        <v>53</v>
      </c>
      <c r="L207" s="19" t="s">
        <v>575</v>
      </c>
    </row>
    <row r="208">
      <c r="A208" s="10">
        <v>759.0</v>
      </c>
      <c r="B208" s="11" t="s">
        <v>576</v>
      </c>
      <c r="C208" s="12">
        <v>28.0</v>
      </c>
      <c r="D208" s="11" t="s">
        <v>438</v>
      </c>
      <c r="E208" s="11" t="s">
        <v>17</v>
      </c>
      <c r="F208" s="11" t="s">
        <v>18</v>
      </c>
      <c r="G208" s="13"/>
      <c r="H208" s="12" t="s">
        <v>19</v>
      </c>
      <c r="I208" s="11" t="s">
        <v>577</v>
      </c>
      <c r="J208" s="11" t="s">
        <v>21</v>
      </c>
      <c r="K208" s="11" t="s">
        <v>53</v>
      </c>
      <c r="L208" s="14" t="s">
        <v>578</v>
      </c>
    </row>
    <row r="209">
      <c r="A209" s="15">
        <v>760.0</v>
      </c>
      <c r="B209" s="16" t="s">
        <v>579</v>
      </c>
      <c r="C209" s="17">
        <v>24.0</v>
      </c>
      <c r="D209" s="16" t="s">
        <v>350</v>
      </c>
      <c r="E209" s="16" t="s">
        <v>25</v>
      </c>
      <c r="F209" s="16" t="s">
        <v>18</v>
      </c>
      <c r="G209" s="18"/>
      <c r="H209" s="17" t="s">
        <v>19</v>
      </c>
      <c r="I209" s="16" t="s">
        <v>147</v>
      </c>
      <c r="J209" s="16" t="s">
        <v>21</v>
      </c>
      <c r="K209" s="16" t="s">
        <v>53</v>
      </c>
      <c r="L209" s="19" t="s">
        <v>580</v>
      </c>
    </row>
    <row r="210">
      <c r="A210" s="10">
        <v>761.0</v>
      </c>
      <c r="B210" s="11" t="s">
        <v>581</v>
      </c>
      <c r="C210" s="12">
        <v>24.0</v>
      </c>
      <c r="D210" s="11" t="s">
        <v>350</v>
      </c>
      <c r="E210" s="11" t="s">
        <v>17</v>
      </c>
      <c r="F210" s="11" t="s">
        <v>18</v>
      </c>
      <c r="G210" s="13"/>
      <c r="H210" s="12" t="s">
        <v>19</v>
      </c>
      <c r="I210" s="11" t="s">
        <v>341</v>
      </c>
      <c r="J210" s="11" t="s">
        <v>21</v>
      </c>
      <c r="K210" s="11" t="s">
        <v>53</v>
      </c>
      <c r="L210" s="14" t="s">
        <v>582</v>
      </c>
    </row>
    <row r="211">
      <c r="A211" s="15">
        <v>1445.0</v>
      </c>
      <c r="B211" s="16" t="s">
        <v>583</v>
      </c>
      <c r="C211" s="17">
        <v>21.0</v>
      </c>
      <c r="D211" s="16" t="s">
        <v>584</v>
      </c>
      <c r="E211" s="16" t="s">
        <v>25</v>
      </c>
      <c r="F211" s="16" t="s">
        <v>18</v>
      </c>
      <c r="G211" s="18"/>
      <c r="H211" s="17" t="s">
        <v>19</v>
      </c>
      <c r="I211" s="16" t="s">
        <v>147</v>
      </c>
      <c r="J211" s="16" t="s">
        <v>21</v>
      </c>
      <c r="K211" s="16" t="s">
        <v>53</v>
      </c>
      <c r="L211" s="19" t="s">
        <v>585</v>
      </c>
    </row>
    <row r="212">
      <c r="A212" s="10">
        <v>882.0</v>
      </c>
      <c r="B212" s="11" t="s">
        <v>586</v>
      </c>
      <c r="C212" s="12">
        <v>38.0</v>
      </c>
      <c r="D212" s="11" t="s">
        <v>587</v>
      </c>
      <c r="E212" s="11" t="s">
        <v>25</v>
      </c>
      <c r="F212" s="11" t="s">
        <v>18</v>
      </c>
      <c r="G212" s="13"/>
      <c r="H212" s="12" t="s">
        <v>19</v>
      </c>
      <c r="I212" s="11" t="s">
        <v>588</v>
      </c>
      <c r="J212" s="11" t="s">
        <v>21</v>
      </c>
      <c r="K212" s="11" t="s">
        <v>53</v>
      </c>
      <c r="L212" s="14" t="s">
        <v>589</v>
      </c>
    </row>
    <row r="213">
      <c r="A213" s="15">
        <v>1618.0</v>
      </c>
      <c r="B213" s="16" t="s">
        <v>590</v>
      </c>
      <c r="C213" s="17">
        <v>25.0</v>
      </c>
      <c r="D213" s="16" t="s">
        <v>591</v>
      </c>
      <c r="E213" s="16" t="s">
        <v>17</v>
      </c>
      <c r="F213" s="16" t="s">
        <v>18</v>
      </c>
      <c r="G213" s="18"/>
      <c r="H213" s="17" t="s">
        <v>19</v>
      </c>
      <c r="I213" s="16" t="s">
        <v>361</v>
      </c>
      <c r="J213" s="16" t="s">
        <v>21</v>
      </c>
      <c r="K213" s="16" t="s">
        <v>53</v>
      </c>
      <c r="L213" s="19" t="s">
        <v>592</v>
      </c>
    </row>
    <row r="214">
      <c r="A214" s="10">
        <v>1503.0</v>
      </c>
      <c r="B214" s="11" t="s">
        <v>593</v>
      </c>
      <c r="C214" s="12">
        <v>37.0</v>
      </c>
      <c r="D214" s="11" t="s">
        <v>522</v>
      </c>
      <c r="E214" s="11" t="s">
        <v>17</v>
      </c>
      <c r="F214" s="11" t="s">
        <v>18</v>
      </c>
      <c r="G214" s="13"/>
      <c r="H214" s="12" t="s">
        <v>19</v>
      </c>
      <c r="I214" s="11" t="s">
        <v>594</v>
      </c>
      <c r="J214" s="11" t="s">
        <v>21</v>
      </c>
      <c r="K214" s="11" t="s">
        <v>53</v>
      </c>
      <c r="L214" s="14" t="s">
        <v>595</v>
      </c>
    </row>
    <row r="215">
      <c r="A215" s="15">
        <v>763.0</v>
      </c>
      <c r="B215" s="16" t="s">
        <v>596</v>
      </c>
      <c r="C215" s="17">
        <v>23.0</v>
      </c>
      <c r="D215" s="16" t="s">
        <v>597</v>
      </c>
      <c r="E215" s="16" t="s">
        <v>25</v>
      </c>
      <c r="F215" s="16" t="s">
        <v>18</v>
      </c>
      <c r="G215" s="18"/>
      <c r="H215" s="17" t="s">
        <v>19</v>
      </c>
      <c r="I215" s="16" t="s">
        <v>565</v>
      </c>
      <c r="J215" s="16" t="s">
        <v>21</v>
      </c>
      <c r="K215" s="16" t="s">
        <v>53</v>
      </c>
      <c r="L215" s="19" t="s">
        <v>598</v>
      </c>
    </row>
    <row r="216">
      <c r="A216" s="10">
        <v>764.0</v>
      </c>
      <c r="B216" s="11" t="s">
        <v>599</v>
      </c>
      <c r="C216" s="12">
        <v>31.0</v>
      </c>
      <c r="D216" s="11" t="s">
        <v>92</v>
      </c>
      <c r="E216" s="11" t="s">
        <v>25</v>
      </c>
      <c r="F216" s="11" t="s">
        <v>18</v>
      </c>
      <c r="G216" s="13"/>
      <c r="H216" s="12" t="s">
        <v>19</v>
      </c>
      <c r="I216" s="11" t="s">
        <v>147</v>
      </c>
      <c r="J216" s="11" t="s">
        <v>21</v>
      </c>
      <c r="K216" s="11" t="s">
        <v>53</v>
      </c>
      <c r="L216" s="14" t="s">
        <v>600</v>
      </c>
    </row>
    <row r="217">
      <c r="A217" s="15">
        <v>1391.0</v>
      </c>
      <c r="B217" s="16" t="s">
        <v>601</v>
      </c>
      <c r="C217" s="17">
        <v>30.0</v>
      </c>
      <c r="D217" s="16" t="s">
        <v>92</v>
      </c>
      <c r="E217" s="16" t="s">
        <v>25</v>
      </c>
      <c r="F217" s="16" t="s">
        <v>18</v>
      </c>
      <c r="G217" s="18"/>
      <c r="H217" s="17" t="s">
        <v>19</v>
      </c>
      <c r="I217" s="16" t="s">
        <v>147</v>
      </c>
      <c r="J217" s="16" t="s">
        <v>21</v>
      </c>
      <c r="K217" s="16" t="s">
        <v>53</v>
      </c>
      <c r="L217" s="19" t="s">
        <v>602</v>
      </c>
    </row>
    <row r="218">
      <c r="A218" s="10">
        <v>757.0</v>
      </c>
      <c r="B218" s="11" t="s">
        <v>603</v>
      </c>
      <c r="C218" s="12">
        <v>28.0</v>
      </c>
      <c r="D218" s="11" t="s">
        <v>450</v>
      </c>
      <c r="E218" s="11" t="s">
        <v>17</v>
      </c>
      <c r="F218" s="11" t="s">
        <v>18</v>
      </c>
      <c r="G218" s="13"/>
      <c r="H218" s="12" t="s">
        <v>19</v>
      </c>
      <c r="I218" s="11" t="s">
        <v>147</v>
      </c>
      <c r="J218" s="11" t="s">
        <v>21</v>
      </c>
      <c r="K218" s="11" t="s">
        <v>53</v>
      </c>
      <c r="L218" s="14" t="s">
        <v>604</v>
      </c>
    </row>
    <row r="219">
      <c r="A219" s="15">
        <v>758.0</v>
      </c>
      <c r="B219" s="16" t="s">
        <v>605</v>
      </c>
      <c r="C219" s="17">
        <v>25.0</v>
      </c>
      <c r="D219" s="16" t="s">
        <v>253</v>
      </c>
      <c r="E219" s="16" t="s">
        <v>25</v>
      </c>
      <c r="F219" s="16" t="s">
        <v>18</v>
      </c>
      <c r="G219" s="18"/>
      <c r="H219" s="17" t="s">
        <v>19</v>
      </c>
      <c r="I219" s="16" t="s">
        <v>250</v>
      </c>
      <c r="J219" s="16" t="s">
        <v>21</v>
      </c>
      <c r="K219" s="16" t="s">
        <v>53</v>
      </c>
      <c r="L219" s="19" t="s">
        <v>606</v>
      </c>
    </row>
    <row r="220">
      <c r="A220" s="10">
        <v>1568.0</v>
      </c>
      <c r="B220" s="11" t="s">
        <v>607</v>
      </c>
      <c r="C220" s="12">
        <v>25.0</v>
      </c>
      <c r="D220" s="11" t="s">
        <v>530</v>
      </c>
      <c r="E220" s="11" t="s">
        <v>17</v>
      </c>
      <c r="F220" s="11" t="s">
        <v>18</v>
      </c>
      <c r="G220" s="13"/>
      <c r="H220" s="12" t="s">
        <v>19</v>
      </c>
      <c r="I220" s="11" t="s">
        <v>147</v>
      </c>
      <c r="J220" s="11" t="s">
        <v>21</v>
      </c>
      <c r="K220" s="11" t="s">
        <v>53</v>
      </c>
      <c r="L220" s="14" t="s">
        <v>608</v>
      </c>
    </row>
    <row r="221">
      <c r="A221" s="15">
        <v>752.0</v>
      </c>
      <c r="B221" s="16" t="s">
        <v>609</v>
      </c>
      <c r="C221" s="17">
        <v>27.0</v>
      </c>
      <c r="D221" s="16" t="s">
        <v>89</v>
      </c>
      <c r="E221" s="16" t="s">
        <v>25</v>
      </c>
      <c r="F221" s="16" t="s">
        <v>18</v>
      </c>
      <c r="G221" s="18"/>
      <c r="H221" s="17" t="s">
        <v>19</v>
      </c>
      <c r="I221" s="16" t="s">
        <v>361</v>
      </c>
      <c r="J221" s="16" t="s">
        <v>21</v>
      </c>
      <c r="K221" s="16" t="s">
        <v>53</v>
      </c>
      <c r="L221" s="19" t="s">
        <v>610</v>
      </c>
    </row>
    <row r="222">
      <c r="A222" s="10">
        <v>754.0</v>
      </c>
      <c r="B222" s="11" t="s">
        <v>611</v>
      </c>
      <c r="C222" s="12">
        <v>22.0</v>
      </c>
      <c r="D222" s="11" t="s">
        <v>612</v>
      </c>
      <c r="E222" s="11" t="s">
        <v>25</v>
      </c>
      <c r="F222" s="11" t="s">
        <v>18</v>
      </c>
      <c r="G222" s="13"/>
      <c r="H222" s="12" t="s">
        <v>19</v>
      </c>
      <c r="I222" s="11" t="s">
        <v>53</v>
      </c>
      <c r="J222" s="11" t="s">
        <v>21</v>
      </c>
      <c r="K222" s="11" t="s">
        <v>53</v>
      </c>
      <c r="L222" s="14" t="s">
        <v>613</v>
      </c>
    </row>
    <row r="223">
      <c r="A223" s="15">
        <v>753.0</v>
      </c>
      <c r="B223" s="16" t="s">
        <v>614</v>
      </c>
      <c r="C223" s="17">
        <v>38.0</v>
      </c>
      <c r="D223" s="16" t="s">
        <v>597</v>
      </c>
      <c r="E223" s="16" t="s">
        <v>25</v>
      </c>
      <c r="F223" s="16" t="s">
        <v>18</v>
      </c>
      <c r="G223" s="18"/>
      <c r="H223" s="17" t="s">
        <v>19</v>
      </c>
      <c r="I223" s="16" t="s">
        <v>615</v>
      </c>
      <c r="J223" s="16" t="s">
        <v>21</v>
      </c>
      <c r="K223" s="16" t="s">
        <v>53</v>
      </c>
      <c r="L223" s="19" t="s">
        <v>616</v>
      </c>
    </row>
    <row r="224">
      <c r="A224" s="10">
        <v>1440.0</v>
      </c>
      <c r="B224" s="11" t="s">
        <v>617</v>
      </c>
      <c r="C224" s="12">
        <v>30.0</v>
      </c>
      <c r="D224" s="11" t="s">
        <v>100</v>
      </c>
      <c r="E224" s="11" t="s">
        <v>17</v>
      </c>
      <c r="F224" s="11" t="s">
        <v>18</v>
      </c>
      <c r="G224" s="13"/>
      <c r="H224" s="12" t="s">
        <v>19</v>
      </c>
      <c r="I224" s="11" t="s">
        <v>554</v>
      </c>
      <c r="J224" s="11" t="s">
        <v>21</v>
      </c>
      <c r="K224" s="11" t="s">
        <v>53</v>
      </c>
      <c r="L224" s="14" t="s">
        <v>618</v>
      </c>
    </row>
    <row r="225">
      <c r="A225" s="15">
        <v>1392.0</v>
      </c>
      <c r="B225" s="16" t="s">
        <v>619</v>
      </c>
      <c r="C225" s="17">
        <v>22.0</v>
      </c>
      <c r="D225" s="16" t="s">
        <v>337</v>
      </c>
      <c r="E225" s="16" t="s">
        <v>17</v>
      </c>
      <c r="F225" s="16" t="s">
        <v>18</v>
      </c>
      <c r="G225" s="18"/>
      <c r="H225" s="17" t="s">
        <v>19</v>
      </c>
      <c r="I225" s="16" t="s">
        <v>470</v>
      </c>
      <c r="J225" s="16" t="s">
        <v>21</v>
      </c>
      <c r="K225" s="16" t="s">
        <v>53</v>
      </c>
      <c r="L225" s="19" t="s">
        <v>620</v>
      </c>
    </row>
    <row r="226">
      <c r="A226" s="10">
        <v>1314.0</v>
      </c>
      <c r="B226" s="11" t="s">
        <v>621</v>
      </c>
      <c r="C226" s="12">
        <v>47.0</v>
      </c>
      <c r="D226" s="11" t="s">
        <v>191</v>
      </c>
      <c r="E226" s="11" t="s">
        <v>25</v>
      </c>
      <c r="F226" s="11" t="s">
        <v>18</v>
      </c>
      <c r="G226" s="13"/>
      <c r="H226" s="12" t="s">
        <v>19</v>
      </c>
      <c r="I226" s="11" t="s">
        <v>191</v>
      </c>
      <c r="J226" s="11" t="s">
        <v>21</v>
      </c>
      <c r="K226" s="13"/>
      <c r="L226" s="14" t="s">
        <v>622</v>
      </c>
    </row>
    <row r="227">
      <c r="A227" s="15">
        <v>1547.0</v>
      </c>
      <c r="B227" s="16" t="s">
        <v>623</v>
      </c>
      <c r="C227" s="17">
        <v>25.0</v>
      </c>
      <c r="D227" s="16" t="s">
        <v>624</v>
      </c>
      <c r="E227" s="16" t="s">
        <v>25</v>
      </c>
      <c r="F227" s="16" t="s">
        <v>18</v>
      </c>
      <c r="G227" s="18"/>
      <c r="H227" s="17" t="s">
        <v>19</v>
      </c>
      <c r="I227" s="16" t="s">
        <v>625</v>
      </c>
      <c r="J227" s="16" t="s">
        <v>21</v>
      </c>
      <c r="K227" s="16" t="s">
        <v>53</v>
      </c>
      <c r="L227" s="19" t="s">
        <v>626</v>
      </c>
    </row>
    <row r="228">
      <c r="A228" s="10">
        <v>885.0</v>
      </c>
      <c r="B228" s="11" t="s">
        <v>627</v>
      </c>
      <c r="C228" s="12">
        <v>44.0</v>
      </c>
      <c r="D228" s="11" t="s">
        <v>413</v>
      </c>
      <c r="E228" s="11" t="s">
        <v>17</v>
      </c>
      <c r="F228" s="11" t="s">
        <v>18</v>
      </c>
      <c r="G228" s="13"/>
      <c r="H228" s="12" t="s">
        <v>19</v>
      </c>
      <c r="I228" s="11" t="s">
        <v>53</v>
      </c>
      <c r="J228" s="11" t="s">
        <v>21</v>
      </c>
      <c r="K228" s="11" t="s">
        <v>53</v>
      </c>
      <c r="L228" s="14" t="s">
        <v>628</v>
      </c>
    </row>
    <row r="229">
      <c r="A229" s="15">
        <v>723.0</v>
      </c>
      <c r="B229" s="16" t="s">
        <v>629</v>
      </c>
      <c r="C229" s="17">
        <v>48.0</v>
      </c>
      <c r="D229" s="16" t="s">
        <v>355</v>
      </c>
      <c r="E229" s="16" t="s">
        <v>17</v>
      </c>
      <c r="F229" s="16" t="s">
        <v>18</v>
      </c>
      <c r="G229" s="18"/>
      <c r="H229" s="17" t="s">
        <v>19</v>
      </c>
      <c r="I229" s="16" t="s">
        <v>361</v>
      </c>
      <c r="J229" s="16" t="s">
        <v>21</v>
      </c>
      <c r="K229" s="16" t="s">
        <v>53</v>
      </c>
      <c r="L229" s="19" t="s">
        <v>630</v>
      </c>
    </row>
    <row r="230">
      <c r="A230" s="10">
        <v>728.0</v>
      </c>
      <c r="B230" s="11" t="s">
        <v>631</v>
      </c>
      <c r="C230" s="12">
        <v>27.0</v>
      </c>
      <c r="D230" s="11" t="s">
        <v>632</v>
      </c>
      <c r="E230" s="11" t="s">
        <v>25</v>
      </c>
      <c r="F230" s="11" t="s">
        <v>18</v>
      </c>
      <c r="G230" s="13"/>
      <c r="H230" s="12" t="s">
        <v>19</v>
      </c>
      <c r="I230" s="11" t="s">
        <v>594</v>
      </c>
      <c r="J230" s="11" t="s">
        <v>21</v>
      </c>
      <c r="K230" s="11" t="s">
        <v>53</v>
      </c>
      <c r="L230" s="14" t="s">
        <v>633</v>
      </c>
    </row>
    <row r="231">
      <c r="A231" s="15">
        <v>1534.0</v>
      </c>
      <c r="B231" s="16" t="s">
        <v>634</v>
      </c>
      <c r="C231" s="17">
        <v>24.0</v>
      </c>
      <c r="D231" s="16" t="s">
        <v>635</v>
      </c>
      <c r="E231" s="16" t="s">
        <v>17</v>
      </c>
      <c r="F231" s="16" t="s">
        <v>18</v>
      </c>
      <c r="G231" s="18"/>
      <c r="H231" s="17" t="s">
        <v>19</v>
      </c>
      <c r="I231" s="16" t="s">
        <v>636</v>
      </c>
      <c r="J231" s="16" t="s">
        <v>21</v>
      </c>
      <c r="K231" s="16" t="s">
        <v>53</v>
      </c>
      <c r="L231" s="19" t="s">
        <v>637</v>
      </c>
    </row>
    <row r="232">
      <c r="A232" s="10">
        <v>729.0</v>
      </c>
      <c r="B232" s="11" t="s">
        <v>638</v>
      </c>
      <c r="C232" s="12">
        <v>24.0</v>
      </c>
      <c r="D232" s="11" t="s">
        <v>632</v>
      </c>
      <c r="E232" s="11" t="s">
        <v>25</v>
      </c>
      <c r="F232" s="11" t="s">
        <v>18</v>
      </c>
      <c r="G232" s="13"/>
      <c r="H232" s="12" t="s">
        <v>19</v>
      </c>
      <c r="I232" s="11" t="s">
        <v>594</v>
      </c>
      <c r="J232" s="11" t="s">
        <v>21</v>
      </c>
      <c r="K232" s="11" t="s">
        <v>53</v>
      </c>
      <c r="L232" s="14" t="s">
        <v>639</v>
      </c>
    </row>
    <row r="233">
      <c r="A233" s="15">
        <v>1549.0</v>
      </c>
      <c r="B233" s="16" t="s">
        <v>640</v>
      </c>
      <c r="C233" s="17">
        <v>30.0</v>
      </c>
      <c r="D233" s="16" t="s">
        <v>271</v>
      </c>
      <c r="E233" s="16" t="s">
        <v>25</v>
      </c>
      <c r="F233" s="16" t="s">
        <v>18</v>
      </c>
      <c r="G233" s="18"/>
      <c r="H233" s="17" t="s">
        <v>19</v>
      </c>
      <c r="I233" s="16" t="s">
        <v>341</v>
      </c>
      <c r="J233" s="16" t="s">
        <v>21</v>
      </c>
      <c r="K233" s="16" t="s">
        <v>53</v>
      </c>
      <c r="L233" s="19" t="s">
        <v>641</v>
      </c>
    </row>
    <row r="234">
      <c r="A234" s="10">
        <v>730.0</v>
      </c>
      <c r="B234" s="11" t="s">
        <v>642</v>
      </c>
      <c r="C234" s="12">
        <v>28.0</v>
      </c>
      <c r="D234" s="11" t="s">
        <v>253</v>
      </c>
      <c r="E234" s="11" t="s">
        <v>17</v>
      </c>
      <c r="F234" s="11" t="s">
        <v>18</v>
      </c>
      <c r="G234" s="13"/>
      <c r="H234" s="12" t="s">
        <v>19</v>
      </c>
      <c r="I234" s="11" t="s">
        <v>361</v>
      </c>
      <c r="J234" s="11" t="s">
        <v>21</v>
      </c>
      <c r="K234" s="11" t="s">
        <v>53</v>
      </c>
      <c r="L234" s="14" t="s">
        <v>643</v>
      </c>
    </row>
    <row r="235">
      <c r="A235" s="15">
        <v>731.0</v>
      </c>
      <c r="B235" s="16" t="s">
        <v>644</v>
      </c>
      <c r="C235" s="17">
        <v>25.0</v>
      </c>
      <c r="D235" s="16" t="s">
        <v>95</v>
      </c>
      <c r="E235" s="16" t="s">
        <v>17</v>
      </c>
      <c r="F235" s="16" t="s">
        <v>18</v>
      </c>
      <c r="G235" s="18"/>
      <c r="H235" s="17" t="s">
        <v>19</v>
      </c>
      <c r="I235" s="16" t="s">
        <v>645</v>
      </c>
      <c r="J235" s="16" t="s">
        <v>21</v>
      </c>
      <c r="K235" s="16" t="s">
        <v>53</v>
      </c>
      <c r="L235" s="19" t="s">
        <v>646</v>
      </c>
    </row>
    <row r="236">
      <c r="A236" s="10">
        <v>1299.0</v>
      </c>
      <c r="B236" s="11" t="s">
        <v>647</v>
      </c>
      <c r="C236" s="12">
        <v>25.0</v>
      </c>
      <c r="D236" s="11" t="s">
        <v>648</v>
      </c>
      <c r="E236" s="11" t="s">
        <v>17</v>
      </c>
      <c r="F236" s="11" t="s">
        <v>18</v>
      </c>
      <c r="G236" s="13"/>
      <c r="H236" s="12" t="s">
        <v>19</v>
      </c>
      <c r="I236" s="11" t="s">
        <v>53</v>
      </c>
      <c r="J236" s="11" t="s">
        <v>21</v>
      </c>
      <c r="K236" s="11" t="s">
        <v>53</v>
      </c>
      <c r="L236" s="14" t="s">
        <v>649</v>
      </c>
    </row>
    <row r="237">
      <c r="A237" s="15">
        <v>1619.0</v>
      </c>
      <c r="B237" s="16" t="s">
        <v>650</v>
      </c>
      <c r="C237" s="17">
        <v>49.0</v>
      </c>
      <c r="D237" s="16" t="s">
        <v>651</v>
      </c>
      <c r="E237" s="16" t="s">
        <v>17</v>
      </c>
      <c r="F237" s="16" t="s">
        <v>18</v>
      </c>
      <c r="G237" s="18"/>
      <c r="H237" s="17" t="s">
        <v>19</v>
      </c>
      <c r="I237" s="16" t="s">
        <v>312</v>
      </c>
      <c r="J237" s="16" t="s">
        <v>21</v>
      </c>
      <c r="K237" s="16" t="s">
        <v>53</v>
      </c>
      <c r="L237" s="19" t="s">
        <v>652</v>
      </c>
    </row>
    <row r="238">
      <c r="A238" s="10">
        <v>1457.0</v>
      </c>
      <c r="B238" s="11" t="s">
        <v>653</v>
      </c>
      <c r="C238" s="12">
        <v>21.0</v>
      </c>
      <c r="D238" s="11" t="s">
        <v>654</v>
      </c>
      <c r="E238" s="11" t="s">
        <v>17</v>
      </c>
      <c r="F238" s="11" t="s">
        <v>18</v>
      </c>
      <c r="G238" s="13"/>
      <c r="H238" s="12" t="s">
        <v>19</v>
      </c>
      <c r="I238" s="11" t="s">
        <v>165</v>
      </c>
      <c r="J238" s="11" t="s">
        <v>21</v>
      </c>
      <c r="K238" s="11" t="s">
        <v>53</v>
      </c>
      <c r="L238" s="14" t="s">
        <v>655</v>
      </c>
    </row>
    <row r="239">
      <c r="A239" s="15">
        <v>724.0</v>
      </c>
      <c r="B239" s="16" t="s">
        <v>656</v>
      </c>
      <c r="C239" s="17">
        <v>22.0</v>
      </c>
      <c r="D239" s="16" t="s">
        <v>657</v>
      </c>
      <c r="E239" s="16" t="s">
        <v>25</v>
      </c>
      <c r="F239" s="16" t="s">
        <v>18</v>
      </c>
      <c r="G239" s="18"/>
      <c r="H239" s="17" t="s">
        <v>19</v>
      </c>
      <c r="I239" s="16" t="s">
        <v>312</v>
      </c>
      <c r="J239" s="16" t="s">
        <v>21</v>
      </c>
      <c r="K239" s="16" t="s">
        <v>53</v>
      </c>
      <c r="L239" s="19" t="s">
        <v>658</v>
      </c>
    </row>
    <row r="240">
      <c r="A240" s="10">
        <v>725.0</v>
      </c>
      <c r="B240" s="11" t="s">
        <v>659</v>
      </c>
      <c r="C240" s="12">
        <v>23.0</v>
      </c>
      <c r="D240" s="11" t="s">
        <v>328</v>
      </c>
      <c r="E240" s="11" t="s">
        <v>17</v>
      </c>
      <c r="F240" s="11" t="s">
        <v>18</v>
      </c>
      <c r="G240" s="13"/>
      <c r="H240" s="12" t="s">
        <v>19</v>
      </c>
      <c r="I240" s="11" t="s">
        <v>147</v>
      </c>
      <c r="J240" s="11" t="s">
        <v>21</v>
      </c>
      <c r="K240" s="11" t="s">
        <v>53</v>
      </c>
      <c r="L240" s="14" t="s">
        <v>660</v>
      </c>
    </row>
    <row r="241">
      <c r="A241" s="15">
        <v>727.0</v>
      </c>
      <c r="B241" s="16" t="s">
        <v>661</v>
      </c>
      <c r="C241" s="17">
        <v>22.0</v>
      </c>
      <c r="D241" s="16" t="s">
        <v>662</v>
      </c>
      <c r="E241" s="16" t="s">
        <v>25</v>
      </c>
      <c r="F241" s="16" t="s">
        <v>18</v>
      </c>
      <c r="G241" s="18"/>
      <c r="H241" s="17" t="s">
        <v>19</v>
      </c>
      <c r="I241" s="16" t="s">
        <v>565</v>
      </c>
      <c r="J241" s="16" t="s">
        <v>21</v>
      </c>
      <c r="K241" s="16" t="s">
        <v>53</v>
      </c>
      <c r="L241" s="19" t="s">
        <v>663</v>
      </c>
    </row>
    <row r="242">
      <c r="A242" s="10">
        <v>902.0</v>
      </c>
      <c r="B242" s="11" t="s">
        <v>664</v>
      </c>
      <c r="C242" s="12">
        <v>46.0</v>
      </c>
      <c r="D242" s="11" t="s">
        <v>159</v>
      </c>
      <c r="E242" s="11" t="s">
        <v>25</v>
      </c>
      <c r="F242" s="11" t="s">
        <v>18</v>
      </c>
      <c r="G242" s="13"/>
      <c r="H242" s="12" t="s">
        <v>19</v>
      </c>
      <c r="I242" s="11" t="s">
        <v>147</v>
      </c>
      <c r="J242" s="11" t="s">
        <v>21</v>
      </c>
      <c r="K242" s="11" t="s">
        <v>53</v>
      </c>
      <c r="L242" s="14" t="s">
        <v>665</v>
      </c>
    </row>
    <row r="243">
      <c r="A243" s="15">
        <v>769.0</v>
      </c>
      <c r="B243" s="16" t="s">
        <v>666</v>
      </c>
      <c r="C243" s="17">
        <v>29.0</v>
      </c>
      <c r="D243" s="16" t="s">
        <v>667</v>
      </c>
      <c r="E243" s="16" t="s">
        <v>17</v>
      </c>
      <c r="F243" s="16" t="s">
        <v>18</v>
      </c>
      <c r="G243" s="18"/>
      <c r="H243" s="17" t="s">
        <v>19</v>
      </c>
      <c r="I243" s="16" t="s">
        <v>53</v>
      </c>
      <c r="J243" s="16" t="s">
        <v>21</v>
      </c>
      <c r="K243" s="16" t="s">
        <v>53</v>
      </c>
      <c r="L243" s="19" t="s">
        <v>668</v>
      </c>
    </row>
    <row r="244">
      <c r="A244" s="10">
        <v>1424.0</v>
      </c>
      <c r="B244" s="11" t="s">
        <v>669</v>
      </c>
      <c r="C244" s="12">
        <v>26.0</v>
      </c>
      <c r="D244" s="11" t="s">
        <v>670</v>
      </c>
      <c r="E244" s="11" t="s">
        <v>17</v>
      </c>
      <c r="F244" s="11" t="s">
        <v>18</v>
      </c>
      <c r="G244" s="13"/>
      <c r="H244" s="12" t="s">
        <v>19</v>
      </c>
      <c r="I244" s="11" t="s">
        <v>312</v>
      </c>
      <c r="J244" s="11" t="s">
        <v>21</v>
      </c>
      <c r="K244" s="11" t="s">
        <v>53</v>
      </c>
      <c r="L244" s="14" t="s">
        <v>671</v>
      </c>
    </row>
    <row r="245">
      <c r="A245" s="15">
        <v>896.0</v>
      </c>
      <c r="B245" s="16" t="s">
        <v>672</v>
      </c>
      <c r="C245" s="17">
        <v>22.0</v>
      </c>
      <c r="D245" s="16" t="s">
        <v>673</v>
      </c>
      <c r="E245" s="16" t="s">
        <v>17</v>
      </c>
      <c r="F245" s="16" t="s">
        <v>18</v>
      </c>
      <c r="G245" s="18"/>
      <c r="H245" s="17" t="s">
        <v>19</v>
      </c>
      <c r="I245" s="16" t="s">
        <v>465</v>
      </c>
      <c r="J245" s="16" t="s">
        <v>21</v>
      </c>
      <c r="K245" s="16" t="s">
        <v>53</v>
      </c>
      <c r="L245" s="19" t="s">
        <v>674</v>
      </c>
    </row>
    <row r="246">
      <c r="A246" s="10">
        <v>1358.0</v>
      </c>
      <c r="B246" s="11" t="s">
        <v>675</v>
      </c>
      <c r="C246" s="12">
        <v>49.0</v>
      </c>
      <c r="D246" s="11" t="s">
        <v>95</v>
      </c>
      <c r="E246" s="11" t="s">
        <v>25</v>
      </c>
      <c r="F246" s="11" t="s">
        <v>18</v>
      </c>
      <c r="G246" s="13"/>
      <c r="H246" s="12" t="s">
        <v>19</v>
      </c>
      <c r="I246" s="11" t="s">
        <v>554</v>
      </c>
      <c r="J246" s="11" t="s">
        <v>21</v>
      </c>
      <c r="K246" s="11" t="s">
        <v>53</v>
      </c>
      <c r="L246" s="14" t="s">
        <v>676</v>
      </c>
    </row>
    <row r="247">
      <c r="A247" s="15">
        <v>951.0</v>
      </c>
      <c r="B247" s="16" t="s">
        <v>677</v>
      </c>
      <c r="C247" s="17">
        <v>26.0</v>
      </c>
      <c r="D247" s="16" t="s">
        <v>299</v>
      </c>
      <c r="E247" s="16" t="s">
        <v>17</v>
      </c>
      <c r="F247" s="16" t="s">
        <v>18</v>
      </c>
      <c r="G247" s="18"/>
      <c r="H247" s="17" t="s">
        <v>19</v>
      </c>
      <c r="I247" s="16" t="s">
        <v>312</v>
      </c>
      <c r="J247" s="16" t="s">
        <v>21</v>
      </c>
      <c r="K247" s="16" t="s">
        <v>53</v>
      </c>
      <c r="L247" s="19" t="s">
        <v>678</v>
      </c>
    </row>
    <row r="248">
      <c r="A248" s="10">
        <v>892.0</v>
      </c>
      <c r="B248" s="11" t="s">
        <v>679</v>
      </c>
      <c r="C248" s="12">
        <v>37.0</v>
      </c>
      <c r="D248" s="11" t="s">
        <v>92</v>
      </c>
      <c r="E248" s="11" t="s">
        <v>17</v>
      </c>
      <c r="F248" s="11" t="s">
        <v>18</v>
      </c>
      <c r="G248" s="13"/>
      <c r="H248" s="12" t="s">
        <v>19</v>
      </c>
      <c r="I248" s="11" t="s">
        <v>389</v>
      </c>
      <c r="J248" s="11" t="s">
        <v>21</v>
      </c>
      <c r="K248" s="11" t="s">
        <v>53</v>
      </c>
      <c r="L248" s="14" t="s">
        <v>680</v>
      </c>
    </row>
    <row r="249">
      <c r="A249" s="15">
        <v>959.0</v>
      </c>
      <c r="B249" s="16" t="s">
        <v>681</v>
      </c>
      <c r="C249" s="17">
        <v>24.0</v>
      </c>
      <c r="D249" s="16" t="s">
        <v>337</v>
      </c>
      <c r="E249" s="16" t="s">
        <v>25</v>
      </c>
      <c r="F249" s="16" t="s">
        <v>18</v>
      </c>
      <c r="G249" s="18"/>
      <c r="H249" s="17" t="s">
        <v>19</v>
      </c>
      <c r="I249" s="16" t="s">
        <v>250</v>
      </c>
      <c r="J249" s="16" t="s">
        <v>21</v>
      </c>
      <c r="K249" s="16" t="s">
        <v>53</v>
      </c>
      <c r="L249" s="19" t="s">
        <v>682</v>
      </c>
    </row>
    <row r="250">
      <c r="A250" s="10">
        <v>958.0</v>
      </c>
      <c r="B250" s="11" t="s">
        <v>683</v>
      </c>
      <c r="C250" s="12">
        <v>21.0</v>
      </c>
      <c r="D250" s="11" t="s">
        <v>350</v>
      </c>
      <c r="E250" s="11" t="s">
        <v>17</v>
      </c>
      <c r="F250" s="11" t="s">
        <v>18</v>
      </c>
      <c r="G250" s="13"/>
      <c r="H250" s="12" t="s">
        <v>19</v>
      </c>
      <c r="I250" s="11" t="s">
        <v>147</v>
      </c>
      <c r="J250" s="11" t="s">
        <v>21</v>
      </c>
      <c r="K250" s="11" t="s">
        <v>53</v>
      </c>
      <c r="L250" s="14" t="s">
        <v>684</v>
      </c>
    </row>
    <row r="251">
      <c r="A251" s="15">
        <v>1493.0</v>
      </c>
      <c r="B251" s="16" t="s">
        <v>685</v>
      </c>
      <c r="C251" s="17">
        <v>24.0</v>
      </c>
      <c r="D251" s="16" t="s">
        <v>570</v>
      </c>
      <c r="E251" s="16" t="s">
        <v>17</v>
      </c>
      <c r="F251" s="16" t="s">
        <v>18</v>
      </c>
      <c r="G251" s="18"/>
      <c r="H251" s="17" t="s">
        <v>19</v>
      </c>
      <c r="I251" s="16" t="s">
        <v>686</v>
      </c>
      <c r="J251" s="16" t="s">
        <v>21</v>
      </c>
      <c r="K251" s="16" t="s">
        <v>53</v>
      </c>
      <c r="L251" s="19" t="s">
        <v>687</v>
      </c>
    </row>
    <row r="252">
      <c r="A252" s="10">
        <v>1507.0</v>
      </c>
      <c r="B252" s="11" t="s">
        <v>688</v>
      </c>
      <c r="C252" s="12">
        <v>19.0</v>
      </c>
      <c r="D252" s="11" t="s">
        <v>438</v>
      </c>
      <c r="E252" s="11" t="s">
        <v>25</v>
      </c>
      <c r="F252" s="11" t="s">
        <v>478</v>
      </c>
      <c r="G252" s="11" t="s">
        <v>689</v>
      </c>
      <c r="H252" s="12" t="s">
        <v>19</v>
      </c>
      <c r="I252" s="11" t="s">
        <v>312</v>
      </c>
      <c r="J252" s="11" t="s">
        <v>21</v>
      </c>
      <c r="K252" s="11" t="s">
        <v>53</v>
      </c>
      <c r="L252" s="14" t="s">
        <v>690</v>
      </c>
    </row>
    <row r="253">
      <c r="A253" s="15">
        <v>954.0</v>
      </c>
      <c r="B253" s="16" t="s">
        <v>691</v>
      </c>
      <c r="C253" s="17">
        <v>24.0</v>
      </c>
      <c r="D253" s="16" t="s">
        <v>416</v>
      </c>
      <c r="E253" s="16" t="s">
        <v>25</v>
      </c>
      <c r="F253" s="16" t="s">
        <v>18</v>
      </c>
      <c r="G253" s="18"/>
      <c r="H253" s="17" t="s">
        <v>19</v>
      </c>
      <c r="I253" s="16" t="s">
        <v>462</v>
      </c>
      <c r="J253" s="16" t="s">
        <v>21</v>
      </c>
      <c r="K253" s="16" t="s">
        <v>53</v>
      </c>
      <c r="L253" s="19" t="s">
        <v>692</v>
      </c>
    </row>
    <row r="254">
      <c r="A254" s="10">
        <v>953.0</v>
      </c>
      <c r="B254" s="11" t="s">
        <v>693</v>
      </c>
      <c r="C254" s="12">
        <v>35.0</v>
      </c>
      <c r="D254" s="11" t="s">
        <v>299</v>
      </c>
      <c r="E254" s="11" t="s">
        <v>17</v>
      </c>
      <c r="F254" s="11" t="s">
        <v>18</v>
      </c>
      <c r="G254" s="13"/>
      <c r="H254" s="12" t="s">
        <v>19</v>
      </c>
      <c r="I254" s="11" t="s">
        <v>554</v>
      </c>
      <c r="J254" s="11" t="s">
        <v>21</v>
      </c>
      <c r="K254" s="11" t="s">
        <v>53</v>
      </c>
      <c r="L254" s="14" t="s">
        <v>694</v>
      </c>
    </row>
    <row r="255">
      <c r="A255" s="15">
        <v>952.0</v>
      </c>
      <c r="B255" s="16" t="s">
        <v>695</v>
      </c>
      <c r="C255" s="17">
        <v>35.0</v>
      </c>
      <c r="D255" s="16" t="s">
        <v>299</v>
      </c>
      <c r="E255" s="16" t="s">
        <v>17</v>
      </c>
      <c r="F255" s="16" t="s">
        <v>18</v>
      </c>
      <c r="G255" s="18"/>
      <c r="H255" s="17" t="s">
        <v>19</v>
      </c>
      <c r="I255" s="16" t="s">
        <v>53</v>
      </c>
      <c r="J255" s="16" t="s">
        <v>21</v>
      </c>
      <c r="K255" s="16" t="s">
        <v>53</v>
      </c>
      <c r="L255" s="19" t="s">
        <v>696</v>
      </c>
    </row>
    <row r="256">
      <c r="A256" s="10">
        <v>960.0</v>
      </c>
      <c r="B256" s="11" t="s">
        <v>697</v>
      </c>
      <c r="C256" s="12">
        <v>26.0</v>
      </c>
      <c r="D256" s="11" t="s">
        <v>408</v>
      </c>
      <c r="E256" s="11" t="s">
        <v>17</v>
      </c>
      <c r="F256" s="11" t="s">
        <v>18</v>
      </c>
      <c r="G256" s="13"/>
      <c r="H256" s="12" t="s">
        <v>19</v>
      </c>
      <c r="I256" s="11" t="s">
        <v>698</v>
      </c>
      <c r="J256" s="11" t="s">
        <v>21</v>
      </c>
      <c r="K256" s="11" t="s">
        <v>53</v>
      </c>
      <c r="L256" s="14" t="s">
        <v>699</v>
      </c>
    </row>
    <row r="257">
      <c r="A257" s="15">
        <v>955.0</v>
      </c>
      <c r="B257" s="16" t="s">
        <v>700</v>
      </c>
      <c r="C257" s="17">
        <v>24.0</v>
      </c>
      <c r="D257" s="16" t="s">
        <v>431</v>
      </c>
      <c r="E257" s="16" t="s">
        <v>25</v>
      </c>
      <c r="F257" s="16" t="s">
        <v>18</v>
      </c>
      <c r="G257" s="18"/>
      <c r="H257" s="17" t="s">
        <v>19</v>
      </c>
      <c r="I257" s="16" t="s">
        <v>361</v>
      </c>
      <c r="J257" s="16" t="s">
        <v>21</v>
      </c>
      <c r="K257" s="16" t="s">
        <v>53</v>
      </c>
      <c r="L257" s="19" t="s">
        <v>701</v>
      </c>
    </row>
    <row r="258">
      <c r="A258" s="10">
        <v>957.0</v>
      </c>
      <c r="B258" s="11" t="s">
        <v>702</v>
      </c>
      <c r="C258" s="12">
        <v>22.0</v>
      </c>
      <c r="D258" s="11" t="s">
        <v>350</v>
      </c>
      <c r="E258" s="11" t="s">
        <v>25</v>
      </c>
      <c r="F258" s="11" t="s">
        <v>18</v>
      </c>
      <c r="G258" s="13"/>
      <c r="H258" s="12" t="s">
        <v>19</v>
      </c>
      <c r="I258" s="11" t="s">
        <v>356</v>
      </c>
      <c r="J258" s="11" t="s">
        <v>21</v>
      </c>
      <c r="K258" s="11" t="s">
        <v>53</v>
      </c>
      <c r="L258" s="14" t="s">
        <v>703</v>
      </c>
    </row>
    <row r="259">
      <c r="A259" s="15">
        <v>779.0</v>
      </c>
      <c r="B259" s="16" t="s">
        <v>704</v>
      </c>
      <c r="C259" s="17">
        <v>24.0</v>
      </c>
      <c r="D259" s="16" t="s">
        <v>705</v>
      </c>
      <c r="E259" s="16" t="s">
        <v>25</v>
      </c>
      <c r="F259" s="16" t="s">
        <v>18</v>
      </c>
      <c r="G259" s="18"/>
      <c r="H259" s="17" t="s">
        <v>19</v>
      </c>
      <c r="I259" s="16" t="s">
        <v>565</v>
      </c>
      <c r="J259" s="16" t="s">
        <v>21</v>
      </c>
      <c r="K259" s="16" t="s">
        <v>53</v>
      </c>
      <c r="L259" s="19" t="s">
        <v>706</v>
      </c>
    </row>
    <row r="260">
      <c r="A260" s="10">
        <v>1486.0</v>
      </c>
      <c r="B260" s="11" t="s">
        <v>707</v>
      </c>
      <c r="C260" s="12">
        <v>23.0</v>
      </c>
      <c r="D260" s="11" t="s">
        <v>708</v>
      </c>
      <c r="E260" s="11" t="s">
        <v>25</v>
      </c>
      <c r="F260" s="11" t="s">
        <v>18</v>
      </c>
      <c r="G260" s="13"/>
      <c r="H260" s="12" t="s">
        <v>19</v>
      </c>
      <c r="I260" s="11" t="s">
        <v>341</v>
      </c>
      <c r="J260" s="11" t="s">
        <v>21</v>
      </c>
      <c r="K260" s="11" t="s">
        <v>53</v>
      </c>
      <c r="L260" s="14" t="s">
        <v>709</v>
      </c>
    </row>
    <row r="261">
      <c r="A261" s="15">
        <v>1621.0</v>
      </c>
      <c r="B261" s="16" t="s">
        <v>710</v>
      </c>
      <c r="C261" s="17">
        <v>74.0</v>
      </c>
      <c r="D261" s="16" t="s">
        <v>711</v>
      </c>
      <c r="E261" s="16" t="s">
        <v>17</v>
      </c>
      <c r="F261" s="16" t="s">
        <v>18</v>
      </c>
      <c r="G261" s="18"/>
      <c r="H261" s="17" t="s">
        <v>19</v>
      </c>
      <c r="I261" s="16" t="s">
        <v>150</v>
      </c>
      <c r="J261" s="16" t="s">
        <v>21</v>
      </c>
      <c r="K261" s="16" t="s">
        <v>53</v>
      </c>
      <c r="L261" s="19" t="s">
        <v>712</v>
      </c>
    </row>
    <row r="262">
      <c r="A262" s="10">
        <v>970.0</v>
      </c>
      <c r="B262" s="11" t="s">
        <v>713</v>
      </c>
      <c r="C262" s="12">
        <v>23.0</v>
      </c>
      <c r="D262" s="11" t="s">
        <v>714</v>
      </c>
      <c r="E262" s="11" t="s">
        <v>25</v>
      </c>
      <c r="F262" s="11" t="s">
        <v>18</v>
      </c>
      <c r="G262" s="13"/>
      <c r="H262" s="12" t="s">
        <v>19</v>
      </c>
      <c r="I262" s="11" t="s">
        <v>53</v>
      </c>
      <c r="J262" s="11" t="s">
        <v>21</v>
      </c>
      <c r="K262" s="11" t="s">
        <v>53</v>
      </c>
      <c r="L262" s="14" t="s">
        <v>715</v>
      </c>
    </row>
    <row r="263">
      <c r="A263" s="15">
        <v>1622.0</v>
      </c>
      <c r="B263" s="16" t="s">
        <v>716</v>
      </c>
      <c r="C263" s="17">
        <v>24.0</v>
      </c>
      <c r="D263" s="16" t="s">
        <v>717</v>
      </c>
      <c r="E263" s="16" t="s">
        <v>17</v>
      </c>
      <c r="F263" s="16" t="s">
        <v>18</v>
      </c>
      <c r="G263" s="18"/>
      <c r="H263" s="17" t="s">
        <v>19</v>
      </c>
      <c r="I263" s="16" t="s">
        <v>558</v>
      </c>
      <c r="J263" s="16" t="s">
        <v>21</v>
      </c>
      <c r="K263" s="16" t="s">
        <v>53</v>
      </c>
      <c r="L263" s="19" t="s">
        <v>718</v>
      </c>
    </row>
    <row r="264">
      <c r="A264" s="10">
        <v>852.0</v>
      </c>
      <c r="B264" s="11" t="s">
        <v>719</v>
      </c>
      <c r="C264" s="12">
        <v>26.0</v>
      </c>
      <c r="D264" s="11" t="s">
        <v>337</v>
      </c>
      <c r="E264" s="11" t="s">
        <v>17</v>
      </c>
      <c r="F264" s="11" t="s">
        <v>18</v>
      </c>
      <c r="G264" s="13"/>
      <c r="H264" s="12" t="s">
        <v>19</v>
      </c>
      <c r="I264" s="11" t="s">
        <v>170</v>
      </c>
      <c r="J264" s="11" t="s">
        <v>21</v>
      </c>
      <c r="K264" s="11" t="s">
        <v>53</v>
      </c>
      <c r="L264" s="14" t="s">
        <v>720</v>
      </c>
    </row>
    <row r="265">
      <c r="A265" s="15">
        <v>1426.0</v>
      </c>
      <c r="B265" s="16" t="s">
        <v>721</v>
      </c>
      <c r="C265" s="17">
        <v>22.0</v>
      </c>
      <c r="D265" s="16" t="s">
        <v>350</v>
      </c>
      <c r="E265" s="16" t="s">
        <v>25</v>
      </c>
      <c r="F265" s="16" t="s">
        <v>18</v>
      </c>
      <c r="G265" s="18"/>
      <c r="H265" s="17" t="s">
        <v>19</v>
      </c>
      <c r="I265" s="16" t="s">
        <v>312</v>
      </c>
      <c r="J265" s="16" t="s">
        <v>21</v>
      </c>
      <c r="K265" s="16" t="s">
        <v>53</v>
      </c>
      <c r="L265" s="19" t="s">
        <v>722</v>
      </c>
    </row>
    <row r="266">
      <c r="A266" s="10">
        <v>901.0</v>
      </c>
      <c r="B266" s="11" t="s">
        <v>723</v>
      </c>
      <c r="C266" s="12">
        <v>23.0</v>
      </c>
      <c r="D266" s="11" t="s">
        <v>281</v>
      </c>
      <c r="E266" s="11" t="s">
        <v>17</v>
      </c>
      <c r="F266" s="11" t="s">
        <v>18</v>
      </c>
      <c r="G266" s="13"/>
      <c r="H266" s="12" t="s">
        <v>19</v>
      </c>
      <c r="I266" s="11" t="s">
        <v>53</v>
      </c>
      <c r="J266" s="11" t="s">
        <v>21</v>
      </c>
      <c r="K266" s="11" t="s">
        <v>53</v>
      </c>
      <c r="L266" s="14" t="s">
        <v>724</v>
      </c>
    </row>
    <row r="267">
      <c r="A267" s="15">
        <v>967.0</v>
      </c>
      <c r="B267" s="16" t="s">
        <v>725</v>
      </c>
      <c r="C267" s="17">
        <v>35.0</v>
      </c>
      <c r="D267" s="16" t="s">
        <v>350</v>
      </c>
      <c r="E267" s="16" t="s">
        <v>17</v>
      </c>
      <c r="F267" s="16" t="s">
        <v>18</v>
      </c>
      <c r="G267" s="18"/>
      <c r="H267" s="17" t="s">
        <v>19</v>
      </c>
      <c r="I267" s="16" t="s">
        <v>147</v>
      </c>
      <c r="J267" s="16" t="s">
        <v>21</v>
      </c>
      <c r="K267" s="16" t="s">
        <v>53</v>
      </c>
      <c r="L267" s="19" t="s">
        <v>726</v>
      </c>
    </row>
    <row r="268">
      <c r="A268" s="10">
        <v>919.0</v>
      </c>
      <c r="B268" s="11" t="s">
        <v>727</v>
      </c>
      <c r="C268" s="12">
        <v>22.0</v>
      </c>
      <c r="D268" s="11" t="s">
        <v>257</v>
      </c>
      <c r="E268" s="11" t="s">
        <v>25</v>
      </c>
      <c r="F268" s="11" t="s">
        <v>18</v>
      </c>
      <c r="G268" s="13"/>
      <c r="H268" s="12" t="s">
        <v>19</v>
      </c>
      <c r="I268" s="11" t="s">
        <v>459</v>
      </c>
      <c r="J268" s="11" t="s">
        <v>21</v>
      </c>
      <c r="K268" s="11" t="s">
        <v>53</v>
      </c>
      <c r="L268" s="14" t="s">
        <v>728</v>
      </c>
    </row>
    <row r="269">
      <c r="A269" s="15">
        <v>768.0</v>
      </c>
      <c r="B269" s="16" t="s">
        <v>729</v>
      </c>
      <c r="C269" s="17">
        <v>29.0</v>
      </c>
      <c r="D269" s="16" t="s">
        <v>730</v>
      </c>
      <c r="E269" s="16" t="s">
        <v>17</v>
      </c>
      <c r="F269" s="16" t="s">
        <v>18</v>
      </c>
      <c r="G269" s="18"/>
      <c r="H269" s="17" t="s">
        <v>19</v>
      </c>
      <c r="I269" s="16" t="s">
        <v>53</v>
      </c>
      <c r="J269" s="16" t="s">
        <v>21</v>
      </c>
      <c r="K269" s="16" t="s">
        <v>53</v>
      </c>
      <c r="L269" s="19" t="s">
        <v>731</v>
      </c>
    </row>
    <row r="270">
      <c r="A270" s="10">
        <v>1453.0</v>
      </c>
      <c r="B270" s="11" t="s">
        <v>732</v>
      </c>
      <c r="C270" s="12">
        <v>36.0</v>
      </c>
      <c r="D270" s="11" t="s">
        <v>508</v>
      </c>
      <c r="E270" s="11" t="s">
        <v>25</v>
      </c>
      <c r="F270" s="11" t="s">
        <v>18</v>
      </c>
      <c r="G270" s="13"/>
      <c r="H270" s="12" t="s">
        <v>19</v>
      </c>
      <c r="I270" s="11" t="s">
        <v>53</v>
      </c>
      <c r="J270" s="11" t="s">
        <v>21</v>
      </c>
      <c r="K270" s="11" t="s">
        <v>53</v>
      </c>
      <c r="L270" s="14" t="s">
        <v>733</v>
      </c>
    </row>
    <row r="271">
      <c r="A271" s="15">
        <v>718.0</v>
      </c>
      <c r="B271" s="16" t="s">
        <v>734</v>
      </c>
      <c r="C271" s="17">
        <v>24.0</v>
      </c>
      <c r="D271" s="16" t="s">
        <v>530</v>
      </c>
      <c r="E271" s="16" t="s">
        <v>17</v>
      </c>
      <c r="F271" s="16" t="s">
        <v>18</v>
      </c>
      <c r="G271" s="18"/>
      <c r="H271" s="17" t="s">
        <v>19</v>
      </c>
      <c r="I271" s="16" t="s">
        <v>147</v>
      </c>
      <c r="J271" s="16" t="s">
        <v>21</v>
      </c>
      <c r="K271" s="16" t="s">
        <v>53</v>
      </c>
      <c r="L271" s="19" t="s">
        <v>735</v>
      </c>
    </row>
    <row r="272">
      <c r="A272" s="10">
        <v>719.0</v>
      </c>
      <c r="B272" s="11" t="s">
        <v>736</v>
      </c>
      <c r="C272" s="12">
        <v>27.0</v>
      </c>
      <c r="D272" s="11" t="s">
        <v>530</v>
      </c>
      <c r="E272" s="11" t="s">
        <v>25</v>
      </c>
      <c r="F272" s="11" t="s">
        <v>18</v>
      </c>
      <c r="G272" s="13"/>
      <c r="H272" s="12" t="s">
        <v>19</v>
      </c>
      <c r="I272" s="11" t="s">
        <v>147</v>
      </c>
      <c r="J272" s="11" t="s">
        <v>21</v>
      </c>
      <c r="K272" s="11" t="s">
        <v>53</v>
      </c>
      <c r="L272" s="14" t="s">
        <v>737</v>
      </c>
    </row>
    <row r="273">
      <c r="A273" s="15">
        <v>1728.0</v>
      </c>
      <c r="B273" s="16" t="s">
        <v>738</v>
      </c>
      <c r="C273" s="17">
        <v>22.0</v>
      </c>
      <c r="D273" s="16" t="s">
        <v>307</v>
      </c>
      <c r="E273" s="16" t="s">
        <v>25</v>
      </c>
      <c r="F273" s="16" t="s">
        <v>18</v>
      </c>
      <c r="G273" s="18"/>
      <c r="H273" s="17" t="s">
        <v>19</v>
      </c>
      <c r="I273" s="16" t="s">
        <v>739</v>
      </c>
      <c r="J273" s="16" t="s">
        <v>21</v>
      </c>
      <c r="K273" s="16" t="s">
        <v>53</v>
      </c>
      <c r="L273" s="19" t="s">
        <v>740</v>
      </c>
    </row>
    <row r="274">
      <c r="A274" s="10">
        <v>770.0</v>
      </c>
      <c r="B274" s="11" t="s">
        <v>741</v>
      </c>
      <c r="C274" s="12">
        <v>24.0</v>
      </c>
      <c r="D274" s="11" t="s">
        <v>274</v>
      </c>
      <c r="E274" s="11" t="s">
        <v>25</v>
      </c>
      <c r="F274" s="11" t="s">
        <v>18</v>
      </c>
      <c r="G274" s="13"/>
      <c r="H274" s="12" t="s">
        <v>19</v>
      </c>
      <c r="I274" s="11" t="s">
        <v>356</v>
      </c>
      <c r="J274" s="11" t="s">
        <v>21</v>
      </c>
      <c r="K274" s="11" t="s">
        <v>53</v>
      </c>
      <c r="L274" s="14" t="s">
        <v>742</v>
      </c>
    </row>
    <row r="275">
      <c r="A275" s="15">
        <v>1456.0</v>
      </c>
      <c r="B275" s="16" t="s">
        <v>743</v>
      </c>
      <c r="C275" s="17">
        <v>26.0</v>
      </c>
      <c r="D275" s="16" t="s">
        <v>135</v>
      </c>
      <c r="E275" s="16" t="s">
        <v>25</v>
      </c>
      <c r="F275" s="16" t="s">
        <v>18</v>
      </c>
      <c r="G275" s="18"/>
      <c r="H275" s="17" t="s">
        <v>19</v>
      </c>
      <c r="I275" s="16" t="s">
        <v>53</v>
      </c>
      <c r="J275" s="16" t="s">
        <v>21</v>
      </c>
      <c r="K275" s="16" t="s">
        <v>53</v>
      </c>
      <c r="L275" s="19" t="s">
        <v>744</v>
      </c>
    </row>
    <row r="276">
      <c r="A276" s="10">
        <v>708.0</v>
      </c>
      <c r="B276" s="11" t="s">
        <v>745</v>
      </c>
      <c r="C276" s="12">
        <v>23.0</v>
      </c>
      <c r="D276" s="11" t="s">
        <v>350</v>
      </c>
      <c r="E276" s="11" t="s">
        <v>17</v>
      </c>
      <c r="F276" s="11" t="s">
        <v>18</v>
      </c>
      <c r="G276" s="13"/>
      <c r="H276" s="12" t="s">
        <v>19</v>
      </c>
      <c r="I276" s="11" t="s">
        <v>594</v>
      </c>
      <c r="J276" s="11" t="s">
        <v>21</v>
      </c>
      <c r="K276" s="11" t="s">
        <v>53</v>
      </c>
      <c r="L276" s="14" t="s">
        <v>746</v>
      </c>
    </row>
    <row r="277">
      <c r="A277" s="15">
        <v>1302.0</v>
      </c>
      <c r="B277" s="16" t="s">
        <v>747</v>
      </c>
      <c r="C277" s="17">
        <v>28.0</v>
      </c>
      <c r="D277" s="16" t="s">
        <v>748</v>
      </c>
      <c r="E277" s="16" t="s">
        <v>17</v>
      </c>
      <c r="F277" s="16" t="s">
        <v>18</v>
      </c>
      <c r="G277" s="18"/>
      <c r="H277" s="17" t="s">
        <v>19</v>
      </c>
      <c r="I277" s="16" t="s">
        <v>361</v>
      </c>
      <c r="J277" s="16" t="s">
        <v>21</v>
      </c>
      <c r="K277" s="16" t="s">
        <v>53</v>
      </c>
      <c r="L277" s="19" t="s">
        <v>749</v>
      </c>
    </row>
    <row r="278">
      <c r="A278" s="10">
        <v>875.0</v>
      </c>
      <c r="B278" s="11" t="s">
        <v>750</v>
      </c>
      <c r="C278" s="12">
        <v>26.0</v>
      </c>
      <c r="D278" s="11" t="s">
        <v>253</v>
      </c>
      <c r="E278" s="11" t="s">
        <v>25</v>
      </c>
      <c r="F278" s="11" t="s">
        <v>18</v>
      </c>
      <c r="G278" s="13"/>
      <c r="H278" s="12" t="s">
        <v>19</v>
      </c>
      <c r="I278" s="11" t="s">
        <v>53</v>
      </c>
      <c r="J278" s="11" t="s">
        <v>21</v>
      </c>
      <c r="K278" s="11" t="s">
        <v>53</v>
      </c>
      <c r="L278" s="14" t="s">
        <v>751</v>
      </c>
    </row>
    <row r="279">
      <c r="A279" s="15">
        <v>873.0</v>
      </c>
      <c r="B279" s="16" t="s">
        <v>752</v>
      </c>
      <c r="C279" s="17">
        <v>40.0</v>
      </c>
      <c r="D279" s="16" t="s">
        <v>253</v>
      </c>
      <c r="E279" s="16" t="s">
        <v>17</v>
      </c>
      <c r="F279" s="16" t="s">
        <v>18</v>
      </c>
      <c r="G279" s="18"/>
      <c r="H279" s="17" t="s">
        <v>19</v>
      </c>
      <c r="I279" s="16" t="s">
        <v>500</v>
      </c>
      <c r="J279" s="16" t="s">
        <v>21</v>
      </c>
      <c r="K279" s="16" t="s">
        <v>53</v>
      </c>
      <c r="L279" s="19" t="s">
        <v>753</v>
      </c>
    </row>
    <row r="280">
      <c r="A280" s="10">
        <v>906.0</v>
      </c>
      <c r="B280" s="11" t="s">
        <v>754</v>
      </c>
      <c r="C280" s="12">
        <v>26.0</v>
      </c>
      <c r="D280" s="11" t="s">
        <v>95</v>
      </c>
      <c r="E280" s="11" t="s">
        <v>17</v>
      </c>
      <c r="F280" s="11" t="s">
        <v>18</v>
      </c>
      <c r="G280" s="13"/>
      <c r="H280" s="12" t="s">
        <v>19</v>
      </c>
      <c r="I280" s="11" t="s">
        <v>459</v>
      </c>
      <c r="J280" s="11" t="s">
        <v>21</v>
      </c>
      <c r="K280" s="11" t="s">
        <v>53</v>
      </c>
      <c r="L280" s="14" t="s">
        <v>755</v>
      </c>
    </row>
    <row r="281">
      <c r="A281" s="15">
        <v>1553.0</v>
      </c>
      <c r="B281" s="16" t="s">
        <v>756</v>
      </c>
      <c r="C281" s="17">
        <v>27.0</v>
      </c>
      <c r="D281" s="16" t="s">
        <v>287</v>
      </c>
      <c r="E281" s="16" t="s">
        <v>17</v>
      </c>
      <c r="F281" s="16" t="s">
        <v>18</v>
      </c>
      <c r="G281" s="18"/>
      <c r="H281" s="17" t="s">
        <v>19</v>
      </c>
      <c r="I281" s="16" t="s">
        <v>147</v>
      </c>
      <c r="J281" s="16" t="s">
        <v>21</v>
      </c>
      <c r="K281" s="16" t="s">
        <v>53</v>
      </c>
      <c r="L281" s="19" t="s">
        <v>757</v>
      </c>
    </row>
    <row r="282">
      <c r="A282" s="10">
        <v>966.0</v>
      </c>
      <c r="B282" s="11" t="s">
        <v>758</v>
      </c>
      <c r="C282" s="12">
        <v>24.0</v>
      </c>
      <c r="D282" s="11" t="s">
        <v>759</v>
      </c>
      <c r="E282" s="11" t="s">
        <v>17</v>
      </c>
      <c r="F282" s="11" t="s">
        <v>18</v>
      </c>
      <c r="G282" s="13"/>
      <c r="H282" s="12" t="s">
        <v>19</v>
      </c>
      <c r="I282" s="11" t="s">
        <v>473</v>
      </c>
      <c r="J282" s="11" t="s">
        <v>21</v>
      </c>
      <c r="K282" s="11" t="s">
        <v>53</v>
      </c>
      <c r="L282" s="14" t="s">
        <v>760</v>
      </c>
    </row>
    <row r="283">
      <c r="A283" s="15">
        <v>1529.0</v>
      </c>
      <c r="B283" s="16" t="s">
        <v>761</v>
      </c>
      <c r="C283" s="17">
        <v>29.0</v>
      </c>
      <c r="D283" s="16" t="s">
        <v>337</v>
      </c>
      <c r="E283" s="16" t="s">
        <v>17</v>
      </c>
      <c r="F283" s="16" t="s">
        <v>18</v>
      </c>
      <c r="G283" s="18"/>
      <c r="H283" s="17" t="s">
        <v>19</v>
      </c>
      <c r="I283" s="16" t="s">
        <v>341</v>
      </c>
      <c r="J283" s="16" t="s">
        <v>21</v>
      </c>
      <c r="K283" s="16" t="s">
        <v>53</v>
      </c>
      <c r="L283" s="19" t="s">
        <v>762</v>
      </c>
    </row>
    <row r="284">
      <c r="A284" s="10">
        <v>962.0</v>
      </c>
      <c r="B284" s="11" t="s">
        <v>763</v>
      </c>
      <c r="C284" s="12">
        <v>28.0</v>
      </c>
      <c r="D284" s="11" t="s">
        <v>431</v>
      </c>
      <c r="E284" s="11" t="s">
        <v>25</v>
      </c>
      <c r="F284" s="11" t="s">
        <v>18</v>
      </c>
      <c r="G284" s="13"/>
      <c r="H284" s="12" t="s">
        <v>19</v>
      </c>
      <c r="I284" s="11" t="s">
        <v>312</v>
      </c>
      <c r="J284" s="11" t="s">
        <v>21</v>
      </c>
      <c r="K284" s="11" t="s">
        <v>53</v>
      </c>
      <c r="L284" s="14" t="s">
        <v>764</v>
      </c>
    </row>
    <row r="285">
      <c r="A285" s="15">
        <v>1423.0</v>
      </c>
      <c r="B285" s="16" t="s">
        <v>765</v>
      </c>
      <c r="C285" s="17">
        <v>27.0</v>
      </c>
      <c r="D285" s="16" t="s">
        <v>766</v>
      </c>
      <c r="E285" s="16" t="s">
        <v>17</v>
      </c>
      <c r="F285" s="16" t="s">
        <v>18</v>
      </c>
      <c r="G285" s="18"/>
      <c r="H285" s="17" t="s">
        <v>19</v>
      </c>
      <c r="I285" s="16" t="s">
        <v>53</v>
      </c>
      <c r="J285" s="16" t="s">
        <v>21</v>
      </c>
      <c r="K285" s="16" t="s">
        <v>53</v>
      </c>
      <c r="L285" s="19" t="s">
        <v>767</v>
      </c>
    </row>
    <row r="286">
      <c r="A286" s="10">
        <v>1427.0</v>
      </c>
      <c r="B286" s="11" t="s">
        <v>768</v>
      </c>
      <c r="C286" s="12">
        <v>26.0</v>
      </c>
      <c r="D286" s="11" t="s">
        <v>431</v>
      </c>
      <c r="E286" s="11" t="s">
        <v>25</v>
      </c>
      <c r="F286" s="11" t="s">
        <v>18</v>
      </c>
      <c r="G286" s="13"/>
      <c r="H286" s="12" t="s">
        <v>19</v>
      </c>
      <c r="I286" s="11" t="s">
        <v>312</v>
      </c>
      <c r="J286" s="11" t="s">
        <v>21</v>
      </c>
      <c r="K286" s="11" t="s">
        <v>53</v>
      </c>
      <c r="L286" s="14" t="s">
        <v>769</v>
      </c>
    </row>
    <row r="287">
      <c r="A287" s="15">
        <v>961.0</v>
      </c>
      <c r="B287" s="16" t="s">
        <v>770</v>
      </c>
      <c r="C287" s="17">
        <v>22.0</v>
      </c>
      <c r="D287" s="16" t="s">
        <v>253</v>
      </c>
      <c r="E287" s="16" t="s">
        <v>17</v>
      </c>
      <c r="F287" s="16" t="s">
        <v>18</v>
      </c>
      <c r="G287" s="18"/>
      <c r="H287" s="17" t="s">
        <v>19</v>
      </c>
      <c r="I287" s="16" t="s">
        <v>361</v>
      </c>
      <c r="J287" s="16" t="s">
        <v>21</v>
      </c>
      <c r="K287" s="16" t="s">
        <v>53</v>
      </c>
      <c r="L287" s="19" t="s">
        <v>771</v>
      </c>
    </row>
    <row r="288">
      <c r="A288" s="10">
        <v>777.0</v>
      </c>
      <c r="B288" s="11" t="s">
        <v>772</v>
      </c>
      <c r="C288" s="12">
        <v>25.0</v>
      </c>
      <c r="D288" s="11" t="s">
        <v>159</v>
      </c>
      <c r="E288" s="11" t="s">
        <v>25</v>
      </c>
      <c r="F288" s="11" t="s">
        <v>18</v>
      </c>
      <c r="G288" s="13"/>
      <c r="H288" s="12" t="s">
        <v>19</v>
      </c>
      <c r="I288" s="11" t="s">
        <v>341</v>
      </c>
      <c r="J288" s="11" t="s">
        <v>21</v>
      </c>
      <c r="K288" s="11" t="s">
        <v>53</v>
      </c>
      <c r="L288" s="14" t="s">
        <v>773</v>
      </c>
    </row>
    <row r="289">
      <c r="A289" s="15">
        <v>874.0</v>
      </c>
      <c r="B289" s="16" t="s">
        <v>774</v>
      </c>
      <c r="C289" s="17">
        <v>38.0</v>
      </c>
      <c r="D289" s="16" t="s">
        <v>253</v>
      </c>
      <c r="E289" s="16" t="s">
        <v>25</v>
      </c>
      <c r="F289" s="16" t="s">
        <v>18</v>
      </c>
      <c r="G289" s="18"/>
      <c r="H289" s="17" t="s">
        <v>19</v>
      </c>
      <c r="I289" s="16" t="s">
        <v>500</v>
      </c>
      <c r="J289" s="16" t="s">
        <v>21</v>
      </c>
      <c r="K289" s="16" t="s">
        <v>53</v>
      </c>
      <c r="L289" s="19" t="s">
        <v>775</v>
      </c>
    </row>
    <row r="290">
      <c r="A290" s="10">
        <v>1572.0</v>
      </c>
      <c r="B290" s="11" t="s">
        <v>776</v>
      </c>
      <c r="C290" s="12">
        <v>20.0</v>
      </c>
      <c r="D290" s="11" t="s">
        <v>299</v>
      </c>
      <c r="E290" s="11" t="s">
        <v>17</v>
      </c>
      <c r="F290" s="11" t="s">
        <v>478</v>
      </c>
      <c r="G290" s="11" t="s">
        <v>479</v>
      </c>
      <c r="H290" s="12" t="s">
        <v>19</v>
      </c>
      <c r="I290" s="11" t="s">
        <v>554</v>
      </c>
      <c r="J290" s="11" t="s">
        <v>21</v>
      </c>
      <c r="K290" s="11" t="s">
        <v>53</v>
      </c>
      <c r="L290" s="14" t="s">
        <v>777</v>
      </c>
    </row>
    <row r="291">
      <c r="A291" s="15">
        <v>917.0</v>
      </c>
      <c r="B291" s="16" t="s">
        <v>778</v>
      </c>
      <c r="C291" s="17">
        <v>27.0</v>
      </c>
      <c r="D291" s="16" t="s">
        <v>779</v>
      </c>
      <c r="E291" s="16" t="s">
        <v>17</v>
      </c>
      <c r="F291" s="16" t="s">
        <v>18</v>
      </c>
      <c r="G291" s="18"/>
      <c r="H291" s="17" t="s">
        <v>19</v>
      </c>
      <c r="I291" s="16" t="s">
        <v>574</v>
      </c>
      <c r="J291" s="16" t="s">
        <v>21</v>
      </c>
      <c r="K291" s="16" t="s">
        <v>53</v>
      </c>
      <c r="L291" s="19" t="s">
        <v>780</v>
      </c>
    </row>
    <row r="292">
      <c r="A292" s="10">
        <v>721.0</v>
      </c>
      <c r="B292" s="11" t="s">
        <v>781</v>
      </c>
      <c r="C292" s="12">
        <v>23.0</v>
      </c>
      <c r="D292" s="11" t="s">
        <v>438</v>
      </c>
      <c r="E292" s="11" t="s">
        <v>25</v>
      </c>
      <c r="F292" s="11" t="s">
        <v>18</v>
      </c>
      <c r="G292" s="13"/>
      <c r="H292" s="12" t="s">
        <v>19</v>
      </c>
      <c r="I292" s="11" t="s">
        <v>53</v>
      </c>
      <c r="J292" s="11" t="s">
        <v>21</v>
      </c>
      <c r="K292" s="11" t="s">
        <v>53</v>
      </c>
      <c r="L292" s="14" t="s">
        <v>782</v>
      </c>
    </row>
    <row r="293">
      <c r="A293" s="15">
        <v>903.0</v>
      </c>
      <c r="B293" s="16" t="s">
        <v>783</v>
      </c>
      <c r="C293" s="17">
        <v>22.0</v>
      </c>
      <c r="D293" s="16" t="s">
        <v>337</v>
      </c>
      <c r="E293" s="16" t="s">
        <v>25</v>
      </c>
      <c r="F293" s="16" t="s">
        <v>18</v>
      </c>
      <c r="G293" s="18"/>
      <c r="H293" s="17" t="s">
        <v>19</v>
      </c>
      <c r="I293" s="16" t="s">
        <v>577</v>
      </c>
      <c r="J293" s="16" t="s">
        <v>21</v>
      </c>
      <c r="K293" s="16" t="s">
        <v>53</v>
      </c>
      <c r="L293" s="19" t="s">
        <v>784</v>
      </c>
    </row>
    <row r="294">
      <c r="A294" s="10">
        <v>1483.0</v>
      </c>
      <c r="B294" s="11" t="s">
        <v>785</v>
      </c>
      <c r="C294" s="12">
        <v>24.0</v>
      </c>
      <c r="D294" s="11" t="s">
        <v>786</v>
      </c>
      <c r="E294" s="11" t="s">
        <v>17</v>
      </c>
      <c r="F294" s="11" t="s">
        <v>18</v>
      </c>
      <c r="G294" s="13"/>
      <c r="H294" s="12" t="s">
        <v>19</v>
      </c>
      <c r="I294" s="11" t="s">
        <v>389</v>
      </c>
      <c r="J294" s="11" t="s">
        <v>21</v>
      </c>
      <c r="K294" s="11" t="s">
        <v>53</v>
      </c>
      <c r="L294" s="14" t="s">
        <v>787</v>
      </c>
    </row>
    <row r="295">
      <c r="A295" s="15">
        <v>1730.0</v>
      </c>
      <c r="B295" s="16" t="s">
        <v>788</v>
      </c>
      <c r="C295" s="17">
        <v>24.0</v>
      </c>
      <c r="D295" s="16" t="s">
        <v>789</v>
      </c>
      <c r="E295" s="16" t="s">
        <v>17</v>
      </c>
      <c r="F295" s="16" t="s">
        <v>18</v>
      </c>
      <c r="G295" s="18"/>
      <c r="H295" s="17" t="s">
        <v>19</v>
      </c>
      <c r="I295" s="16" t="s">
        <v>790</v>
      </c>
      <c r="J295" s="16" t="s">
        <v>21</v>
      </c>
      <c r="K295" s="16" t="s">
        <v>53</v>
      </c>
      <c r="L295" s="19" t="s">
        <v>791</v>
      </c>
    </row>
    <row r="296">
      <c r="A296" s="10">
        <v>508.0</v>
      </c>
      <c r="B296" s="11" t="s">
        <v>792</v>
      </c>
      <c r="C296" s="12">
        <v>48.0</v>
      </c>
      <c r="D296" s="11" t="s">
        <v>117</v>
      </c>
      <c r="E296" s="11" t="s">
        <v>17</v>
      </c>
      <c r="F296" s="11" t="s">
        <v>18</v>
      </c>
      <c r="G296" s="13"/>
      <c r="H296" s="12" t="s">
        <v>19</v>
      </c>
      <c r="I296" s="11" t="s">
        <v>117</v>
      </c>
      <c r="J296" s="11" t="s">
        <v>21</v>
      </c>
      <c r="K296" s="13"/>
      <c r="L296" s="14" t="s">
        <v>793</v>
      </c>
    </row>
    <row r="297">
      <c r="A297" s="15">
        <v>1624.0</v>
      </c>
      <c r="B297" s="16" t="s">
        <v>794</v>
      </c>
      <c r="C297" s="17">
        <v>37.0</v>
      </c>
      <c r="D297" s="16" t="s">
        <v>795</v>
      </c>
      <c r="E297" s="16" t="s">
        <v>17</v>
      </c>
      <c r="F297" s="16" t="s">
        <v>18</v>
      </c>
      <c r="G297" s="18"/>
      <c r="H297" s="17" t="s">
        <v>19</v>
      </c>
      <c r="I297" s="16" t="s">
        <v>300</v>
      </c>
      <c r="J297" s="16" t="s">
        <v>21</v>
      </c>
      <c r="K297" s="16" t="s">
        <v>53</v>
      </c>
      <c r="L297" s="19" t="s">
        <v>796</v>
      </c>
    </row>
    <row r="298">
      <c r="A298" s="10">
        <v>1520.0</v>
      </c>
      <c r="B298" s="11" t="s">
        <v>797</v>
      </c>
      <c r="C298" s="12">
        <v>25.0</v>
      </c>
      <c r="D298" s="11" t="s">
        <v>100</v>
      </c>
      <c r="E298" s="11" t="s">
        <v>17</v>
      </c>
      <c r="F298" s="11" t="s">
        <v>18</v>
      </c>
      <c r="G298" s="13"/>
      <c r="H298" s="12" t="s">
        <v>19</v>
      </c>
      <c r="I298" s="11" t="s">
        <v>321</v>
      </c>
      <c r="J298" s="11" t="s">
        <v>21</v>
      </c>
      <c r="K298" s="11" t="s">
        <v>53</v>
      </c>
      <c r="L298" s="14" t="s">
        <v>798</v>
      </c>
    </row>
    <row r="299">
      <c r="A299" s="15">
        <v>788.0</v>
      </c>
      <c r="B299" s="16" t="s">
        <v>799</v>
      </c>
      <c r="C299" s="17">
        <v>23.0</v>
      </c>
      <c r="D299" s="16" t="s">
        <v>350</v>
      </c>
      <c r="E299" s="16" t="s">
        <v>25</v>
      </c>
      <c r="F299" s="16" t="s">
        <v>18</v>
      </c>
      <c r="G299" s="18"/>
      <c r="H299" s="17" t="s">
        <v>19</v>
      </c>
      <c r="I299" s="16" t="s">
        <v>53</v>
      </c>
      <c r="J299" s="16" t="s">
        <v>21</v>
      </c>
      <c r="K299" s="16" t="s">
        <v>53</v>
      </c>
      <c r="L299" s="19" t="s">
        <v>800</v>
      </c>
    </row>
    <row r="300">
      <c r="A300" s="10">
        <v>791.0</v>
      </c>
      <c r="B300" s="11" t="s">
        <v>801</v>
      </c>
      <c r="C300" s="12">
        <v>24.0</v>
      </c>
      <c r="D300" s="11" t="s">
        <v>802</v>
      </c>
      <c r="E300" s="11" t="s">
        <v>17</v>
      </c>
      <c r="F300" s="11" t="s">
        <v>18</v>
      </c>
      <c r="G300" s="13"/>
      <c r="H300" s="12" t="s">
        <v>19</v>
      </c>
      <c r="I300" s="11" t="s">
        <v>803</v>
      </c>
      <c r="J300" s="11" t="s">
        <v>21</v>
      </c>
      <c r="K300" s="11" t="s">
        <v>53</v>
      </c>
      <c r="L300" s="14" t="s">
        <v>804</v>
      </c>
    </row>
    <row r="301">
      <c r="A301" s="15">
        <v>792.0</v>
      </c>
      <c r="B301" s="16" t="s">
        <v>805</v>
      </c>
      <c r="C301" s="17">
        <v>27.0</v>
      </c>
      <c r="D301" s="16" t="s">
        <v>635</v>
      </c>
      <c r="E301" s="16" t="s">
        <v>17</v>
      </c>
      <c r="F301" s="16" t="s">
        <v>18</v>
      </c>
      <c r="G301" s="18"/>
      <c r="H301" s="17" t="s">
        <v>19</v>
      </c>
      <c r="I301" s="16" t="s">
        <v>465</v>
      </c>
      <c r="J301" s="16" t="s">
        <v>21</v>
      </c>
      <c r="K301" s="16" t="s">
        <v>53</v>
      </c>
      <c r="L301" s="19" t="s">
        <v>806</v>
      </c>
    </row>
    <row r="302">
      <c r="A302" s="10">
        <v>1301.0</v>
      </c>
      <c r="B302" s="11" t="s">
        <v>807</v>
      </c>
      <c r="C302" s="12">
        <v>27.0</v>
      </c>
      <c r="D302" s="11" t="s">
        <v>274</v>
      </c>
      <c r="E302" s="11" t="s">
        <v>25</v>
      </c>
      <c r="F302" s="11" t="s">
        <v>18</v>
      </c>
      <c r="G302" s="13"/>
      <c r="H302" s="12" t="s">
        <v>19</v>
      </c>
      <c r="I302" s="11" t="s">
        <v>312</v>
      </c>
      <c r="J302" s="11" t="s">
        <v>21</v>
      </c>
      <c r="K302" s="11" t="s">
        <v>53</v>
      </c>
      <c r="L302" s="14" t="s">
        <v>808</v>
      </c>
    </row>
    <row r="303">
      <c r="A303" s="15">
        <v>793.0</v>
      </c>
      <c r="B303" s="16" t="s">
        <v>809</v>
      </c>
      <c r="C303" s="17">
        <v>28.0</v>
      </c>
      <c r="D303" s="16" t="s">
        <v>810</v>
      </c>
      <c r="E303" s="16" t="s">
        <v>17</v>
      </c>
      <c r="F303" s="16" t="s">
        <v>18</v>
      </c>
      <c r="G303" s="18"/>
      <c r="H303" s="17" t="s">
        <v>19</v>
      </c>
      <c r="I303" s="16" t="s">
        <v>304</v>
      </c>
      <c r="J303" s="16" t="s">
        <v>21</v>
      </c>
      <c r="K303" s="16" t="s">
        <v>53</v>
      </c>
      <c r="L303" s="19" t="s">
        <v>811</v>
      </c>
    </row>
    <row r="304">
      <c r="A304" s="10">
        <v>794.0</v>
      </c>
      <c r="B304" s="11" t="s">
        <v>812</v>
      </c>
      <c r="C304" s="12">
        <v>24.0</v>
      </c>
      <c r="D304" s="11" t="s">
        <v>253</v>
      </c>
      <c r="E304" s="11" t="s">
        <v>17</v>
      </c>
      <c r="F304" s="11" t="s">
        <v>18</v>
      </c>
      <c r="G304" s="13"/>
      <c r="H304" s="12" t="s">
        <v>19</v>
      </c>
      <c r="I304" s="11" t="s">
        <v>389</v>
      </c>
      <c r="J304" s="11" t="s">
        <v>21</v>
      </c>
      <c r="K304" s="11" t="s">
        <v>53</v>
      </c>
      <c r="L304" s="14" t="s">
        <v>813</v>
      </c>
    </row>
    <row r="305">
      <c r="A305" s="15">
        <v>795.0</v>
      </c>
      <c r="B305" s="16" t="s">
        <v>814</v>
      </c>
      <c r="C305" s="17">
        <v>30.0</v>
      </c>
      <c r="D305" s="16" t="s">
        <v>508</v>
      </c>
      <c r="E305" s="16" t="s">
        <v>17</v>
      </c>
      <c r="F305" s="16" t="s">
        <v>18</v>
      </c>
      <c r="G305" s="18"/>
      <c r="H305" s="17" t="s">
        <v>19</v>
      </c>
      <c r="I305" s="16" t="s">
        <v>147</v>
      </c>
      <c r="J305" s="16" t="s">
        <v>21</v>
      </c>
      <c r="K305" s="16" t="s">
        <v>53</v>
      </c>
      <c r="L305" s="19" t="s">
        <v>815</v>
      </c>
    </row>
    <row r="306">
      <c r="A306" s="10">
        <v>797.0</v>
      </c>
      <c r="B306" s="11" t="s">
        <v>816</v>
      </c>
      <c r="C306" s="12">
        <v>31.0</v>
      </c>
      <c r="D306" s="11" t="s">
        <v>438</v>
      </c>
      <c r="E306" s="11" t="s">
        <v>25</v>
      </c>
      <c r="F306" s="11" t="s">
        <v>18</v>
      </c>
      <c r="G306" s="13"/>
      <c r="H306" s="12" t="s">
        <v>19</v>
      </c>
      <c r="I306" s="11" t="s">
        <v>53</v>
      </c>
      <c r="J306" s="11" t="s">
        <v>21</v>
      </c>
      <c r="K306" s="11" t="s">
        <v>53</v>
      </c>
      <c r="L306" s="14" t="s">
        <v>817</v>
      </c>
    </row>
    <row r="307">
      <c r="A307" s="15">
        <v>905.0</v>
      </c>
      <c r="B307" s="16" t="s">
        <v>818</v>
      </c>
      <c r="C307" s="17">
        <v>22.0</v>
      </c>
      <c r="D307" s="16" t="s">
        <v>253</v>
      </c>
      <c r="E307" s="16" t="s">
        <v>25</v>
      </c>
      <c r="F307" s="16" t="s">
        <v>18</v>
      </c>
      <c r="G307" s="18"/>
      <c r="H307" s="17" t="s">
        <v>19</v>
      </c>
      <c r="I307" s="16" t="s">
        <v>473</v>
      </c>
      <c r="J307" s="16" t="s">
        <v>21</v>
      </c>
      <c r="K307" s="16" t="s">
        <v>53</v>
      </c>
      <c r="L307" s="19" t="s">
        <v>819</v>
      </c>
    </row>
    <row r="308">
      <c r="A308" s="10">
        <v>911.0</v>
      </c>
      <c r="B308" s="11" t="s">
        <v>820</v>
      </c>
      <c r="C308" s="12">
        <v>22.0</v>
      </c>
      <c r="D308" s="11" t="s">
        <v>570</v>
      </c>
      <c r="E308" s="11" t="s">
        <v>25</v>
      </c>
      <c r="F308" s="11" t="s">
        <v>18</v>
      </c>
      <c r="G308" s="13"/>
      <c r="H308" s="12" t="s">
        <v>19</v>
      </c>
      <c r="I308" s="11" t="s">
        <v>53</v>
      </c>
      <c r="J308" s="11" t="s">
        <v>21</v>
      </c>
      <c r="K308" s="11" t="s">
        <v>53</v>
      </c>
      <c r="L308" s="14" t="s">
        <v>821</v>
      </c>
    </row>
    <row r="309">
      <c r="A309" s="15">
        <v>790.0</v>
      </c>
      <c r="B309" s="16" t="s">
        <v>822</v>
      </c>
      <c r="C309" s="17">
        <v>34.0</v>
      </c>
      <c r="D309" s="16" t="s">
        <v>450</v>
      </c>
      <c r="E309" s="16" t="s">
        <v>25</v>
      </c>
      <c r="F309" s="16" t="s">
        <v>18</v>
      </c>
      <c r="G309" s="18"/>
      <c r="H309" s="17" t="s">
        <v>19</v>
      </c>
      <c r="I309" s="16" t="s">
        <v>147</v>
      </c>
      <c r="J309" s="16" t="s">
        <v>21</v>
      </c>
      <c r="K309" s="16" t="s">
        <v>53</v>
      </c>
      <c r="L309" s="19" t="s">
        <v>823</v>
      </c>
    </row>
    <row r="310">
      <c r="A310" s="10">
        <v>1505.0</v>
      </c>
      <c r="B310" s="11" t="s">
        <v>824</v>
      </c>
      <c r="C310" s="12">
        <v>35.0</v>
      </c>
      <c r="D310" s="11" t="s">
        <v>825</v>
      </c>
      <c r="E310" s="11" t="s">
        <v>17</v>
      </c>
      <c r="F310" s="11" t="s">
        <v>18</v>
      </c>
      <c r="G310" s="13"/>
      <c r="H310" s="12" t="s">
        <v>19</v>
      </c>
      <c r="I310" s="11" t="s">
        <v>53</v>
      </c>
      <c r="J310" s="11" t="s">
        <v>21</v>
      </c>
      <c r="K310" s="11" t="s">
        <v>53</v>
      </c>
      <c r="L310" s="14" t="s">
        <v>826</v>
      </c>
    </row>
    <row r="311">
      <c r="A311" s="15">
        <v>838.0</v>
      </c>
      <c r="B311" s="16" t="s">
        <v>827</v>
      </c>
      <c r="C311" s="17">
        <v>26.0</v>
      </c>
      <c r="D311" s="16" t="s">
        <v>320</v>
      </c>
      <c r="E311" s="16" t="s">
        <v>25</v>
      </c>
      <c r="F311" s="16" t="s">
        <v>18</v>
      </c>
      <c r="G311" s="18"/>
      <c r="H311" s="17" t="s">
        <v>19</v>
      </c>
      <c r="I311" s="16" t="s">
        <v>147</v>
      </c>
      <c r="J311" s="16" t="s">
        <v>21</v>
      </c>
      <c r="K311" s="16" t="s">
        <v>53</v>
      </c>
      <c r="L311" s="19" t="s">
        <v>828</v>
      </c>
    </row>
    <row r="312">
      <c r="A312" s="10">
        <v>800.0</v>
      </c>
      <c r="B312" s="11" t="s">
        <v>829</v>
      </c>
      <c r="C312" s="12">
        <v>25.0</v>
      </c>
      <c r="D312" s="11" t="s">
        <v>284</v>
      </c>
      <c r="E312" s="11" t="s">
        <v>25</v>
      </c>
      <c r="F312" s="11" t="s">
        <v>18</v>
      </c>
      <c r="G312" s="13"/>
      <c r="H312" s="12" t="s">
        <v>19</v>
      </c>
      <c r="I312" s="11" t="s">
        <v>830</v>
      </c>
      <c r="J312" s="11" t="s">
        <v>21</v>
      </c>
      <c r="K312" s="11" t="s">
        <v>53</v>
      </c>
      <c r="L312" s="14" t="s">
        <v>831</v>
      </c>
    </row>
    <row r="313">
      <c r="A313" s="15">
        <v>895.0</v>
      </c>
      <c r="B313" s="16" t="s">
        <v>832</v>
      </c>
      <c r="C313" s="17">
        <v>35.0</v>
      </c>
      <c r="D313" s="16" t="s">
        <v>624</v>
      </c>
      <c r="E313" s="16" t="s">
        <v>17</v>
      </c>
      <c r="F313" s="16" t="s">
        <v>18</v>
      </c>
      <c r="G313" s="18"/>
      <c r="H313" s="17" t="s">
        <v>19</v>
      </c>
      <c r="I313" s="16" t="s">
        <v>833</v>
      </c>
      <c r="J313" s="16" t="s">
        <v>21</v>
      </c>
      <c r="K313" s="16" t="s">
        <v>53</v>
      </c>
      <c r="L313" s="19" t="s">
        <v>834</v>
      </c>
    </row>
    <row r="314">
      <c r="A314" s="10">
        <v>799.0</v>
      </c>
      <c r="B314" s="11" t="s">
        <v>835</v>
      </c>
      <c r="C314" s="12">
        <v>30.0</v>
      </c>
      <c r="D314" s="11" t="s">
        <v>350</v>
      </c>
      <c r="E314" s="11" t="s">
        <v>17</v>
      </c>
      <c r="F314" s="11" t="s">
        <v>18</v>
      </c>
      <c r="G314" s="13"/>
      <c r="H314" s="12" t="s">
        <v>19</v>
      </c>
      <c r="I314" s="11" t="s">
        <v>53</v>
      </c>
      <c r="J314" s="11" t="s">
        <v>21</v>
      </c>
      <c r="K314" s="11" t="s">
        <v>53</v>
      </c>
      <c r="L314" s="14" t="s">
        <v>836</v>
      </c>
    </row>
    <row r="315">
      <c r="A315" s="15">
        <v>732.0</v>
      </c>
      <c r="B315" s="16" t="s">
        <v>837</v>
      </c>
      <c r="C315" s="17">
        <v>29.0</v>
      </c>
      <c r="D315" s="16" t="s">
        <v>350</v>
      </c>
      <c r="E315" s="16" t="s">
        <v>25</v>
      </c>
      <c r="F315" s="16" t="s">
        <v>18</v>
      </c>
      <c r="G315" s="18"/>
      <c r="H315" s="17" t="s">
        <v>19</v>
      </c>
      <c r="I315" s="16" t="s">
        <v>698</v>
      </c>
      <c r="J315" s="16" t="s">
        <v>21</v>
      </c>
      <c r="K315" s="16" t="s">
        <v>53</v>
      </c>
      <c r="L315" s="19" t="s">
        <v>838</v>
      </c>
    </row>
    <row r="316">
      <c r="A316" s="10">
        <v>789.0</v>
      </c>
      <c r="B316" s="11" t="s">
        <v>839</v>
      </c>
      <c r="C316" s="12">
        <v>23.0</v>
      </c>
      <c r="D316" s="11" t="s">
        <v>840</v>
      </c>
      <c r="E316" s="11" t="s">
        <v>25</v>
      </c>
      <c r="F316" s="11" t="s">
        <v>18</v>
      </c>
      <c r="G316" s="13"/>
      <c r="H316" s="12" t="s">
        <v>19</v>
      </c>
      <c r="I316" s="11" t="s">
        <v>341</v>
      </c>
      <c r="J316" s="11" t="s">
        <v>21</v>
      </c>
      <c r="K316" s="11" t="s">
        <v>53</v>
      </c>
      <c r="L316" s="14" t="s">
        <v>841</v>
      </c>
    </row>
    <row r="317">
      <c r="A317" s="15">
        <v>1592.0</v>
      </c>
      <c r="B317" s="16" t="s">
        <v>842</v>
      </c>
      <c r="C317" s="17">
        <v>23.0</v>
      </c>
      <c r="D317" s="16" t="s">
        <v>257</v>
      </c>
      <c r="E317" s="16" t="s">
        <v>17</v>
      </c>
      <c r="F317" s="16" t="s">
        <v>18</v>
      </c>
      <c r="G317" s="18"/>
      <c r="H317" s="17" t="s">
        <v>19</v>
      </c>
      <c r="I317" s="16" t="s">
        <v>53</v>
      </c>
      <c r="J317" s="16" t="s">
        <v>21</v>
      </c>
      <c r="K317" s="16" t="s">
        <v>53</v>
      </c>
      <c r="L317" s="19" t="s">
        <v>843</v>
      </c>
    </row>
    <row r="318">
      <c r="A318" s="10">
        <v>1626.0</v>
      </c>
      <c r="B318" s="11" t="s">
        <v>844</v>
      </c>
      <c r="C318" s="12">
        <v>23.0</v>
      </c>
      <c r="D318" s="11" t="s">
        <v>845</v>
      </c>
      <c r="E318" s="11" t="s">
        <v>17</v>
      </c>
      <c r="F318" s="11" t="s">
        <v>18</v>
      </c>
      <c r="G318" s="13"/>
      <c r="H318" s="12" t="s">
        <v>19</v>
      </c>
      <c r="I318" s="11" t="s">
        <v>615</v>
      </c>
      <c r="J318" s="11" t="s">
        <v>21</v>
      </c>
      <c r="K318" s="11" t="s">
        <v>53</v>
      </c>
      <c r="L318" s="14" t="s">
        <v>846</v>
      </c>
    </row>
    <row r="319">
      <c r="A319" s="15">
        <v>802.0</v>
      </c>
      <c r="B319" s="16" t="s">
        <v>847</v>
      </c>
      <c r="C319" s="17">
        <v>24.0</v>
      </c>
      <c r="D319" s="16" t="s">
        <v>307</v>
      </c>
      <c r="E319" s="16" t="s">
        <v>25</v>
      </c>
      <c r="F319" s="16" t="s">
        <v>18</v>
      </c>
      <c r="G319" s="18"/>
      <c r="H319" s="17" t="s">
        <v>19</v>
      </c>
      <c r="I319" s="16" t="s">
        <v>803</v>
      </c>
      <c r="J319" s="16" t="s">
        <v>21</v>
      </c>
      <c r="K319" s="16" t="s">
        <v>53</v>
      </c>
      <c r="L319" s="19" t="s">
        <v>848</v>
      </c>
    </row>
    <row r="320">
      <c r="A320" s="10">
        <v>1388.0</v>
      </c>
      <c r="B320" s="11" t="s">
        <v>849</v>
      </c>
      <c r="C320" s="12">
        <v>26.0</v>
      </c>
      <c r="D320" s="11" t="s">
        <v>281</v>
      </c>
      <c r="E320" s="11" t="s">
        <v>17</v>
      </c>
      <c r="F320" s="11" t="s">
        <v>18</v>
      </c>
      <c r="G320" s="13"/>
      <c r="H320" s="12" t="s">
        <v>19</v>
      </c>
      <c r="I320" s="11" t="s">
        <v>480</v>
      </c>
      <c r="J320" s="11" t="s">
        <v>21</v>
      </c>
      <c r="K320" s="11" t="s">
        <v>53</v>
      </c>
      <c r="L320" s="14" t="s">
        <v>850</v>
      </c>
    </row>
    <row r="321">
      <c r="A321" s="15">
        <v>1506.0</v>
      </c>
      <c r="B321" s="16" t="s">
        <v>851</v>
      </c>
      <c r="C321" s="17">
        <v>28.0</v>
      </c>
      <c r="D321" s="16" t="s">
        <v>852</v>
      </c>
      <c r="E321" s="16" t="s">
        <v>25</v>
      </c>
      <c r="F321" s="16" t="s">
        <v>18</v>
      </c>
      <c r="G321" s="18"/>
      <c r="H321" s="17" t="s">
        <v>19</v>
      </c>
      <c r="I321" s="16" t="s">
        <v>853</v>
      </c>
      <c r="J321" s="16" t="s">
        <v>21</v>
      </c>
      <c r="K321" s="16" t="s">
        <v>53</v>
      </c>
      <c r="L321" s="19" t="s">
        <v>854</v>
      </c>
    </row>
    <row r="322">
      <c r="A322" s="10">
        <v>855.0</v>
      </c>
      <c r="B322" s="11" t="s">
        <v>855</v>
      </c>
      <c r="C322" s="12">
        <v>37.0</v>
      </c>
      <c r="D322" s="11" t="s">
        <v>597</v>
      </c>
      <c r="E322" s="11" t="s">
        <v>17</v>
      </c>
      <c r="F322" s="11" t="s">
        <v>18</v>
      </c>
      <c r="G322" s="13"/>
      <c r="H322" s="12" t="s">
        <v>19</v>
      </c>
      <c r="I322" s="11" t="s">
        <v>341</v>
      </c>
      <c r="J322" s="11" t="s">
        <v>21</v>
      </c>
      <c r="K322" s="11" t="s">
        <v>53</v>
      </c>
      <c r="L322" s="14" t="s">
        <v>856</v>
      </c>
    </row>
    <row r="323">
      <c r="A323" s="15">
        <v>1527.0</v>
      </c>
      <c r="B323" s="16" t="s">
        <v>857</v>
      </c>
      <c r="C323" s="17">
        <v>24.0</v>
      </c>
      <c r="D323" s="16" t="s">
        <v>416</v>
      </c>
      <c r="E323" s="16" t="s">
        <v>17</v>
      </c>
      <c r="F323" s="16" t="s">
        <v>18</v>
      </c>
      <c r="G323" s="18"/>
      <c r="H323" s="17" t="s">
        <v>19</v>
      </c>
      <c r="I323" s="16" t="s">
        <v>473</v>
      </c>
      <c r="J323" s="16" t="s">
        <v>21</v>
      </c>
      <c r="K323" s="16" t="s">
        <v>53</v>
      </c>
      <c r="L323" s="19" t="s">
        <v>858</v>
      </c>
    </row>
    <row r="324">
      <c r="A324" s="10">
        <v>1627.0</v>
      </c>
      <c r="B324" s="11" t="s">
        <v>859</v>
      </c>
      <c r="C324" s="12">
        <v>22.0</v>
      </c>
      <c r="D324" s="11" t="s">
        <v>860</v>
      </c>
      <c r="E324" s="11" t="s">
        <v>17</v>
      </c>
      <c r="F324" s="11" t="s">
        <v>18</v>
      </c>
      <c r="G324" s="13"/>
      <c r="H324" s="12" t="s">
        <v>19</v>
      </c>
      <c r="I324" s="11" t="s">
        <v>53</v>
      </c>
      <c r="J324" s="11" t="s">
        <v>21</v>
      </c>
      <c r="K324" s="11" t="s">
        <v>53</v>
      </c>
      <c r="L324" s="14" t="s">
        <v>861</v>
      </c>
    </row>
    <row r="325">
      <c r="A325" s="15">
        <v>1454.0</v>
      </c>
      <c r="B325" s="16" t="s">
        <v>862</v>
      </c>
      <c r="C325" s="17">
        <v>22.0</v>
      </c>
      <c r="D325" s="16" t="s">
        <v>657</v>
      </c>
      <c r="E325" s="16" t="s">
        <v>25</v>
      </c>
      <c r="F325" s="16" t="s">
        <v>18</v>
      </c>
      <c r="G325" s="18"/>
      <c r="H325" s="17" t="s">
        <v>19</v>
      </c>
      <c r="I325" s="16" t="s">
        <v>247</v>
      </c>
      <c r="J325" s="16" t="s">
        <v>21</v>
      </c>
      <c r="K325" s="16" t="s">
        <v>53</v>
      </c>
      <c r="L325" s="19" t="s">
        <v>863</v>
      </c>
    </row>
    <row r="326">
      <c r="A326" s="10">
        <v>889.0</v>
      </c>
      <c r="B326" s="11" t="s">
        <v>864</v>
      </c>
      <c r="C326" s="12">
        <v>21.0</v>
      </c>
      <c r="D326" s="11" t="s">
        <v>865</v>
      </c>
      <c r="E326" s="11" t="s">
        <v>25</v>
      </c>
      <c r="F326" s="11" t="s">
        <v>18</v>
      </c>
      <c r="G326" s="13"/>
      <c r="H326" s="12" t="s">
        <v>19</v>
      </c>
      <c r="I326" s="11" t="s">
        <v>577</v>
      </c>
      <c r="J326" s="11" t="s">
        <v>21</v>
      </c>
      <c r="K326" s="11" t="s">
        <v>53</v>
      </c>
      <c r="L326" s="14" t="s">
        <v>866</v>
      </c>
    </row>
    <row r="327">
      <c r="A327" s="15">
        <v>803.0</v>
      </c>
      <c r="B327" s="16" t="s">
        <v>867</v>
      </c>
      <c r="C327" s="17">
        <v>22.0</v>
      </c>
      <c r="D327" s="16" t="s">
        <v>100</v>
      </c>
      <c r="E327" s="16" t="s">
        <v>25</v>
      </c>
      <c r="F327" s="16" t="s">
        <v>18</v>
      </c>
      <c r="G327" s="18"/>
      <c r="H327" s="17" t="s">
        <v>19</v>
      </c>
      <c r="I327" s="16" t="s">
        <v>365</v>
      </c>
      <c r="J327" s="16" t="s">
        <v>21</v>
      </c>
      <c r="K327" s="16" t="s">
        <v>53</v>
      </c>
      <c r="L327" s="19" t="s">
        <v>868</v>
      </c>
    </row>
    <row r="328">
      <c r="A328" s="10">
        <v>1502.0</v>
      </c>
      <c r="B328" s="11" t="s">
        <v>869</v>
      </c>
      <c r="C328" s="12">
        <v>20.0</v>
      </c>
      <c r="D328" s="11" t="s">
        <v>307</v>
      </c>
      <c r="E328" s="11" t="s">
        <v>17</v>
      </c>
      <c r="F328" s="11" t="s">
        <v>18</v>
      </c>
      <c r="G328" s="13"/>
      <c r="H328" s="12" t="s">
        <v>19</v>
      </c>
      <c r="I328" s="11" t="s">
        <v>53</v>
      </c>
      <c r="J328" s="11" t="s">
        <v>21</v>
      </c>
      <c r="K328" s="11" t="s">
        <v>53</v>
      </c>
      <c r="L328" s="14" t="s">
        <v>870</v>
      </c>
    </row>
    <row r="329">
      <c r="A329" s="15">
        <v>804.0</v>
      </c>
      <c r="B329" s="16" t="s">
        <v>871</v>
      </c>
      <c r="C329" s="17">
        <v>29.0</v>
      </c>
      <c r="D329" s="16" t="s">
        <v>311</v>
      </c>
      <c r="E329" s="16" t="s">
        <v>17</v>
      </c>
      <c r="F329" s="16" t="s">
        <v>18</v>
      </c>
      <c r="G329" s="18"/>
      <c r="H329" s="17" t="s">
        <v>19</v>
      </c>
      <c r="I329" s="16" t="s">
        <v>308</v>
      </c>
      <c r="J329" s="16" t="s">
        <v>21</v>
      </c>
      <c r="K329" s="16" t="s">
        <v>53</v>
      </c>
      <c r="L329" s="19" t="s">
        <v>872</v>
      </c>
    </row>
    <row r="330">
      <c r="A330" s="10">
        <v>805.0</v>
      </c>
      <c r="B330" s="11" t="s">
        <v>873</v>
      </c>
      <c r="C330" s="12">
        <v>28.0</v>
      </c>
      <c r="D330" s="11" t="s">
        <v>874</v>
      </c>
      <c r="E330" s="11" t="s">
        <v>17</v>
      </c>
      <c r="F330" s="11" t="s">
        <v>18</v>
      </c>
      <c r="G330" s="13"/>
      <c r="H330" s="12" t="s">
        <v>19</v>
      </c>
      <c r="I330" s="11" t="s">
        <v>147</v>
      </c>
      <c r="J330" s="11" t="s">
        <v>21</v>
      </c>
      <c r="K330" s="11" t="s">
        <v>53</v>
      </c>
      <c r="L330" s="14" t="s">
        <v>875</v>
      </c>
    </row>
    <row r="331">
      <c r="A331" s="15">
        <v>806.0</v>
      </c>
      <c r="B331" s="16" t="s">
        <v>876</v>
      </c>
      <c r="C331" s="17">
        <v>25.0</v>
      </c>
      <c r="D331" s="16" t="s">
        <v>711</v>
      </c>
      <c r="E331" s="16" t="s">
        <v>25</v>
      </c>
      <c r="F331" s="16" t="s">
        <v>18</v>
      </c>
      <c r="G331" s="18"/>
      <c r="H331" s="17" t="s">
        <v>19</v>
      </c>
      <c r="I331" s="16" t="s">
        <v>312</v>
      </c>
      <c r="J331" s="16" t="s">
        <v>21</v>
      </c>
      <c r="K331" s="16" t="s">
        <v>53</v>
      </c>
      <c r="L331" s="19" t="s">
        <v>877</v>
      </c>
    </row>
    <row r="332">
      <c r="A332" s="10">
        <v>807.0</v>
      </c>
      <c r="B332" s="11" t="s">
        <v>878</v>
      </c>
      <c r="C332" s="12">
        <v>22.0</v>
      </c>
      <c r="D332" s="11" t="s">
        <v>711</v>
      </c>
      <c r="E332" s="11" t="s">
        <v>25</v>
      </c>
      <c r="F332" s="11" t="s">
        <v>18</v>
      </c>
      <c r="G332" s="13"/>
      <c r="H332" s="12" t="s">
        <v>19</v>
      </c>
      <c r="I332" s="11" t="s">
        <v>312</v>
      </c>
      <c r="J332" s="11" t="s">
        <v>21</v>
      </c>
      <c r="K332" s="11" t="s">
        <v>53</v>
      </c>
      <c r="L332" s="14" t="s">
        <v>879</v>
      </c>
    </row>
    <row r="333">
      <c r="A333" s="15">
        <v>677.0</v>
      </c>
      <c r="B333" s="16" t="s">
        <v>880</v>
      </c>
      <c r="C333" s="17">
        <v>28.0</v>
      </c>
      <c r="D333" s="16" t="s">
        <v>219</v>
      </c>
      <c r="E333" s="16" t="s">
        <v>17</v>
      </c>
      <c r="F333" s="16" t="s">
        <v>18</v>
      </c>
      <c r="G333" s="18"/>
      <c r="H333" s="17" t="s">
        <v>19</v>
      </c>
      <c r="I333" s="16" t="s">
        <v>304</v>
      </c>
      <c r="J333" s="16" t="s">
        <v>21</v>
      </c>
      <c r="K333" s="16" t="s">
        <v>53</v>
      </c>
      <c r="L333" s="19" t="s">
        <v>881</v>
      </c>
    </row>
    <row r="334">
      <c r="A334" s="10">
        <v>1476.0</v>
      </c>
      <c r="B334" s="11" t="s">
        <v>882</v>
      </c>
      <c r="C334" s="12">
        <v>23.0</v>
      </c>
      <c r="D334" s="11" t="s">
        <v>422</v>
      </c>
      <c r="E334" s="11" t="s">
        <v>17</v>
      </c>
      <c r="F334" s="11" t="s">
        <v>18</v>
      </c>
      <c r="G334" s="13"/>
      <c r="H334" s="12" t="s">
        <v>19</v>
      </c>
      <c r="I334" s="11" t="s">
        <v>423</v>
      </c>
      <c r="J334" s="11" t="s">
        <v>21</v>
      </c>
      <c r="K334" s="11" t="s">
        <v>53</v>
      </c>
      <c r="L334" s="14" t="s">
        <v>883</v>
      </c>
    </row>
    <row r="335">
      <c r="A335" s="15">
        <v>1552.0</v>
      </c>
      <c r="B335" s="16" t="s">
        <v>884</v>
      </c>
      <c r="C335" s="17">
        <v>24.0</v>
      </c>
      <c r="D335" s="16" t="s">
        <v>450</v>
      </c>
      <c r="E335" s="16" t="s">
        <v>17</v>
      </c>
      <c r="F335" s="16" t="s">
        <v>18</v>
      </c>
      <c r="G335" s="18"/>
      <c r="H335" s="17" t="s">
        <v>19</v>
      </c>
      <c r="I335" s="16" t="s">
        <v>147</v>
      </c>
      <c r="J335" s="16" t="s">
        <v>21</v>
      </c>
      <c r="K335" s="16" t="s">
        <v>53</v>
      </c>
      <c r="L335" s="19" t="s">
        <v>885</v>
      </c>
    </row>
    <row r="336">
      <c r="A336" s="10">
        <v>1548.0</v>
      </c>
      <c r="B336" s="11" t="s">
        <v>886</v>
      </c>
      <c r="C336" s="12">
        <v>24.0</v>
      </c>
      <c r="D336" s="11" t="s">
        <v>887</v>
      </c>
      <c r="E336" s="11" t="s">
        <v>25</v>
      </c>
      <c r="F336" s="11" t="s">
        <v>18</v>
      </c>
      <c r="G336" s="13"/>
      <c r="H336" s="12" t="s">
        <v>19</v>
      </c>
      <c r="I336" s="11" t="s">
        <v>247</v>
      </c>
      <c r="J336" s="11" t="s">
        <v>21</v>
      </c>
      <c r="K336" s="11" t="s">
        <v>53</v>
      </c>
      <c r="L336" s="14" t="s">
        <v>888</v>
      </c>
    </row>
    <row r="337">
      <c r="A337" s="15">
        <v>1356.0</v>
      </c>
      <c r="B337" s="16" t="s">
        <v>889</v>
      </c>
      <c r="C337" s="17">
        <v>27.0</v>
      </c>
      <c r="D337" s="16" t="s">
        <v>779</v>
      </c>
      <c r="E337" s="16" t="s">
        <v>17</v>
      </c>
      <c r="F337" s="16" t="s">
        <v>18</v>
      </c>
      <c r="G337" s="18"/>
      <c r="H337" s="17" t="s">
        <v>19</v>
      </c>
      <c r="I337" s="16" t="s">
        <v>574</v>
      </c>
      <c r="J337" s="16" t="s">
        <v>21</v>
      </c>
      <c r="K337" s="16" t="s">
        <v>53</v>
      </c>
      <c r="L337" s="19" t="s">
        <v>890</v>
      </c>
    </row>
    <row r="338">
      <c r="A338" s="10">
        <v>963.0</v>
      </c>
      <c r="B338" s="11" t="s">
        <v>891</v>
      </c>
      <c r="C338" s="12">
        <v>25.0</v>
      </c>
      <c r="D338" s="11" t="s">
        <v>299</v>
      </c>
      <c r="E338" s="11" t="s">
        <v>17</v>
      </c>
      <c r="F338" s="11" t="s">
        <v>18</v>
      </c>
      <c r="G338" s="13"/>
      <c r="H338" s="12" t="s">
        <v>19</v>
      </c>
      <c r="I338" s="11" t="s">
        <v>473</v>
      </c>
      <c r="J338" s="11" t="s">
        <v>21</v>
      </c>
      <c r="K338" s="11" t="s">
        <v>53</v>
      </c>
      <c r="L338" s="14" t="s">
        <v>892</v>
      </c>
    </row>
    <row r="339">
      <c r="A339" s="15">
        <v>1441.0</v>
      </c>
      <c r="B339" s="16" t="s">
        <v>893</v>
      </c>
      <c r="C339" s="17">
        <v>30.0</v>
      </c>
      <c r="D339" s="16" t="s">
        <v>100</v>
      </c>
      <c r="E339" s="16" t="s">
        <v>17</v>
      </c>
      <c r="F339" s="16" t="s">
        <v>18</v>
      </c>
      <c r="G339" s="18"/>
      <c r="H339" s="17" t="s">
        <v>19</v>
      </c>
      <c r="I339" s="16" t="s">
        <v>554</v>
      </c>
      <c r="J339" s="16" t="s">
        <v>21</v>
      </c>
      <c r="K339" s="16" t="s">
        <v>53</v>
      </c>
      <c r="L339" s="19" t="s">
        <v>894</v>
      </c>
    </row>
    <row r="340">
      <c r="A340" s="10">
        <v>900.0</v>
      </c>
      <c r="B340" s="11" t="s">
        <v>895</v>
      </c>
      <c r="C340" s="12">
        <v>29.0</v>
      </c>
      <c r="D340" s="11" t="s">
        <v>624</v>
      </c>
      <c r="E340" s="11" t="s">
        <v>17</v>
      </c>
      <c r="F340" s="11" t="s">
        <v>18</v>
      </c>
      <c r="G340" s="13"/>
      <c r="H340" s="12" t="s">
        <v>19</v>
      </c>
      <c r="I340" s="11" t="s">
        <v>473</v>
      </c>
      <c r="J340" s="11" t="s">
        <v>21</v>
      </c>
      <c r="K340" s="11" t="s">
        <v>53</v>
      </c>
      <c r="L340" s="14" t="s">
        <v>896</v>
      </c>
    </row>
    <row r="341">
      <c r="A341" s="15">
        <v>887.0</v>
      </c>
      <c r="B341" s="16" t="s">
        <v>897</v>
      </c>
      <c r="C341" s="17">
        <v>24.0</v>
      </c>
      <c r="D341" s="16" t="s">
        <v>495</v>
      </c>
      <c r="E341" s="16" t="s">
        <v>17</v>
      </c>
      <c r="F341" s="16" t="s">
        <v>18</v>
      </c>
      <c r="G341" s="18"/>
      <c r="H341" s="17" t="s">
        <v>19</v>
      </c>
      <c r="I341" s="16" t="s">
        <v>165</v>
      </c>
      <c r="J341" s="16" t="s">
        <v>21</v>
      </c>
      <c r="K341" s="16" t="s">
        <v>53</v>
      </c>
      <c r="L341" s="19" t="s">
        <v>898</v>
      </c>
    </row>
    <row r="342">
      <c r="A342" s="10">
        <v>813.0</v>
      </c>
      <c r="B342" s="11" t="s">
        <v>899</v>
      </c>
      <c r="C342" s="12">
        <v>23.0</v>
      </c>
      <c r="D342" s="11" t="s">
        <v>416</v>
      </c>
      <c r="E342" s="11" t="s">
        <v>17</v>
      </c>
      <c r="F342" s="11" t="s">
        <v>18</v>
      </c>
      <c r="G342" s="13"/>
      <c r="H342" s="12" t="s">
        <v>19</v>
      </c>
      <c r="I342" s="11" t="s">
        <v>312</v>
      </c>
      <c r="J342" s="11" t="s">
        <v>21</v>
      </c>
      <c r="K342" s="11" t="s">
        <v>53</v>
      </c>
      <c r="L342" s="14" t="s">
        <v>900</v>
      </c>
    </row>
    <row r="343">
      <c r="A343" s="15">
        <v>1471.0</v>
      </c>
      <c r="B343" s="16" t="s">
        <v>901</v>
      </c>
      <c r="C343" s="17">
        <v>25.0</v>
      </c>
      <c r="D343" s="16" t="s">
        <v>902</v>
      </c>
      <c r="E343" s="16" t="s">
        <v>25</v>
      </c>
      <c r="F343" s="16" t="s">
        <v>18</v>
      </c>
      <c r="G343" s="18"/>
      <c r="H343" s="17" t="s">
        <v>19</v>
      </c>
      <c r="I343" s="16" t="s">
        <v>312</v>
      </c>
      <c r="J343" s="16" t="s">
        <v>21</v>
      </c>
      <c r="K343" s="16" t="s">
        <v>53</v>
      </c>
      <c r="L343" s="19" t="s">
        <v>903</v>
      </c>
    </row>
    <row r="344">
      <c r="A344" s="10">
        <v>815.0</v>
      </c>
      <c r="B344" s="11" t="s">
        <v>904</v>
      </c>
      <c r="C344" s="12">
        <v>32.0</v>
      </c>
      <c r="D344" s="11" t="s">
        <v>597</v>
      </c>
      <c r="E344" s="11" t="s">
        <v>25</v>
      </c>
      <c r="F344" s="11" t="s">
        <v>18</v>
      </c>
      <c r="G344" s="13"/>
      <c r="H344" s="12" t="s">
        <v>19</v>
      </c>
      <c r="I344" s="11" t="s">
        <v>341</v>
      </c>
      <c r="J344" s="11" t="s">
        <v>21</v>
      </c>
      <c r="K344" s="11" t="s">
        <v>53</v>
      </c>
      <c r="L344" s="14" t="s">
        <v>905</v>
      </c>
    </row>
    <row r="345">
      <c r="A345" s="15">
        <v>814.0</v>
      </c>
      <c r="B345" s="16" t="s">
        <v>906</v>
      </c>
      <c r="C345" s="17">
        <v>20.0</v>
      </c>
      <c r="D345" s="16" t="s">
        <v>450</v>
      </c>
      <c r="E345" s="16" t="s">
        <v>25</v>
      </c>
      <c r="F345" s="16" t="s">
        <v>18</v>
      </c>
      <c r="G345" s="18"/>
      <c r="H345" s="17" t="s">
        <v>19</v>
      </c>
      <c r="I345" s="16" t="s">
        <v>247</v>
      </c>
      <c r="J345" s="16" t="s">
        <v>21</v>
      </c>
      <c r="K345" s="16" t="s">
        <v>53</v>
      </c>
      <c r="L345" s="19" t="s">
        <v>907</v>
      </c>
    </row>
    <row r="346">
      <c r="A346" s="10">
        <v>812.0</v>
      </c>
      <c r="B346" s="11" t="s">
        <v>908</v>
      </c>
      <c r="C346" s="12">
        <v>24.0</v>
      </c>
      <c r="D346" s="11" t="s">
        <v>317</v>
      </c>
      <c r="E346" s="11" t="s">
        <v>25</v>
      </c>
      <c r="F346" s="11" t="s">
        <v>18</v>
      </c>
      <c r="G346" s="13"/>
      <c r="H346" s="12" t="s">
        <v>19</v>
      </c>
      <c r="I346" s="11" t="s">
        <v>247</v>
      </c>
      <c r="J346" s="11" t="s">
        <v>21</v>
      </c>
      <c r="K346" s="11" t="s">
        <v>53</v>
      </c>
      <c r="L346" s="14" t="s">
        <v>909</v>
      </c>
    </row>
    <row r="347">
      <c r="A347" s="15">
        <v>811.0</v>
      </c>
      <c r="B347" s="16" t="s">
        <v>910</v>
      </c>
      <c r="C347" s="17">
        <v>23.0</v>
      </c>
      <c r="D347" s="16" t="s">
        <v>350</v>
      </c>
      <c r="E347" s="16" t="s">
        <v>25</v>
      </c>
      <c r="F347" s="16" t="s">
        <v>18</v>
      </c>
      <c r="G347" s="18"/>
      <c r="H347" s="17" t="s">
        <v>19</v>
      </c>
      <c r="I347" s="16" t="s">
        <v>312</v>
      </c>
      <c r="J347" s="16" t="s">
        <v>21</v>
      </c>
      <c r="K347" s="16" t="s">
        <v>53</v>
      </c>
      <c r="L347" s="19" t="s">
        <v>911</v>
      </c>
    </row>
    <row r="348">
      <c r="A348" s="10">
        <v>918.0</v>
      </c>
      <c r="B348" s="11" t="s">
        <v>912</v>
      </c>
      <c r="C348" s="12">
        <v>27.0</v>
      </c>
      <c r="D348" s="11" t="s">
        <v>508</v>
      </c>
      <c r="E348" s="11" t="s">
        <v>17</v>
      </c>
      <c r="F348" s="11" t="s">
        <v>18</v>
      </c>
      <c r="G348" s="13"/>
      <c r="H348" s="12" t="s">
        <v>19</v>
      </c>
      <c r="I348" s="11" t="s">
        <v>698</v>
      </c>
      <c r="J348" s="11" t="s">
        <v>21</v>
      </c>
      <c r="K348" s="11" t="s">
        <v>53</v>
      </c>
      <c r="L348" s="14" t="s">
        <v>913</v>
      </c>
    </row>
    <row r="349">
      <c r="A349" s="15">
        <v>871.0</v>
      </c>
      <c r="B349" s="16" t="s">
        <v>914</v>
      </c>
      <c r="C349" s="17">
        <v>37.0</v>
      </c>
      <c r="D349" s="16" t="s">
        <v>371</v>
      </c>
      <c r="E349" s="16" t="s">
        <v>17</v>
      </c>
      <c r="F349" s="16" t="s">
        <v>18</v>
      </c>
      <c r="G349" s="18"/>
      <c r="H349" s="17" t="s">
        <v>19</v>
      </c>
      <c r="I349" s="16" t="s">
        <v>588</v>
      </c>
      <c r="J349" s="16" t="s">
        <v>21</v>
      </c>
      <c r="K349" s="16" t="s">
        <v>53</v>
      </c>
      <c r="L349" s="19" t="s">
        <v>915</v>
      </c>
    </row>
    <row r="350">
      <c r="A350" s="10">
        <v>872.0</v>
      </c>
      <c r="B350" s="11" t="s">
        <v>916</v>
      </c>
      <c r="C350" s="12">
        <v>23.0</v>
      </c>
      <c r="D350" s="11" t="s">
        <v>917</v>
      </c>
      <c r="E350" s="11" t="s">
        <v>25</v>
      </c>
      <c r="F350" s="11" t="s">
        <v>18</v>
      </c>
      <c r="G350" s="13"/>
      <c r="H350" s="12" t="s">
        <v>19</v>
      </c>
      <c r="I350" s="11" t="s">
        <v>565</v>
      </c>
      <c r="J350" s="11" t="s">
        <v>21</v>
      </c>
      <c r="K350" s="11" t="s">
        <v>53</v>
      </c>
      <c r="L350" s="14" t="s">
        <v>918</v>
      </c>
    </row>
    <row r="351">
      <c r="A351" s="15">
        <v>897.0</v>
      </c>
      <c r="B351" s="16" t="s">
        <v>919</v>
      </c>
      <c r="C351" s="17">
        <v>27.0</v>
      </c>
      <c r="D351" s="16" t="s">
        <v>535</v>
      </c>
      <c r="E351" s="16" t="s">
        <v>25</v>
      </c>
      <c r="F351" s="16" t="s">
        <v>18</v>
      </c>
      <c r="G351" s="18"/>
      <c r="H351" s="17" t="s">
        <v>19</v>
      </c>
      <c r="I351" s="16" t="s">
        <v>53</v>
      </c>
      <c r="J351" s="16" t="s">
        <v>21</v>
      </c>
      <c r="K351" s="16" t="s">
        <v>53</v>
      </c>
      <c r="L351" s="19" t="s">
        <v>920</v>
      </c>
    </row>
    <row r="352">
      <c r="A352" s="10">
        <v>1523.0</v>
      </c>
      <c r="B352" s="11" t="s">
        <v>921</v>
      </c>
      <c r="C352" s="12">
        <v>42.0</v>
      </c>
      <c r="D352" s="11" t="s">
        <v>355</v>
      </c>
      <c r="E352" s="11" t="s">
        <v>25</v>
      </c>
      <c r="F352" s="11" t="s">
        <v>18</v>
      </c>
      <c r="G352" s="13"/>
      <c r="H352" s="12" t="s">
        <v>19</v>
      </c>
      <c r="I352" s="11" t="s">
        <v>922</v>
      </c>
      <c r="J352" s="11" t="s">
        <v>21</v>
      </c>
      <c r="K352" s="11" t="s">
        <v>53</v>
      </c>
      <c r="L352" s="14" t="s">
        <v>923</v>
      </c>
    </row>
    <row r="353">
      <c r="A353" s="15">
        <v>870.0</v>
      </c>
      <c r="B353" s="16" t="s">
        <v>924</v>
      </c>
      <c r="C353" s="17">
        <v>23.0</v>
      </c>
      <c r="D353" s="16" t="s">
        <v>253</v>
      </c>
      <c r="E353" s="16" t="s">
        <v>17</v>
      </c>
      <c r="F353" s="16" t="s">
        <v>18</v>
      </c>
      <c r="G353" s="18"/>
      <c r="H353" s="17" t="s">
        <v>19</v>
      </c>
      <c r="I353" s="16" t="s">
        <v>594</v>
      </c>
      <c r="J353" s="16" t="s">
        <v>21</v>
      </c>
      <c r="K353" s="16" t="s">
        <v>53</v>
      </c>
      <c r="L353" s="19" t="s">
        <v>925</v>
      </c>
    </row>
    <row r="354">
      <c r="A354" s="10">
        <v>2003.0</v>
      </c>
      <c r="B354" s="11" t="s">
        <v>926</v>
      </c>
      <c r="C354" s="12">
        <v>60.0</v>
      </c>
      <c r="D354" s="11" t="s">
        <v>927</v>
      </c>
      <c r="E354" s="11" t="s">
        <v>17</v>
      </c>
      <c r="F354" s="11" t="s">
        <v>18</v>
      </c>
      <c r="G354" s="13"/>
      <c r="H354" s="12" t="s">
        <v>19</v>
      </c>
      <c r="I354" s="11" t="s">
        <v>53</v>
      </c>
      <c r="J354" s="11" t="s">
        <v>21</v>
      </c>
      <c r="K354" s="11" t="s">
        <v>53</v>
      </c>
      <c r="L354" s="14" t="s">
        <v>928</v>
      </c>
    </row>
    <row r="355">
      <c r="A355" s="15">
        <v>1533.0</v>
      </c>
      <c r="B355" s="16" t="s">
        <v>929</v>
      </c>
      <c r="C355" s="17">
        <v>33.0</v>
      </c>
      <c r="D355" s="16" t="s">
        <v>930</v>
      </c>
      <c r="E355" s="16" t="s">
        <v>17</v>
      </c>
      <c r="F355" s="16" t="s">
        <v>18</v>
      </c>
      <c r="G355" s="18"/>
      <c r="H355" s="17" t="s">
        <v>19</v>
      </c>
      <c r="I355" s="16" t="s">
        <v>53</v>
      </c>
      <c r="J355" s="16" t="s">
        <v>21</v>
      </c>
      <c r="K355" s="16" t="s">
        <v>53</v>
      </c>
      <c r="L355" s="19" t="s">
        <v>931</v>
      </c>
    </row>
    <row r="356">
      <c r="A356" s="10">
        <v>909.0</v>
      </c>
      <c r="B356" s="11" t="s">
        <v>932</v>
      </c>
      <c r="C356" s="12">
        <v>21.0</v>
      </c>
      <c r="D356" s="11" t="s">
        <v>89</v>
      </c>
      <c r="E356" s="11" t="s">
        <v>17</v>
      </c>
      <c r="F356" s="11" t="s">
        <v>18</v>
      </c>
      <c r="G356" s="13"/>
      <c r="H356" s="12" t="s">
        <v>19</v>
      </c>
      <c r="I356" s="11" t="s">
        <v>150</v>
      </c>
      <c r="J356" s="11" t="s">
        <v>21</v>
      </c>
      <c r="K356" s="11" t="s">
        <v>53</v>
      </c>
      <c r="L356" s="14" t="s">
        <v>933</v>
      </c>
    </row>
    <row r="357">
      <c r="A357" s="15">
        <v>845.0</v>
      </c>
      <c r="B357" s="16" t="s">
        <v>934</v>
      </c>
      <c r="C357" s="17">
        <v>28.0</v>
      </c>
      <c r="D357" s="16" t="s">
        <v>350</v>
      </c>
      <c r="E357" s="16" t="s">
        <v>17</v>
      </c>
      <c r="F357" s="16" t="s">
        <v>18</v>
      </c>
      <c r="G357" s="18"/>
      <c r="H357" s="17" t="s">
        <v>19</v>
      </c>
      <c r="I357" s="16" t="s">
        <v>565</v>
      </c>
      <c r="J357" s="16" t="s">
        <v>21</v>
      </c>
      <c r="K357" s="16" t="s">
        <v>53</v>
      </c>
      <c r="L357" s="19" t="s">
        <v>935</v>
      </c>
    </row>
    <row r="358">
      <c r="A358" s="10">
        <v>844.0</v>
      </c>
      <c r="B358" s="11" t="s">
        <v>936</v>
      </c>
      <c r="C358" s="12">
        <v>20.0</v>
      </c>
      <c r="D358" s="11" t="s">
        <v>331</v>
      </c>
      <c r="E358" s="11" t="s">
        <v>25</v>
      </c>
      <c r="F358" s="11" t="s">
        <v>18</v>
      </c>
      <c r="G358" s="13"/>
      <c r="H358" s="12" t="s">
        <v>19</v>
      </c>
      <c r="I358" s="11" t="s">
        <v>304</v>
      </c>
      <c r="J358" s="11" t="s">
        <v>21</v>
      </c>
      <c r="K358" s="11" t="s">
        <v>53</v>
      </c>
      <c r="L358" s="14" t="s">
        <v>937</v>
      </c>
    </row>
    <row r="359">
      <c r="A359" s="15">
        <v>971.0</v>
      </c>
      <c r="B359" s="16" t="s">
        <v>938</v>
      </c>
      <c r="C359" s="17">
        <v>29.0</v>
      </c>
      <c r="D359" s="16" t="s">
        <v>667</v>
      </c>
      <c r="E359" s="16" t="s">
        <v>17</v>
      </c>
      <c r="F359" s="16" t="s">
        <v>18</v>
      </c>
      <c r="G359" s="18"/>
      <c r="H359" s="17" t="s">
        <v>19</v>
      </c>
      <c r="I359" s="16" t="s">
        <v>53</v>
      </c>
      <c r="J359" s="16" t="s">
        <v>21</v>
      </c>
      <c r="K359" s="16" t="s">
        <v>53</v>
      </c>
      <c r="L359" s="19" t="s">
        <v>939</v>
      </c>
    </row>
    <row r="360">
      <c r="A360" s="10">
        <v>920.0</v>
      </c>
      <c r="B360" s="11" t="s">
        <v>940</v>
      </c>
      <c r="C360" s="12">
        <v>26.0</v>
      </c>
      <c r="D360" s="11" t="s">
        <v>941</v>
      </c>
      <c r="E360" s="11" t="s">
        <v>17</v>
      </c>
      <c r="F360" s="11" t="s">
        <v>18</v>
      </c>
      <c r="G360" s="13"/>
      <c r="H360" s="12" t="s">
        <v>19</v>
      </c>
      <c r="I360" s="11" t="s">
        <v>594</v>
      </c>
      <c r="J360" s="11" t="s">
        <v>21</v>
      </c>
      <c r="K360" s="11" t="s">
        <v>53</v>
      </c>
      <c r="L360" s="14" t="s">
        <v>942</v>
      </c>
    </row>
    <row r="361">
      <c r="A361" s="15">
        <v>846.0</v>
      </c>
      <c r="B361" s="16" t="s">
        <v>943</v>
      </c>
      <c r="C361" s="17">
        <v>26.0</v>
      </c>
      <c r="D361" s="16" t="s">
        <v>89</v>
      </c>
      <c r="E361" s="16" t="s">
        <v>17</v>
      </c>
      <c r="F361" s="16" t="s">
        <v>18</v>
      </c>
      <c r="G361" s="18"/>
      <c r="H361" s="17" t="s">
        <v>19</v>
      </c>
      <c r="I361" s="16" t="s">
        <v>790</v>
      </c>
      <c r="J361" s="16" t="s">
        <v>21</v>
      </c>
      <c r="K361" s="16" t="s">
        <v>53</v>
      </c>
      <c r="L361" s="19" t="s">
        <v>944</v>
      </c>
    </row>
    <row r="362">
      <c r="A362" s="10">
        <v>670.0</v>
      </c>
      <c r="B362" s="11" t="s">
        <v>945</v>
      </c>
      <c r="C362" s="12">
        <v>34.0</v>
      </c>
      <c r="D362" s="11" t="s">
        <v>946</v>
      </c>
      <c r="E362" s="11" t="s">
        <v>25</v>
      </c>
      <c r="F362" s="11" t="s">
        <v>18</v>
      </c>
      <c r="G362" s="13"/>
      <c r="H362" s="12" t="s">
        <v>19</v>
      </c>
      <c r="I362" s="11" t="s">
        <v>147</v>
      </c>
      <c r="J362" s="11" t="s">
        <v>21</v>
      </c>
      <c r="K362" s="11" t="s">
        <v>53</v>
      </c>
      <c r="L362" s="14" t="s">
        <v>947</v>
      </c>
    </row>
    <row r="363">
      <c r="A363" s="15">
        <v>671.0</v>
      </c>
      <c r="B363" s="16" t="s">
        <v>948</v>
      </c>
      <c r="C363" s="17">
        <v>35.0</v>
      </c>
      <c r="D363" s="16" t="s">
        <v>946</v>
      </c>
      <c r="E363" s="16" t="s">
        <v>17</v>
      </c>
      <c r="F363" s="16" t="s">
        <v>18</v>
      </c>
      <c r="G363" s="18"/>
      <c r="H363" s="17" t="s">
        <v>19</v>
      </c>
      <c r="I363" s="16" t="s">
        <v>147</v>
      </c>
      <c r="J363" s="16" t="s">
        <v>21</v>
      </c>
      <c r="K363" s="16" t="s">
        <v>53</v>
      </c>
      <c r="L363" s="19" t="s">
        <v>949</v>
      </c>
    </row>
    <row r="364">
      <c r="A364" s="10">
        <v>736.0</v>
      </c>
      <c r="B364" s="11" t="s">
        <v>950</v>
      </c>
      <c r="C364" s="12">
        <v>36.0</v>
      </c>
      <c r="D364" s="11" t="s">
        <v>951</v>
      </c>
      <c r="E364" s="11" t="s">
        <v>17</v>
      </c>
      <c r="F364" s="11" t="s">
        <v>18</v>
      </c>
      <c r="G364" s="13"/>
      <c r="H364" s="12" t="s">
        <v>19</v>
      </c>
      <c r="I364" s="11" t="s">
        <v>53</v>
      </c>
      <c r="J364" s="11" t="s">
        <v>21</v>
      </c>
      <c r="K364" s="11" t="s">
        <v>53</v>
      </c>
      <c r="L364" s="14" t="s">
        <v>952</v>
      </c>
    </row>
    <row r="365">
      <c r="A365" s="15">
        <v>1309.0</v>
      </c>
      <c r="B365" s="16" t="s">
        <v>953</v>
      </c>
      <c r="C365" s="17">
        <v>41.0</v>
      </c>
      <c r="D365" s="16" t="s">
        <v>635</v>
      </c>
      <c r="E365" s="16" t="s">
        <v>17</v>
      </c>
      <c r="F365" s="16" t="s">
        <v>18</v>
      </c>
      <c r="G365" s="18"/>
      <c r="H365" s="17" t="s">
        <v>19</v>
      </c>
      <c r="I365" s="16" t="s">
        <v>53</v>
      </c>
      <c r="J365" s="16" t="s">
        <v>21</v>
      </c>
      <c r="K365" s="16" t="s">
        <v>53</v>
      </c>
      <c r="L365" s="19" t="s">
        <v>954</v>
      </c>
    </row>
    <row r="366">
      <c r="A366" s="10">
        <v>688.0</v>
      </c>
      <c r="B366" s="11" t="s">
        <v>955</v>
      </c>
      <c r="C366" s="12">
        <v>23.0</v>
      </c>
      <c r="D366" s="11" t="s">
        <v>350</v>
      </c>
      <c r="E366" s="11" t="s">
        <v>17</v>
      </c>
      <c r="F366" s="11" t="s">
        <v>18</v>
      </c>
      <c r="G366" s="13"/>
      <c r="H366" s="12" t="s">
        <v>19</v>
      </c>
      <c r="I366" s="11" t="s">
        <v>594</v>
      </c>
      <c r="J366" s="11" t="s">
        <v>21</v>
      </c>
      <c r="K366" s="11" t="s">
        <v>53</v>
      </c>
      <c r="L366" s="14" t="s">
        <v>956</v>
      </c>
    </row>
    <row r="367">
      <c r="A367" s="15">
        <v>1628.0</v>
      </c>
      <c r="B367" s="16" t="s">
        <v>957</v>
      </c>
      <c r="C367" s="17">
        <v>23.0</v>
      </c>
      <c r="D367" s="16" t="s">
        <v>253</v>
      </c>
      <c r="E367" s="16" t="s">
        <v>17</v>
      </c>
      <c r="F367" s="16" t="s">
        <v>18</v>
      </c>
      <c r="G367" s="18"/>
      <c r="H367" s="17" t="s">
        <v>19</v>
      </c>
      <c r="I367" s="16" t="s">
        <v>150</v>
      </c>
      <c r="J367" s="16" t="s">
        <v>21</v>
      </c>
      <c r="K367" s="16" t="s">
        <v>53</v>
      </c>
      <c r="L367" s="19" t="s">
        <v>958</v>
      </c>
    </row>
    <row r="368">
      <c r="A368" s="10">
        <v>908.0</v>
      </c>
      <c r="B368" s="11" t="s">
        <v>959</v>
      </c>
      <c r="C368" s="12">
        <v>25.0</v>
      </c>
      <c r="D368" s="11" t="s">
        <v>334</v>
      </c>
      <c r="E368" s="11" t="s">
        <v>25</v>
      </c>
      <c r="F368" s="11" t="s">
        <v>18</v>
      </c>
      <c r="G368" s="13"/>
      <c r="H368" s="12" t="s">
        <v>19</v>
      </c>
      <c r="I368" s="11" t="s">
        <v>565</v>
      </c>
      <c r="J368" s="11" t="s">
        <v>21</v>
      </c>
      <c r="K368" s="11" t="s">
        <v>53</v>
      </c>
      <c r="L368" s="14" t="s">
        <v>960</v>
      </c>
    </row>
    <row r="369">
      <c r="A369" s="15">
        <v>675.0</v>
      </c>
      <c r="B369" s="16" t="s">
        <v>961</v>
      </c>
      <c r="C369" s="17">
        <v>37.0</v>
      </c>
      <c r="D369" s="16" t="s">
        <v>92</v>
      </c>
      <c r="E369" s="16" t="s">
        <v>17</v>
      </c>
      <c r="F369" s="16" t="s">
        <v>18</v>
      </c>
      <c r="G369" s="18"/>
      <c r="H369" s="17" t="s">
        <v>19</v>
      </c>
      <c r="I369" s="16" t="s">
        <v>292</v>
      </c>
      <c r="J369" s="16" t="s">
        <v>21</v>
      </c>
      <c r="K369" s="16" t="s">
        <v>53</v>
      </c>
      <c r="L369" s="19" t="s">
        <v>962</v>
      </c>
    </row>
    <row r="370">
      <c r="A370" s="10">
        <v>1577.0</v>
      </c>
      <c r="B370" s="11" t="s">
        <v>963</v>
      </c>
      <c r="C370" s="12">
        <v>33.0</v>
      </c>
      <c r="D370" s="11" t="s">
        <v>946</v>
      </c>
      <c r="E370" s="11" t="s">
        <v>25</v>
      </c>
      <c r="F370" s="11" t="s">
        <v>18</v>
      </c>
      <c r="G370" s="13"/>
      <c r="H370" s="12" t="s">
        <v>19</v>
      </c>
      <c r="I370" s="11" t="s">
        <v>389</v>
      </c>
      <c r="J370" s="11" t="s">
        <v>21</v>
      </c>
      <c r="K370" s="11" t="s">
        <v>53</v>
      </c>
      <c r="L370" s="14" t="s">
        <v>964</v>
      </c>
    </row>
    <row r="371">
      <c r="A371" s="15">
        <v>822.0</v>
      </c>
      <c r="B371" s="16" t="s">
        <v>965</v>
      </c>
      <c r="C371" s="17">
        <v>21.0</v>
      </c>
      <c r="D371" s="16" t="s">
        <v>299</v>
      </c>
      <c r="E371" s="16" t="s">
        <v>17</v>
      </c>
      <c r="F371" s="16" t="s">
        <v>18</v>
      </c>
      <c r="G371" s="18"/>
      <c r="H371" s="17" t="s">
        <v>19</v>
      </c>
      <c r="I371" s="16" t="s">
        <v>304</v>
      </c>
      <c r="J371" s="16" t="s">
        <v>21</v>
      </c>
      <c r="K371" s="16" t="s">
        <v>53</v>
      </c>
      <c r="L371" s="19" t="s">
        <v>966</v>
      </c>
    </row>
    <row r="372">
      <c r="A372" s="10">
        <v>808.0</v>
      </c>
      <c r="B372" s="11" t="s">
        <v>967</v>
      </c>
      <c r="C372" s="12">
        <v>25.0</v>
      </c>
      <c r="D372" s="11" t="s">
        <v>968</v>
      </c>
      <c r="E372" s="11" t="s">
        <v>25</v>
      </c>
      <c r="F372" s="11" t="s">
        <v>18</v>
      </c>
      <c r="G372" s="13"/>
      <c r="H372" s="12" t="s">
        <v>19</v>
      </c>
      <c r="I372" s="11" t="s">
        <v>312</v>
      </c>
      <c r="J372" s="11" t="s">
        <v>21</v>
      </c>
      <c r="K372" s="11" t="s">
        <v>53</v>
      </c>
      <c r="L372" s="14" t="s">
        <v>969</v>
      </c>
    </row>
    <row r="373">
      <c r="A373" s="15">
        <v>1305.0</v>
      </c>
      <c r="B373" s="16" t="s">
        <v>970</v>
      </c>
      <c r="C373" s="17">
        <v>23.0</v>
      </c>
      <c r="D373" s="16" t="s">
        <v>748</v>
      </c>
      <c r="E373" s="16" t="s">
        <v>17</v>
      </c>
      <c r="F373" s="16" t="s">
        <v>18</v>
      </c>
      <c r="G373" s="18"/>
      <c r="H373" s="17" t="s">
        <v>19</v>
      </c>
      <c r="I373" s="16" t="s">
        <v>459</v>
      </c>
      <c r="J373" s="16" t="s">
        <v>21</v>
      </c>
      <c r="K373" s="16" t="s">
        <v>53</v>
      </c>
      <c r="L373" s="19" t="s">
        <v>971</v>
      </c>
    </row>
    <row r="374">
      <c r="A374" s="10">
        <v>828.0</v>
      </c>
      <c r="B374" s="11" t="s">
        <v>972</v>
      </c>
      <c r="C374" s="12">
        <v>25.0</v>
      </c>
      <c r="D374" s="11" t="s">
        <v>95</v>
      </c>
      <c r="E374" s="11" t="s">
        <v>17</v>
      </c>
      <c r="F374" s="11" t="s">
        <v>18</v>
      </c>
      <c r="G374" s="13"/>
      <c r="H374" s="12" t="s">
        <v>19</v>
      </c>
      <c r="I374" s="11" t="s">
        <v>459</v>
      </c>
      <c r="J374" s="11" t="s">
        <v>21</v>
      </c>
      <c r="K374" s="11" t="s">
        <v>53</v>
      </c>
      <c r="L374" s="14" t="s">
        <v>973</v>
      </c>
    </row>
    <row r="375">
      <c r="A375" s="15">
        <v>749.0</v>
      </c>
      <c r="B375" s="16" t="s">
        <v>974</v>
      </c>
      <c r="C375" s="17">
        <v>30.0</v>
      </c>
      <c r="D375" s="16" t="s">
        <v>587</v>
      </c>
      <c r="E375" s="16" t="s">
        <v>17</v>
      </c>
      <c r="F375" s="16" t="s">
        <v>18</v>
      </c>
      <c r="G375" s="18"/>
      <c r="H375" s="17" t="s">
        <v>19</v>
      </c>
      <c r="I375" s="16" t="s">
        <v>53</v>
      </c>
      <c r="J375" s="16" t="s">
        <v>21</v>
      </c>
      <c r="K375" s="16" t="s">
        <v>53</v>
      </c>
      <c r="L375" s="19" t="s">
        <v>975</v>
      </c>
    </row>
    <row r="376">
      <c r="A376" s="10">
        <v>1323.0</v>
      </c>
      <c r="B376" s="11" t="s">
        <v>976</v>
      </c>
      <c r="C376" s="12">
        <v>24.0</v>
      </c>
      <c r="D376" s="11" t="s">
        <v>253</v>
      </c>
      <c r="E376" s="11" t="s">
        <v>17</v>
      </c>
      <c r="F376" s="11" t="s">
        <v>18</v>
      </c>
      <c r="G376" s="13"/>
      <c r="H376" s="12" t="s">
        <v>19</v>
      </c>
      <c r="I376" s="11" t="s">
        <v>147</v>
      </c>
      <c r="J376" s="11" t="s">
        <v>21</v>
      </c>
      <c r="K376" s="11" t="s">
        <v>53</v>
      </c>
      <c r="L376" s="14" t="s">
        <v>977</v>
      </c>
    </row>
    <row r="377">
      <c r="A377" s="15">
        <v>826.0</v>
      </c>
      <c r="B377" s="16" t="s">
        <v>978</v>
      </c>
      <c r="C377" s="17">
        <v>23.0</v>
      </c>
      <c r="D377" s="16" t="s">
        <v>527</v>
      </c>
      <c r="E377" s="16" t="s">
        <v>25</v>
      </c>
      <c r="F377" s="16" t="s">
        <v>18</v>
      </c>
      <c r="G377" s="18"/>
      <c r="H377" s="17" t="s">
        <v>19</v>
      </c>
      <c r="I377" s="16" t="s">
        <v>341</v>
      </c>
      <c r="J377" s="16" t="s">
        <v>21</v>
      </c>
      <c r="K377" s="16" t="s">
        <v>53</v>
      </c>
      <c r="L377" s="19" t="s">
        <v>979</v>
      </c>
    </row>
    <row r="378">
      <c r="A378" s="10">
        <v>748.0</v>
      </c>
      <c r="B378" s="11" t="s">
        <v>980</v>
      </c>
      <c r="C378" s="12">
        <v>21.0</v>
      </c>
      <c r="D378" s="11" t="s">
        <v>219</v>
      </c>
      <c r="E378" s="11" t="s">
        <v>17</v>
      </c>
      <c r="F378" s="11" t="s">
        <v>18</v>
      </c>
      <c r="G378" s="13"/>
      <c r="H378" s="12" t="s">
        <v>19</v>
      </c>
      <c r="I378" s="11" t="s">
        <v>53</v>
      </c>
      <c r="J378" s="11" t="s">
        <v>21</v>
      </c>
      <c r="K378" s="11" t="s">
        <v>53</v>
      </c>
      <c r="L378" s="14" t="s">
        <v>981</v>
      </c>
    </row>
    <row r="379">
      <c r="A379" s="15">
        <v>827.0</v>
      </c>
      <c r="B379" s="16" t="s">
        <v>982</v>
      </c>
      <c r="C379" s="17">
        <v>21.0</v>
      </c>
      <c r="D379" s="16" t="s">
        <v>983</v>
      </c>
      <c r="E379" s="16" t="s">
        <v>25</v>
      </c>
      <c r="F379" s="16" t="s">
        <v>18</v>
      </c>
      <c r="G379" s="18"/>
      <c r="H379" s="17" t="s">
        <v>19</v>
      </c>
      <c r="I379" s="16" t="s">
        <v>565</v>
      </c>
      <c r="J379" s="16" t="s">
        <v>21</v>
      </c>
      <c r="K379" s="16" t="s">
        <v>53</v>
      </c>
      <c r="L379" s="19" t="s">
        <v>984</v>
      </c>
    </row>
    <row r="380">
      <c r="A380" s="10">
        <v>1631.0</v>
      </c>
      <c r="B380" s="11" t="s">
        <v>985</v>
      </c>
      <c r="C380" s="12">
        <v>26.0</v>
      </c>
      <c r="D380" s="11" t="s">
        <v>624</v>
      </c>
      <c r="E380" s="11" t="s">
        <v>17</v>
      </c>
      <c r="F380" s="11" t="s">
        <v>18</v>
      </c>
      <c r="G380" s="13"/>
      <c r="H380" s="12" t="s">
        <v>19</v>
      </c>
      <c r="I380" s="11" t="s">
        <v>312</v>
      </c>
      <c r="J380" s="11" t="s">
        <v>21</v>
      </c>
      <c r="K380" s="11" t="s">
        <v>53</v>
      </c>
      <c r="L380" s="14" t="s">
        <v>986</v>
      </c>
    </row>
    <row r="381">
      <c r="A381" s="15">
        <v>1455.0</v>
      </c>
      <c r="B381" s="16" t="s">
        <v>987</v>
      </c>
      <c r="C381" s="17">
        <v>22.0</v>
      </c>
      <c r="D381" s="16" t="s">
        <v>988</v>
      </c>
      <c r="E381" s="16" t="s">
        <v>25</v>
      </c>
      <c r="F381" s="16" t="s">
        <v>18</v>
      </c>
      <c r="G381" s="18"/>
      <c r="H381" s="17" t="s">
        <v>19</v>
      </c>
      <c r="I381" s="16" t="s">
        <v>312</v>
      </c>
      <c r="J381" s="16" t="s">
        <v>21</v>
      </c>
      <c r="K381" s="16" t="s">
        <v>53</v>
      </c>
      <c r="L381" s="19" t="s">
        <v>989</v>
      </c>
    </row>
    <row r="382">
      <c r="A382" s="10">
        <v>821.0</v>
      </c>
      <c r="B382" s="11" t="s">
        <v>990</v>
      </c>
      <c r="C382" s="12">
        <v>23.0</v>
      </c>
      <c r="D382" s="11" t="s">
        <v>991</v>
      </c>
      <c r="E382" s="11" t="s">
        <v>25</v>
      </c>
      <c r="F382" s="11" t="s">
        <v>18</v>
      </c>
      <c r="G382" s="13"/>
      <c r="H382" s="12" t="s">
        <v>19</v>
      </c>
      <c r="I382" s="11" t="s">
        <v>739</v>
      </c>
      <c r="J382" s="11" t="s">
        <v>21</v>
      </c>
      <c r="K382" s="11" t="s">
        <v>53</v>
      </c>
      <c r="L382" s="14" t="s">
        <v>992</v>
      </c>
    </row>
    <row r="383">
      <c r="A383" s="15">
        <v>1430.0</v>
      </c>
      <c r="B383" s="16" t="s">
        <v>993</v>
      </c>
      <c r="C383" s="17">
        <v>21.0</v>
      </c>
      <c r="D383" s="16" t="s">
        <v>657</v>
      </c>
      <c r="E383" s="16" t="s">
        <v>25</v>
      </c>
      <c r="F383" s="16" t="s">
        <v>18</v>
      </c>
      <c r="G383" s="18"/>
      <c r="H383" s="17" t="s">
        <v>19</v>
      </c>
      <c r="I383" s="16" t="s">
        <v>473</v>
      </c>
      <c r="J383" s="16" t="s">
        <v>21</v>
      </c>
      <c r="K383" s="16" t="s">
        <v>53</v>
      </c>
      <c r="L383" s="19" t="s">
        <v>994</v>
      </c>
    </row>
    <row r="384">
      <c r="A384" s="10">
        <v>750.0</v>
      </c>
      <c r="B384" s="11" t="s">
        <v>995</v>
      </c>
      <c r="C384" s="12">
        <v>22.0</v>
      </c>
      <c r="D384" s="11" t="s">
        <v>662</v>
      </c>
      <c r="E384" s="11" t="s">
        <v>25</v>
      </c>
      <c r="F384" s="11" t="s">
        <v>18</v>
      </c>
      <c r="G384" s="13"/>
      <c r="H384" s="12" t="s">
        <v>19</v>
      </c>
      <c r="I384" s="11" t="s">
        <v>565</v>
      </c>
      <c r="J384" s="11" t="s">
        <v>21</v>
      </c>
      <c r="K384" s="11" t="s">
        <v>53</v>
      </c>
      <c r="L384" s="14" t="s">
        <v>996</v>
      </c>
    </row>
    <row r="385">
      <c r="A385" s="15">
        <v>823.0</v>
      </c>
      <c r="B385" s="16" t="s">
        <v>997</v>
      </c>
      <c r="C385" s="17">
        <v>58.0</v>
      </c>
      <c r="D385" s="16" t="s">
        <v>998</v>
      </c>
      <c r="E385" s="16" t="s">
        <v>17</v>
      </c>
      <c r="F385" s="16" t="s">
        <v>18</v>
      </c>
      <c r="G385" s="18"/>
      <c r="H385" s="17" t="s">
        <v>19</v>
      </c>
      <c r="I385" s="16" t="s">
        <v>565</v>
      </c>
      <c r="J385" s="16" t="s">
        <v>21</v>
      </c>
      <c r="K385" s="16" t="s">
        <v>53</v>
      </c>
      <c r="L385" s="19" t="s">
        <v>999</v>
      </c>
    </row>
    <row r="386">
      <c r="A386" s="10">
        <v>824.0</v>
      </c>
      <c r="B386" s="11" t="s">
        <v>1000</v>
      </c>
      <c r="C386" s="12">
        <v>23.0</v>
      </c>
      <c r="D386" s="11" t="s">
        <v>100</v>
      </c>
      <c r="E386" s="11" t="s">
        <v>17</v>
      </c>
      <c r="F386" s="11" t="s">
        <v>18</v>
      </c>
      <c r="G386" s="13"/>
      <c r="H386" s="12" t="s">
        <v>19</v>
      </c>
      <c r="I386" s="11" t="s">
        <v>165</v>
      </c>
      <c r="J386" s="11" t="s">
        <v>21</v>
      </c>
      <c r="K386" s="11" t="s">
        <v>53</v>
      </c>
      <c r="L386" s="14" t="s">
        <v>1001</v>
      </c>
    </row>
    <row r="387">
      <c r="A387" s="15">
        <v>825.0</v>
      </c>
      <c r="B387" s="16" t="s">
        <v>1002</v>
      </c>
      <c r="C387" s="17">
        <v>17.0</v>
      </c>
      <c r="D387" s="16" t="s">
        <v>998</v>
      </c>
      <c r="E387" s="16" t="s">
        <v>96</v>
      </c>
      <c r="F387" s="16" t="s">
        <v>18</v>
      </c>
      <c r="G387" s="18"/>
      <c r="H387" s="17" t="s">
        <v>19</v>
      </c>
      <c r="I387" s="16" t="s">
        <v>565</v>
      </c>
      <c r="J387" s="16" t="s">
        <v>21</v>
      </c>
      <c r="K387" s="16" t="s">
        <v>53</v>
      </c>
      <c r="L387" s="19" t="s">
        <v>1003</v>
      </c>
    </row>
    <row r="388">
      <c r="A388" s="10">
        <v>1570.0</v>
      </c>
      <c r="B388" s="11" t="s">
        <v>1004</v>
      </c>
      <c r="C388" s="12">
        <v>26.0</v>
      </c>
      <c r="D388" s="11" t="s">
        <v>1005</v>
      </c>
      <c r="E388" s="11" t="s">
        <v>17</v>
      </c>
      <c r="F388" s="11" t="s">
        <v>18</v>
      </c>
      <c r="G388" s="13"/>
      <c r="H388" s="12" t="s">
        <v>19</v>
      </c>
      <c r="I388" s="11" t="s">
        <v>312</v>
      </c>
      <c r="J388" s="11" t="s">
        <v>21</v>
      </c>
      <c r="K388" s="11" t="s">
        <v>53</v>
      </c>
      <c r="L388" s="14" t="s">
        <v>1006</v>
      </c>
    </row>
    <row r="389">
      <c r="A389" s="15">
        <v>29.0</v>
      </c>
      <c r="B389" s="16" t="s">
        <v>1007</v>
      </c>
      <c r="C389" s="17">
        <v>27.0</v>
      </c>
      <c r="D389" s="16" t="s">
        <v>1008</v>
      </c>
      <c r="E389" s="16" t="s">
        <v>17</v>
      </c>
      <c r="F389" s="16" t="s">
        <v>18</v>
      </c>
      <c r="G389" s="18"/>
      <c r="H389" s="17">
        <v>2023.0</v>
      </c>
      <c r="I389" s="16" t="s">
        <v>1009</v>
      </c>
      <c r="J389" s="16" t="s">
        <v>21</v>
      </c>
      <c r="K389" s="16" t="s">
        <v>53</v>
      </c>
      <c r="L389" s="19" t="s">
        <v>1010</v>
      </c>
    </row>
    <row r="390">
      <c r="A390" s="10">
        <v>1296.0</v>
      </c>
      <c r="B390" s="11" t="s">
        <v>1011</v>
      </c>
      <c r="C390" s="12">
        <v>22.0</v>
      </c>
      <c r="D390" s="11" t="s">
        <v>334</v>
      </c>
      <c r="E390" s="11" t="s">
        <v>25</v>
      </c>
      <c r="F390" s="11" t="s">
        <v>478</v>
      </c>
      <c r="G390" s="11" t="s">
        <v>1012</v>
      </c>
      <c r="H390" s="12" t="s">
        <v>19</v>
      </c>
      <c r="I390" s="11" t="s">
        <v>465</v>
      </c>
      <c r="J390" s="11" t="s">
        <v>21</v>
      </c>
      <c r="K390" s="11" t="s">
        <v>53</v>
      </c>
      <c r="L390" s="14" t="s">
        <v>1013</v>
      </c>
    </row>
    <row r="391">
      <c r="A391" s="15">
        <v>784.0</v>
      </c>
      <c r="B391" s="16" t="s">
        <v>1014</v>
      </c>
      <c r="C391" s="17">
        <v>27.0</v>
      </c>
      <c r="D391" s="16" t="s">
        <v>92</v>
      </c>
      <c r="E391" s="16" t="s">
        <v>25</v>
      </c>
      <c r="F391" s="16" t="s">
        <v>18</v>
      </c>
      <c r="G391" s="18"/>
      <c r="H391" s="17" t="s">
        <v>19</v>
      </c>
      <c r="I391" s="16" t="s">
        <v>147</v>
      </c>
      <c r="J391" s="16" t="s">
        <v>21</v>
      </c>
      <c r="K391" s="16" t="s">
        <v>53</v>
      </c>
      <c r="L391" s="19" t="s">
        <v>1015</v>
      </c>
    </row>
    <row r="392">
      <c r="A392" s="10">
        <v>787.0</v>
      </c>
      <c r="B392" s="11" t="s">
        <v>1016</v>
      </c>
      <c r="C392" s="12">
        <v>28.0</v>
      </c>
      <c r="D392" s="11" t="s">
        <v>527</v>
      </c>
      <c r="E392" s="11" t="s">
        <v>25</v>
      </c>
      <c r="F392" s="11" t="s">
        <v>18</v>
      </c>
      <c r="G392" s="13"/>
      <c r="H392" s="12" t="s">
        <v>19</v>
      </c>
      <c r="I392" s="11" t="s">
        <v>304</v>
      </c>
      <c r="J392" s="11" t="s">
        <v>21</v>
      </c>
      <c r="K392" s="11" t="s">
        <v>53</v>
      </c>
      <c r="L392" s="14" t="s">
        <v>1017</v>
      </c>
    </row>
    <row r="393">
      <c r="A393" s="15">
        <v>1535.0</v>
      </c>
      <c r="B393" s="16" t="s">
        <v>1018</v>
      </c>
      <c r="C393" s="17">
        <v>22.0</v>
      </c>
      <c r="D393" s="16" t="s">
        <v>435</v>
      </c>
      <c r="E393" s="16" t="s">
        <v>17</v>
      </c>
      <c r="F393" s="16" t="s">
        <v>18</v>
      </c>
      <c r="G393" s="18"/>
      <c r="H393" s="17" t="s">
        <v>19</v>
      </c>
      <c r="I393" s="16" t="s">
        <v>304</v>
      </c>
      <c r="J393" s="16" t="s">
        <v>21</v>
      </c>
      <c r="K393" s="16" t="s">
        <v>53</v>
      </c>
      <c r="L393" s="19" t="s">
        <v>1019</v>
      </c>
    </row>
    <row r="394">
      <c r="A394" s="10">
        <v>1537.0</v>
      </c>
      <c r="B394" s="11" t="s">
        <v>1020</v>
      </c>
      <c r="C394" s="12">
        <v>41.0</v>
      </c>
      <c r="D394" s="11" t="s">
        <v>705</v>
      </c>
      <c r="E394" s="11" t="s">
        <v>25</v>
      </c>
      <c r="F394" s="11" t="s">
        <v>18</v>
      </c>
      <c r="G394" s="13"/>
      <c r="H394" s="12" t="s">
        <v>19</v>
      </c>
      <c r="I394" s="11" t="s">
        <v>389</v>
      </c>
      <c r="J394" s="11" t="s">
        <v>21</v>
      </c>
      <c r="K394" s="11" t="s">
        <v>53</v>
      </c>
      <c r="L394" s="14" t="s">
        <v>1021</v>
      </c>
    </row>
    <row r="395">
      <c r="A395" s="15">
        <v>782.0</v>
      </c>
      <c r="B395" s="16" t="s">
        <v>1022</v>
      </c>
      <c r="C395" s="17">
        <v>23.0</v>
      </c>
      <c r="D395" s="16" t="s">
        <v>705</v>
      </c>
      <c r="E395" s="16" t="s">
        <v>25</v>
      </c>
      <c r="F395" s="16" t="s">
        <v>18</v>
      </c>
      <c r="G395" s="18"/>
      <c r="H395" s="17" t="s">
        <v>19</v>
      </c>
      <c r="I395" s="16" t="s">
        <v>247</v>
      </c>
      <c r="J395" s="16" t="s">
        <v>21</v>
      </c>
      <c r="K395" s="16" t="s">
        <v>53</v>
      </c>
      <c r="L395" s="19" t="s">
        <v>1023</v>
      </c>
    </row>
    <row r="396">
      <c r="A396" s="10">
        <v>1300.0</v>
      </c>
      <c r="B396" s="11" t="s">
        <v>1024</v>
      </c>
      <c r="C396" s="12">
        <v>22.0</v>
      </c>
      <c r="D396" s="11" t="s">
        <v>1025</v>
      </c>
      <c r="E396" s="11" t="s">
        <v>25</v>
      </c>
      <c r="F396" s="11" t="s">
        <v>18</v>
      </c>
      <c r="G396" s="13"/>
      <c r="H396" s="12" t="s">
        <v>19</v>
      </c>
      <c r="I396" s="11" t="s">
        <v>615</v>
      </c>
      <c r="J396" s="11" t="s">
        <v>21</v>
      </c>
      <c r="K396" s="11" t="s">
        <v>53</v>
      </c>
      <c r="L396" s="14" t="s">
        <v>1026</v>
      </c>
    </row>
    <row r="397">
      <c r="A397" s="15">
        <v>1429.0</v>
      </c>
      <c r="B397" s="16" t="s">
        <v>1027</v>
      </c>
      <c r="C397" s="17">
        <v>23.0</v>
      </c>
      <c r="D397" s="16" t="s">
        <v>350</v>
      </c>
      <c r="E397" s="16" t="s">
        <v>17</v>
      </c>
      <c r="F397" s="16" t="s">
        <v>18</v>
      </c>
      <c r="G397" s="18"/>
      <c r="H397" s="17" t="s">
        <v>19</v>
      </c>
      <c r="I397" s="16" t="s">
        <v>147</v>
      </c>
      <c r="J397" s="16" t="s">
        <v>21</v>
      </c>
      <c r="K397" s="16" t="s">
        <v>53</v>
      </c>
      <c r="L397" s="19" t="s">
        <v>1028</v>
      </c>
    </row>
    <row r="398">
      <c r="A398" s="10">
        <v>1067.0</v>
      </c>
      <c r="B398" s="11" t="s">
        <v>1029</v>
      </c>
      <c r="C398" s="12">
        <v>35.0</v>
      </c>
      <c r="D398" s="11" t="s">
        <v>1030</v>
      </c>
      <c r="E398" s="11" t="s">
        <v>25</v>
      </c>
      <c r="F398" s="11" t="s">
        <v>18</v>
      </c>
      <c r="G398" s="13"/>
      <c r="H398" s="12" t="s">
        <v>19</v>
      </c>
      <c r="I398" s="11" t="s">
        <v>1031</v>
      </c>
      <c r="J398" s="11" t="s">
        <v>21</v>
      </c>
      <c r="K398" s="13"/>
      <c r="L398" s="14" t="s">
        <v>1032</v>
      </c>
    </row>
    <row r="399">
      <c r="A399" s="15">
        <v>783.0</v>
      </c>
      <c r="B399" s="16" t="s">
        <v>1033</v>
      </c>
      <c r="C399" s="17">
        <v>28.0</v>
      </c>
      <c r="D399" s="16" t="s">
        <v>159</v>
      </c>
      <c r="E399" s="16" t="s">
        <v>17</v>
      </c>
      <c r="F399" s="16" t="s">
        <v>18</v>
      </c>
      <c r="G399" s="18"/>
      <c r="H399" s="17" t="s">
        <v>19</v>
      </c>
      <c r="I399" s="16" t="s">
        <v>263</v>
      </c>
      <c r="J399" s="16" t="s">
        <v>21</v>
      </c>
      <c r="K399" s="16" t="s">
        <v>53</v>
      </c>
      <c r="L399" s="19" t="s">
        <v>1034</v>
      </c>
    </row>
    <row r="400">
      <c r="A400" s="10">
        <v>1140.0</v>
      </c>
      <c r="B400" s="11" t="s">
        <v>1035</v>
      </c>
      <c r="C400" s="12">
        <v>21.0</v>
      </c>
      <c r="D400" s="11" t="s">
        <v>173</v>
      </c>
      <c r="E400" s="11" t="s">
        <v>17</v>
      </c>
      <c r="F400" s="11" t="s">
        <v>478</v>
      </c>
      <c r="G400" s="11" t="s">
        <v>479</v>
      </c>
      <c r="H400" s="12" t="s">
        <v>19</v>
      </c>
      <c r="I400" s="11" t="s">
        <v>483</v>
      </c>
      <c r="J400" s="11" t="s">
        <v>21</v>
      </c>
      <c r="K400" s="11" t="s">
        <v>53</v>
      </c>
      <c r="L400" s="14" t="s">
        <v>1036</v>
      </c>
    </row>
    <row r="401">
      <c r="A401" s="15">
        <v>781.0</v>
      </c>
      <c r="B401" s="16" t="s">
        <v>1037</v>
      </c>
      <c r="C401" s="17">
        <v>21.0</v>
      </c>
      <c r="D401" s="16" t="s">
        <v>1038</v>
      </c>
      <c r="E401" s="16" t="s">
        <v>17</v>
      </c>
      <c r="F401" s="16" t="s">
        <v>18</v>
      </c>
      <c r="G401" s="18"/>
      <c r="H401" s="17" t="s">
        <v>19</v>
      </c>
      <c r="I401" s="16" t="s">
        <v>150</v>
      </c>
      <c r="J401" s="16" t="s">
        <v>21</v>
      </c>
      <c r="K401" s="16" t="s">
        <v>53</v>
      </c>
      <c r="L401" s="19" t="s">
        <v>1039</v>
      </c>
    </row>
    <row r="402">
      <c r="A402" s="10">
        <v>832.0</v>
      </c>
      <c r="B402" s="11" t="s">
        <v>1040</v>
      </c>
      <c r="C402" s="12">
        <v>23.0</v>
      </c>
      <c r="D402" s="11" t="s">
        <v>1041</v>
      </c>
      <c r="E402" s="11" t="s">
        <v>25</v>
      </c>
      <c r="F402" s="11" t="s">
        <v>18</v>
      </c>
      <c r="G402" s="13"/>
      <c r="H402" s="12" t="s">
        <v>19</v>
      </c>
      <c r="I402" s="11" t="s">
        <v>308</v>
      </c>
      <c r="J402" s="11" t="s">
        <v>21</v>
      </c>
      <c r="K402" s="11" t="s">
        <v>53</v>
      </c>
      <c r="L402" s="14" t="s">
        <v>1042</v>
      </c>
    </row>
    <row r="403">
      <c r="A403" s="15">
        <v>837.0</v>
      </c>
      <c r="B403" s="16" t="s">
        <v>1043</v>
      </c>
      <c r="C403" s="17">
        <v>23.0</v>
      </c>
      <c r="D403" s="16" t="s">
        <v>328</v>
      </c>
      <c r="E403" s="16" t="s">
        <v>17</v>
      </c>
      <c r="F403" s="16" t="s">
        <v>18</v>
      </c>
      <c r="G403" s="18"/>
      <c r="H403" s="17" t="s">
        <v>19</v>
      </c>
      <c r="I403" s="16" t="s">
        <v>147</v>
      </c>
      <c r="J403" s="16" t="s">
        <v>21</v>
      </c>
      <c r="K403" s="16" t="s">
        <v>53</v>
      </c>
      <c r="L403" s="19" t="s">
        <v>1044</v>
      </c>
    </row>
    <row r="404">
      <c r="A404" s="10">
        <v>836.0</v>
      </c>
      <c r="B404" s="11" t="s">
        <v>1045</v>
      </c>
      <c r="C404" s="12">
        <v>25.0</v>
      </c>
      <c r="D404" s="11" t="s">
        <v>1046</v>
      </c>
      <c r="E404" s="11" t="s">
        <v>25</v>
      </c>
      <c r="F404" s="11" t="s">
        <v>18</v>
      </c>
      <c r="G404" s="13"/>
      <c r="H404" s="12" t="s">
        <v>19</v>
      </c>
      <c r="I404" s="11" t="s">
        <v>53</v>
      </c>
      <c r="J404" s="11" t="s">
        <v>21</v>
      </c>
      <c r="K404" s="11" t="s">
        <v>53</v>
      </c>
      <c r="L404" s="14" t="s">
        <v>1047</v>
      </c>
    </row>
    <row r="405">
      <c r="A405" s="15">
        <v>840.0</v>
      </c>
      <c r="B405" s="16" t="s">
        <v>1048</v>
      </c>
      <c r="C405" s="17">
        <v>22.0</v>
      </c>
      <c r="D405" s="16" t="s">
        <v>1049</v>
      </c>
      <c r="E405" s="16" t="s">
        <v>25</v>
      </c>
      <c r="F405" s="16" t="s">
        <v>18</v>
      </c>
      <c r="G405" s="18"/>
      <c r="H405" s="17" t="s">
        <v>19</v>
      </c>
      <c r="I405" s="16" t="s">
        <v>53</v>
      </c>
      <c r="J405" s="16" t="s">
        <v>21</v>
      </c>
      <c r="K405" s="16" t="s">
        <v>53</v>
      </c>
      <c r="L405" s="19" t="s">
        <v>1050</v>
      </c>
    </row>
    <row r="406">
      <c r="A406" s="10">
        <v>778.0</v>
      </c>
      <c r="B406" s="11" t="s">
        <v>1051</v>
      </c>
      <c r="C406" s="12">
        <v>26.0</v>
      </c>
      <c r="D406" s="11" t="s">
        <v>219</v>
      </c>
      <c r="E406" s="11" t="s">
        <v>25</v>
      </c>
      <c r="F406" s="11" t="s">
        <v>18</v>
      </c>
      <c r="G406" s="13"/>
      <c r="H406" s="12" t="s">
        <v>19</v>
      </c>
      <c r="I406" s="11" t="s">
        <v>304</v>
      </c>
      <c r="J406" s="11" t="s">
        <v>21</v>
      </c>
      <c r="K406" s="11" t="s">
        <v>53</v>
      </c>
      <c r="L406" s="14" t="s">
        <v>1052</v>
      </c>
    </row>
    <row r="407">
      <c r="A407" s="15">
        <v>843.0</v>
      </c>
      <c r="B407" s="16" t="s">
        <v>1053</v>
      </c>
      <c r="C407" s="17">
        <v>26.0</v>
      </c>
      <c r="D407" s="16" t="s">
        <v>219</v>
      </c>
      <c r="E407" s="16" t="s">
        <v>25</v>
      </c>
      <c r="F407" s="16" t="s">
        <v>18</v>
      </c>
      <c r="G407" s="18"/>
      <c r="H407" s="17" t="s">
        <v>19</v>
      </c>
      <c r="I407" s="16" t="s">
        <v>263</v>
      </c>
      <c r="J407" s="16" t="s">
        <v>21</v>
      </c>
      <c r="K407" s="16" t="s">
        <v>53</v>
      </c>
      <c r="L407" s="19" t="s">
        <v>1054</v>
      </c>
    </row>
    <row r="408">
      <c r="A408" s="10">
        <v>841.0</v>
      </c>
      <c r="B408" s="11" t="s">
        <v>1055</v>
      </c>
      <c r="C408" s="12">
        <v>23.0</v>
      </c>
      <c r="D408" s="11" t="s">
        <v>1056</v>
      </c>
      <c r="E408" s="11" t="s">
        <v>17</v>
      </c>
      <c r="F408" s="11" t="s">
        <v>18</v>
      </c>
      <c r="G408" s="13"/>
      <c r="H408" s="12" t="s">
        <v>19</v>
      </c>
      <c r="I408" s="11" t="s">
        <v>615</v>
      </c>
      <c r="J408" s="11" t="s">
        <v>21</v>
      </c>
      <c r="K408" s="11" t="s">
        <v>53</v>
      </c>
      <c r="L408" s="14" t="s">
        <v>1057</v>
      </c>
    </row>
    <row r="409">
      <c r="A409" s="15">
        <v>842.0</v>
      </c>
      <c r="B409" s="16" t="s">
        <v>1058</v>
      </c>
      <c r="C409" s="17">
        <v>28.0</v>
      </c>
      <c r="D409" s="16" t="s">
        <v>100</v>
      </c>
      <c r="E409" s="16" t="s">
        <v>25</v>
      </c>
      <c r="F409" s="16" t="s">
        <v>18</v>
      </c>
      <c r="G409" s="18"/>
      <c r="H409" s="17" t="s">
        <v>19</v>
      </c>
      <c r="I409" s="16" t="s">
        <v>577</v>
      </c>
      <c r="J409" s="16" t="s">
        <v>21</v>
      </c>
      <c r="K409" s="16" t="s">
        <v>53</v>
      </c>
      <c r="L409" s="19" t="s">
        <v>1059</v>
      </c>
    </row>
    <row r="410">
      <c r="A410" s="10">
        <v>830.0</v>
      </c>
      <c r="B410" s="11" t="s">
        <v>1060</v>
      </c>
      <c r="C410" s="12">
        <v>28.0</v>
      </c>
      <c r="D410" s="11" t="s">
        <v>810</v>
      </c>
      <c r="E410" s="11" t="s">
        <v>25</v>
      </c>
      <c r="F410" s="11" t="s">
        <v>18</v>
      </c>
      <c r="G410" s="13"/>
      <c r="H410" s="12" t="s">
        <v>19</v>
      </c>
      <c r="I410" s="11" t="s">
        <v>304</v>
      </c>
      <c r="J410" s="11" t="s">
        <v>21</v>
      </c>
      <c r="K410" s="11" t="s">
        <v>53</v>
      </c>
      <c r="L410" s="14" t="s">
        <v>1061</v>
      </c>
    </row>
    <row r="411">
      <c r="A411" s="15">
        <v>1530.0</v>
      </c>
      <c r="B411" s="16" t="s">
        <v>1062</v>
      </c>
      <c r="C411" s="17">
        <v>27.0</v>
      </c>
      <c r="D411" s="16" t="s">
        <v>1063</v>
      </c>
      <c r="E411" s="16" t="s">
        <v>17</v>
      </c>
      <c r="F411" s="16" t="s">
        <v>18</v>
      </c>
      <c r="G411" s="18"/>
      <c r="H411" s="17" t="s">
        <v>19</v>
      </c>
      <c r="I411" s="16" t="s">
        <v>503</v>
      </c>
      <c r="J411" s="16" t="s">
        <v>21</v>
      </c>
      <c r="K411" s="16" t="s">
        <v>53</v>
      </c>
      <c r="L411" s="19" t="s">
        <v>1064</v>
      </c>
    </row>
    <row r="412">
      <c r="A412" s="10">
        <v>829.0</v>
      </c>
      <c r="B412" s="11" t="s">
        <v>1065</v>
      </c>
      <c r="C412" s="12">
        <v>23.0</v>
      </c>
      <c r="D412" s="11" t="s">
        <v>89</v>
      </c>
      <c r="E412" s="11" t="s">
        <v>17</v>
      </c>
      <c r="F412" s="11" t="s">
        <v>18</v>
      </c>
      <c r="G412" s="13"/>
      <c r="H412" s="12" t="s">
        <v>19</v>
      </c>
      <c r="I412" s="11" t="s">
        <v>53</v>
      </c>
      <c r="J412" s="11" t="s">
        <v>21</v>
      </c>
      <c r="K412" s="11" t="s">
        <v>53</v>
      </c>
      <c r="L412" s="14" t="s">
        <v>1066</v>
      </c>
    </row>
    <row r="413">
      <c r="A413" s="15">
        <v>1593.0</v>
      </c>
      <c r="B413" s="16" t="s">
        <v>1067</v>
      </c>
      <c r="C413" s="17">
        <v>42.0</v>
      </c>
      <c r="D413" s="16" t="s">
        <v>941</v>
      </c>
      <c r="E413" s="16" t="s">
        <v>17</v>
      </c>
      <c r="F413" s="16" t="s">
        <v>18</v>
      </c>
      <c r="G413" s="18"/>
      <c r="H413" s="17" t="s">
        <v>19</v>
      </c>
      <c r="I413" s="16" t="s">
        <v>150</v>
      </c>
      <c r="J413" s="16" t="s">
        <v>21</v>
      </c>
      <c r="K413" s="16" t="s">
        <v>53</v>
      </c>
      <c r="L413" s="19" t="s">
        <v>1068</v>
      </c>
    </row>
    <row r="414">
      <c r="A414" s="10">
        <v>833.0</v>
      </c>
      <c r="B414" s="11" t="s">
        <v>1069</v>
      </c>
      <c r="C414" s="12">
        <v>28.0</v>
      </c>
      <c r="D414" s="11" t="s">
        <v>941</v>
      </c>
      <c r="E414" s="11" t="s">
        <v>25</v>
      </c>
      <c r="F414" s="11" t="s">
        <v>18</v>
      </c>
      <c r="G414" s="13"/>
      <c r="H414" s="12" t="s">
        <v>19</v>
      </c>
      <c r="I414" s="11" t="s">
        <v>147</v>
      </c>
      <c r="J414" s="11" t="s">
        <v>21</v>
      </c>
      <c r="K414" s="11" t="s">
        <v>53</v>
      </c>
      <c r="L414" s="14" t="s">
        <v>1070</v>
      </c>
    </row>
    <row r="415">
      <c r="A415" s="15">
        <v>858.0</v>
      </c>
      <c r="B415" s="16" t="s">
        <v>1071</v>
      </c>
      <c r="C415" s="17">
        <v>35.0</v>
      </c>
      <c r="D415" s="16" t="s">
        <v>527</v>
      </c>
      <c r="E415" s="16" t="s">
        <v>17</v>
      </c>
      <c r="F415" s="16" t="s">
        <v>18</v>
      </c>
      <c r="G415" s="18"/>
      <c r="H415" s="17" t="s">
        <v>19</v>
      </c>
      <c r="I415" s="16" t="s">
        <v>341</v>
      </c>
      <c r="J415" s="16" t="s">
        <v>21</v>
      </c>
      <c r="K415" s="16" t="s">
        <v>53</v>
      </c>
      <c r="L415" s="19" t="s">
        <v>1072</v>
      </c>
    </row>
    <row r="416">
      <c r="A416" s="10">
        <v>867.0</v>
      </c>
      <c r="B416" s="11" t="s">
        <v>1073</v>
      </c>
      <c r="C416" s="12">
        <v>28.0</v>
      </c>
      <c r="D416" s="11" t="s">
        <v>284</v>
      </c>
      <c r="E416" s="11" t="s">
        <v>17</v>
      </c>
      <c r="F416" s="11" t="s">
        <v>18</v>
      </c>
      <c r="G416" s="13"/>
      <c r="H416" s="12" t="s">
        <v>19</v>
      </c>
      <c r="I416" s="11" t="s">
        <v>830</v>
      </c>
      <c r="J416" s="11" t="s">
        <v>21</v>
      </c>
      <c r="K416" s="11" t="s">
        <v>53</v>
      </c>
      <c r="L416" s="14" t="s">
        <v>1074</v>
      </c>
    </row>
    <row r="417">
      <c r="A417" s="15">
        <v>851.0</v>
      </c>
      <c r="B417" s="16" t="s">
        <v>1075</v>
      </c>
      <c r="C417" s="17">
        <v>30.0</v>
      </c>
      <c r="D417" s="16" t="s">
        <v>431</v>
      </c>
      <c r="E417" s="16" t="s">
        <v>17</v>
      </c>
      <c r="F417" s="16" t="s">
        <v>18</v>
      </c>
      <c r="G417" s="18"/>
      <c r="H417" s="17" t="s">
        <v>19</v>
      </c>
      <c r="I417" s="16" t="s">
        <v>53</v>
      </c>
      <c r="J417" s="16" t="s">
        <v>21</v>
      </c>
      <c r="K417" s="16" t="s">
        <v>53</v>
      </c>
      <c r="L417" s="19" t="s">
        <v>1076</v>
      </c>
    </row>
    <row r="418">
      <c r="A418" s="10">
        <v>1431.0</v>
      </c>
      <c r="B418" s="11" t="s">
        <v>1077</v>
      </c>
      <c r="C418" s="12">
        <v>21.0</v>
      </c>
      <c r="D418" s="11" t="s">
        <v>100</v>
      </c>
      <c r="E418" s="11" t="s">
        <v>25</v>
      </c>
      <c r="F418" s="11" t="s">
        <v>18</v>
      </c>
      <c r="G418" s="13"/>
      <c r="H418" s="12" t="s">
        <v>19</v>
      </c>
      <c r="I418" s="11" t="s">
        <v>53</v>
      </c>
      <c r="J418" s="11" t="s">
        <v>21</v>
      </c>
      <c r="K418" s="11" t="s">
        <v>53</v>
      </c>
      <c r="L418" s="14" t="s">
        <v>1078</v>
      </c>
    </row>
    <row r="419">
      <c r="A419" s="15">
        <v>868.0</v>
      </c>
      <c r="B419" s="16" t="s">
        <v>1079</v>
      </c>
      <c r="C419" s="17">
        <v>33.0</v>
      </c>
      <c r="D419" s="16" t="s">
        <v>535</v>
      </c>
      <c r="E419" s="16" t="s">
        <v>17</v>
      </c>
      <c r="F419" s="16" t="s">
        <v>18</v>
      </c>
      <c r="G419" s="18"/>
      <c r="H419" s="17" t="s">
        <v>19</v>
      </c>
      <c r="I419" s="16" t="s">
        <v>321</v>
      </c>
      <c r="J419" s="16" t="s">
        <v>21</v>
      </c>
      <c r="K419" s="16" t="s">
        <v>53</v>
      </c>
      <c r="L419" s="19" t="s">
        <v>1080</v>
      </c>
    </row>
    <row r="420">
      <c r="A420" s="10">
        <v>850.0</v>
      </c>
      <c r="B420" s="11" t="s">
        <v>1081</v>
      </c>
      <c r="C420" s="12">
        <v>20.0</v>
      </c>
      <c r="D420" s="11" t="s">
        <v>253</v>
      </c>
      <c r="E420" s="11" t="s">
        <v>25</v>
      </c>
      <c r="F420" s="11" t="s">
        <v>478</v>
      </c>
      <c r="G420" s="11" t="s">
        <v>689</v>
      </c>
      <c r="H420" s="12" t="s">
        <v>19</v>
      </c>
      <c r="I420" s="11" t="s">
        <v>304</v>
      </c>
      <c r="J420" s="11" t="s">
        <v>21</v>
      </c>
      <c r="K420" s="11" t="s">
        <v>53</v>
      </c>
      <c r="L420" s="14" t="s">
        <v>1082</v>
      </c>
    </row>
    <row r="421">
      <c r="A421" s="15">
        <v>124.0</v>
      </c>
      <c r="B421" s="16" t="s">
        <v>1083</v>
      </c>
      <c r="C421" s="17">
        <v>56.0</v>
      </c>
      <c r="D421" s="16" t="s">
        <v>470</v>
      </c>
      <c r="E421" s="16" t="s">
        <v>17</v>
      </c>
      <c r="F421" s="16" t="s">
        <v>18</v>
      </c>
      <c r="G421" s="18"/>
      <c r="H421" s="17" t="s">
        <v>19</v>
      </c>
      <c r="I421" s="16" t="s">
        <v>470</v>
      </c>
      <c r="J421" s="16" t="s">
        <v>21</v>
      </c>
      <c r="K421" s="18"/>
      <c r="L421" s="19" t="s">
        <v>1084</v>
      </c>
    </row>
    <row r="422">
      <c r="A422" s="10">
        <v>863.0</v>
      </c>
      <c r="B422" s="11" t="s">
        <v>1085</v>
      </c>
      <c r="C422" s="12">
        <v>24.0</v>
      </c>
      <c r="D422" s="11" t="s">
        <v>1086</v>
      </c>
      <c r="E422" s="11" t="s">
        <v>25</v>
      </c>
      <c r="F422" s="11" t="s">
        <v>18</v>
      </c>
      <c r="G422" s="13"/>
      <c r="H422" s="12" t="s">
        <v>19</v>
      </c>
      <c r="I422" s="11" t="s">
        <v>247</v>
      </c>
      <c r="J422" s="11" t="s">
        <v>21</v>
      </c>
      <c r="K422" s="11" t="s">
        <v>53</v>
      </c>
      <c r="L422" s="14" t="s">
        <v>1087</v>
      </c>
    </row>
    <row r="423">
      <c r="A423" s="15">
        <v>853.0</v>
      </c>
      <c r="B423" s="16" t="s">
        <v>1088</v>
      </c>
      <c r="C423" s="17">
        <v>26.0</v>
      </c>
      <c r="D423" s="16" t="s">
        <v>1089</v>
      </c>
      <c r="E423" s="16" t="s">
        <v>17</v>
      </c>
      <c r="F423" s="16" t="s">
        <v>18</v>
      </c>
      <c r="G423" s="18"/>
      <c r="H423" s="17" t="s">
        <v>19</v>
      </c>
      <c r="I423" s="16" t="s">
        <v>250</v>
      </c>
      <c r="J423" s="16" t="s">
        <v>21</v>
      </c>
      <c r="K423" s="16" t="s">
        <v>53</v>
      </c>
      <c r="L423" s="19" t="s">
        <v>1090</v>
      </c>
    </row>
    <row r="424">
      <c r="A424" s="10">
        <v>860.0</v>
      </c>
      <c r="B424" s="11" t="s">
        <v>1091</v>
      </c>
      <c r="C424" s="12">
        <v>25.0</v>
      </c>
      <c r="D424" s="11" t="s">
        <v>253</v>
      </c>
      <c r="E424" s="11" t="s">
        <v>17</v>
      </c>
      <c r="F424" s="11" t="s">
        <v>18</v>
      </c>
      <c r="G424" s="13"/>
      <c r="H424" s="12" t="s">
        <v>19</v>
      </c>
      <c r="I424" s="11" t="s">
        <v>308</v>
      </c>
      <c r="J424" s="11" t="s">
        <v>21</v>
      </c>
      <c r="K424" s="11" t="s">
        <v>53</v>
      </c>
      <c r="L424" s="14" t="s">
        <v>1092</v>
      </c>
    </row>
    <row r="425">
      <c r="A425" s="15">
        <v>849.0</v>
      </c>
      <c r="B425" s="16" t="s">
        <v>1093</v>
      </c>
      <c r="C425" s="17">
        <v>23.0</v>
      </c>
      <c r="D425" s="16" t="s">
        <v>535</v>
      </c>
      <c r="E425" s="16" t="s">
        <v>17</v>
      </c>
      <c r="F425" s="16" t="s">
        <v>18</v>
      </c>
      <c r="G425" s="18"/>
      <c r="H425" s="17" t="s">
        <v>19</v>
      </c>
      <c r="I425" s="16" t="s">
        <v>53</v>
      </c>
      <c r="J425" s="16" t="s">
        <v>21</v>
      </c>
      <c r="K425" s="16" t="s">
        <v>53</v>
      </c>
      <c r="L425" s="19" t="s">
        <v>1094</v>
      </c>
    </row>
    <row r="426">
      <c r="A426" s="10">
        <v>1480.0</v>
      </c>
      <c r="B426" s="11" t="s">
        <v>1095</v>
      </c>
      <c r="C426" s="12">
        <v>32.0</v>
      </c>
      <c r="D426" s="11" t="s">
        <v>1096</v>
      </c>
      <c r="E426" s="11" t="s">
        <v>17</v>
      </c>
      <c r="F426" s="11" t="s">
        <v>18</v>
      </c>
      <c r="G426" s="13"/>
      <c r="H426" s="12" t="s">
        <v>19</v>
      </c>
      <c r="I426" s="11" t="s">
        <v>147</v>
      </c>
      <c r="J426" s="11" t="s">
        <v>21</v>
      </c>
      <c r="K426" s="11" t="s">
        <v>53</v>
      </c>
      <c r="L426" s="14" t="s">
        <v>1097</v>
      </c>
    </row>
    <row r="427">
      <c r="A427" s="15">
        <v>854.0</v>
      </c>
      <c r="B427" s="16" t="s">
        <v>1098</v>
      </c>
      <c r="C427" s="17">
        <v>50.0</v>
      </c>
      <c r="D427" s="16" t="s">
        <v>530</v>
      </c>
      <c r="E427" s="16" t="s">
        <v>17</v>
      </c>
      <c r="F427" s="16" t="s">
        <v>18</v>
      </c>
      <c r="G427" s="18"/>
      <c r="H427" s="17" t="s">
        <v>19</v>
      </c>
      <c r="I427" s="16" t="s">
        <v>53</v>
      </c>
      <c r="J427" s="16" t="s">
        <v>21</v>
      </c>
      <c r="K427" s="16" t="s">
        <v>53</v>
      </c>
      <c r="L427" s="19" t="s">
        <v>1099</v>
      </c>
    </row>
    <row r="428">
      <c r="A428" s="10">
        <v>857.0</v>
      </c>
      <c r="B428" s="11" t="s">
        <v>1100</v>
      </c>
      <c r="C428" s="12">
        <v>25.0</v>
      </c>
      <c r="D428" s="11" t="s">
        <v>331</v>
      </c>
      <c r="E428" s="11" t="s">
        <v>25</v>
      </c>
      <c r="F428" s="11" t="s">
        <v>18</v>
      </c>
      <c r="G428" s="13"/>
      <c r="H428" s="12" t="s">
        <v>19</v>
      </c>
      <c r="I428" s="11" t="s">
        <v>565</v>
      </c>
      <c r="J428" s="11" t="s">
        <v>21</v>
      </c>
      <c r="K428" s="11" t="s">
        <v>53</v>
      </c>
      <c r="L428" s="14" t="s">
        <v>1101</v>
      </c>
    </row>
    <row r="429">
      <c r="A429" s="15">
        <v>1528.0</v>
      </c>
      <c r="B429" s="16" t="s">
        <v>1102</v>
      </c>
      <c r="C429" s="17">
        <v>25.0</v>
      </c>
      <c r="D429" s="16" t="s">
        <v>917</v>
      </c>
      <c r="E429" s="16" t="s">
        <v>17</v>
      </c>
      <c r="F429" s="16" t="s">
        <v>18</v>
      </c>
      <c r="G429" s="18"/>
      <c r="H429" s="17" t="s">
        <v>19</v>
      </c>
      <c r="I429" s="16" t="s">
        <v>53</v>
      </c>
      <c r="J429" s="16" t="s">
        <v>21</v>
      </c>
      <c r="K429" s="16" t="s">
        <v>53</v>
      </c>
      <c r="L429" s="19" t="s">
        <v>1103</v>
      </c>
    </row>
    <row r="430">
      <c r="A430" s="10">
        <v>864.0</v>
      </c>
      <c r="B430" s="11" t="s">
        <v>1104</v>
      </c>
      <c r="C430" s="12">
        <v>57.0</v>
      </c>
      <c r="D430" s="11" t="s">
        <v>307</v>
      </c>
      <c r="E430" s="11" t="s">
        <v>17</v>
      </c>
      <c r="F430" s="11" t="s">
        <v>56</v>
      </c>
      <c r="G430" s="13"/>
      <c r="H430" s="12" t="s">
        <v>19</v>
      </c>
      <c r="I430" s="11" t="s">
        <v>462</v>
      </c>
      <c r="J430" s="11" t="s">
        <v>57</v>
      </c>
      <c r="K430" s="11" t="s">
        <v>53</v>
      </c>
      <c r="L430" s="14" t="s">
        <v>1105</v>
      </c>
    </row>
    <row r="431">
      <c r="A431" s="15">
        <v>861.0</v>
      </c>
      <c r="B431" s="16" t="s">
        <v>1106</v>
      </c>
      <c r="C431" s="17">
        <v>22.0</v>
      </c>
      <c r="D431" s="16" t="s">
        <v>253</v>
      </c>
      <c r="E431" s="16" t="s">
        <v>25</v>
      </c>
      <c r="F431" s="16" t="s">
        <v>18</v>
      </c>
      <c r="G431" s="18"/>
      <c r="H431" s="17" t="s">
        <v>19</v>
      </c>
      <c r="I431" s="16" t="s">
        <v>473</v>
      </c>
      <c r="J431" s="16" t="s">
        <v>21</v>
      </c>
      <c r="K431" s="16" t="s">
        <v>53</v>
      </c>
      <c r="L431" s="19" t="s">
        <v>1107</v>
      </c>
    </row>
    <row r="432">
      <c r="A432" s="10">
        <v>865.0</v>
      </c>
      <c r="B432" s="11" t="s">
        <v>1108</v>
      </c>
      <c r="C432" s="12">
        <v>40.0</v>
      </c>
      <c r="D432" s="11" t="s">
        <v>350</v>
      </c>
      <c r="E432" s="11" t="s">
        <v>25</v>
      </c>
      <c r="F432" s="11" t="s">
        <v>18</v>
      </c>
      <c r="G432" s="13"/>
      <c r="H432" s="12" t="s">
        <v>19</v>
      </c>
      <c r="I432" s="11" t="s">
        <v>565</v>
      </c>
      <c r="J432" s="11" t="s">
        <v>21</v>
      </c>
      <c r="K432" s="11" t="s">
        <v>53</v>
      </c>
      <c r="L432" s="14" t="s">
        <v>1109</v>
      </c>
    </row>
    <row r="433">
      <c r="A433" s="15">
        <v>862.0</v>
      </c>
      <c r="B433" s="16" t="s">
        <v>1110</v>
      </c>
      <c r="C433" s="17">
        <v>31.0</v>
      </c>
      <c r="D433" s="16" t="s">
        <v>92</v>
      </c>
      <c r="E433" s="16" t="s">
        <v>17</v>
      </c>
      <c r="F433" s="16" t="s">
        <v>18</v>
      </c>
      <c r="G433" s="18"/>
      <c r="H433" s="17" t="s">
        <v>19</v>
      </c>
      <c r="I433" s="16" t="s">
        <v>356</v>
      </c>
      <c r="J433" s="16" t="s">
        <v>21</v>
      </c>
      <c r="K433" s="16" t="s">
        <v>53</v>
      </c>
      <c r="L433" s="19" t="s">
        <v>1111</v>
      </c>
    </row>
    <row r="434">
      <c r="A434" s="10">
        <v>907.0</v>
      </c>
      <c r="B434" s="11" t="s">
        <v>1112</v>
      </c>
      <c r="C434" s="12">
        <v>23.0</v>
      </c>
      <c r="D434" s="11" t="s">
        <v>1113</v>
      </c>
      <c r="E434" s="11" t="s">
        <v>17</v>
      </c>
      <c r="F434" s="11" t="s">
        <v>18</v>
      </c>
      <c r="G434" s="13"/>
      <c r="H434" s="12" t="s">
        <v>19</v>
      </c>
      <c r="I434" s="11" t="s">
        <v>432</v>
      </c>
      <c r="J434" s="11" t="s">
        <v>21</v>
      </c>
      <c r="K434" s="11" t="s">
        <v>53</v>
      </c>
      <c r="L434" s="14" t="s">
        <v>1114</v>
      </c>
    </row>
    <row r="435">
      <c r="A435" s="15">
        <v>869.0</v>
      </c>
      <c r="B435" s="16" t="s">
        <v>1115</v>
      </c>
      <c r="C435" s="17">
        <v>21.0</v>
      </c>
      <c r="D435" s="16" t="s">
        <v>530</v>
      </c>
      <c r="E435" s="16" t="s">
        <v>17</v>
      </c>
      <c r="F435" s="16" t="s">
        <v>18</v>
      </c>
      <c r="G435" s="18"/>
      <c r="H435" s="17" t="s">
        <v>19</v>
      </c>
      <c r="I435" s="16" t="s">
        <v>312</v>
      </c>
      <c r="J435" s="16" t="s">
        <v>21</v>
      </c>
      <c r="K435" s="16" t="s">
        <v>53</v>
      </c>
      <c r="L435" s="19" t="s">
        <v>1116</v>
      </c>
    </row>
    <row r="436">
      <c r="A436" s="10">
        <v>859.0</v>
      </c>
      <c r="B436" s="11" t="s">
        <v>1117</v>
      </c>
      <c r="C436" s="12">
        <v>26.0</v>
      </c>
      <c r="D436" s="11" t="s">
        <v>1118</v>
      </c>
      <c r="E436" s="11" t="s">
        <v>17</v>
      </c>
      <c r="F436" s="11" t="s">
        <v>18</v>
      </c>
      <c r="G436" s="13"/>
      <c r="H436" s="12" t="s">
        <v>19</v>
      </c>
      <c r="I436" s="11" t="s">
        <v>53</v>
      </c>
      <c r="J436" s="11" t="s">
        <v>21</v>
      </c>
      <c r="K436" s="11" t="s">
        <v>53</v>
      </c>
      <c r="L436" s="14" t="s">
        <v>1119</v>
      </c>
    </row>
    <row r="437">
      <c r="A437" s="15">
        <v>123.0</v>
      </c>
      <c r="B437" s="16" t="s">
        <v>1120</v>
      </c>
      <c r="C437" s="17">
        <v>48.0</v>
      </c>
      <c r="D437" s="16" t="s">
        <v>470</v>
      </c>
      <c r="E437" s="16" t="s">
        <v>17</v>
      </c>
      <c r="F437" s="16" t="s">
        <v>18</v>
      </c>
      <c r="G437" s="18"/>
      <c r="H437" s="17" t="s">
        <v>19</v>
      </c>
      <c r="I437" s="16" t="s">
        <v>53</v>
      </c>
      <c r="J437" s="16" t="s">
        <v>21</v>
      </c>
      <c r="K437" s="16" t="s">
        <v>53</v>
      </c>
      <c r="L437" s="19" t="s">
        <v>1121</v>
      </c>
    </row>
    <row r="438">
      <c r="A438" s="10">
        <v>866.0</v>
      </c>
      <c r="B438" s="11" t="s">
        <v>1122</v>
      </c>
      <c r="C438" s="12">
        <v>25.0</v>
      </c>
      <c r="D438" s="11" t="s">
        <v>337</v>
      </c>
      <c r="E438" s="11" t="s">
        <v>17</v>
      </c>
      <c r="F438" s="11" t="s">
        <v>18</v>
      </c>
      <c r="G438" s="13"/>
      <c r="H438" s="12" t="s">
        <v>19</v>
      </c>
      <c r="I438" s="11" t="s">
        <v>170</v>
      </c>
      <c r="J438" s="11" t="s">
        <v>21</v>
      </c>
      <c r="K438" s="11" t="s">
        <v>53</v>
      </c>
      <c r="L438" s="14" t="s">
        <v>1123</v>
      </c>
    </row>
    <row r="439">
      <c r="A439" s="15">
        <v>1332.0</v>
      </c>
      <c r="B439" s="16" t="s">
        <v>1124</v>
      </c>
      <c r="C439" s="17">
        <v>27.0</v>
      </c>
      <c r="D439" s="16" t="s">
        <v>1125</v>
      </c>
      <c r="E439" s="16" t="s">
        <v>17</v>
      </c>
      <c r="F439" s="16" t="s">
        <v>18</v>
      </c>
      <c r="G439" s="18"/>
      <c r="H439" s="17" t="s">
        <v>19</v>
      </c>
      <c r="I439" s="16" t="s">
        <v>574</v>
      </c>
      <c r="J439" s="16" t="s">
        <v>21</v>
      </c>
      <c r="K439" s="16" t="s">
        <v>53</v>
      </c>
      <c r="L439" s="19" t="s">
        <v>1126</v>
      </c>
    </row>
    <row r="440">
      <c r="A440" s="10">
        <v>879.0</v>
      </c>
      <c r="B440" s="11" t="s">
        <v>1127</v>
      </c>
      <c r="C440" s="12">
        <v>25.0</v>
      </c>
      <c r="D440" s="11" t="s">
        <v>1128</v>
      </c>
      <c r="E440" s="11" t="s">
        <v>25</v>
      </c>
      <c r="F440" s="11" t="s">
        <v>18</v>
      </c>
      <c r="G440" s="13"/>
      <c r="H440" s="12" t="s">
        <v>19</v>
      </c>
      <c r="I440" s="11" t="s">
        <v>565</v>
      </c>
      <c r="J440" s="11" t="s">
        <v>21</v>
      </c>
      <c r="K440" s="11" t="s">
        <v>53</v>
      </c>
      <c r="L440" s="14" t="s">
        <v>1129</v>
      </c>
    </row>
    <row r="441">
      <c r="A441" s="15">
        <v>880.0</v>
      </c>
      <c r="B441" s="16" t="s">
        <v>1130</v>
      </c>
      <c r="C441" s="17">
        <v>26.0</v>
      </c>
      <c r="D441" s="16" t="s">
        <v>1131</v>
      </c>
      <c r="E441" s="16" t="s">
        <v>17</v>
      </c>
      <c r="F441" s="16" t="s">
        <v>18</v>
      </c>
      <c r="G441" s="18"/>
      <c r="H441" s="17" t="s">
        <v>19</v>
      </c>
      <c r="I441" s="16" t="s">
        <v>325</v>
      </c>
      <c r="J441" s="16" t="s">
        <v>21</v>
      </c>
      <c r="K441" s="16" t="s">
        <v>53</v>
      </c>
      <c r="L441" s="19" t="s">
        <v>1132</v>
      </c>
    </row>
    <row r="442">
      <c r="A442" s="10">
        <v>1509.0</v>
      </c>
      <c r="B442" s="11" t="s">
        <v>1133</v>
      </c>
      <c r="C442" s="12">
        <v>24.0</v>
      </c>
      <c r="D442" s="11" t="s">
        <v>983</v>
      </c>
      <c r="E442" s="11" t="s">
        <v>25</v>
      </c>
      <c r="F442" s="11" t="s">
        <v>18</v>
      </c>
      <c r="G442" s="13"/>
      <c r="H442" s="12" t="s">
        <v>19</v>
      </c>
      <c r="I442" s="11" t="s">
        <v>53</v>
      </c>
      <c r="J442" s="11" t="s">
        <v>21</v>
      </c>
      <c r="K442" s="11" t="s">
        <v>53</v>
      </c>
      <c r="L442" s="14" t="s">
        <v>1134</v>
      </c>
    </row>
    <row r="443">
      <c r="A443" s="15">
        <v>876.0</v>
      </c>
      <c r="B443" s="16" t="s">
        <v>1135</v>
      </c>
      <c r="C443" s="17">
        <v>22.0</v>
      </c>
      <c r="D443" s="16" t="s">
        <v>100</v>
      </c>
      <c r="E443" s="16" t="s">
        <v>17</v>
      </c>
      <c r="F443" s="16" t="s">
        <v>18</v>
      </c>
      <c r="G443" s="18"/>
      <c r="H443" s="17" t="s">
        <v>19</v>
      </c>
      <c r="I443" s="16" t="s">
        <v>165</v>
      </c>
      <c r="J443" s="16" t="s">
        <v>21</v>
      </c>
      <c r="K443" s="16" t="s">
        <v>53</v>
      </c>
      <c r="L443" s="19" t="s">
        <v>1136</v>
      </c>
    </row>
    <row r="444">
      <c r="A444" s="10">
        <v>1703.0</v>
      </c>
      <c r="B444" s="11" t="s">
        <v>1137</v>
      </c>
      <c r="C444" s="12">
        <v>36.0</v>
      </c>
      <c r="D444" s="11" t="s">
        <v>508</v>
      </c>
      <c r="E444" s="11" t="s">
        <v>17</v>
      </c>
      <c r="F444" s="11" t="s">
        <v>478</v>
      </c>
      <c r="G444" s="11" t="s">
        <v>1138</v>
      </c>
      <c r="H444" s="12" t="s">
        <v>19</v>
      </c>
      <c r="I444" s="11" t="s">
        <v>147</v>
      </c>
      <c r="J444" s="11" t="s">
        <v>1139</v>
      </c>
      <c r="K444" s="13"/>
      <c r="L444" s="14" t="s">
        <v>1140</v>
      </c>
    </row>
    <row r="445">
      <c r="A445" s="15">
        <v>1368.0</v>
      </c>
      <c r="B445" s="16" t="s">
        <v>1141</v>
      </c>
      <c r="C445" s="17">
        <v>37.0</v>
      </c>
      <c r="D445" s="16" t="s">
        <v>657</v>
      </c>
      <c r="E445" s="16" t="s">
        <v>17</v>
      </c>
      <c r="F445" s="16" t="s">
        <v>18</v>
      </c>
      <c r="G445" s="18"/>
      <c r="H445" s="17" t="s">
        <v>19</v>
      </c>
      <c r="I445" s="16" t="s">
        <v>147</v>
      </c>
      <c r="J445" s="16" t="s">
        <v>21</v>
      </c>
      <c r="K445" s="18"/>
      <c r="L445" s="19" t="s">
        <v>1142</v>
      </c>
    </row>
    <row r="446">
      <c r="A446" s="10">
        <v>68.0</v>
      </c>
      <c r="B446" s="11" t="s">
        <v>1143</v>
      </c>
      <c r="C446" s="12">
        <v>16.0</v>
      </c>
      <c r="D446" s="11" t="s">
        <v>470</v>
      </c>
      <c r="E446" s="11" t="s">
        <v>104</v>
      </c>
      <c r="F446" s="11" t="s">
        <v>18</v>
      </c>
      <c r="G446" s="13"/>
      <c r="H446" s="12" t="s">
        <v>19</v>
      </c>
      <c r="I446" s="11" t="s">
        <v>470</v>
      </c>
      <c r="J446" s="11" t="s">
        <v>21</v>
      </c>
      <c r="K446" s="13"/>
      <c r="L446" s="14" t="s">
        <v>1144</v>
      </c>
    </row>
    <row r="447">
      <c r="A447" s="15">
        <v>69.0</v>
      </c>
      <c r="B447" s="16" t="s">
        <v>1145</v>
      </c>
      <c r="C447" s="17">
        <v>45.0</v>
      </c>
      <c r="D447" s="16" t="s">
        <v>470</v>
      </c>
      <c r="E447" s="16" t="s">
        <v>17</v>
      </c>
      <c r="F447" s="16" t="s">
        <v>18</v>
      </c>
      <c r="G447" s="18"/>
      <c r="H447" s="17" t="s">
        <v>19</v>
      </c>
      <c r="I447" s="16" t="s">
        <v>470</v>
      </c>
      <c r="J447" s="16" t="s">
        <v>21</v>
      </c>
      <c r="K447" s="18"/>
      <c r="L447" s="19" t="s">
        <v>1146</v>
      </c>
    </row>
    <row r="448">
      <c r="A448" s="10">
        <v>70.0</v>
      </c>
      <c r="B448" s="11" t="s">
        <v>1147</v>
      </c>
      <c r="C448" s="12">
        <v>14.0</v>
      </c>
      <c r="D448" s="11" t="s">
        <v>470</v>
      </c>
      <c r="E448" s="11" t="s">
        <v>104</v>
      </c>
      <c r="F448" s="11" t="s">
        <v>18</v>
      </c>
      <c r="G448" s="13"/>
      <c r="H448" s="12" t="s">
        <v>19</v>
      </c>
      <c r="I448" s="11" t="s">
        <v>470</v>
      </c>
      <c r="J448" s="11" t="s">
        <v>21</v>
      </c>
      <c r="K448" s="13"/>
      <c r="L448" s="14" t="s">
        <v>1148</v>
      </c>
    </row>
    <row r="449">
      <c r="A449" s="15">
        <v>71.0</v>
      </c>
      <c r="B449" s="16" t="s">
        <v>1149</v>
      </c>
      <c r="C449" s="17">
        <v>44.0</v>
      </c>
      <c r="D449" s="16" t="s">
        <v>470</v>
      </c>
      <c r="E449" s="16" t="s">
        <v>25</v>
      </c>
      <c r="F449" s="16" t="s">
        <v>18</v>
      </c>
      <c r="G449" s="18"/>
      <c r="H449" s="17" t="s">
        <v>19</v>
      </c>
      <c r="I449" s="16" t="s">
        <v>470</v>
      </c>
      <c r="J449" s="16" t="s">
        <v>21</v>
      </c>
      <c r="K449" s="18"/>
      <c r="L449" s="19" t="s">
        <v>1150</v>
      </c>
    </row>
    <row r="450">
      <c r="A450" s="10">
        <v>110.0</v>
      </c>
      <c r="B450" s="11" t="s">
        <v>1151</v>
      </c>
      <c r="C450" s="12">
        <v>58.0</v>
      </c>
      <c r="D450" s="11" t="s">
        <v>470</v>
      </c>
      <c r="E450" s="11" t="s">
        <v>25</v>
      </c>
      <c r="F450" s="11" t="s">
        <v>18</v>
      </c>
      <c r="G450" s="13"/>
      <c r="H450" s="12" t="s">
        <v>19</v>
      </c>
      <c r="I450" s="11" t="s">
        <v>470</v>
      </c>
      <c r="J450" s="11" t="s">
        <v>21</v>
      </c>
      <c r="K450" s="13"/>
      <c r="L450" s="14" t="s">
        <v>1152</v>
      </c>
    </row>
    <row r="451">
      <c r="A451" s="15">
        <v>141.0</v>
      </c>
      <c r="B451" s="16" t="s">
        <v>1153</v>
      </c>
      <c r="C451" s="17">
        <v>51.0</v>
      </c>
      <c r="D451" s="16" t="s">
        <v>470</v>
      </c>
      <c r="E451" s="16" t="s">
        <v>25</v>
      </c>
      <c r="F451" s="16" t="s">
        <v>18</v>
      </c>
      <c r="G451" s="18"/>
      <c r="H451" s="17" t="s">
        <v>19</v>
      </c>
      <c r="I451" s="16" t="s">
        <v>470</v>
      </c>
      <c r="J451" s="16" t="s">
        <v>21</v>
      </c>
      <c r="K451" s="18"/>
      <c r="L451" s="19" t="s">
        <v>1154</v>
      </c>
    </row>
    <row r="452">
      <c r="A452" s="10">
        <v>32.0</v>
      </c>
      <c r="B452" s="11" t="s">
        <v>1155</v>
      </c>
      <c r="C452" s="12">
        <v>77.0</v>
      </c>
      <c r="D452" s="11" t="s">
        <v>470</v>
      </c>
      <c r="E452" s="11" t="s">
        <v>17</v>
      </c>
      <c r="F452" s="11" t="s">
        <v>18</v>
      </c>
      <c r="G452" s="13"/>
      <c r="H452" s="12" t="s">
        <v>19</v>
      </c>
      <c r="I452" s="11" t="s">
        <v>470</v>
      </c>
      <c r="J452" s="11" t="s">
        <v>21</v>
      </c>
      <c r="K452" s="13"/>
      <c r="L452" s="14" t="s">
        <v>1156</v>
      </c>
    </row>
    <row r="453">
      <c r="A453" s="15">
        <v>55.0</v>
      </c>
      <c r="B453" s="16" t="s">
        <v>1157</v>
      </c>
      <c r="C453" s="17">
        <v>22.0</v>
      </c>
      <c r="D453" s="16" t="s">
        <v>470</v>
      </c>
      <c r="E453" s="16" t="s">
        <v>17</v>
      </c>
      <c r="F453" s="16" t="s">
        <v>18</v>
      </c>
      <c r="G453" s="18"/>
      <c r="H453" s="17" t="s">
        <v>19</v>
      </c>
      <c r="I453" s="16" t="s">
        <v>150</v>
      </c>
      <c r="J453" s="16" t="s">
        <v>21</v>
      </c>
      <c r="K453" s="18"/>
      <c r="L453" s="19" t="s">
        <v>1158</v>
      </c>
    </row>
    <row r="454">
      <c r="A454" s="10">
        <v>48.0</v>
      </c>
      <c r="B454" s="11" t="s">
        <v>1159</v>
      </c>
      <c r="C454" s="12">
        <v>44.0</v>
      </c>
      <c r="D454" s="11" t="s">
        <v>470</v>
      </c>
      <c r="E454" s="11" t="s">
        <v>17</v>
      </c>
      <c r="F454" s="11" t="s">
        <v>18</v>
      </c>
      <c r="G454" s="13"/>
      <c r="H454" s="12" t="s">
        <v>19</v>
      </c>
      <c r="I454" s="11" t="s">
        <v>470</v>
      </c>
      <c r="J454" s="11" t="s">
        <v>21</v>
      </c>
      <c r="K454" s="13"/>
      <c r="L454" s="14" t="s">
        <v>1160</v>
      </c>
    </row>
    <row r="455">
      <c r="A455" s="15">
        <v>51.0</v>
      </c>
      <c r="B455" s="16" t="s">
        <v>1161</v>
      </c>
      <c r="C455" s="17">
        <v>62.0</v>
      </c>
      <c r="D455" s="16" t="s">
        <v>470</v>
      </c>
      <c r="E455" s="16" t="s">
        <v>17</v>
      </c>
      <c r="F455" s="16" t="s">
        <v>18</v>
      </c>
      <c r="G455" s="18"/>
      <c r="H455" s="17" t="s">
        <v>19</v>
      </c>
      <c r="I455" s="16" t="s">
        <v>470</v>
      </c>
      <c r="J455" s="16" t="s">
        <v>21</v>
      </c>
      <c r="K455" s="18"/>
      <c r="L455" s="19" t="s">
        <v>1162</v>
      </c>
    </row>
    <row r="456">
      <c r="A456" s="10">
        <v>52.0</v>
      </c>
      <c r="B456" s="11" t="s">
        <v>1163</v>
      </c>
      <c r="C456" s="12">
        <v>51.0</v>
      </c>
      <c r="D456" s="11" t="s">
        <v>470</v>
      </c>
      <c r="E456" s="11" t="s">
        <v>25</v>
      </c>
      <c r="F456" s="11" t="s">
        <v>18</v>
      </c>
      <c r="G456" s="13"/>
      <c r="H456" s="12" t="s">
        <v>19</v>
      </c>
      <c r="I456" s="11" t="s">
        <v>470</v>
      </c>
      <c r="J456" s="11" t="s">
        <v>21</v>
      </c>
      <c r="K456" s="13"/>
      <c r="L456" s="14" t="s">
        <v>1164</v>
      </c>
    </row>
    <row r="457">
      <c r="A457" s="15">
        <v>50.0</v>
      </c>
      <c r="B457" s="16" t="s">
        <v>1165</v>
      </c>
      <c r="C457" s="17">
        <v>22.0</v>
      </c>
      <c r="D457" s="16" t="s">
        <v>470</v>
      </c>
      <c r="E457" s="16" t="s">
        <v>25</v>
      </c>
      <c r="F457" s="16" t="s">
        <v>18</v>
      </c>
      <c r="G457" s="18"/>
      <c r="H457" s="17" t="s">
        <v>19</v>
      </c>
      <c r="I457" s="16" t="s">
        <v>470</v>
      </c>
      <c r="J457" s="16" t="s">
        <v>21</v>
      </c>
      <c r="K457" s="18"/>
      <c r="L457" s="19" t="s">
        <v>1166</v>
      </c>
    </row>
    <row r="458">
      <c r="A458" s="10">
        <v>49.0</v>
      </c>
      <c r="B458" s="11" t="s">
        <v>1167</v>
      </c>
      <c r="C458" s="12">
        <v>15.0</v>
      </c>
      <c r="D458" s="11" t="s">
        <v>470</v>
      </c>
      <c r="E458" s="11" t="s">
        <v>96</v>
      </c>
      <c r="F458" s="11" t="s">
        <v>18</v>
      </c>
      <c r="G458" s="13"/>
      <c r="H458" s="12" t="s">
        <v>19</v>
      </c>
      <c r="I458" s="11" t="s">
        <v>470</v>
      </c>
      <c r="J458" s="11" t="s">
        <v>21</v>
      </c>
      <c r="K458" s="13"/>
      <c r="L458" s="14" t="s">
        <v>1168</v>
      </c>
    </row>
    <row r="459">
      <c r="A459" s="15">
        <v>39.0</v>
      </c>
      <c r="B459" s="16" t="s">
        <v>1169</v>
      </c>
      <c r="C459" s="17">
        <v>81.0</v>
      </c>
      <c r="D459" s="16" t="s">
        <v>470</v>
      </c>
      <c r="E459" s="16" t="s">
        <v>25</v>
      </c>
      <c r="F459" s="16" t="s">
        <v>18</v>
      </c>
      <c r="G459" s="18"/>
      <c r="H459" s="17" t="s">
        <v>19</v>
      </c>
      <c r="I459" s="16" t="s">
        <v>470</v>
      </c>
      <c r="J459" s="16" t="s">
        <v>21</v>
      </c>
      <c r="K459" s="18"/>
      <c r="L459" s="19" t="s">
        <v>1170</v>
      </c>
    </row>
    <row r="460">
      <c r="A460" s="10">
        <v>38.0</v>
      </c>
      <c r="B460" s="11" t="s">
        <v>1171</v>
      </c>
      <c r="C460" s="12">
        <v>48.0</v>
      </c>
      <c r="D460" s="11" t="s">
        <v>470</v>
      </c>
      <c r="E460" s="11" t="s">
        <v>25</v>
      </c>
      <c r="F460" s="11" t="s">
        <v>18</v>
      </c>
      <c r="G460" s="13"/>
      <c r="H460" s="12" t="s">
        <v>19</v>
      </c>
      <c r="I460" s="11" t="s">
        <v>470</v>
      </c>
      <c r="J460" s="11" t="s">
        <v>21</v>
      </c>
      <c r="K460" s="13"/>
      <c r="L460" s="14" t="s">
        <v>1172</v>
      </c>
    </row>
    <row r="461">
      <c r="A461" s="15">
        <v>37.0</v>
      </c>
      <c r="B461" s="16" t="s">
        <v>1173</v>
      </c>
      <c r="C461" s="17">
        <v>15.0</v>
      </c>
      <c r="D461" s="16" t="s">
        <v>470</v>
      </c>
      <c r="E461" s="16" t="s">
        <v>104</v>
      </c>
      <c r="F461" s="16" t="s">
        <v>18</v>
      </c>
      <c r="G461" s="18"/>
      <c r="H461" s="17" t="s">
        <v>19</v>
      </c>
      <c r="I461" s="16" t="s">
        <v>470</v>
      </c>
      <c r="J461" s="16" t="s">
        <v>21</v>
      </c>
      <c r="K461" s="18"/>
      <c r="L461" s="19" t="s">
        <v>1174</v>
      </c>
    </row>
    <row r="462">
      <c r="A462" s="10">
        <v>40.0</v>
      </c>
      <c r="B462" s="11" t="s">
        <v>1175</v>
      </c>
      <c r="C462" s="12">
        <v>63.0</v>
      </c>
      <c r="D462" s="11" t="s">
        <v>470</v>
      </c>
      <c r="E462" s="11" t="s">
        <v>25</v>
      </c>
      <c r="F462" s="11" t="s">
        <v>18</v>
      </c>
      <c r="G462" s="13"/>
      <c r="H462" s="12" t="s">
        <v>19</v>
      </c>
      <c r="I462" s="11" t="s">
        <v>470</v>
      </c>
      <c r="J462" s="11" t="s">
        <v>21</v>
      </c>
      <c r="K462" s="13"/>
      <c r="L462" s="14" t="s">
        <v>1176</v>
      </c>
    </row>
    <row r="463">
      <c r="A463" s="15">
        <v>47.0</v>
      </c>
      <c r="B463" s="16" t="s">
        <v>1177</v>
      </c>
      <c r="C463" s="17">
        <v>62.0</v>
      </c>
      <c r="D463" s="16" t="s">
        <v>470</v>
      </c>
      <c r="E463" s="16" t="s">
        <v>25</v>
      </c>
      <c r="F463" s="16" t="s">
        <v>18</v>
      </c>
      <c r="G463" s="18"/>
      <c r="H463" s="17" t="s">
        <v>19</v>
      </c>
      <c r="I463" s="16" t="s">
        <v>300</v>
      </c>
      <c r="J463" s="16" t="s">
        <v>21</v>
      </c>
      <c r="K463" s="18"/>
      <c r="L463" s="19" t="s">
        <v>1178</v>
      </c>
    </row>
    <row r="464">
      <c r="A464" s="10">
        <v>42.0</v>
      </c>
      <c r="B464" s="11" t="s">
        <v>1179</v>
      </c>
      <c r="C464" s="12">
        <v>65.0</v>
      </c>
      <c r="D464" s="11" t="s">
        <v>470</v>
      </c>
      <c r="E464" s="11" t="s">
        <v>17</v>
      </c>
      <c r="F464" s="11" t="s">
        <v>18</v>
      </c>
      <c r="G464" s="13"/>
      <c r="H464" s="12" t="s">
        <v>19</v>
      </c>
      <c r="I464" s="11" t="s">
        <v>470</v>
      </c>
      <c r="J464" s="11" t="s">
        <v>21</v>
      </c>
      <c r="K464" s="13"/>
      <c r="L464" s="14" t="s">
        <v>1180</v>
      </c>
    </row>
    <row r="465">
      <c r="A465" s="15">
        <v>41.0</v>
      </c>
      <c r="B465" s="16" t="s">
        <v>1181</v>
      </c>
      <c r="C465" s="17">
        <v>65.0</v>
      </c>
      <c r="D465" s="16" t="s">
        <v>470</v>
      </c>
      <c r="E465" s="16" t="s">
        <v>25</v>
      </c>
      <c r="F465" s="16" t="s">
        <v>18</v>
      </c>
      <c r="G465" s="18"/>
      <c r="H465" s="17" t="s">
        <v>19</v>
      </c>
      <c r="I465" s="16" t="s">
        <v>470</v>
      </c>
      <c r="J465" s="16" t="s">
        <v>21</v>
      </c>
      <c r="K465" s="18"/>
      <c r="L465" s="19" t="s">
        <v>1182</v>
      </c>
    </row>
    <row r="466">
      <c r="A466" s="10">
        <v>43.0</v>
      </c>
      <c r="B466" s="11" t="s">
        <v>1183</v>
      </c>
      <c r="C466" s="12">
        <v>75.0</v>
      </c>
      <c r="D466" s="11" t="s">
        <v>470</v>
      </c>
      <c r="E466" s="11" t="s">
        <v>17</v>
      </c>
      <c r="F466" s="11" t="s">
        <v>18</v>
      </c>
      <c r="G466" s="13"/>
      <c r="H466" s="12" t="s">
        <v>19</v>
      </c>
      <c r="I466" s="11" t="s">
        <v>470</v>
      </c>
      <c r="J466" s="11" t="s">
        <v>21</v>
      </c>
      <c r="K466" s="13"/>
      <c r="L466" s="14" t="s">
        <v>1184</v>
      </c>
    </row>
    <row r="467">
      <c r="A467" s="15">
        <v>44.0</v>
      </c>
      <c r="B467" s="16" t="s">
        <v>1185</v>
      </c>
      <c r="C467" s="17">
        <v>20.0</v>
      </c>
      <c r="D467" s="16" t="s">
        <v>470</v>
      </c>
      <c r="E467" s="16" t="s">
        <v>17</v>
      </c>
      <c r="F467" s="16" t="s">
        <v>478</v>
      </c>
      <c r="G467" s="16" t="s">
        <v>1186</v>
      </c>
      <c r="H467" s="17" t="s">
        <v>19</v>
      </c>
      <c r="I467" s="16" t="s">
        <v>470</v>
      </c>
      <c r="J467" s="16" t="s">
        <v>21</v>
      </c>
      <c r="K467" s="18"/>
      <c r="L467" s="19" t="s">
        <v>1187</v>
      </c>
    </row>
    <row r="468">
      <c r="A468" s="10">
        <v>77.0</v>
      </c>
      <c r="B468" s="11" t="s">
        <v>1188</v>
      </c>
      <c r="C468" s="12">
        <v>63.0</v>
      </c>
      <c r="D468" s="11" t="s">
        <v>470</v>
      </c>
      <c r="E468" s="11" t="s">
        <v>25</v>
      </c>
      <c r="F468" s="11" t="s">
        <v>18</v>
      </c>
      <c r="G468" s="13"/>
      <c r="H468" s="12" t="s">
        <v>19</v>
      </c>
      <c r="I468" s="11" t="s">
        <v>470</v>
      </c>
      <c r="J468" s="11" t="s">
        <v>21</v>
      </c>
      <c r="K468" s="13"/>
      <c r="L468" s="14" t="s">
        <v>1189</v>
      </c>
    </row>
    <row r="469">
      <c r="A469" s="15">
        <v>78.0</v>
      </c>
      <c r="B469" s="16" t="s">
        <v>1190</v>
      </c>
      <c r="C469" s="17">
        <v>73.0</v>
      </c>
      <c r="D469" s="16" t="s">
        <v>470</v>
      </c>
      <c r="E469" s="16" t="s">
        <v>17</v>
      </c>
      <c r="F469" s="16" t="s">
        <v>18</v>
      </c>
      <c r="G469" s="18"/>
      <c r="H469" s="17" t="s">
        <v>19</v>
      </c>
      <c r="I469" s="16" t="s">
        <v>470</v>
      </c>
      <c r="J469" s="16" t="s">
        <v>21</v>
      </c>
      <c r="K469" s="18"/>
      <c r="L469" s="19" t="s">
        <v>1191</v>
      </c>
    </row>
    <row r="470">
      <c r="A470" s="10">
        <v>1367.0</v>
      </c>
      <c r="B470" s="11" t="s">
        <v>1192</v>
      </c>
      <c r="C470" s="12">
        <v>34.0</v>
      </c>
      <c r="D470" s="11" t="s">
        <v>173</v>
      </c>
      <c r="E470" s="11" t="s">
        <v>17</v>
      </c>
      <c r="F470" s="11" t="s">
        <v>142</v>
      </c>
      <c r="G470" s="11" t="s">
        <v>689</v>
      </c>
      <c r="H470" s="12" t="s">
        <v>19</v>
      </c>
      <c r="I470" s="11" t="s">
        <v>150</v>
      </c>
      <c r="J470" s="11" t="s">
        <v>21</v>
      </c>
      <c r="K470" s="13"/>
      <c r="L470" s="14" t="s">
        <v>1193</v>
      </c>
    </row>
    <row r="471">
      <c r="A471" s="15">
        <v>75.0</v>
      </c>
      <c r="B471" s="16" t="s">
        <v>1194</v>
      </c>
      <c r="C471" s="17">
        <v>68.0</v>
      </c>
      <c r="D471" s="16" t="s">
        <v>470</v>
      </c>
      <c r="E471" s="16" t="s">
        <v>25</v>
      </c>
      <c r="F471" s="16" t="s">
        <v>18</v>
      </c>
      <c r="G471" s="18"/>
      <c r="H471" s="17" t="s">
        <v>19</v>
      </c>
      <c r="I471" s="16" t="s">
        <v>470</v>
      </c>
      <c r="J471" s="16" t="s">
        <v>21</v>
      </c>
      <c r="K471" s="18"/>
      <c r="L471" s="19" t="s">
        <v>1195</v>
      </c>
    </row>
    <row r="472">
      <c r="A472" s="10">
        <v>64.0</v>
      </c>
      <c r="B472" s="11" t="s">
        <v>1196</v>
      </c>
      <c r="C472" s="12">
        <v>68.0</v>
      </c>
      <c r="D472" s="11" t="s">
        <v>470</v>
      </c>
      <c r="E472" s="11" t="s">
        <v>17</v>
      </c>
      <c r="F472" s="11" t="s">
        <v>18</v>
      </c>
      <c r="G472" s="13"/>
      <c r="H472" s="12" t="s">
        <v>19</v>
      </c>
      <c r="I472" s="11" t="s">
        <v>300</v>
      </c>
      <c r="J472" s="11" t="s">
        <v>21</v>
      </c>
      <c r="K472" s="13"/>
      <c r="L472" s="14" t="s">
        <v>1197</v>
      </c>
    </row>
    <row r="473">
      <c r="A473" s="15">
        <v>84.0</v>
      </c>
      <c r="B473" s="16" t="s">
        <v>1198</v>
      </c>
      <c r="C473" s="17">
        <v>54.0</v>
      </c>
      <c r="D473" s="16" t="s">
        <v>470</v>
      </c>
      <c r="E473" s="16" t="s">
        <v>25</v>
      </c>
      <c r="F473" s="16" t="s">
        <v>18</v>
      </c>
      <c r="G473" s="18"/>
      <c r="H473" s="17" t="s">
        <v>19</v>
      </c>
      <c r="I473" s="16" t="s">
        <v>470</v>
      </c>
      <c r="J473" s="16" t="s">
        <v>21</v>
      </c>
      <c r="K473" s="18"/>
      <c r="L473" s="19" t="s">
        <v>1199</v>
      </c>
    </row>
    <row r="474">
      <c r="A474" s="10">
        <v>81.0</v>
      </c>
      <c r="B474" s="11" t="s">
        <v>1200</v>
      </c>
      <c r="C474" s="12">
        <v>72.0</v>
      </c>
      <c r="D474" s="11" t="s">
        <v>470</v>
      </c>
      <c r="E474" s="11" t="s">
        <v>17</v>
      </c>
      <c r="F474" s="11" t="s">
        <v>18</v>
      </c>
      <c r="G474" s="13"/>
      <c r="H474" s="12" t="s">
        <v>19</v>
      </c>
      <c r="I474" s="11" t="s">
        <v>300</v>
      </c>
      <c r="J474" s="11" t="s">
        <v>21</v>
      </c>
      <c r="K474" s="13"/>
      <c r="L474" s="14" t="s">
        <v>1201</v>
      </c>
    </row>
    <row r="475">
      <c r="A475" s="15">
        <v>82.0</v>
      </c>
      <c r="B475" s="16" t="s">
        <v>1202</v>
      </c>
      <c r="C475" s="17">
        <v>68.0</v>
      </c>
      <c r="D475" s="16" t="s">
        <v>470</v>
      </c>
      <c r="E475" s="16" t="s">
        <v>25</v>
      </c>
      <c r="F475" s="16" t="s">
        <v>18</v>
      </c>
      <c r="G475" s="18"/>
      <c r="H475" s="17" t="s">
        <v>19</v>
      </c>
      <c r="I475" s="16" t="s">
        <v>300</v>
      </c>
      <c r="J475" s="16" t="s">
        <v>21</v>
      </c>
      <c r="K475" s="18"/>
      <c r="L475" s="19" t="s">
        <v>1203</v>
      </c>
    </row>
    <row r="476">
      <c r="A476" s="10">
        <v>36.0</v>
      </c>
      <c r="B476" s="11" t="s">
        <v>1204</v>
      </c>
      <c r="C476" s="12">
        <v>65.0</v>
      </c>
      <c r="D476" s="11" t="s">
        <v>470</v>
      </c>
      <c r="E476" s="11" t="s">
        <v>17</v>
      </c>
      <c r="F476" s="11" t="s">
        <v>18</v>
      </c>
      <c r="G476" s="13"/>
      <c r="H476" s="12" t="s">
        <v>19</v>
      </c>
      <c r="I476" s="11" t="s">
        <v>470</v>
      </c>
      <c r="J476" s="11" t="s">
        <v>21</v>
      </c>
      <c r="K476" s="13"/>
      <c r="L476" s="14" t="s">
        <v>1205</v>
      </c>
    </row>
    <row r="477">
      <c r="A477" s="15">
        <v>86.0</v>
      </c>
      <c r="B477" s="16" t="s">
        <v>1206</v>
      </c>
      <c r="C477" s="17">
        <v>65.0</v>
      </c>
      <c r="D477" s="16" t="s">
        <v>470</v>
      </c>
      <c r="E477" s="16" t="s">
        <v>25</v>
      </c>
      <c r="F477" s="16" t="s">
        <v>18</v>
      </c>
      <c r="G477" s="18"/>
      <c r="H477" s="17" t="s">
        <v>19</v>
      </c>
      <c r="I477" s="16" t="s">
        <v>470</v>
      </c>
      <c r="J477" s="16" t="s">
        <v>21</v>
      </c>
      <c r="K477" s="18"/>
      <c r="L477" s="19" t="s">
        <v>1207</v>
      </c>
    </row>
    <row r="478">
      <c r="A478" s="10">
        <v>87.0</v>
      </c>
      <c r="B478" s="11" t="s">
        <v>1208</v>
      </c>
      <c r="C478" s="12">
        <v>68.0</v>
      </c>
      <c r="D478" s="11" t="s">
        <v>470</v>
      </c>
      <c r="E478" s="11" t="s">
        <v>17</v>
      </c>
      <c r="F478" s="11" t="s">
        <v>18</v>
      </c>
      <c r="G478" s="13"/>
      <c r="H478" s="12" t="s">
        <v>19</v>
      </c>
      <c r="I478" s="11" t="s">
        <v>470</v>
      </c>
      <c r="J478" s="11" t="s">
        <v>21</v>
      </c>
      <c r="K478" s="13"/>
      <c r="L478" s="14" t="s">
        <v>1209</v>
      </c>
    </row>
    <row r="479">
      <c r="A479" s="15">
        <v>184.0</v>
      </c>
      <c r="B479" s="16" t="s">
        <v>1210</v>
      </c>
      <c r="C479" s="17">
        <v>69.0</v>
      </c>
      <c r="D479" s="16" t="s">
        <v>470</v>
      </c>
      <c r="E479" s="16" t="s">
        <v>25</v>
      </c>
      <c r="F479" s="16" t="s">
        <v>18</v>
      </c>
      <c r="G479" s="18"/>
      <c r="H479" s="17" t="s">
        <v>19</v>
      </c>
      <c r="I479" s="16" t="s">
        <v>470</v>
      </c>
      <c r="J479" s="16" t="s">
        <v>21</v>
      </c>
      <c r="K479" s="18"/>
      <c r="L479" s="19" t="s">
        <v>1211</v>
      </c>
    </row>
    <row r="480">
      <c r="A480" s="10">
        <v>182.0</v>
      </c>
      <c r="B480" s="11" t="s">
        <v>1212</v>
      </c>
      <c r="C480" s="12">
        <v>69.0</v>
      </c>
      <c r="D480" s="11" t="s">
        <v>470</v>
      </c>
      <c r="E480" s="11" t="s">
        <v>17</v>
      </c>
      <c r="F480" s="11" t="s">
        <v>18</v>
      </c>
      <c r="G480" s="13"/>
      <c r="H480" s="12" t="s">
        <v>19</v>
      </c>
      <c r="I480" s="11" t="s">
        <v>470</v>
      </c>
      <c r="J480" s="11" t="s">
        <v>21</v>
      </c>
      <c r="K480" s="13"/>
      <c r="L480" s="14" t="s">
        <v>1213</v>
      </c>
    </row>
    <row r="481">
      <c r="A481" s="15">
        <v>185.0</v>
      </c>
      <c r="B481" s="16" t="s">
        <v>1214</v>
      </c>
      <c r="C481" s="17">
        <v>65.0</v>
      </c>
      <c r="D481" s="16" t="s">
        <v>470</v>
      </c>
      <c r="E481" s="16" t="s">
        <v>17</v>
      </c>
      <c r="F481" s="16" t="s">
        <v>18</v>
      </c>
      <c r="G481" s="18"/>
      <c r="H481" s="17" t="s">
        <v>19</v>
      </c>
      <c r="I481" s="16" t="s">
        <v>470</v>
      </c>
      <c r="J481" s="16" t="s">
        <v>21</v>
      </c>
      <c r="K481" s="18"/>
      <c r="L481" s="19" t="s">
        <v>1215</v>
      </c>
    </row>
    <row r="482">
      <c r="A482" s="10">
        <v>188.0</v>
      </c>
      <c r="B482" s="11" t="s">
        <v>1216</v>
      </c>
      <c r="C482" s="12">
        <v>73.0</v>
      </c>
      <c r="D482" s="11" t="s">
        <v>470</v>
      </c>
      <c r="E482" s="11" t="s">
        <v>17</v>
      </c>
      <c r="F482" s="11" t="s">
        <v>18</v>
      </c>
      <c r="G482" s="13"/>
      <c r="H482" s="12" t="s">
        <v>19</v>
      </c>
      <c r="I482" s="11" t="s">
        <v>470</v>
      </c>
      <c r="J482" s="11" t="s">
        <v>21</v>
      </c>
      <c r="K482" s="13"/>
      <c r="L482" s="14" t="s">
        <v>1217</v>
      </c>
    </row>
    <row r="483">
      <c r="A483" s="15">
        <v>1442.0</v>
      </c>
      <c r="B483" s="16" t="s">
        <v>1218</v>
      </c>
      <c r="C483" s="17">
        <v>60.0</v>
      </c>
      <c r="D483" s="16" t="s">
        <v>89</v>
      </c>
      <c r="E483" s="16" t="s">
        <v>17</v>
      </c>
      <c r="F483" s="16" t="s">
        <v>18</v>
      </c>
      <c r="G483" s="18"/>
      <c r="H483" s="17" t="s">
        <v>19</v>
      </c>
      <c r="I483" s="16" t="s">
        <v>1219</v>
      </c>
      <c r="J483" s="16" t="s">
        <v>21</v>
      </c>
      <c r="K483" s="18"/>
      <c r="L483" s="19" t="s">
        <v>1220</v>
      </c>
    </row>
    <row r="484">
      <c r="A484" s="10">
        <v>155.0</v>
      </c>
      <c r="B484" s="11" t="s">
        <v>1221</v>
      </c>
      <c r="C484" s="12">
        <v>73.0</v>
      </c>
      <c r="D484" s="11" t="s">
        <v>470</v>
      </c>
      <c r="E484" s="11" t="s">
        <v>25</v>
      </c>
      <c r="F484" s="11" t="s">
        <v>18</v>
      </c>
      <c r="G484" s="13"/>
      <c r="H484" s="12" t="s">
        <v>19</v>
      </c>
      <c r="I484" s="11" t="s">
        <v>300</v>
      </c>
      <c r="J484" s="11" t="s">
        <v>21</v>
      </c>
      <c r="K484" s="13"/>
      <c r="L484" s="14" t="s">
        <v>1222</v>
      </c>
    </row>
    <row r="485">
      <c r="A485" s="15">
        <v>158.0</v>
      </c>
      <c r="B485" s="16" t="s">
        <v>1223</v>
      </c>
      <c r="C485" s="17">
        <v>12.0</v>
      </c>
      <c r="D485" s="16" t="s">
        <v>470</v>
      </c>
      <c r="E485" s="16" t="s">
        <v>96</v>
      </c>
      <c r="F485" s="16" t="s">
        <v>18</v>
      </c>
      <c r="G485" s="18"/>
      <c r="H485" s="17" t="s">
        <v>19</v>
      </c>
      <c r="I485" s="16" t="s">
        <v>300</v>
      </c>
      <c r="J485" s="16" t="s">
        <v>21</v>
      </c>
      <c r="K485" s="18"/>
      <c r="L485" s="19" t="s">
        <v>1224</v>
      </c>
    </row>
    <row r="486">
      <c r="A486" s="10">
        <v>313.0</v>
      </c>
      <c r="B486" s="11" t="s">
        <v>1225</v>
      </c>
      <c r="C486" s="12">
        <v>48.0</v>
      </c>
      <c r="D486" s="11" t="s">
        <v>195</v>
      </c>
      <c r="E486" s="11" t="s">
        <v>17</v>
      </c>
      <c r="F486" s="11" t="s">
        <v>18</v>
      </c>
      <c r="G486" s="13"/>
      <c r="H486" s="12" t="s">
        <v>19</v>
      </c>
      <c r="I486" s="11" t="s">
        <v>195</v>
      </c>
      <c r="J486" s="11" t="s">
        <v>21</v>
      </c>
      <c r="K486" s="13"/>
      <c r="L486" s="14" t="s">
        <v>1226</v>
      </c>
    </row>
    <row r="487">
      <c r="A487" s="15">
        <v>147.0</v>
      </c>
      <c r="B487" s="16" t="s">
        <v>1227</v>
      </c>
      <c r="C487" s="17">
        <v>15.0</v>
      </c>
      <c r="D487" s="16" t="s">
        <v>470</v>
      </c>
      <c r="E487" s="16" t="s">
        <v>104</v>
      </c>
      <c r="F487" s="16" t="s">
        <v>18</v>
      </c>
      <c r="G487" s="18"/>
      <c r="H487" s="17" t="s">
        <v>19</v>
      </c>
      <c r="I487" s="16" t="s">
        <v>470</v>
      </c>
      <c r="J487" s="16" t="s">
        <v>21</v>
      </c>
      <c r="K487" s="18"/>
      <c r="L487" s="19" t="s">
        <v>1228</v>
      </c>
    </row>
    <row r="488">
      <c r="A488" s="10">
        <v>89.0</v>
      </c>
      <c r="B488" s="11" t="s">
        <v>1229</v>
      </c>
      <c r="C488" s="12">
        <v>65.0</v>
      </c>
      <c r="D488" s="11" t="s">
        <v>470</v>
      </c>
      <c r="E488" s="11" t="s">
        <v>25</v>
      </c>
      <c r="F488" s="11" t="s">
        <v>18</v>
      </c>
      <c r="G488" s="13"/>
      <c r="H488" s="12" t="s">
        <v>19</v>
      </c>
      <c r="I488" s="11" t="s">
        <v>470</v>
      </c>
      <c r="J488" s="11" t="s">
        <v>21</v>
      </c>
      <c r="K488" s="13"/>
      <c r="L488" s="14" t="s">
        <v>1230</v>
      </c>
    </row>
    <row r="489">
      <c r="A489" s="15">
        <v>140.0</v>
      </c>
      <c r="B489" s="16" t="s">
        <v>1231</v>
      </c>
      <c r="C489" s="17">
        <v>43.0</v>
      </c>
      <c r="D489" s="16" t="s">
        <v>470</v>
      </c>
      <c r="E489" s="16" t="s">
        <v>17</v>
      </c>
      <c r="F489" s="16" t="s">
        <v>18</v>
      </c>
      <c r="G489" s="18"/>
      <c r="H489" s="17" t="s">
        <v>19</v>
      </c>
      <c r="I489" s="16" t="s">
        <v>470</v>
      </c>
      <c r="J489" s="16" t="s">
        <v>21</v>
      </c>
      <c r="K489" s="18"/>
      <c r="L489" s="19" t="s">
        <v>1232</v>
      </c>
    </row>
    <row r="490">
      <c r="A490" s="10">
        <v>62.0</v>
      </c>
      <c r="B490" s="11" t="s">
        <v>1233</v>
      </c>
      <c r="C490" s="12">
        <v>73.0</v>
      </c>
      <c r="D490" s="11" t="s">
        <v>470</v>
      </c>
      <c r="E490" s="11" t="s">
        <v>25</v>
      </c>
      <c r="F490" s="11" t="s">
        <v>18</v>
      </c>
      <c r="G490" s="13"/>
      <c r="H490" s="12" t="s">
        <v>19</v>
      </c>
      <c r="I490" s="11" t="s">
        <v>470</v>
      </c>
      <c r="J490" s="11" t="s">
        <v>21</v>
      </c>
      <c r="K490" s="13"/>
      <c r="L490" s="14" t="s">
        <v>1234</v>
      </c>
    </row>
    <row r="491">
      <c r="A491" s="15">
        <v>60.0</v>
      </c>
      <c r="B491" s="16" t="s">
        <v>1235</v>
      </c>
      <c r="C491" s="17">
        <v>0.0</v>
      </c>
      <c r="D491" s="16" t="s">
        <v>470</v>
      </c>
      <c r="E491" s="16" t="s">
        <v>96</v>
      </c>
      <c r="F491" s="16" t="s">
        <v>18</v>
      </c>
      <c r="G491" s="18"/>
      <c r="H491" s="17" t="s">
        <v>19</v>
      </c>
      <c r="I491" s="16" t="s">
        <v>470</v>
      </c>
      <c r="J491" s="16" t="s">
        <v>21</v>
      </c>
      <c r="K491" s="18"/>
      <c r="L491" s="19" t="s">
        <v>1236</v>
      </c>
    </row>
    <row r="492">
      <c r="A492" s="10">
        <v>61.0</v>
      </c>
      <c r="B492" s="11" t="s">
        <v>1237</v>
      </c>
      <c r="C492" s="12">
        <v>68.0</v>
      </c>
      <c r="D492" s="11" t="s">
        <v>470</v>
      </c>
      <c r="E492" s="11" t="s">
        <v>25</v>
      </c>
      <c r="F492" s="11" t="s">
        <v>18</v>
      </c>
      <c r="G492" s="13"/>
      <c r="H492" s="12" t="s">
        <v>19</v>
      </c>
      <c r="I492" s="11" t="s">
        <v>300</v>
      </c>
      <c r="J492" s="11" t="s">
        <v>21</v>
      </c>
      <c r="K492" s="13"/>
      <c r="L492" s="14" t="s">
        <v>1238</v>
      </c>
    </row>
    <row r="493">
      <c r="A493" s="15">
        <v>92.0</v>
      </c>
      <c r="B493" s="16" t="s">
        <v>1239</v>
      </c>
      <c r="C493" s="17">
        <v>87.0</v>
      </c>
      <c r="D493" s="16" t="s">
        <v>470</v>
      </c>
      <c r="E493" s="16" t="s">
        <v>25</v>
      </c>
      <c r="F493" s="16" t="s">
        <v>18</v>
      </c>
      <c r="G493" s="18"/>
      <c r="H493" s="17" t="s">
        <v>19</v>
      </c>
      <c r="I493" s="16" t="s">
        <v>470</v>
      </c>
      <c r="J493" s="16" t="s">
        <v>21</v>
      </c>
      <c r="K493" s="18"/>
      <c r="L493" s="19" t="s">
        <v>1240</v>
      </c>
    </row>
    <row r="494">
      <c r="A494" s="10">
        <v>65.0</v>
      </c>
      <c r="B494" s="11" t="s">
        <v>1241</v>
      </c>
      <c r="C494" s="12">
        <v>34.0</v>
      </c>
      <c r="D494" s="11" t="s">
        <v>274</v>
      </c>
      <c r="E494" s="11" t="s">
        <v>17</v>
      </c>
      <c r="F494" s="11" t="s">
        <v>56</v>
      </c>
      <c r="G494" s="13"/>
      <c r="H494" s="12" t="s">
        <v>19</v>
      </c>
      <c r="I494" s="11" t="s">
        <v>470</v>
      </c>
      <c r="J494" s="11" t="s">
        <v>57</v>
      </c>
      <c r="K494" s="13"/>
      <c r="L494" s="14" t="s">
        <v>1242</v>
      </c>
    </row>
    <row r="495">
      <c r="A495" s="15">
        <v>99.0</v>
      </c>
      <c r="B495" s="16" t="s">
        <v>1243</v>
      </c>
      <c r="C495" s="17">
        <v>80.0</v>
      </c>
      <c r="D495" s="16" t="s">
        <v>470</v>
      </c>
      <c r="E495" s="16" t="s">
        <v>17</v>
      </c>
      <c r="F495" s="16" t="s">
        <v>18</v>
      </c>
      <c r="G495" s="18"/>
      <c r="H495" s="17" t="s">
        <v>19</v>
      </c>
      <c r="I495" s="16" t="s">
        <v>470</v>
      </c>
      <c r="J495" s="16" t="s">
        <v>21</v>
      </c>
      <c r="K495" s="18"/>
      <c r="L495" s="19" t="s">
        <v>1244</v>
      </c>
    </row>
    <row r="496">
      <c r="A496" s="10">
        <v>101.0</v>
      </c>
      <c r="B496" s="11" t="s">
        <v>1245</v>
      </c>
      <c r="C496" s="12">
        <v>58.0</v>
      </c>
      <c r="D496" s="11" t="s">
        <v>470</v>
      </c>
      <c r="E496" s="11" t="s">
        <v>17</v>
      </c>
      <c r="F496" s="11" t="s">
        <v>18</v>
      </c>
      <c r="G496" s="13"/>
      <c r="H496" s="12" t="s">
        <v>19</v>
      </c>
      <c r="I496" s="11" t="s">
        <v>470</v>
      </c>
      <c r="J496" s="11" t="s">
        <v>21</v>
      </c>
      <c r="K496" s="13"/>
      <c r="L496" s="14" t="s">
        <v>1246</v>
      </c>
    </row>
    <row r="497">
      <c r="A497" s="15">
        <v>102.0</v>
      </c>
      <c r="B497" s="16" t="s">
        <v>1247</v>
      </c>
      <c r="C497" s="17">
        <v>60.0</v>
      </c>
      <c r="D497" s="16" t="s">
        <v>470</v>
      </c>
      <c r="E497" s="16" t="s">
        <v>25</v>
      </c>
      <c r="F497" s="16" t="s">
        <v>18</v>
      </c>
      <c r="G497" s="18"/>
      <c r="H497" s="17" t="s">
        <v>19</v>
      </c>
      <c r="I497" s="16" t="s">
        <v>470</v>
      </c>
      <c r="J497" s="16" t="s">
        <v>21</v>
      </c>
      <c r="K497" s="18"/>
      <c r="L497" s="19" t="s">
        <v>1248</v>
      </c>
    </row>
    <row r="498">
      <c r="A498" s="10">
        <v>105.0</v>
      </c>
      <c r="B498" s="11" t="s">
        <v>1249</v>
      </c>
      <c r="C498" s="12">
        <v>61.0</v>
      </c>
      <c r="D498" s="11" t="s">
        <v>470</v>
      </c>
      <c r="E498" s="11" t="s">
        <v>17</v>
      </c>
      <c r="F498" s="11" t="s">
        <v>18</v>
      </c>
      <c r="G498" s="13"/>
      <c r="H498" s="12" t="s">
        <v>19</v>
      </c>
      <c r="I498" s="11" t="s">
        <v>470</v>
      </c>
      <c r="J498" s="11" t="s">
        <v>21</v>
      </c>
      <c r="K498" s="13"/>
      <c r="L498" s="14" t="s">
        <v>1250</v>
      </c>
    </row>
    <row r="499">
      <c r="A499" s="15">
        <v>106.0</v>
      </c>
      <c r="B499" s="16" t="s">
        <v>1251</v>
      </c>
      <c r="C499" s="17">
        <v>84.0</v>
      </c>
      <c r="D499" s="16" t="s">
        <v>470</v>
      </c>
      <c r="E499" s="16" t="s">
        <v>17</v>
      </c>
      <c r="F499" s="16" t="s">
        <v>18</v>
      </c>
      <c r="G499" s="18"/>
      <c r="H499" s="17" t="s">
        <v>19</v>
      </c>
      <c r="I499" s="16" t="s">
        <v>470</v>
      </c>
      <c r="J499" s="16" t="s">
        <v>21</v>
      </c>
      <c r="K499" s="18"/>
      <c r="L499" s="19" t="s">
        <v>1252</v>
      </c>
    </row>
    <row r="500">
      <c r="A500" s="10">
        <v>57.0</v>
      </c>
      <c r="B500" s="11" t="s">
        <v>1253</v>
      </c>
      <c r="C500" s="12">
        <v>66.0</v>
      </c>
      <c r="D500" s="11" t="s">
        <v>470</v>
      </c>
      <c r="E500" s="11" t="s">
        <v>25</v>
      </c>
      <c r="F500" s="11" t="s">
        <v>18</v>
      </c>
      <c r="G500" s="13"/>
      <c r="H500" s="12" t="s">
        <v>19</v>
      </c>
      <c r="I500" s="11" t="s">
        <v>470</v>
      </c>
      <c r="J500" s="11" t="s">
        <v>21</v>
      </c>
      <c r="K500" s="13"/>
      <c r="L500" s="14" t="s">
        <v>1254</v>
      </c>
    </row>
    <row r="501">
      <c r="A501" s="15">
        <v>596.0</v>
      </c>
      <c r="B501" s="16" t="s">
        <v>1255</v>
      </c>
      <c r="C501" s="17">
        <v>80.0</v>
      </c>
      <c r="D501" s="16" t="s">
        <v>470</v>
      </c>
      <c r="E501" s="16" t="s">
        <v>17</v>
      </c>
      <c r="F501" s="16" t="s">
        <v>18</v>
      </c>
      <c r="G501" s="18"/>
      <c r="H501" s="17" t="s">
        <v>19</v>
      </c>
      <c r="I501" s="16" t="s">
        <v>470</v>
      </c>
      <c r="J501" s="16" t="s">
        <v>21</v>
      </c>
      <c r="K501" s="18"/>
      <c r="L501" s="19" t="s">
        <v>1256</v>
      </c>
    </row>
    <row r="502">
      <c r="A502" s="10">
        <v>103.0</v>
      </c>
      <c r="B502" s="11" t="s">
        <v>1257</v>
      </c>
      <c r="C502" s="12">
        <v>22.0</v>
      </c>
      <c r="D502" s="11" t="s">
        <v>1258</v>
      </c>
      <c r="E502" s="11" t="s">
        <v>25</v>
      </c>
      <c r="F502" s="11" t="s">
        <v>56</v>
      </c>
      <c r="G502" s="13"/>
      <c r="H502" s="12" t="s">
        <v>19</v>
      </c>
      <c r="I502" s="11" t="s">
        <v>470</v>
      </c>
      <c r="J502" s="11" t="s">
        <v>57</v>
      </c>
      <c r="K502" s="13"/>
      <c r="L502" s="14" t="s">
        <v>1259</v>
      </c>
    </row>
    <row r="503">
      <c r="A503" s="15">
        <v>108.0</v>
      </c>
      <c r="B503" s="16" t="s">
        <v>1260</v>
      </c>
      <c r="C503" s="17">
        <v>76.0</v>
      </c>
      <c r="D503" s="16" t="s">
        <v>470</v>
      </c>
      <c r="E503" s="16" t="s">
        <v>17</v>
      </c>
      <c r="F503" s="16" t="s">
        <v>18</v>
      </c>
      <c r="G503" s="18"/>
      <c r="H503" s="17" t="s">
        <v>19</v>
      </c>
      <c r="I503" s="16" t="s">
        <v>470</v>
      </c>
      <c r="J503" s="16" t="s">
        <v>21</v>
      </c>
      <c r="K503" s="18"/>
      <c r="L503" s="19" t="s">
        <v>1261</v>
      </c>
    </row>
    <row r="504">
      <c r="A504" s="10">
        <v>31.0</v>
      </c>
      <c r="B504" s="11" t="s">
        <v>1262</v>
      </c>
      <c r="C504" s="12">
        <v>66.0</v>
      </c>
      <c r="D504" s="11" t="s">
        <v>470</v>
      </c>
      <c r="E504" s="11" t="s">
        <v>25</v>
      </c>
      <c r="F504" s="11" t="s">
        <v>18</v>
      </c>
      <c r="G504" s="13"/>
      <c r="H504" s="12" t="s">
        <v>19</v>
      </c>
      <c r="I504" s="11" t="s">
        <v>470</v>
      </c>
      <c r="J504" s="11" t="s">
        <v>21</v>
      </c>
      <c r="K504" s="13"/>
      <c r="L504" s="14" t="s">
        <v>1263</v>
      </c>
    </row>
    <row r="505">
      <c r="A505" s="15">
        <v>137.0</v>
      </c>
      <c r="B505" s="16" t="s">
        <v>1264</v>
      </c>
      <c r="C505" s="17">
        <v>71.0</v>
      </c>
      <c r="D505" s="16" t="s">
        <v>470</v>
      </c>
      <c r="E505" s="16" t="s">
        <v>17</v>
      </c>
      <c r="F505" s="16" t="s">
        <v>18</v>
      </c>
      <c r="G505" s="18"/>
      <c r="H505" s="17" t="s">
        <v>19</v>
      </c>
      <c r="I505" s="16" t="s">
        <v>470</v>
      </c>
      <c r="J505" s="16" t="s">
        <v>21</v>
      </c>
      <c r="K505" s="18"/>
      <c r="L505" s="19" t="s">
        <v>1265</v>
      </c>
    </row>
    <row r="506">
      <c r="A506" s="10">
        <v>134.0</v>
      </c>
      <c r="B506" s="11" t="s">
        <v>1266</v>
      </c>
      <c r="C506" s="12">
        <v>76.0</v>
      </c>
      <c r="D506" s="11" t="s">
        <v>470</v>
      </c>
      <c r="E506" s="11" t="s">
        <v>25</v>
      </c>
      <c r="F506" s="11" t="s">
        <v>18</v>
      </c>
      <c r="G506" s="13"/>
      <c r="H506" s="12" t="s">
        <v>19</v>
      </c>
      <c r="I506" s="11" t="s">
        <v>470</v>
      </c>
      <c r="J506" s="11" t="s">
        <v>21</v>
      </c>
      <c r="K506" s="13"/>
      <c r="L506" s="14" t="s">
        <v>1267</v>
      </c>
    </row>
    <row r="507">
      <c r="A507" s="15">
        <v>131.0</v>
      </c>
      <c r="B507" s="16" t="s">
        <v>1268</v>
      </c>
      <c r="C507" s="17">
        <v>73.0</v>
      </c>
      <c r="D507" s="16" t="s">
        <v>159</v>
      </c>
      <c r="E507" s="16" t="s">
        <v>25</v>
      </c>
      <c r="F507" s="16" t="s">
        <v>18</v>
      </c>
      <c r="G507" s="18"/>
      <c r="H507" s="17" t="s">
        <v>19</v>
      </c>
      <c r="I507" s="16" t="s">
        <v>300</v>
      </c>
      <c r="J507" s="16" t="s">
        <v>21</v>
      </c>
      <c r="K507" s="18"/>
      <c r="L507" s="19" t="s">
        <v>1269</v>
      </c>
    </row>
    <row r="508">
      <c r="A508" s="10">
        <v>133.0</v>
      </c>
      <c r="B508" s="11" t="s">
        <v>1270</v>
      </c>
      <c r="C508" s="12">
        <v>49.0</v>
      </c>
      <c r="D508" s="11" t="s">
        <v>159</v>
      </c>
      <c r="E508" s="11" t="s">
        <v>17</v>
      </c>
      <c r="F508" s="11" t="s">
        <v>18</v>
      </c>
      <c r="G508" s="13"/>
      <c r="H508" s="12" t="s">
        <v>19</v>
      </c>
      <c r="I508" s="11" t="s">
        <v>300</v>
      </c>
      <c r="J508" s="11" t="s">
        <v>21</v>
      </c>
      <c r="K508" s="13"/>
      <c r="L508" s="14" t="s">
        <v>1271</v>
      </c>
    </row>
    <row r="509">
      <c r="A509" s="15">
        <v>132.0</v>
      </c>
      <c r="B509" s="16" t="s">
        <v>1272</v>
      </c>
      <c r="C509" s="17">
        <v>76.0</v>
      </c>
      <c r="D509" s="16" t="s">
        <v>159</v>
      </c>
      <c r="E509" s="16" t="s">
        <v>17</v>
      </c>
      <c r="F509" s="16" t="s">
        <v>18</v>
      </c>
      <c r="G509" s="18"/>
      <c r="H509" s="17" t="s">
        <v>19</v>
      </c>
      <c r="I509" s="16" t="s">
        <v>300</v>
      </c>
      <c r="J509" s="16" t="s">
        <v>21</v>
      </c>
      <c r="K509" s="18"/>
      <c r="L509" s="19" t="s">
        <v>1273</v>
      </c>
    </row>
    <row r="510">
      <c r="A510" s="10">
        <v>1330.0</v>
      </c>
      <c r="B510" s="11" t="s">
        <v>1274</v>
      </c>
      <c r="C510" s="12">
        <v>74.0</v>
      </c>
      <c r="D510" s="11" t="s">
        <v>470</v>
      </c>
      <c r="E510" s="11" t="s">
        <v>25</v>
      </c>
      <c r="F510" s="11" t="s">
        <v>18</v>
      </c>
      <c r="G510" s="13"/>
      <c r="H510" s="12" t="s">
        <v>19</v>
      </c>
      <c r="I510" s="11" t="s">
        <v>470</v>
      </c>
      <c r="J510" s="11" t="s">
        <v>21</v>
      </c>
      <c r="K510" s="13"/>
      <c r="L510" s="14" t="s">
        <v>1275</v>
      </c>
    </row>
    <row r="511">
      <c r="A511" s="15">
        <v>136.0</v>
      </c>
      <c r="B511" s="16" t="s">
        <v>1276</v>
      </c>
      <c r="C511" s="17">
        <v>70.0</v>
      </c>
      <c r="D511" s="16" t="s">
        <v>470</v>
      </c>
      <c r="E511" s="16" t="s">
        <v>25</v>
      </c>
      <c r="F511" s="16" t="s">
        <v>18</v>
      </c>
      <c r="G511" s="18"/>
      <c r="H511" s="17" t="s">
        <v>19</v>
      </c>
      <c r="I511" s="16" t="s">
        <v>470</v>
      </c>
      <c r="J511" s="16" t="s">
        <v>21</v>
      </c>
      <c r="K511" s="18"/>
      <c r="L511" s="19" t="s">
        <v>1277</v>
      </c>
    </row>
    <row r="512">
      <c r="A512" s="10">
        <v>72.0</v>
      </c>
      <c r="B512" s="11" t="s">
        <v>1278</v>
      </c>
      <c r="C512" s="12">
        <v>18.0</v>
      </c>
      <c r="D512" s="11" t="s">
        <v>89</v>
      </c>
      <c r="E512" s="11" t="s">
        <v>25</v>
      </c>
      <c r="F512" s="11" t="s">
        <v>18</v>
      </c>
      <c r="G512" s="13"/>
      <c r="H512" s="12" t="s">
        <v>19</v>
      </c>
      <c r="I512" s="11" t="s">
        <v>470</v>
      </c>
      <c r="J512" s="11" t="s">
        <v>21</v>
      </c>
      <c r="K512" s="13"/>
      <c r="L512" s="14" t="s">
        <v>1279</v>
      </c>
    </row>
    <row r="513">
      <c r="A513" s="15">
        <v>73.0</v>
      </c>
      <c r="B513" s="16" t="s">
        <v>1280</v>
      </c>
      <c r="C513" s="17">
        <v>64.0</v>
      </c>
      <c r="D513" s="16" t="s">
        <v>470</v>
      </c>
      <c r="E513" s="16" t="s">
        <v>25</v>
      </c>
      <c r="F513" s="16" t="s">
        <v>18</v>
      </c>
      <c r="G513" s="18"/>
      <c r="H513" s="17" t="s">
        <v>19</v>
      </c>
      <c r="I513" s="16" t="s">
        <v>470</v>
      </c>
      <c r="J513" s="16" t="s">
        <v>21</v>
      </c>
      <c r="K513" s="18"/>
      <c r="L513" s="19" t="s">
        <v>1281</v>
      </c>
    </row>
    <row r="514">
      <c r="A514" s="10">
        <v>1479.0</v>
      </c>
      <c r="B514" s="11" t="s">
        <v>1282</v>
      </c>
      <c r="C514" s="12">
        <v>69.0</v>
      </c>
      <c r="D514" s="11" t="s">
        <v>470</v>
      </c>
      <c r="E514" s="11" t="s">
        <v>25</v>
      </c>
      <c r="F514" s="11" t="s">
        <v>18</v>
      </c>
      <c r="G514" s="13"/>
      <c r="H514" s="12" t="s">
        <v>19</v>
      </c>
      <c r="I514" s="11" t="s">
        <v>470</v>
      </c>
      <c r="J514" s="11" t="s">
        <v>21</v>
      </c>
      <c r="K514" s="13"/>
      <c r="L514" s="14" t="s">
        <v>1283</v>
      </c>
    </row>
    <row r="515">
      <c r="A515" s="15">
        <v>63.0</v>
      </c>
      <c r="B515" s="16" t="s">
        <v>1284</v>
      </c>
      <c r="C515" s="17">
        <v>72.0</v>
      </c>
      <c r="D515" s="16" t="s">
        <v>470</v>
      </c>
      <c r="E515" s="16" t="s">
        <v>17</v>
      </c>
      <c r="F515" s="16" t="s">
        <v>18</v>
      </c>
      <c r="G515" s="18"/>
      <c r="H515" s="17" t="s">
        <v>19</v>
      </c>
      <c r="I515" s="16" t="s">
        <v>470</v>
      </c>
      <c r="J515" s="16" t="s">
        <v>21</v>
      </c>
      <c r="K515" s="18"/>
      <c r="L515" s="19" t="s">
        <v>1285</v>
      </c>
    </row>
    <row r="516">
      <c r="A516" s="10">
        <v>93.0</v>
      </c>
      <c r="B516" s="11" t="s">
        <v>1286</v>
      </c>
      <c r="C516" s="12">
        <v>71.0</v>
      </c>
      <c r="D516" s="11" t="s">
        <v>470</v>
      </c>
      <c r="E516" s="11" t="s">
        <v>17</v>
      </c>
      <c r="F516" s="11" t="s">
        <v>18</v>
      </c>
      <c r="G516" s="13"/>
      <c r="H516" s="12" t="s">
        <v>19</v>
      </c>
      <c r="I516" s="11" t="s">
        <v>470</v>
      </c>
      <c r="J516" s="11" t="s">
        <v>21</v>
      </c>
      <c r="K516" s="13"/>
      <c r="L516" s="14" t="s">
        <v>1287</v>
      </c>
    </row>
    <row r="517">
      <c r="A517" s="15">
        <v>96.0</v>
      </c>
      <c r="B517" s="16" t="s">
        <v>1288</v>
      </c>
      <c r="C517" s="17">
        <v>65.0</v>
      </c>
      <c r="D517" s="16" t="s">
        <v>470</v>
      </c>
      <c r="E517" s="16" t="s">
        <v>17</v>
      </c>
      <c r="F517" s="16" t="s">
        <v>18</v>
      </c>
      <c r="G517" s="18"/>
      <c r="H517" s="17" t="s">
        <v>19</v>
      </c>
      <c r="I517" s="16" t="s">
        <v>470</v>
      </c>
      <c r="J517" s="16" t="s">
        <v>21</v>
      </c>
      <c r="K517" s="18"/>
      <c r="L517" s="19" t="s">
        <v>1289</v>
      </c>
    </row>
    <row r="518">
      <c r="A518" s="10">
        <v>95.0</v>
      </c>
      <c r="B518" s="11" t="s">
        <v>1290</v>
      </c>
      <c r="C518" s="12">
        <v>60.0</v>
      </c>
      <c r="D518" s="11" t="s">
        <v>470</v>
      </c>
      <c r="E518" s="11" t="s">
        <v>25</v>
      </c>
      <c r="F518" s="11" t="s">
        <v>18</v>
      </c>
      <c r="G518" s="13"/>
      <c r="H518" s="12" t="s">
        <v>19</v>
      </c>
      <c r="I518" s="11" t="s">
        <v>470</v>
      </c>
      <c r="J518" s="11" t="s">
        <v>21</v>
      </c>
      <c r="K518" s="13"/>
      <c r="L518" s="14" t="s">
        <v>1291</v>
      </c>
    </row>
    <row r="519">
      <c r="A519" s="15">
        <v>90.0</v>
      </c>
      <c r="B519" s="16" t="s">
        <v>1292</v>
      </c>
      <c r="C519" s="17">
        <v>66.0</v>
      </c>
      <c r="D519" s="16" t="s">
        <v>470</v>
      </c>
      <c r="E519" s="16" t="s">
        <v>25</v>
      </c>
      <c r="F519" s="16" t="s">
        <v>18</v>
      </c>
      <c r="G519" s="18"/>
      <c r="H519" s="17" t="s">
        <v>19</v>
      </c>
      <c r="I519" s="16" t="s">
        <v>470</v>
      </c>
      <c r="J519" s="16" t="s">
        <v>21</v>
      </c>
      <c r="K519" s="18"/>
      <c r="L519" s="19" t="s">
        <v>1293</v>
      </c>
    </row>
    <row r="520">
      <c r="A520" s="10">
        <v>91.0</v>
      </c>
      <c r="B520" s="11" t="s">
        <v>1294</v>
      </c>
      <c r="C520" s="12">
        <v>68.0</v>
      </c>
      <c r="D520" s="11" t="s">
        <v>470</v>
      </c>
      <c r="E520" s="11" t="s">
        <v>17</v>
      </c>
      <c r="F520" s="11" t="s">
        <v>18</v>
      </c>
      <c r="G520" s="13"/>
      <c r="H520" s="12" t="s">
        <v>19</v>
      </c>
      <c r="I520" s="11" t="s">
        <v>470</v>
      </c>
      <c r="J520" s="11" t="s">
        <v>21</v>
      </c>
      <c r="K520" s="13"/>
      <c r="L520" s="14" t="s">
        <v>1295</v>
      </c>
    </row>
    <row r="521">
      <c r="A521" s="15">
        <v>58.0</v>
      </c>
      <c r="B521" s="16" t="s">
        <v>1296</v>
      </c>
      <c r="C521" s="17">
        <v>72.0</v>
      </c>
      <c r="D521" s="16" t="s">
        <v>470</v>
      </c>
      <c r="E521" s="16" t="s">
        <v>17</v>
      </c>
      <c r="F521" s="16" t="s">
        <v>18</v>
      </c>
      <c r="G521" s="18"/>
      <c r="H521" s="17" t="s">
        <v>19</v>
      </c>
      <c r="I521" s="16" t="s">
        <v>470</v>
      </c>
      <c r="J521" s="16" t="s">
        <v>21</v>
      </c>
      <c r="K521" s="18"/>
      <c r="L521" s="19" t="s">
        <v>1297</v>
      </c>
    </row>
    <row r="522">
      <c r="A522" s="10">
        <v>148.0</v>
      </c>
      <c r="B522" s="11" t="s">
        <v>1298</v>
      </c>
      <c r="C522" s="12">
        <v>88.0</v>
      </c>
      <c r="D522" s="11" t="s">
        <v>470</v>
      </c>
      <c r="E522" s="11" t="s">
        <v>25</v>
      </c>
      <c r="F522" s="11" t="s">
        <v>18</v>
      </c>
      <c r="G522" s="13"/>
      <c r="H522" s="12" t="s">
        <v>19</v>
      </c>
      <c r="I522" s="11" t="s">
        <v>470</v>
      </c>
      <c r="J522" s="11" t="s">
        <v>21</v>
      </c>
      <c r="K522" s="13"/>
      <c r="L522" s="14" t="s">
        <v>1299</v>
      </c>
    </row>
    <row r="523">
      <c r="A523" s="15">
        <v>113.0</v>
      </c>
      <c r="B523" s="16" t="s">
        <v>1300</v>
      </c>
      <c r="C523" s="17">
        <v>21.0</v>
      </c>
      <c r="D523" s="16" t="s">
        <v>428</v>
      </c>
      <c r="E523" s="16" t="s">
        <v>17</v>
      </c>
      <c r="F523" s="16" t="s">
        <v>18</v>
      </c>
      <c r="G523" s="18"/>
      <c r="H523" s="17" t="s">
        <v>19</v>
      </c>
      <c r="I523" s="16" t="s">
        <v>470</v>
      </c>
      <c r="J523" s="16" t="s">
        <v>21</v>
      </c>
      <c r="K523" s="18"/>
      <c r="L523" s="19" t="s">
        <v>1301</v>
      </c>
    </row>
    <row r="524">
      <c r="A524" s="10">
        <v>112.0</v>
      </c>
      <c r="B524" s="11" t="s">
        <v>1302</v>
      </c>
      <c r="C524" s="12">
        <v>40.0</v>
      </c>
      <c r="D524" s="11" t="s">
        <v>470</v>
      </c>
      <c r="E524" s="11" t="s">
        <v>17</v>
      </c>
      <c r="F524" s="11" t="s">
        <v>18</v>
      </c>
      <c r="G524" s="13"/>
      <c r="H524" s="12" t="s">
        <v>19</v>
      </c>
      <c r="I524" s="11" t="s">
        <v>470</v>
      </c>
      <c r="J524" s="11" t="s">
        <v>21</v>
      </c>
      <c r="K524" s="13"/>
      <c r="L524" s="14" t="s">
        <v>1303</v>
      </c>
    </row>
    <row r="525">
      <c r="A525" s="15">
        <v>129.0</v>
      </c>
      <c r="B525" s="16" t="s">
        <v>1304</v>
      </c>
      <c r="C525" s="17">
        <v>36.0</v>
      </c>
      <c r="D525" s="16" t="s">
        <v>470</v>
      </c>
      <c r="E525" s="16" t="s">
        <v>17</v>
      </c>
      <c r="F525" s="16" t="s">
        <v>136</v>
      </c>
      <c r="G525" s="16" t="s">
        <v>1305</v>
      </c>
      <c r="H525" s="17" t="s">
        <v>19</v>
      </c>
      <c r="I525" s="16" t="s">
        <v>470</v>
      </c>
      <c r="J525" s="16" t="s">
        <v>21</v>
      </c>
      <c r="K525" s="18"/>
      <c r="L525" s="19" t="s">
        <v>1306</v>
      </c>
    </row>
    <row r="526">
      <c r="A526" s="10">
        <v>121.0</v>
      </c>
      <c r="B526" s="11" t="s">
        <v>1307</v>
      </c>
      <c r="C526" s="12">
        <v>13.0</v>
      </c>
      <c r="D526" s="11" t="s">
        <v>470</v>
      </c>
      <c r="E526" s="11" t="s">
        <v>96</v>
      </c>
      <c r="F526" s="11" t="s">
        <v>18</v>
      </c>
      <c r="G526" s="13"/>
      <c r="H526" s="12" t="s">
        <v>19</v>
      </c>
      <c r="I526" s="11" t="s">
        <v>470</v>
      </c>
      <c r="J526" s="11" t="s">
        <v>21</v>
      </c>
      <c r="K526" s="13"/>
      <c r="L526" s="14" t="s">
        <v>1308</v>
      </c>
    </row>
    <row r="527">
      <c r="A527" s="15">
        <v>119.0</v>
      </c>
      <c r="B527" s="16" t="s">
        <v>1309</v>
      </c>
      <c r="C527" s="17">
        <v>48.0</v>
      </c>
      <c r="D527" s="16" t="s">
        <v>470</v>
      </c>
      <c r="E527" s="16" t="s">
        <v>25</v>
      </c>
      <c r="F527" s="16" t="s">
        <v>18</v>
      </c>
      <c r="G527" s="18"/>
      <c r="H527" s="17" t="s">
        <v>19</v>
      </c>
      <c r="I527" s="16" t="s">
        <v>470</v>
      </c>
      <c r="J527" s="16" t="s">
        <v>21</v>
      </c>
      <c r="K527" s="18"/>
      <c r="L527" s="19" t="s">
        <v>1310</v>
      </c>
    </row>
    <row r="528">
      <c r="A528" s="10">
        <v>120.0</v>
      </c>
      <c r="B528" s="11" t="s">
        <v>1311</v>
      </c>
      <c r="C528" s="12">
        <v>16.0</v>
      </c>
      <c r="D528" s="11" t="s">
        <v>470</v>
      </c>
      <c r="E528" s="11" t="s">
        <v>96</v>
      </c>
      <c r="F528" s="11" t="s">
        <v>18</v>
      </c>
      <c r="G528" s="13"/>
      <c r="H528" s="12" t="s">
        <v>19</v>
      </c>
      <c r="I528" s="11" t="s">
        <v>470</v>
      </c>
      <c r="J528" s="11" t="s">
        <v>21</v>
      </c>
      <c r="K528" s="13"/>
      <c r="L528" s="14" t="s">
        <v>1312</v>
      </c>
    </row>
    <row r="529">
      <c r="A529" s="15">
        <v>56.0</v>
      </c>
      <c r="B529" s="17" t="s">
        <v>1313</v>
      </c>
      <c r="C529" s="17">
        <v>45.0</v>
      </c>
      <c r="D529" s="16" t="s">
        <v>168</v>
      </c>
      <c r="E529" s="16" t="s">
        <v>25</v>
      </c>
      <c r="F529" s="16" t="s">
        <v>169</v>
      </c>
      <c r="G529" s="18"/>
      <c r="H529" s="17" t="s">
        <v>19</v>
      </c>
      <c r="I529" s="16" t="s">
        <v>470</v>
      </c>
      <c r="J529" s="16" t="s">
        <v>21</v>
      </c>
      <c r="K529" s="18"/>
      <c r="L529" s="19" t="s">
        <v>1314</v>
      </c>
    </row>
    <row r="530">
      <c r="A530" s="10">
        <v>144.0</v>
      </c>
      <c r="B530" s="12" t="s">
        <v>1315</v>
      </c>
      <c r="C530" s="12">
        <v>42.0</v>
      </c>
      <c r="D530" s="11" t="s">
        <v>168</v>
      </c>
      <c r="E530" s="11" t="s">
        <v>17</v>
      </c>
      <c r="F530" s="11" t="s">
        <v>169</v>
      </c>
      <c r="G530" s="13"/>
      <c r="H530" s="12" t="s">
        <v>19</v>
      </c>
      <c r="I530" s="11" t="s">
        <v>470</v>
      </c>
      <c r="J530" s="11" t="s">
        <v>21</v>
      </c>
      <c r="K530" s="13"/>
      <c r="L530" s="14" t="s">
        <v>1316</v>
      </c>
    </row>
    <row r="531">
      <c r="A531" s="15">
        <v>145.0</v>
      </c>
      <c r="B531" s="17" t="s">
        <v>1317</v>
      </c>
      <c r="C531" s="17">
        <v>49.0</v>
      </c>
      <c r="D531" s="16" t="s">
        <v>1318</v>
      </c>
      <c r="E531" s="16" t="s">
        <v>25</v>
      </c>
      <c r="F531" s="16" t="s">
        <v>169</v>
      </c>
      <c r="G531" s="18"/>
      <c r="H531" s="17" t="s">
        <v>19</v>
      </c>
      <c r="I531" s="16" t="s">
        <v>470</v>
      </c>
      <c r="J531" s="16" t="s">
        <v>21</v>
      </c>
      <c r="K531" s="18"/>
      <c r="L531" s="19" t="s">
        <v>1319</v>
      </c>
    </row>
    <row r="532">
      <c r="A532" s="10">
        <v>1681.0</v>
      </c>
      <c r="B532" s="12" t="s">
        <v>1320</v>
      </c>
      <c r="C532" s="12">
        <v>24.0</v>
      </c>
      <c r="D532" s="11" t="s">
        <v>175</v>
      </c>
      <c r="E532" s="11" t="s">
        <v>17</v>
      </c>
      <c r="F532" s="11" t="s">
        <v>169</v>
      </c>
      <c r="G532" s="13"/>
      <c r="H532" s="12" t="s">
        <v>19</v>
      </c>
      <c r="I532" s="11" t="s">
        <v>181</v>
      </c>
      <c r="J532" s="11" t="s">
        <v>21</v>
      </c>
      <c r="K532" s="13"/>
      <c r="L532" s="14" t="s">
        <v>1320</v>
      </c>
    </row>
    <row r="533">
      <c r="A533" s="15">
        <v>1511.0</v>
      </c>
      <c r="B533" s="17" t="s">
        <v>1321</v>
      </c>
      <c r="C533" s="17">
        <v>48.0</v>
      </c>
      <c r="D533" s="16" t="s">
        <v>1318</v>
      </c>
      <c r="E533" s="16" t="s">
        <v>17</v>
      </c>
      <c r="F533" s="16" t="s">
        <v>169</v>
      </c>
      <c r="G533" s="18"/>
      <c r="H533" s="17" t="s">
        <v>19</v>
      </c>
      <c r="I533" s="16" t="s">
        <v>470</v>
      </c>
      <c r="J533" s="16" t="s">
        <v>21</v>
      </c>
      <c r="K533" s="18"/>
      <c r="L533" s="19" t="s">
        <v>1321</v>
      </c>
    </row>
    <row r="534">
      <c r="A534" s="10">
        <v>268.0</v>
      </c>
      <c r="B534" s="11" t="s">
        <v>1322</v>
      </c>
      <c r="C534" s="12">
        <v>45.0</v>
      </c>
      <c r="D534" s="11" t="s">
        <v>179</v>
      </c>
      <c r="E534" s="11" t="s">
        <v>25</v>
      </c>
      <c r="F534" s="11" t="s">
        <v>18</v>
      </c>
      <c r="G534" s="13"/>
      <c r="H534" s="12" t="s">
        <v>19</v>
      </c>
      <c r="I534" s="11" t="s">
        <v>179</v>
      </c>
      <c r="J534" s="11" t="s">
        <v>21</v>
      </c>
      <c r="K534" s="13"/>
      <c r="L534" s="14" t="s">
        <v>1323</v>
      </c>
    </row>
    <row r="535">
      <c r="A535" s="15">
        <v>269.0</v>
      </c>
      <c r="B535" s="16" t="s">
        <v>1324</v>
      </c>
      <c r="C535" s="17">
        <v>59.0</v>
      </c>
      <c r="D535" s="16" t="s">
        <v>179</v>
      </c>
      <c r="E535" s="16" t="s">
        <v>17</v>
      </c>
      <c r="F535" s="16" t="s">
        <v>18</v>
      </c>
      <c r="G535" s="18"/>
      <c r="H535" s="17" t="s">
        <v>19</v>
      </c>
      <c r="I535" s="16" t="s">
        <v>179</v>
      </c>
      <c r="J535" s="16" t="s">
        <v>21</v>
      </c>
      <c r="K535" s="18"/>
      <c r="L535" s="19" t="s">
        <v>1325</v>
      </c>
    </row>
    <row r="536">
      <c r="A536" s="10">
        <v>277.0</v>
      </c>
      <c r="B536" s="11" t="s">
        <v>1326</v>
      </c>
      <c r="C536" s="12">
        <v>47.0</v>
      </c>
      <c r="D536" s="11" t="s">
        <v>179</v>
      </c>
      <c r="E536" s="11" t="s">
        <v>25</v>
      </c>
      <c r="F536" s="11" t="s">
        <v>18</v>
      </c>
      <c r="G536" s="13"/>
      <c r="H536" s="12" t="s">
        <v>19</v>
      </c>
      <c r="I536" s="11" t="s">
        <v>179</v>
      </c>
      <c r="J536" s="11" t="s">
        <v>21</v>
      </c>
      <c r="K536" s="13"/>
      <c r="L536" s="14" t="s">
        <v>1327</v>
      </c>
    </row>
    <row r="537">
      <c r="A537" s="15">
        <v>278.0</v>
      </c>
      <c r="B537" s="16" t="s">
        <v>1328</v>
      </c>
      <c r="C537" s="17">
        <v>47.0</v>
      </c>
      <c r="D537" s="16" t="s">
        <v>179</v>
      </c>
      <c r="E537" s="16" t="s">
        <v>17</v>
      </c>
      <c r="F537" s="16" t="s">
        <v>18</v>
      </c>
      <c r="G537" s="18"/>
      <c r="H537" s="17" t="s">
        <v>19</v>
      </c>
      <c r="I537" s="16" t="s">
        <v>179</v>
      </c>
      <c r="J537" s="16" t="s">
        <v>21</v>
      </c>
      <c r="K537" s="18"/>
      <c r="L537" s="19" t="s">
        <v>1329</v>
      </c>
    </row>
    <row r="538">
      <c r="A538" s="10">
        <v>281.0</v>
      </c>
      <c r="B538" s="11" t="s">
        <v>1330</v>
      </c>
      <c r="C538" s="12">
        <v>68.0</v>
      </c>
      <c r="D538" s="11" t="s">
        <v>179</v>
      </c>
      <c r="E538" s="11" t="s">
        <v>17</v>
      </c>
      <c r="F538" s="11" t="s">
        <v>18</v>
      </c>
      <c r="G538" s="13"/>
      <c r="H538" s="12" t="s">
        <v>19</v>
      </c>
      <c r="I538" s="11" t="s">
        <v>179</v>
      </c>
      <c r="J538" s="11" t="s">
        <v>21</v>
      </c>
      <c r="K538" s="13"/>
      <c r="L538" s="14" t="s">
        <v>1331</v>
      </c>
    </row>
    <row r="539">
      <c r="A539" s="15">
        <v>282.0</v>
      </c>
      <c r="B539" s="16" t="s">
        <v>1332</v>
      </c>
      <c r="C539" s="17">
        <v>56.0</v>
      </c>
      <c r="D539" s="16" t="s">
        <v>179</v>
      </c>
      <c r="E539" s="16" t="s">
        <v>25</v>
      </c>
      <c r="F539" s="16" t="s">
        <v>18</v>
      </c>
      <c r="G539" s="18"/>
      <c r="H539" s="17" t="s">
        <v>19</v>
      </c>
      <c r="I539" s="16" t="s">
        <v>179</v>
      </c>
      <c r="J539" s="16" t="s">
        <v>21</v>
      </c>
      <c r="K539" s="18"/>
      <c r="L539" s="19" t="s">
        <v>1333</v>
      </c>
    </row>
    <row r="540">
      <c r="A540" s="10">
        <v>275.0</v>
      </c>
      <c r="B540" s="11" t="s">
        <v>1334</v>
      </c>
      <c r="C540" s="12">
        <v>63.0</v>
      </c>
      <c r="D540" s="11" t="s">
        <v>179</v>
      </c>
      <c r="E540" s="11" t="s">
        <v>25</v>
      </c>
      <c r="F540" s="11" t="s">
        <v>18</v>
      </c>
      <c r="G540" s="13"/>
      <c r="H540" s="12" t="s">
        <v>19</v>
      </c>
      <c r="I540" s="11" t="s">
        <v>179</v>
      </c>
      <c r="J540" s="11" t="s">
        <v>21</v>
      </c>
      <c r="K540" s="13"/>
      <c r="L540" s="14" t="s">
        <v>1335</v>
      </c>
    </row>
    <row r="541">
      <c r="A541" s="15">
        <v>273.0</v>
      </c>
      <c r="B541" s="16" t="s">
        <v>1336</v>
      </c>
      <c r="C541" s="17">
        <v>24.0</v>
      </c>
      <c r="D541" s="16" t="s">
        <v>657</v>
      </c>
      <c r="E541" s="16" t="s">
        <v>25</v>
      </c>
      <c r="F541" s="16" t="s">
        <v>18</v>
      </c>
      <c r="G541" s="18"/>
      <c r="H541" s="17" t="s">
        <v>19</v>
      </c>
      <c r="I541" s="16" t="s">
        <v>179</v>
      </c>
      <c r="J541" s="16" t="s">
        <v>21</v>
      </c>
      <c r="K541" s="18"/>
      <c r="L541" s="19" t="s">
        <v>1337</v>
      </c>
    </row>
    <row r="542">
      <c r="A542" s="10">
        <v>272.0</v>
      </c>
      <c r="B542" s="11" t="s">
        <v>1338</v>
      </c>
      <c r="C542" s="12">
        <v>33.0</v>
      </c>
      <c r="D542" s="11" t="s">
        <v>179</v>
      </c>
      <c r="E542" s="11" t="s">
        <v>25</v>
      </c>
      <c r="F542" s="11" t="s">
        <v>18</v>
      </c>
      <c r="G542" s="13"/>
      <c r="H542" s="12" t="s">
        <v>19</v>
      </c>
      <c r="I542" s="11" t="s">
        <v>179</v>
      </c>
      <c r="J542" s="11" t="s">
        <v>21</v>
      </c>
      <c r="K542" s="13"/>
      <c r="L542" s="14" t="s">
        <v>1339</v>
      </c>
    </row>
    <row r="543">
      <c r="A543" s="15">
        <v>280.0</v>
      </c>
      <c r="B543" s="16" t="s">
        <v>1340</v>
      </c>
      <c r="C543" s="17">
        <v>91.0</v>
      </c>
      <c r="D543" s="16" t="s">
        <v>179</v>
      </c>
      <c r="E543" s="16" t="s">
        <v>17</v>
      </c>
      <c r="F543" s="16" t="s">
        <v>18</v>
      </c>
      <c r="G543" s="18"/>
      <c r="H543" s="17" t="s">
        <v>19</v>
      </c>
      <c r="I543" s="16" t="s">
        <v>179</v>
      </c>
      <c r="J543" s="16" t="s">
        <v>21</v>
      </c>
      <c r="K543" s="18"/>
      <c r="L543" s="19" t="s">
        <v>1341</v>
      </c>
    </row>
    <row r="544">
      <c r="A544" s="10">
        <v>279.0</v>
      </c>
      <c r="B544" s="12" t="s">
        <v>1342</v>
      </c>
      <c r="C544" s="12">
        <v>35.0</v>
      </c>
      <c r="D544" s="11" t="s">
        <v>1343</v>
      </c>
      <c r="E544" s="11" t="s">
        <v>17</v>
      </c>
      <c r="F544" s="11" t="s">
        <v>169</v>
      </c>
      <c r="G544" s="13"/>
      <c r="H544" s="12" t="s">
        <v>19</v>
      </c>
      <c r="I544" s="11" t="s">
        <v>179</v>
      </c>
      <c r="J544" s="11" t="s">
        <v>21</v>
      </c>
      <c r="K544" s="13"/>
      <c r="L544" s="14" t="s">
        <v>1344</v>
      </c>
    </row>
    <row r="545">
      <c r="A545" s="15">
        <v>375.0</v>
      </c>
      <c r="B545" s="16" t="s">
        <v>1345</v>
      </c>
      <c r="C545" s="17">
        <v>52.0</v>
      </c>
      <c r="D545" s="16" t="s">
        <v>191</v>
      </c>
      <c r="E545" s="16" t="s">
        <v>17</v>
      </c>
      <c r="F545" s="16" t="s">
        <v>18</v>
      </c>
      <c r="G545" s="18"/>
      <c r="H545" s="17" t="s">
        <v>1346</v>
      </c>
      <c r="I545" s="16" t="s">
        <v>191</v>
      </c>
      <c r="J545" s="16" t="s">
        <v>21</v>
      </c>
      <c r="K545" s="18"/>
      <c r="L545" s="19" t="s">
        <v>1347</v>
      </c>
    </row>
    <row r="546">
      <c r="A546" s="10">
        <v>393.0</v>
      </c>
      <c r="B546" s="11" t="s">
        <v>1348</v>
      </c>
      <c r="C546" s="12">
        <v>50.0</v>
      </c>
      <c r="D546" s="11" t="s">
        <v>191</v>
      </c>
      <c r="E546" s="11" t="s">
        <v>25</v>
      </c>
      <c r="F546" s="11" t="s">
        <v>18</v>
      </c>
      <c r="G546" s="13"/>
      <c r="H546" s="12" t="s">
        <v>19</v>
      </c>
      <c r="I546" s="11" t="s">
        <v>191</v>
      </c>
      <c r="J546" s="11" t="s">
        <v>21</v>
      </c>
      <c r="K546" s="13"/>
      <c r="L546" s="14" t="s">
        <v>1349</v>
      </c>
    </row>
    <row r="547">
      <c r="A547" s="15">
        <v>394.0</v>
      </c>
      <c r="B547" s="16" t="s">
        <v>1350</v>
      </c>
      <c r="C547" s="17">
        <v>53.0</v>
      </c>
      <c r="D547" s="16" t="s">
        <v>191</v>
      </c>
      <c r="E547" s="16" t="s">
        <v>17</v>
      </c>
      <c r="F547" s="16" t="s">
        <v>18</v>
      </c>
      <c r="G547" s="18"/>
      <c r="H547" s="17" t="s">
        <v>19</v>
      </c>
      <c r="I547" s="16" t="s">
        <v>191</v>
      </c>
      <c r="J547" s="16" t="s">
        <v>21</v>
      </c>
      <c r="K547" s="18"/>
      <c r="L547" s="19" t="s">
        <v>1351</v>
      </c>
    </row>
    <row r="548">
      <c r="A548" s="10">
        <v>395.0</v>
      </c>
      <c r="B548" s="11" t="s">
        <v>1352</v>
      </c>
      <c r="C548" s="12">
        <v>14.0</v>
      </c>
      <c r="D548" s="11" t="s">
        <v>191</v>
      </c>
      <c r="E548" s="11" t="s">
        <v>104</v>
      </c>
      <c r="F548" s="11" t="s">
        <v>18</v>
      </c>
      <c r="G548" s="13"/>
      <c r="H548" s="12" t="s">
        <v>19</v>
      </c>
      <c r="I548" s="11" t="s">
        <v>191</v>
      </c>
      <c r="J548" s="11" t="s">
        <v>21</v>
      </c>
      <c r="K548" s="13"/>
      <c r="L548" s="14" t="s">
        <v>1353</v>
      </c>
    </row>
    <row r="549">
      <c r="A549" s="15">
        <v>378.0</v>
      </c>
      <c r="B549" s="16" t="s">
        <v>1354</v>
      </c>
      <c r="C549" s="17">
        <v>76.0</v>
      </c>
      <c r="D549" s="16" t="s">
        <v>191</v>
      </c>
      <c r="E549" s="16" t="s">
        <v>25</v>
      </c>
      <c r="F549" s="16" t="s">
        <v>18</v>
      </c>
      <c r="G549" s="18"/>
      <c r="H549" s="17" t="s">
        <v>19</v>
      </c>
      <c r="I549" s="16" t="s">
        <v>191</v>
      </c>
      <c r="J549" s="16" t="s">
        <v>21</v>
      </c>
      <c r="K549" s="18"/>
      <c r="L549" s="19" t="s">
        <v>1355</v>
      </c>
    </row>
    <row r="550">
      <c r="A550" s="10">
        <v>810.0</v>
      </c>
      <c r="B550" s="11" t="s">
        <v>1356</v>
      </c>
      <c r="C550" s="12">
        <v>30.0</v>
      </c>
      <c r="D550" s="11" t="s">
        <v>253</v>
      </c>
      <c r="E550" s="11" t="s">
        <v>25</v>
      </c>
      <c r="F550" s="11" t="s">
        <v>18</v>
      </c>
      <c r="G550" s="13"/>
      <c r="H550" s="12" t="s">
        <v>19</v>
      </c>
      <c r="I550" s="11" t="s">
        <v>147</v>
      </c>
      <c r="J550" s="11" t="s">
        <v>21</v>
      </c>
      <c r="K550" s="11" t="s">
        <v>53</v>
      </c>
      <c r="L550" s="14" t="s">
        <v>1357</v>
      </c>
    </row>
    <row r="551">
      <c r="A551" s="15">
        <v>381.0</v>
      </c>
      <c r="B551" s="16" t="s">
        <v>1358</v>
      </c>
      <c r="C551" s="17">
        <v>90.0</v>
      </c>
      <c r="D551" s="16" t="s">
        <v>191</v>
      </c>
      <c r="E551" s="16" t="s">
        <v>25</v>
      </c>
      <c r="F551" s="16" t="s">
        <v>18</v>
      </c>
      <c r="G551" s="18"/>
      <c r="H551" s="17" t="s">
        <v>19</v>
      </c>
      <c r="I551" s="16" t="s">
        <v>191</v>
      </c>
      <c r="J551" s="16" t="s">
        <v>21</v>
      </c>
      <c r="K551" s="18"/>
      <c r="L551" s="19" t="s">
        <v>1359</v>
      </c>
    </row>
    <row r="552">
      <c r="A552" s="10">
        <v>379.0</v>
      </c>
      <c r="B552" s="11" t="s">
        <v>1360</v>
      </c>
      <c r="C552" s="12">
        <v>70.0</v>
      </c>
      <c r="D552" s="11" t="s">
        <v>191</v>
      </c>
      <c r="E552" s="11" t="s">
        <v>17</v>
      </c>
      <c r="F552" s="11" t="s">
        <v>18</v>
      </c>
      <c r="G552" s="13"/>
      <c r="H552" s="12" t="s">
        <v>19</v>
      </c>
      <c r="I552" s="11" t="s">
        <v>191</v>
      </c>
      <c r="J552" s="11" t="s">
        <v>21</v>
      </c>
      <c r="K552" s="13"/>
      <c r="L552" s="14" t="s">
        <v>1361</v>
      </c>
    </row>
    <row r="553">
      <c r="A553" s="15">
        <v>1405.0</v>
      </c>
      <c r="B553" s="17" t="s">
        <v>1362</v>
      </c>
      <c r="C553" s="17">
        <v>28.0</v>
      </c>
      <c r="D553" s="16" t="s">
        <v>175</v>
      </c>
      <c r="E553" s="16" t="s">
        <v>17</v>
      </c>
      <c r="F553" s="16" t="s">
        <v>169</v>
      </c>
      <c r="G553" s="18"/>
      <c r="H553" s="17" t="s">
        <v>19</v>
      </c>
      <c r="I553" s="16" t="s">
        <v>191</v>
      </c>
      <c r="J553" s="16" t="s">
        <v>21</v>
      </c>
      <c r="K553" s="18"/>
      <c r="L553" s="19" t="s">
        <v>1363</v>
      </c>
    </row>
    <row r="554">
      <c r="A554" s="10">
        <v>1687.0</v>
      </c>
      <c r="B554" s="12" t="s">
        <v>1364</v>
      </c>
      <c r="C554" s="12">
        <v>29.0</v>
      </c>
      <c r="D554" s="11" t="s">
        <v>175</v>
      </c>
      <c r="E554" s="11" t="s">
        <v>17</v>
      </c>
      <c r="F554" s="11" t="s">
        <v>169</v>
      </c>
      <c r="G554" s="13"/>
      <c r="H554" s="12" t="s">
        <v>19</v>
      </c>
      <c r="I554" s="11" t="s">
        <v>191</v>
      </c>
      <c r="J554" s="11" t="s">
        <v>21</v>
      </c>
      <c r="K554" s="13"/>
      <c r="L554" s="14" t="s">
        <v>1364</v>
      </c>
    </row>
    <row r="555">
      <c r="A555" s="15">
        <v>1416.0</v>
      </c>
      <c r="B555" s="17" t="s">
        <v>1365</v>
      </c>
      <c r="C555" s="17">
        <v>25.0</v>
      </c>
      <c r="D555" s="16" t="s">
        <v>175</v>
      </c>
      <c r="E555" s="16" t="s">
        <v>17</v>
      </c>
      <c r="F555" s="16" t="s">
        <v>169</v>
      </c>
      <c r="G555" s="18"/>
      <c r="H555" s="17" t="s">
        <v>19</v>
      </c>
      <c r="I555" s="16" t="s">
        <v>1031</v>
      </c>
      <c r="J555" s="16" t="s">
        <v>21</v>
      </c>
      <c r="K555" s="18"/>
      <c r="L555" s="19" t="s">
        <v>1365</v>
      </c>
    </row>
    <row r="556">
      <c r="A556" s="10">
        <v>1417.0</v>
      </c>
      <c r="B556" s="12" t="s">
        <v>1366</v>
      </c>
      <c r="C556" s="12">
        <v>38.0</v>
      </c>
      <c r="D556" s="11" t="s">
        <v>175</v>
      </c>
      <c r="E556" s="11" t="s">
        <v>17</v>
      </c>
      <c r="F556" s="11" t="s">
        <v>169</v>
      </c>
      <c r="G556" s="13"/>
      <c r="H556" s="12" t="s">
        <v>19</v>
      </c>
      <c r="I556" s="11" t="s">
        <v>191</v>
      </c>
      <c r="J556" s="11" t="s">
        <v>21</v>
      </c>
      <c r="K556" s="13"/>
      <c r="L556" s="14" t="s">
        <v>1366</v>
      </c>
    </row>
    <row r="557">
      <c r="A557" s="15">
        <v>1407.0</v>
      </c>
      <c r="B557" s="17" t="s">
        <v>1367</v>
      </c>
      <c r="C557" s="17">
        <v>35.0</v>
      </c>
      <c r="D557" s="16" t="s">
        <v>175</v>
      </c>
      <c r="E557" s="16" t="s">
        <v>17</v>
      </c>
      <c r="F557" s="16" t="s">
        <v>169</v>
      </c>
      <c r="G557" s="18"/>
      <c r="H557" s="17" t="s">
        <v>19</v>
      </c>
      <c r="I557" s="16" t="s">
        <v>176</v>
      </c>
      <c r="J557" s="16" t="s">
        <v>21</v>
      </c>
      <c r="K557" s="18"/>
      <c r="L557" s="19" t="s">
        <v>1367</v>
      </c>
    </row>
    <row r="558">
      <c r="A558" s="10">
        <v>1418.0</v>
      </c>
      <c r="B558" s="12" t="s">
        <v>1368</v>
      </c>
      <c r="C558" s="12">
        <v>39.0</v>
      </c>
      <c r="D558" s="11" t="s">
        <v>175</v>
      </c>
      <c r="E558" s="11" t="s">
        <v>17</v>
      </c>
      <c r="F558" s="11" t="s">
        <v>169</v>
      </c>
      <c r="G558" s="13"/>
      <c r="H558" s="12" t="s">
        <v>19</v>
      </c>
      <c r="I558" s="11" t="s">
        <v>191</v>
      </c>
      <c r="J558" s="11" t="s">
        <v>21</v>
      </c>
      <c r="K558" s="13"/>
      <c r="L558" s="14" t="s">
        <v>1368</v>
      </c>
    </row>
    <row r="559">
      <c r="A559" s="15">
        <v>1410.0</v>
      </c>
      <c r="B559" s="17" t="s">
        <v>1369</v>
      </c>
      <c r="C559" s="17">
        <v>28.0</v>
      </c>
      <c r="D559" s="16" t="s">
        <v>175</v>
      </c>
      <c r="E559" s="16" t="s">
        <v>17</v>
      </c>
      <c r="F559" s="16" t="s">
        <v>169</v>
      </c>
      <c r="G559" s="18"/>
      <c r="H559" s="17" t="s">
        <v>19</v>
      </c>
      <c r="I559" s="16" t="s">
        <v>191</v>
      </c>
      <c r="J559" s="16" t="s">
        <v>21</v>
      </c>
      <c r="K559" s="18"/>
      <c r="L559" s="19" t="s">
        <v>1369</v>
      </c>
    </row>
    <row r="560">
      <c r="A560" s="10">
        <v>1408.0</v>
      </c>
      <c r="B560" s="12" t="s">
        <v>1370</v>
      </c>
      <c r="C560" s="12">
        <v>43.0</v>
      </c>
      <c r="D560" s="11" t="s">
        <v>175</v>
      </c>
      <c r="E560" s="11" t="s">
        <v>17</v>
      </c>
      <c r="F560" s="11" t="s">
        <v>169</v>
      </c>
      <c r="G560" s="13"/>
      <c r="H560" s="12" t="s">
        <v>19</v>
      </c>
      <c r="I560" s="11" t="s">
        <v>176</v>
      </c>
      <c r="J560" s="11" t="s">
        <v>21</v>
      </c>
      <c r="K560" s="13"/>
      <c r="L560" s="14" t="s">
        <v>1370</v>
      </c>
    </row>
    <row r="561">
      <c r="A561" s="15">
        <v>288.0</v>
      </c>
      <c r="B561" s="16" t="s">
        <v>1371</v>
      </c>
      <c r="C561" s="17">
        <v>25.0</v>
      </c>
      <c r="D561" s="16" t="s">
        <v>195</v>
      </c>
      <c r="E561" s="16" t="s">
        <v>17</v>
      </c>
      <c r="F561" s="16" t="s">
        <v>478</v>
      </c>
      <c r="G561" s="16" t="s">
        <v>1012</v>
      </c>
      <c r="H561" s="17" t="s">
        <v>19</v>
      </c>
      <c r="I561" s="16" t="s">
        <v>195</v>
      </c>
      <c r="J561" s="16" t="s">
        <v>21</v>
      </c>
      <c r="K561" s="18"/>
      <c r="L561" s="19" t="s">
        <v>1372</v>
      </c>
    </row>
    <row r="562">
      <c r="A562" s="10">
        <v>289.0</v>
      </c>
      <c r="B562" s="11" t="s">
        <v>1373</v>
      </c>
      <c r="C562" s="12">
        <v>51.0</v>
      </c>
      <c r="D562" s="11" t="s">
        <v>195</v>
      </c>
      <c r="E562" s="11" t="s">
        <v>25</v>
      </c>
      <c r="F562" s="11" t="s">
        <v>18</v>
      </c>
      <c r="G562" s="13"/>
      <c r="H562" s="12" t="s">
        <v>19</v>
      </c>
      <c r="I562" s="11" t="s">
        <v>195</v>
      </c>
      <c r="J562" s="11" t="s">
        <v>21</v>
      </c>
      <c r="K562" s="13"/>
      <c r="L562" s="14" t="s">
        <v>1374</v>
      </c>
    </row>
    <row r="563">
      <c r="A563" s="15">
        <v>348.0</v>
      </c>
      <c r="B563" s="16" t="s">
        <v>1375</v>
      </c>
      <c r="C563" s="17">
        <v>31.0</v>
      </c>
      <c r="D563" s="16" t="s">
        <v>195</v>
      </c>
      <c r="E563" s="16" t="s">
        <v>17</v>
      </c>
      <c r="F563" s="16" t="s">
        <v>18</v>
      </c>
      <c r="G563" s="18"/>
      <c r="H563" s="17" t="s">
        <v>19</v>
      </c>
      <c r="I563" s="16" t="s">
        <v>195</v>
      </c>
      <c r="J563" s="16" t="s">
        <v>21</v>
      </c>
      <c r="K563" s="18"/>
      <c r="L563" s="19" t="s">
        <v>1376</v>
      </c>
    </row>
    <row r="564">
      <c r="A564" s="10">
        <v>344.0</v>
      </c>
      <c r="B564" s="11" t="s">
        <v>1377</v>
      </c>
      <c r="C564" s="12">
        <v>72.0</v>
      </c>
      <c r="D564" s="11" t="s">
        <v>195</v>
      </c>
      <c r="E564" s="11" t="s">
        <v>17</v>
      </c>
      <c r="F564" s="11" t="s">
        <v>18</v>
      </c>
      <c r="G564" s="13"/>
      <c r="H564" s="12" t="s">
        <v>19</v>
      </c>
      <c r="I564" s="11" t="s">
        <v>195</v>
      </c>
      <c r="J564" s="11" t="s">
        <v>21</v>
      </c>
      <c r="K564" s="13"/>
      <c r="L564" s="14" t="s">
        <v>1378</v>
      </c>
    </row>
    <row r="565">
      <c r="A565" s="15">
        <v>317.0</v>
      </c>
      <c r="B565" s="16" t="s">
        <v>1379</v>
      </c>
      <c r="C565" s="17">
        <v>64.0</v>
      </c>
      <c r="D565" s="16" t="s">
        <v>195</v>
      </c>
      <c r="E565" s="16" t="s">
        <v>25</v>
      </c>
      <c r="F565" s="16" t="s">
        <v>18</v>
      </c>
      <c r="G565" s="18"/>
      <c r="H565" s="17" t="s">
        <v>19</v>
      </c>
      <c r="I565" s="16" t="s">
        <v>195</v>
      </c>
      <c r="J565" s="16" t="s">
        <v>21</v>
      </c>
      <c r="K565" s="18"/>
      <c r="L565" s="19" t="s">
        <v>1380</v>
      </c>
    </row>
    <row r="566">
      <c r="A566" s="10">
        <v>318.0</v>
      </c>
      <c r="B566" s="11" t="s">
        <v>1381</v>
      </c>
      <c r="C566" s="12">
        <v>65.0</v>
      </c>
      <c r="D566" s="11" t="s">
        <v>195</v>
      </c>
      <c r="E566" s="11" t="s">
        <v>17</v>
      </c>
      <c r="F566" s="11" t="s">
        <v>18</v>
      </c>
      <c r="G566" s="13"/>
      <c r="H566" s="12" t="s">
        <v>19</v>
      </c>
      <c r="I566" s="11" t="s">
        <v>195</v>
      </c>
      <c r="J566" s="11" t="s">
        <v>21</v>
      </c>
      <c r="K566" s="13"/>
      <c r="L566" s="14" t="s">
        <v>1382</v>
      </c>
    </row>
    <row r="567">
      <c r="A567" s="15">
        <v>300.0</v>
      </c>
      <c r="B567" s="16" t="s">
        <v>1383</v>
      </c>
      <c r="C567" s="17">
        <v>23.0</v>
      </c>
      <c r="D567" s="16" t="s">
        <v>195</v>
      </c>
      <c r="E567" s="16" t="s">
        <v>25</v>
      </c>
      <c r="F567" s="16" t="s">
        <v>18</v>
      </c>
      <c r="G567" s="18"/>
      <c r="H567" s="17" t="s">
        <v>19</v>
      </c>
      <c r="I567" s="16" t="s">
        <v>195</v>
      </c>
      <c r="J567" s="16" t="s">
        <v>21</v>
      </c>
      <c r="K567" s="18"/>
      <c r="L567" s="19" t="s">
        <v>1384</v>
      </c>
    </row>
    <row r="568">
      <c r="A568" s="10">
        <v>351.0</v>
      </c>
      <c r="B568" s="11" t="s">
        <v>1385</v>
      </c>
      <c r="C568" s="12">
        <v>67.0</v>
      </c>
      <c r="D568" s="11" t="s">
        <v>195</v>
      </c>
      <c r="E568" s="11" t="s">
        <v>17</v>
      </c>
      <c r="F568" s="11" t="s">
        <v>18</v>
      </c>
      <c r="G568" s="13"/>
      <c r="H568" s="12" t="s">
        <v>19</v>
      </c>
      <c r="I568" s="11" t="s">
        <v>195</v>
      </c>
      <c r="J568" s="11" t="s">
        <v>21</v>
      </c>
      <c r="K568" s="13"/>
      <c r="L568" s="14" t="s">
        <v>1386</v>
      </c>
    </row>
    <row r="569">
      <c r="A569" s="15">
        <v>1365.0</v>
      </c>
      <c r="B569" s="16" t="s">
        <v>1387</v>
      </c>
      <c r="C569" s="17">
        <v>81.0</v>
      </c>
      <c r="D569" s="16" t="s">
        <v>195</v>
      </c>
      <c r="E569" s="16" t="s">
        <v>25</v>
      </c>
      <c r="F569" s="16" t="s">
        <v>18</v>
      </c>
      <c r="G569" s="18"/>
      <c r="H569" s="17" t="s">
        <v>19</v>
      </c>
      <c r="I569" s="16" t="s">
        <v>195</v>
      </c>
      <c r="J569" s="16" t="s">
        <v>21</v>
      </c>
      <c r="K569" s="18"/>
      <c r="L569" s="19" t="s">
        <v>1388</v>
      </c>
    </row>
    <row r="570">
      <c r="A570" s="10">
        <v>301.0</v>
      </c>
      <c r="B570" s="11" t="s">
        <v>1389</v>
      </c>
      <c r="C570" s="12">
        <v>22.0</v>
      </c>
      <c r="D570" s="11" t="s">
        <v>195</v>
      </c>
      <c r="E570" s="11" t="s">
        <v>17</v>
      </c>
      <c r="F570" s="11" t="s">
        <v>18</v>
      </c>
      <c r="G570" s="13"/>
      <c r="H570" s="12" t="s">
        <v>19</v>
      </c>
      <c r="I570" s="11" t="s">
        <v>195</v>
      </c>
      <c r="J570" s="11" t="s">
        <v>21</v>
      </c>
      <c r="K570" s="13"/>
      <c r="L570" s="14" t="s">
        <v>1390</v>
      </c>
    </row>
    <row r="571">
      <c r="A571" s="15">
        <v>345.0</v>
      </c>
      <c r="B571" s="16" t="s">
        <v>1391</v>
      </c>
      <c r="C571" s="17">
        <v>21.0</v>
      </c>
      <c r="D571" s="16" t="s">
        <v>195</v>
      </c>
      <c r="E571" s="16" t="s">
        <v>17</v>
      </c>
      <c r="F571" s="16" t="s">
        <v>18</v>
      </c>
      <c r="G571" s="18"/>
      <c r="H571" s="17" t="s">
        <v>19</v>
      </c>
      <c r="I571" s="16" t="s">
        <v>195</v>
      </c>
      <c r="J571" s="16" t="s">
        <v>21</v>
      </c>
      <c r="K571" s="18"/>
      <c r="L571" s="19" t="s">
        <v>1392</v>
      </c>
    </row>
    <row r="572">
      <c r="A572" s="10">
        <v>1444.0</v>
      </c>
      <c r="B572" s="11" t="s">
        <v>1393</v>
      </c>
      <c r="C572" s="12">
        <v>48.0</v>
      </c>
      <c r="D572" s="11" t="s">
        <v>1394</v>
      </c>
      <c r="E572" s="11" t="s">
        <v>25</v>
      </c>
      <c r="F572" s="11" t="s">
        <v>18</v>
      </c>
      <c r="G572" s="13"/>
      <c r="H572" s="12" t="s">
        <v>19</v>
      </c>
      <c r="I572" s="11" t="s">
        <v>195</v>
      </c>
      <c r="J572" s="11" t="s">
        <v>21</v>
      </c>
      <c r="K572" s="13"/>
      <c r="L572" s="14" t="s">
        <v>1395</v>
      </c>
    </row>
    <row r="573">
      <c r="A573" s="15">
        <v>294.0</v>
      </c>
      <c r="B573" s="16" t="s">
        <v>1396</v>
      </c>
      <c r="C573" s="17">
        <v>30.0</v>
      </c>
      <c r="D573" s="16" t="s">
        <v>195</v>
      </c>
      <c r="E573" s="16" t="s">
        <v>25</v>
      </c>
      <c r="F573" s="16" t="s">
        <v>18</v>
      </c>
      <c r="G573" s="18"/>
      <c r="H573" s="17" t="s">
        <v>19</v>
      </c>
      <c r="I573" s="16" t="s">
        <v>195</v>
      </c>
      <c r="J573" s="16" t="s">
        <v>21</v>
      </c>
      <c r="K573" s="18"/>
      <c r="L573" s="19" t="s">
        <v>1397</v>
      </c>
    </row>
    <row r="574">
      <c r="A574" s="10">
        <v>295.0</v>
      </c>
      <c r="B574" s="11" t="s">
        <v>1398</v>
      </c>
      <c r="C574" s="12">
        <v>30.0</v>
      </c>
      <c r="D574" s="11" t="s">
        <v>195</v>
      </c>
      <c r="E574" s="11" t="s">
        <v>17</v>
      </c>
      <c r="F574" s="11" t="s">
        <v>18</v>
      </c>
      <c r="G574" s="13"/>
      <c r="H574" s="12" t="s">
        <v>19</v>
      </c>
      <c r="I574" s="11" t="s">
        <v>195</v>
      </c>
      <c r="J574" s="11" t="s">
        <v>21</v>
      </c>
      <c r="K574" s="13"/>
      <c r="L574" s="14" t="s">
        <v>1399</v>
      </c>
    </row>
    <row r="575">
      <c r="A575" s="15">
        <v>307.0</v>
      </c>
      <c r="B575" s="16" t="s">
        <v>1400</v>
      </c>
      <c r="C575" s="17">
        <v>20.0</v>
      </c>
      <c r="D575" s="16" t="s">
        <v>195</v>
      </c>
      <c r="E575" s="16" t="s">
        <v>25</v>
      </c>
      <c r="F575" s="16" t="s">
        <v>478</v>
      </c>
      <c r="G575" s="16" t="s">
        <v>479</v>
      </c>
      <c r="H575" s="17" t="s">
        <v>19</v>
      </c>
      <c r="I575" s="16" t="s">
        <v>195</v>
      </c>
      <c r="J575" s="16" t="s">
        <v>21</v>
      </c>
      <c r="K575" s="18"/>
      <c r="L575" s="19" t="s">
        <v>1401</v>
      </c>
    </row>
    <row r="576">
      <c r="A576" s="10">
        <v>308.0</v>
      </c>
      <c r="B576" s="11" t="s">
        <v>1402</v>
      </c>
      <c r="C576" s="12">
        <v>48.0</v>
      </c>
      <c r="D576" s="11" t="s">
        <v>195</v>
      </c>
      <c r="E576" s="11" t="s">
        <v>17</v>
      </c>
      <c r="F576" s="11" t="s">
        <v>18</v>
      </c>
      <c r="G576" s="13"/>
      <c r="H576" s="12" t="s">
        <v>19</v>
      </c>
      <c r="I576" s="11" t="s">
        <v>195</v>
      </c>
      <c r="J576" s="11" t="s">
        <v>21</v>
      </c>
      <c r="K576" s="13"/>
      <c r="L576" s="14" t="s">
        <v>1403</v>
      </c>
    </row>
    <row r="577">
      <c r="A577" s="15">
        <v>1449.0</v>
      </c>
      <c r="B577" s="16" t="s">
        <v>1404</v>
      </c>
      <c r="C577" s="17">
        <v>33.0</v>
      </c>
      <c r="D577" s="16" t="s">
        <v>195</v>
      </c>
      <c r="E577" s="16" t="s">
        <v>25</v>
      </c>
      <c r="F577" s="16" t="s">
        <v>18</v>
      </c>
      <c r="G577" s="18"/>
      <c r="H577" s="17" t="s">
        <v>19</v>
      </c>
      <c r="I577" s="16" t="s">
        <v>195</v>
      </c>
      <c r="J577" s="16" t="s">
        <v>21</v>
      </c>
      <c r="K577" s="18"/>
      <c r="L577" s="19" t="s">
        <v>1405</v>
      </c>
    </row>
    <row r="578">
      <c r="A578" s="10">
        <v>1450.0</v>
      </c>
      <c r="B578" s="11" t="s">
        <v>1406</v>
      </c>
      <c r="C578" s="12">
        <v>63.0</v>
      </c>
      <c r="D578" s="11" t="s">
        <v>195</v>
      </c>
      <c r="E578" s="11" t="s">
        <v>25</v>
      </c>
      <c r="F578" s="11" t="s">
        <v>18</v>
      </c>
      <c r="G578" s="13"/>
      <c r="H578" s="12" t="s">
        <v>19</v>
      </c>
      <c r="I578" s="11" t="s">
        <v>195</v>
      </c>
      <c r="J578" s="11" t="s">
        <v>21</v>
      </c>
      <c r="K578" s="13"/>
      <c r="L578" s="14" t="s">
        <v>1407</v>
      </c>
    </row>
    <row r="579">
      <c r="A579" s="15">
        <v>298.0</v>
      </c>
      <c r="B579" s="16" t="s">
        <v>1408</v>
      </c>
      <c r="C579" s="17">
        <v>80.0</v>
      </c>
      <c r="D579" s="16" t="s">
        <v>195</v>
      </c>
      <c r="E579" s="16" t="s">
        <v>25</v>
      </c>
      <c r="F579" s="16" t="s">
        <v>18</v>
      </c>
      <c r="G579" s="18"/>
      <c r="H579" s="17" t="s">
        <v>19</v>
      </c>
      <c r="I579" s="16" t="s">
        <v>195</v>
      </c>
      <c r="J579" s="16" t="s">
        <v>21</v>
      </c>
      <c r="K579" s="18"/>
      <c r="L579" s="19" t="s">
        <v>1409</v>
      </c>
    </row>
    <row r="580">
      <c r="A580" s="10">
        <v>369.0</v>
      </c>
      <c r="B580" s="11" t="s">
        <v>1410</v>
      </c>
      <c r="C580" s="12">
        <v>37.0</v>
      </c>
      <c r="D580" s="11" t="s">
        <v>195</v>
      </c>
      <c r="E580" s="11" t="s">
        <v>17</v>
      </c>
      <c r="F580" s="11" t="s">
        <v>18</v>
      </c>
      <c r="G580" s="13"/>
      <c r="H580" s="12" t="s">
        <v>19</v>
      </c>
      <c r="I580" s="11" t="s">
        <v>195</v>
      </c>
      <c r="J580" s="11" t="s">
        <v>21</v>
      </c>
      <c r="K580" s="13"/>
      <c r="L580" s="14" t="s">
        <v>1411</v>
      </c>
    </row>
    <row r="581">
      <c r="A581" s="15">
        <v>368.0</v>
      </c>
      <c r="B581" s="16" t="s">
        <v>1412</v>
      </c>
      <c r="C581" s="17">
        <v>54.0</v>
      </c>
      <c r="D581" s="16" t="s">
        <v>195</v>
      </c>
      <c r="E581" s="16" t="s">
        <v>25</v>
      </c>
      <c r="F581" s="16" t="s">
        <v>18</v>
      </c>
      <c r="G581" s="18"/>
      <c r="H581" s="17" t="s">
        <v>19</v>
      </c>
      <c r="I581" s="16" t="s">
        <v>195</v>
      </c>
      <c r="J581" s="16" t="s">
        <v>21</v>
      </c>
      <c r="K581" s="18"/>
      <c r="L581" s="19" t="s">
        <v>1413</v>
      </c>
    </row>
    <row r="582">
      <c r="A582" s="10">
        <v>367.0</v>
      </c>
      <c r="B582" s="11" t="s">
        <v>1414</v>
      </c>
      <c r="C582" s="12">
        <v>57.0</v>
      </c>
      <c r="D582" s="11" t="s">
        <v>195</v>
      </c>
      <c r="E582" s="11" t="s">
        <v>17</v>
      </c>
      <c r="F582" s="11" t="s">
        <v>18</v>
      </c>
      <c r="G582" s="13"/>
      <c r="H582" s="12" t="s">
        <v>19</v>
      </c>
      <c r="I582" s="11" t="s">
        <v>195</v>
      </c>
      <c r="J582" s="11" t="s">
        <v>21</v>
      </c>
      <c r="K582" s="13"/>
      <c r="L582" s="14" t="s">
        <v>1415</v>
      </c>
    </row>
    <row r="583">
      <c r="A583" s="15">
        <v>373.0</v>
      </c>
      <c r="B583" s="16" t="s">
        <v>1416</v>
      </c>
      <c r="C583" s="17">
        <v>74.0</v>
      </c>
      <c r="D583" s="16" t="s">
        <v>195</v>
      </c>
      <c r="E583" s="16" t="s">
        <v>17</v>
      </c>
      <c r="F583" s="16" t="s">
        <v>18</v>
      </c>
      <c r="G583" s="18"/>
      <c r="H583" s="17" t="s">
        <v>19</v>
      </c>
      <c r="I583" s="16" t="s">
        <v>195</v>
      </c>
      <c r="J583" s="16" t="s">
        <v>21</v>
      </c>
      <c r="K583" s="18"/>
      <c r="L583" s="19" t="s">
        <v>1417</v>
      </c>
    </row>
    <row r="584">
      <c r="A584" s="10">
        <v>372.0</v>
      </c>
      <c r="B584" s="11" t="s">
        <v>1418</v>
      </c>
      <c r="C584" s="12">
        <v>30.0</v>
      </c>
      <c r="D584" s="11" t="s">
        <v>195</v>
      </c>
      <c r="E584" s="11" t="s">
        <v>17</v>
      </c>
      <c r="F584" s="11" t="s">
        <v>18</v>
      </c>
      <c r="G584" s="13"/>
      <c r="H584" s="12" t="s">
        <v>19</v>
      </c>
      <c r="I584" s="11" t="s">
        <v>195</v>
      </c>
      <c r="J584" s="11" t="s">
        <v>21</v>
      </c>
      <c r="K584" s="13"/>
      <c r="L584" s="14" t="s">
        <v>1419</v>
      </c>
    </row>
    <row r="585">
      <c r="A585" s="15">
        <v>312.0</v>
      </c>
      <c r="B585" s="16" t="s">
        <v>1420</v>
      </c>
      <c r="C585" s="17">
        <v>23.0</v>
      </c>
      <c r="D585" s="16" t="s">
        <v>89</v>
      </c>
      <c r="E585" s="16" t="s">
        <v>17</v>
      </c>
      <c r="F585" s="16" t="s">
        <v>18</v>
      </c>
      <c r="G585" s="18"/>
      <c r="H585" s="17" t="s">
        <v>19</v>
      </c>
      <c r="I585" s="16" t="s">
        <v>195</v>
      </c>
      <c r="J585" s="16" t="s">
        <v>21</v>
      </c>
      <c r="K585" s="18"/>
      <c r="L585" s="19" t="s">
        <v>1421</v>
      </c>
    </row>
    <row r="586">
      <c r="A586" s="10">
        <v>88.0</v>
      </c>
      <c r="B586" s="11" t="s">
        <v>1422</v>
      </c>
      <c r="C586" s="12">
        <v>69.0</v>
      </c>
      <c r="D586" s="11" t="s">
        <v>470</v>
      </c>
      <c r="E586" s="11" t="s">
        <v>17</v>
      </c>
      <c r="F586" s="11" t="s">
        <v>56</v>
      </c>
      <c r="G586" s="13"/>
      <c r="H586" s="12" t="s">
        <v>19</v>
      </c>
      <c r="I586" s="11" t="s">
        <v>470</v>
      </c>
      <c r="J586" s="11" t="s">
        <v>21</v>
      </c>
      <c r="K586" s="13"/>
      <c r="L586" s="14" t="s">
        <v>1423</v>
      </c>
    </row>
    <row r="587">
      <c r="A587" s="15">
        <v>152.0</v>
      </c>
      <c r="B587" s="16" t="s">
        <v>1424</v>
      </c>
      <c r="C587" s="17">
        <v>12.0</v>
      </c>
      <c r="D587" s="16" t="s">
        <v>470</v>
      </c>
      <c r="E587" s="16" t="s">
        <v>104</v>
      </c>
      <c r="F587" s="16" t="s">
        <v>18</v>
      </c>
      <c r="G587" s="18"/>
      <c r="H587" s="17" t="s">
        <v>19</v>
      </c>
      <c r="I587" s="16" t="s">
        <v>300</v>
      </c>
      <c r="J587" s="16" t="s">
        <v>21</v>
      </c>
      <c r="K587" s="18"/>
      <c r="L587" s="19" t="s">
        <v>1425</v>
      </c>
    </row>
    <row r="588">
      <c r="A588" s="10">
        <v>326.0</v>
      </c>
      <c r="B588" s="11" t="s">
        <v>1426</v>
      </c>
      <c r="C588" s="12">
        <v>19.0</v>
      </c>
      <c r="D588" s="11" t="s">
        <v>195</v>
      </c>
      <c r="E588" s="11" t="s">
        <v>17</v>
      </c>
      <c r="F588" s="11" t="s">
        <v>18</v>
      </c>
      <c r="G588" s="13"/>
      <c r="H588" s="12" t="s">
        <v>19</v>
      </c>
      <c r="I588" s="11" t="s">
        <v>195</v>
      </c>
      <c r="J588" s="11" t="s">
        <v>21</v>
      </c>
      <c r="K588" s="13"/>
      <c r="L588" s="14" t="s">
        <v>1427</v>
      </c>
    </row>
    <row r="589">
      <c r="A589" s="15">
        <v>316.0</v>
      </c>
      <c r="B589" s="16" t="s">
        <v>1428</v>
      </c>
      <c r="C589" s="17">
        <v>38.0</v>
      </c>
      <c r="D589" s="16" t="s">
        <v>195</v>
      </c>
      <c r="E589" s="16" t="s">
        <v>25</v>
      </c>
      <c r="F589" s="16" t="s">
        <v>1429</v>
      </c>
      <c r="G589" s="18"/>
      <c r="H589" s="17" t="s">
        <v>19</v>
      </c>
      <c r="I589" s="16" t="s">
        <v>195</v>
      </c>
      <c r="J589" s="16" t="s">
        <v>21</v>
      </c>
      <c r="K589" s="18"/>
      <c r="L589" s="19" t="s">
        <v>1430</v>
      </c>
    </row>
    <row r="590">
      <c r="A590" s="10">
        <v>315.0</v>
      </c>
      <c r="B590" s="11" t="s">
        <v>1431</v>
      </c>
      <c r="C590" s="12">
        <v>45.0</v>
      </c>
      <c r="D590" s="11" t="s">
        <v>195</v>
      </c>
      <c r="E590" s="11" t="s">
        <v>17</v>
      </c>
      <c r="F590" s="11" t="s">
        <v>18</v>
      </c>
      <c r="G590" s="13"/>
      <c r="H590" s="12" t="s">
        <v>19</v>
      </c>
      <c r="I590" s="11" t="s">
        <v>195</v>
      </c>
      <c r="J590" s="11" t="s">
        <v>21</v>
      </c>
      <c r="K590" s="13"/>
      <c r="L590" s="14" t="s">
        <v>1432</v>
      </c>
    </row>
    <row r="591">
      <c r="A591" s="15">
        <v>333.0</v>
      </c>
      <c r="B591" s="16" t="s">
        <v>1433</v>
      </c>
      <c r="C591" s="17">
        <v>72.0</v>
      </c>
      <c r="D591" s="16" t="s">
        <v>195</v>
      </c>
      <c r="E591" s="16" t="s">
        <v>25</v>
      </c>
      <c r="F591" s="16" t="s">
        <v>18</v>
      </c>
      <c r="G591" s="18"/>
      <c r="H591" s="17" t="s">
        <v>19</v>
      </c>
      <c r="I591" s="16" t="s">
        <v>195</v>
      </c>
      <c r="J591" s="16" t="s">
        <v>21</v>
      </c>
      <c r="K591" s="18"/>
      <c r="L591" s="19" t="s">
        <v>1434</v>
      </c>
    </row>
    <row r="592">
      <c r="A592" s="10">
        <v>331.0</v>
      </c>
      <c r="B592" s="11" t="s">
        <v>1435</v>
      </c>
      <c r="C592" s="12">
        <v>59.0</v>
      </c>
      <c r="D592" s="11" t="s">
        <v>195</v>
      </c>
      <c r="E592" s="11" t="s">
        <v>25</v>
      </c>
      <c r="F592" s="11" t="s">
        <v>18</v>
      </c>
      <c r="G592" s="13"/>
      <c r="H592" s="12" t="s">
        <v>19</v>
      </c>
      <c r="I592" s="11" t="s">
        <v>195</v>
      </c>
      <c r="J592" s="11" t="s">
        <v>21</v>
      </c>
      <c r="K592" s="13"/>
      <c r="L592" s="14" t="s">
        <v>1436</v>
      </c>
    </row>
    <row r="593">
      <c r="A593" s="15">
        <v>330.0</v>
      </c>
      <c r="B593" s="16" t="s">
        <v>1437</v>
      </c>
      <c r="C593" s="17">
        <v>28.0</v>
      </c>
      <c r="D593" s="16" t="s">
        <v>195</v>
      </c>
      <c r="E593" s="16" t="s">
        <v>17</v>
      </c>
      <c r="F593" s="16" t="s">
        <v>18</v>
      </c>
      <c r="G593" s="18"/>
      <c r="H593" s="17" t="s">
        <v>19</v>
      </c>
      <c r="I593" s="16" t="s">
        <v>195</v>
      </c>
      <c r="J593" s="16" t="s">
        <v>21</v>
      </c>
      <c r="K593" s="18"/>
      <c r="L593" s="19" t="s">
        <v>1438</v>
      </c>
    </row>
    <row r="594">
      <c r="A594" s="10">
        <v>332.0</v>
      </c>
      <c r="B594" s="11" t="s">
        <v>1439</v>
      </c>
      <c r="C594" s="12">
        <v>62.0</v>
      </c>
      <c r="D594" s="11" t="s">
        <v>195</v>
      </c>
      <c r="E594" s="11" t="s">
        <v>17</v>
      </c>
      <c r="F594" s="11" t="s">
        <v>18</v>
      </c>
      <c r="G594" s="13"/>
      <c r="H594" s="12" t="s">
        <v>19</v>
      </c>
      <c r="I594" s="11" t="s">
        <v>195</v>
      </c>
      <c r="J594" s="11" t="s">
        <v>21</v>
      </c>
      <c r="K594" s="13"/>
      <c r="L594" s="14" t="s">
        <v>1440</v>
      </c>
    </row>
    <row r="595">
      <c r="A595" s="15">
        <v>1727.0</v>
      </c>
      <c r="B595" s="16" t="s">
        <v>1441</v>
      </c>
      <c r="C595" s="17">
        <v>66.0</v>
      </c>
      <c r="D595" s="16" t="s">
        <v>195</v>
      </c>
      <c r="E595" s="16" t="s">
        <v>17</v>
      </c>
      <c r="F595" s="16" t="s">
        <v>18</v>
      </c>
      <c r="G595" s="18"/>
      <c r="H595" s="17" t="s">
        <v>19</v>
      </c>
      <c r="I595" s="16" t="s">
        <v>195</v>
      </c>
      <c r="J595" s="16" t="s">
        <v>21</v>
      </c>
      <c r="K595" s="18"/>
      <c r="L595" s="19" t="s">
        <v>1442</v>
      </c>
    </row>
    <row r="596">
      <c r="A596" s="10">
        <v>302.0</v>
      </c>
      <c r="B596" s="11" t="s">
        <v>1443</v>
      </c>
      <c r="C596" s="12">
        <v>67.0</v>
      </c>
      <c r="D596" s="11" t="s">
        <v>195</v>
      </c>
      <c r="E596" s="11" t="s">
        <v>25</v>
      </c>
      <c r="F596" s="11" t="s">
        <v>18</v>
      </c>
      <c r="G596" s="13"/>
      <c r="H596" s="12" t="s">
        <v>19</v>
      </c>
      <c r="I596" s="11" t="s">
        <v>195</v>
      </c>
      <c r="J596" s="11" t="s">
        <v>21</v>
      </c>
      <c r="K596" s="13"/>
      <c r="L596" s="14" t="s">
        <v>1444</v>
      </c>
    </row>
    <row r="597">
      <c r="A597" s="15">
        <v>1473.0</v>
      </c>
      <c r="B597" s="16" t="s">
        <v>1445</v>
      </c>
      <c r="C597" s="17">
        <v>51.0</v>
      </c>
      <c r="D597" s="16" t="s">
        <v>350</v>
      </c>
      <c r="E597" s="16" t="s">
        <v>17</v>
      </c>
      <c r="F597" s="16" t="s">
        <v>18</v>
      </c>
      <c r="G597" s="18"/>
      <c r="H597" s="17" t="s">
        <v>19</v>
      </c>
      <c r="I597" s="16" t="s">
        <v>147</v>
      </c>
      <c r="J597" s="16" t="s">
        <v>21</v>
      </c>
      <c r="K597" s="18"/>
      <c r="L597" s="19" t="s">
        <v>1446</v>
      </c>
    </row>
    <row r="598">
      <c r="A598" s="10">
        <v>371.0</v>
      </c>
      <c r="B598" s="11" t="s">
        <v>1447</v>
      </c>
      <c r="C598" s="12">
        <v>50.0</v>
      </c>
      <c r="D598" s="11" t="s">
        <v>195</v>
      </c>
      <c r="E598" s="11" t="s">
        <v>17</v>
      </c>
      <c r="F598" s="11" t="s">
        <v>18</v>
      </c>
      <c r="G598" s="13"/>
      <c r="H598" s="12" t="s">
        <v>19</v>
      </c>
      <c r="I598" s="11" t="s">
        <v>195</v>
      </c>
      <c r="J598" s="11" t="s">
        <v>21</v>
      </c>
      <c r="K598" s="13"/>
      <c r="L598" s="14" t="s">
        <v>1448</v>
      </c>
    </row>
    <row r="599">
      <c r="A599" s="15">
        <v>321.0</v>
      </c>
      <c r="B599" s="16" t="s">
        <v>1449</v>
      </c>
      <c r="C599" s="17">
        <v>53.0</v>
      </c>
      <c r="D599" s="16" t="s">
        <v>195</v>
      </c>
      <c r="E599" s="16" t="s">
        <v>17</v>
      </c>
      <c r="F599" s="16" t="s">
        <v>18</v>
      </c>
      <c r="G599" s="18"/>
      <c r="H599" s="17" t="s">
        <v>19</v>
      </c>
      <c r="I599" s="16" t="s">
        <v>195</v>
      </c>
      <c r="J599" s="16" t="s">
        <v>21</v>
      </c>
      <c r="K599" s="18"/>
      <c r="L599" s="19" t="s">
        <v>1450</v>
      </c>
    </row>
    <row r="600">
      <c r="A600" s="10">
        <v>325.0</v>
      </c>
      <c r="B600" s="11" t="s">
        <v>1451</v>
      </c>
      <c r="C600" s="12">
        <v>16.0</v>
      </c>
      <c r="D600" s="11" t="s">
        <v>195</v>
      </c>
      <c r="E600" s="11" t="s">
        <v>104</v>
      </c>
      <c r="F600" s="11" t="s">
        <v>18</v>
      </c>
      <c r="G600" s="13"/>
      <c r="H600" s="12" t="s">
        <v>19</v>
      </c>
      <c r="I600" s="11" t="s">
        <v>195</v>
      </c>
      <c r="J600" s="11" t="s">
        <v>21</v>
      </c>
      <c r="K600" s="13"/>
      <c r="L600" s="14" t="s">
        <v>1452</v>
      </c>
    </row>
    <row r="601">
      <c r="A601" s="15">
        <v>324.0</v>
      </c>
      <c r="B601" s="16" t="s">
        <v>1453</v>
      </c>
      <c r="C601" s="17">
        <v>14.0</v>
      </c>
      <c r="D601" s="16" t="s">
        <v>195</v>
      </c>
      <c r="E601" s="16" t="s">
        <v>104</v>
      </c>
      <c r="F601" s="16" t="s">
        <v>18</v>
      </c>
      <c r="G601" s="18"/>
      <c r="H601" s="17" t="s">
        <v>19</v>
      </c>
      <c r="I601" s="16" t="s">
        <v>195</v>
      </c>
      <c r="J601" s="16" t="s">
        <v>21</v>
      </c>
      <c r="K601" s="18"/>
      <c r="L601" s="19" t="s">
        <v>1454</v>
      </c>
    </row>
    <row r="602">
      <c r="A602" s="10">
        <v>322.0</v>
      </c>
      <c r="B602" s="11" t="s">
        <v>1455</v>
      </c>
      <c r="C602" s="12">
        <v>50.0</v>
      </c>
      <c r="D602" s="11" t="s">
        <v>195</v>
      </c>
      <c r="E602" s="11" t="s">
        <v>25</v>
      </c>
      <c r="F602" s="11" t="s">
        <v>18</v>
      </c>
      <c r="G602" s="13"/>
      <c r="H602" s="12" t="s">
        <v>19</v>
      </c>
      <c r="I602" s="11" t="s">
        <v>195</v>
      </c>
      <c r="J602" s="11" t="s">
        <v>21</v>
      </c>
      <c r="K602" s="13"/>
      <c r="L602" s="14" t="s">
        <v>1456</v>
      </c>
    </row>
    <row r="603">
      <c r="A603" s="15">
        <v>323.0</v>
      </c>
      <c r="B603" s="16" t="s">
        <v>1457</v>
      </c>
      <c r="C603" s="17">
        <v>18.0</v>
      </c>
      <c r="D603" s="16" t="s">
        <v>195</v>
      </c>
      <c r="E603" s="16" t="s">
        <v>25</v>
      </c>
      <c r="F603" s="16" t="s">
        <v>478</v>
      </c>
      <c r="G603" s="16" t="s">
        <v>689</v>
      </c>
      <c r="H603" s="17" t="s">
        <v>19</v>
      </c>
      <c r="I603" s="16" t="s">
        <v>195</v>
      </c>
      <c r="J603" s="16" t="s">
        <v>21</v>
      </c>
      <c r="K603" s="18"/>
      <c r="L603" s="19" t="s">
        <v>1458</v>
      </c>
    </row>
    <row r="604">
      <c r="A604" s="10">
        <v>320.0</v>
      </c>
      <c r="B604" s="11" t="s">
        <v>1459</v>
      </c>
      <c r="C604" s="12">
        <v>72.0</v>
      </c>
      <c r="D604" s="11" t="s">
        <v>195</v>
      </c>
      <c r="E604" s="11" t="s">
        <v>17</v>
      </c>
      <c r="F604" s="11" t="s">
        <v>18</v>
      </c>
      <c r="G604" s="13"/>
      <c r="H604" s="12" t="s">
        <v>19</v>
      </c>
      <c r="I604" s="11" t="s">
        <v>195</v>
      </c>
      <c r="J604" s="11" t="s">
        <v>21</v>
      </c>
      <c r="K604" s="13"/>
      <c r="L604" s="14" t="s">
        <v>1460</v>
      </c>
    </row>
    <row r="605">
      <c r="A605" s="15">
        <v>335.0</v>
      </c>
      <c r="B605" s="16" t="s">
        <v>1461</v>
      </c>
      <c r="C605" s="17">
        <v>27.0</v>
      </c>
      <c r="D605" s="16" t="s">
        <v>195</v>
      </c>
      <c r="E605" s="16" t="s">
        <v>25</v>
      </c>
      <c r="F605" s="16" t="s">
        <v>18</v>
      </c>
      <c r="G605" s="18"/>
      <c r="H605" s="17" t="s">
        <v>19</v>
      </c>
      <c r="I605" s="16" t="s">
        <v>195</v>
      </c>
      <c r="J605" s="16" t="s">
        <v>21</v>
      </c>
      <c r="K605" s="18"/>
      <c r="L605" s="19" t="s">
        <v>1462</v>
      </c>
    </row>
    <row r="606">
      <c r="A606" s="10">
        <v>350.0</v>
      </c>
      <c r="B606" s="11" t="s">
        <v>1463</v>
      </c>
      <c r="C606" s="12">
        <v>86.0</v>
      </c>
      <c r="D606" s="11" t="s">
        <v>195</v>
      </c>
      <c r="E606" s="11" t="s">
        <v>25</v>
      </c>
      <c r="F606" s="11" t="s">
        <v>18</v>
      </c>
      <c r="G606" s="13"/>
      <c r="H606" s="12" t="s">
        <v>19</v>
      </c>
      <c r="I606" s="11" t="s">
        <v>195</v>
      </c>
      <c r="J606" s="11" t="s">
        <v>21</v>
      </c>
      <c r="K606" s="13"/>
      <c r="L606" s="14" t="s">
        <v>1464</v>
      </c>
    </row>
    <row r="607">
      <c r="A607" s="15">
        <v>336.0</v>
      </c>
      <c r="B607" s="16" t="s">
        <v>1465</v>
      </c>
      <c r="C607" s="17">
        <v>75.0</v>
      </c>
      <c r="D607" s="16" t="s">
        <v>195</v>
      </c>
      <c r="E607" s="16" t="s">
        <v>17</v>
      </c>
      <c r="F607" s="16" t="s">
        <v>18</v>
      </c>
      <c r="G607" s="18"/>
      <c r="H607" s="17" t="s">
        <v>19</v>
      </c>
      <c r="I607" s="16" t="s">
        <v>195</v>
      </c>
      <c r="J607" s="16" t="s">
        <v>21</v>
      </c>
      <c r="K607" s="18"/>
      <c r="L607" s="19" t="s">
        <v>1466</v>
      </c>
    </row>
    <row r="608">
      <c r="A608" s="10">
        <v>347.0</v>
      </c>
      <c r="B608" s="11" t="s">
        <v>1467</v>
      </c>
      <c r="C608" s="12">
        <v>67.0</v>
      </c>
      <c r="D608" s="11" t="s">
        <v>195</v>
      </c>
      <c r="E608" s="11" t="s">
        <v>17</v>
      </c>
      <c r="F608" s="11" t="s">
        <v>18</v>
      </c>
      <c r="G608" s="13"/>
      <c r="H608" s="12" t="s">
        <v>19</v>
      </c>
      <c r="I608" s="11" t="s">
        <v>195</v>
      </c>
      <c r="J608" s="11" t="s">
        <v>21</v>
      </c>
      <c r="K608" s="13"/>
      <c r="L608" s="14" t="s">
        <v>1468</v>
      </c>
    </row>
    <row r="609">
      <c r="A609" s="15">
        <v>346.0</v>
      </c>
      <c r="B609" s="16" t="s">
        <v>1469</v>
      </c>
      <c r="C609" s="17">
        <v>67.0</v>
      </c>
      <c r="D609" s="16" t="s">
        <v>195</v>
      </c>
      <c r="E609" s="16" t="s">
        <v>25</v>
      </c>
      <c r="F609" s="16" t="s">
        <v>18</v>
      </c>
      <c r="G609" s="18"/>
      <c r="H609" s="17" t="s">
        <v>19</v>
      </c>
      <c r="I609" s="16" t="s">
        <v>195</v>
      </c>
      <c r="J609" s="16" t="s">
        <v>21</v>
      </c>
      <c r="K609" s="18"/>
      <c r="L609" s="19" t="s">
        <v>1470</v>
      </c>
    </row>
    <row r="610">
      <c r="A610" s="10">
        <v>338.0</v>
      </c>
      <c r="B610" s="11" t="s">
        <v>1471</v>
      </c>
      <c r="C610" s="12">
        <v>20.0</v>
      </c>
      <c r="D610" s="11" t="s">
        <v>195</v>
      </c>
      <c r="E610" s="11" t="s">
        <v>25</v>
      </c>
      <c r="F610" s="11" t="s">
        <v>478</v>
      </c>
      <c r="G610" s="11" t="s">
        <v>479</v>
      </c>
      <c r="H610" s="12" t="s">
        <v>19</v>
      </c>
      <c r="I610" s="11" t="s">
        <v>195</v>
      </c>
      <c r="J610" s="11" t="s">
        <v>21</v>
      </c>
      <c r="K610" s="13"/>
      <c r="L610" s="14" t="s">
        <v>1472</v>
      </c>
    </row>
    <row r="611">
      <c r="A611" s="15">
        <v>339.0</v>
      </c>
      <c r="B611" s="16" t="s">
        <v>1473</v>
      </c>
      <c r="C611" s="17">
        <v>54.0</v>
      </c>
      <c r="D611" s="16" t="s">
        <v>195</v>
      </c>
      <c r="E611" s="16" t="s">
        <v>25</v>
      </c>
      <c r="F611" s="16" t="s">
        <v>18</v>
      </c>
      <c r="G611" s="18"/>
      <c r="H611" s="17" t="s">
        <v>19</v>
      </c>
      <c r="I611" s="16" t="s">
        <v>195</v>
      </c>
      <c r="J611" s="16" t="s">
        <v>21</v>
      </c>
      <c r="K611" s="18"/>
      <c r="L611" s="19" t="s">
        <v>1474</v>
      </c>
    </row>
    <row r="612">
      <c r="A612" s="10">
        <v>1699.0</v>
      </c>
      <c r="B612" s="12" t="s">
        <v>1475</v>
      </c>
      <c r="C612" s="12">
        <v>32.0</v>
      </c>
      <c r="D612" s="11" t="s">
        <v>168</v>
      </c>
      <c r="E612" s="11" t="s">
        <v>25</v>
      </c>
      <c r="F612" s="11" t="s">
        <v>169</v>
      </c>
      <c r="G612" s="13"/>
      <c r="H612" s="12" t="s">
        <v>19</v>
      </c>
      <c r="I612" s="11" t="s">
        <v>195</v>
      </c>
      <c r="J612" s="11" t="s">
        <v>21</v>
      </c>
      <c r="K612" s="13"/>
      <c r="L612" s="14" t="s">
        <v>1475</v>
      </c>
    </row>
    <row r="613">
      <c r="A613" s="15">
        <v>411.0</v>
      </c>
      <c r="B613" s="16" t="s">
        <v>1476</v>
      </c>
      <c r="C613" s="17">
        <v>47.0</v>
      </c>
      <c r="D613" s="16" t="s">
        <v>1477</v>
      </c>
      <c r="E613" s="16" t="s">
        <v>17</v>
      </c>
      <c r="F613" s="16" t="s">
        <v>18</v>
      </c>
      <c r="G613" s="18"/>
      <c r="H613" s="17" t="s">
        <v>19</v>
      </c>
      <c r="I613" s="16" t="s">
        <v>1477</v>
      </c>
      <c r="J613" s="16" t="s">
        <v>21</v>
      </c>
      <c r="K613" s="18"/>
      <c r="L613" s="19" t="s">
        <v>1478</v>
      </c>
    </row>
    <row r="614">
      <c r="A614" s="10">
        <v>409.0</v>
      </c>
      <c r="B614" s="11" t="s">
        <v>1479</v>
      </c>
      <c r="C614" s="12">
        <v>75.0</v>
      </c>
      <c r="D614" s="11" t="s">
        <v>1477</v>
      </c>
      <c r="E614" s="11" t="s">
        <v>25</v>
      </c>
      <c r="F614" s="11" t="s">
        <v>18</v>
      </c>
      <c r="G614" s="13"/>
      <c r="H614" s="12" t="s">
        <v>19</v>
      </c>
      <c r="I614" s="11" t="s">
        <v>1477</v>
      </c>
      <c r="J614" s="11" t="s">
        <v>21</v>
      </c>
      <c r="K614" s="13"/>
      <c r="L614" s="14" t="s">
        <v>1480</v>
      </c>
    </row>
    <row r="615">
      <c r="A615" s="15">
        <v>457.0</v>
      </c>
      <c r="B615" s="16" t="s">
        <v>1481</v>
      </c>
      <c r="C615" s="17">
        <v>54.0</v>
      </c>
      <c r="D615" s="16" t="s">
        <v>1477</v>
      </c>
      <c r="E615" s="16" t="s">
        <v>17</v>
      </c>
      <c r="F615" s="16" t="s">
        <v>18</v>
      </c>
      <c r="G615" s="18"/>
      <c r="H615" s="17" t="s">
        <v>19</v>
      </c>
      <c r="I615" s="16" t="s">
        <v>1477</v>
      </c>
      <c r="J615" s="16" t="s">
        <v>21</v>
      </c>
      <c r="K615" s="18"/>
      <c r="L615" s="19" t="s">
        <v>1482</v>
      </c>
    </row>
    <row r="616">
      <c r="A616" s="10">
        <v>458.0</v>
      </c>
      <c r="B616" s="11" t="s">
        <v>1483</v>
      </c>
      <c r="C616" s="12">
        <v>49.0</v>
      </c>
      <c r="D616" s="11" t="s">
        <v>1477</v>
      </c>
      <c r="E616" s="11" t="s">
        <v>25</v>
      </c>
      <c r="F616" s="11" t="s">
        <v>18</v>
      </c>
      <c r="G616" s="13"/>
      <c r="H616" s="12" t="s">
        <v>19</v>
      </c>
      <c r="I616" s="11" t="s">
        <v>1477</v>
      </c>
      <c r="J616" s="11" t="s">
        <v>21</v>
      </c>
      <c r="K616" s="13"/>
      <c r="L616" s="14" t="s">
        <v>1484</v>
      </c>
    </row>
    <row r="617">
      <c r="A617" s="15">
        <v>455.0</v>
      </c>
      <c r="B617" s="16" t="s">
        <v>1485</v>
      </c>
      <c r="C617" s="17">
        <v>20.0</v>
      </c>
      <c r="D617" s="16" t="s">
        <v>1477</v>
      </c>
      <c r="E617" s="16" t="s">
        <v>25</v>
      </c>
      <c r="F617" s="16" t="s">
        <v>18</v>
      </c>
      <c r="G617" s="18"/>
      <c r="H617" s="17" t="s">
        <v>19</v>
      </c>
      <c r="I617" s="16" t="s">
        <v>1477</v>
      </c>
      <c r="J617" s="16" t="s">
        <v>21</v>
      </c>
      <c r="K617" s="18"/>
      <c r="L617" s="19" t="s">
        <v>1486</v>
      </c>
    </row>
    <row r="618">
      <c r="A618" s="10">
        <v>456.0</v>
      </c>
      <c r="B618" s="11" t="s">
        <v>1487</v>
      </c>
      <c r="C618" s="12">
        <v>18.0</v>
      </c>
      <c r="D618" s="11" t="s">
        <v>1477</v>
      </c>
      <c r="E618" s="11" t="s">
        <v>25</v>
      </c>
      <c r="F618" s="11" t="s">
        <v>18</v>
      </c>
      <c r="G618" s="13"/>
      <c r="H618" s="12" t="s">
        <v>19</v>
      </c>
      <c r="I618" s="11" t="s">
        <v>1477</v>
      </c>
      <c r="J618" s="11" t="s">
        <v>21</v>
      </c>
      <c r="K618" s="13"/>
      <c r="L618" s="14" t="s">
        <v>1488</v>
      </c>
    </row>
    <row r="619">
      <c r="A619" s="15">
        <v>581.0</v>
      </c>
      <c r="B619" s="16" t="s">
        <v>1489</v>
      </c>
      <c r="C619" s="17">
        <v>69.0</v>
      </c>
      <c r="D619" s="16" t="s">
        <v>176</v>
      </c>
      <c r="E619" s="16" t="s">
        <v>25</v>
      </c>
      <c r="F619" s="16" t="s">
        <v>18</v>
      </c>
      <c r="G619" s="18"/>
      <c r="H619" s="17" t="s">
        <v>19</v>
      </c>
      <c r="I619" s="16" t="s">
        <v>1490</v>
      </c>
      <c r="J619" s="16" t="s">
        <v>21</v>
      </c>
      <c r="K619" s="18"/>
      <c r="L619" s="19" t="s">
        <v>1491</v>
      </c>
    </row>
    <row r="620">
      <c r="A620" s="10">
        <v>419.0</v>
      </c>
      <c r="B620" s="11" t="s">
        <v>1492</v>
      </c>
      <c r="C620" s="12">
        <v>78.0</v>
      </c>
      <c r="D620" s="11" t="s">
        <v>1477</v>
      </c>
      <c r="E620" s="11" t="s">
        <v>17</v>
      </c>
      <c r="F620" s="11" t="s">
        <v>18</v>
      </c>
      <c r="G620" s="13"/>
      <c r="H620" s="12" t="s">
        <v>19</v>
      </c>
      <c r="I620" s="11" t="s">
        <v>1477</v>
      </c>
      <c r="J620" s="11" t="s">
        <v>21</v>
      </c>
      <c r="K620" s="13"/>
      <c r="L620" s="14" t="s">
        <v>1493</v>
      </c>
    </row>
    <row r="621">
      <c r="A621" s="15">
        <v>430.0</v>
      </c>
      <c r="B621" s="16" t="s">
        <v>1494</v>
      </c>
      <c r="C621" s="17">
        <v>18.0</v>
      </c>
      <c r="D621" s="16" t="s">
        <v>1477</v>
      </c>
      <c r="E621" s="16" t="s">
        <v>25</v>
      </c>
      <c r="F621" s="16" t="s">
        <v>18</v>
      </c>
      <c r="G621" s="18"/>
      <c r="H621" s="17" t="s">
        <v>19</v>
      </c>
      <c r="I621" s="16" t="s">
        <v>1477</v>
      </c>
      <c r="J621" s="16" t="s">
        <v>21</v>
      </c>
      <c r="K621" s="18"/>
      <c r="L621" s="19" t="s">
        <v>1495</v>
      </c>
    </row>
    <row r="622">
      <c r="A622" s="10">
        <v>406.0</v>
      </c>
      <c r="B622" s="11" t="s">
        <v>1496</v>
      </c>
      <c r="C622" s="12">
        <v>17.0</v>
      </c>
      <c r="D622" s="11" t="s">
        <v>1477</v>
      </c>
      <c r="E622" s="11" t="s">
        <v>104</v>
      </c>
      <c r="F622" s="11" t="s">
        <v>18</v>
      </c>
      <c r="G622" s="13"/>
      <c r="H622" s="12" t="s">
        <v>19</v>
      </c>
      <c r="I622" s="11" t="s">
        <v>1477</v>
      </c>
      <c r="J622" s="11" t="s">
        <v>21</v>
      </c>
      <c r="K622" s="13"/>
      <c r="L622" s="14" t="s">
        <v>1497</v>
      </c>
    </row>
    <row r="623">
      <c r="A623" s="15">
        <v>405.0</v>
      </c>
      <c r="B623" s="16" t="s">
        <v>1498</v>
      </c>
      <c r="C623" s="17">
        <v>51.0</v>
      </c>
      <c r="D623" s="16" t="s">
        <v>1477</v>
      </c>
      <c r="E623" s="16" t="s">
        <v>25</v>
      </c>
      <c r="F623" s="16" t="s">
        <v>18</v>
      </c>
      <c r="G623" s="18"/>
      <c r="H623" s="17" t="s">
        <v>19</v>
      </c>
      <c r="I623" s="16" t="s">
        <v>1477</v>
      </c>
      <c r="J623" s="16" t="s">
        <v>21</v>
      </c>
      <c r="K623" s="18"/>
      <c r="L623" s="19" t="s">
        <v>1499</v>
      </c>
    </row>
    <row r="624">
      <c r="A624" s="10">
        <v>426.0</v>
      </c>
      <c r="B624" s="11" t="s">
        <v>1500</v>
      </c>
      <c r="C624" s="12">
        <v>85.0</v>
      </c>
      <c r="D624" s="11" t="s">
        <v>1477</v>
      </c>
      <c r="E624" s="11" t="s">
        <v>17</v>
      </c>
      <c r="F624" s="11" t="s">
        <v>18</v>
      </c>
      <c r="G624" s="13"/>
      <c r="H624" s="12" t="s">
        <v>19</v>
      </c>
      <c r="I624" s="11" t="s">
        <v>1477</v>
      </c>
      <c r="J624" s="11" t="s">
        <v>21</v>
      </c>
      <c r="K624" s="13"/>
      <c r="L624" s="14" t="s">
        <v>1501</v>
      </c>
    </row>
    <row r="625">
      <c r="A625" s="15">
        <v>1400.0</v>
      </c>
      <c r="B625" s="17" t="s">
        <v>1502</v>
      </c>
      <c r="C625" s="17">
        <v>39.0</v>
      </c>
      <c r="D625" s="16" t="s">
        <v>175</v>
      </c>
      <c r="E625" s="16" t="s">
        <v>17</v>
      </c>
      <c r="F625" s="16" t="s">
        <v>169</v>
      </c>
      <c r="G625" s="18"/>
      <c r="H625" s="17" t="s">
        <v>19</v>
      </c>
      <c r="I625" s="16" t="s">
        <v>1477</v>
      </c>
      <c r="J625" s="16" t="s">
        <v>21</v>
      </c>
      <c r="K625" s="18"/>
      <c r="L625" s="19" t="s">
        <v>1502</v>
      </c>
    </row>
    <row r="626">
      <c r="A626" s="10">
        <v>549.0</v>
      </c>
      <c r="B626" s="11" t="s">
        <v>1503</v>
      </c>
      <c r="C626" s="12">
        <v>74.0</v>
      </c>
      <c r="D626" s="11" t="s">
        <v>176</v>
      </c>
      <c r="E626" s="11" t="s">
        <v>25</v>
      </c>
      <c r="F626" s="11" t="s">
        <v>18</v>
      </c>
      <c r="G626" s="13"/>
      <c r="H626" s="12" t="s">
        <v>19</v>
      </c>
      <c r="I626" s="11" t="s">
        <v>176</v>
      </c>
      <c r="J626" s="11" t="s">
        <v>21</v>
      </c>
      <c r="K626" s="13"/>
      <c r="L626" s="14" t="s">
        <v>1504</v>
      </c>
    </row>
    <row r="627">
      <c r="A627" s="15">
        <v>550.0</v>
      </c>
      <c r="B627" s="16" t="s">
        <v>1505</v>
      </c>
      <c r="C627" s="17">
        <v>80.0</v>
      </c>
      <c r="D627" s="16" t="s">
        <v>176</v>
      </c>
      <c r="E627" s="16" t="s">
        <v>17</v>
      </c>
      <c r="F627" s="16" t="s">
        <v>18</v>
      </c>
      <c r="G627" s="18"/>
      <c r="H627" s="17" t="s">
        <v>19</v>
      </c>
      <c r="I627" s="16" t="s">
        <v>176</v>
      </c>
      <c r="J627" s="16" t="s">
        <v>21</v>
      </c>
      <c r="K627" s="18"/>
      <c r="L627" s="19" t="s">
        <v>1506</v>
      </c>
    </row>
    <row r="628">
      <c r="A628" s="10">
        <v>568.0</v>
      </c>
      <c r="B628" s="11" t="s">
        <v>1507</v>
      </c>
      <c r="C628" s="12">
        <v>56.0</v>
      </c>
      <c r="D628" s="11" t="s">
        <v>176</v>
      </c>
      <c r="E628" s="11" t="s">
        <v>17</v>
      </c>
      <c r="F628" s="11" t="s">
        <v>18</v>
      </c>
      <c r="G628" s="13"/>
      <c r="H628" s="12" t="s">
        <v>19</v>
      </c>
      <c r="I628" s="11" t="s">
        <v>1508</v>
      </c>
      <c r="J628" s="11" t="s">
        <v>21</v>
      </c>
      <c r="K628" s="13"/>
      <c r="L628" s="14" t="s">
        <v>1509</v>
      </c>
    </row>
    <row r="629">
      <c r="A629" s="15">
        <v>630.0</v>
      </c>
      <c r="B629" s="16" t="s">
        <v>1510</v>
      </c>
      <c r="C629" s="17">
        <v>75.0</v>
      </c>
      <c r="D629" s="16" t="s">
        <v>176</v>
      </c>
      <c r="E629" s="16" t="s">
        <v>17</v>
      </c>
      <c r="F629" s="16" t="s">
        <v>18</v>
      </c>
      <c r="G629" s="18"/>
      <c r="H629" s="17" t="s">
        <v>19</v>
      </c>
      <c r="I629" s="16" t="s">
        <v>176</v>
      </c>
      <c r="J629" s="16" t="s">
        <v>21</v>
      </c>
      <c r="K629" s="18"/>
      <c r="L629" s="19" t="s">
        <v>1511</v>
      </c>
    </row>
    <row r="630">
      <c r="A630" s="10">
        <v>559.0</v>
      </c>
      <c r="B630" s="11" t="s">
        <v>1512</v>
      </c>
      <c r="C630" s="12">
        <v>79.0</v>
      </c>
      <c r="D630" s="11" t="s">
        <v>176</v>
      </c>
      <c r="E630" s="11" t="s">
        <v>25</v>
      </c>
      <c r="F630" s="11" t="s">
        <v>18</v>
      </c>
      <c r="G630" s="13"/>
      <c r="H630" s="12" t="s">
        <v>19</v>
      </c>
      <c r="I630" s="11" t="s">
        <v>176</v>
      </c>
      <c r="J630" s="11" t="s">
        <v>21</v>
      </c>
      <c r="K630" s="13"/>
      <c r="L630" s="14" t="s">
        <v>1513</v>
      </c>
    </row>
    <row r="631">
      <c r="A631" s="15">
        <v>558.0</v>
      </c>
      <c r="B631" s="16" t="s">
        <v>1514</v>
      </c>
      <c r="C631" s="17">
        <v>12.0</v>
      </c>
      <c r="D631" s="16" t="s">
        <v>176</v>
      </c>
      <c r="E631" s="16" t="s">
        <v>96</v>
      </c>
      <c r="F631" s="16" t="s">
        <v>18</v>
      </c>
      <c r="G631" s="18"/>
      <c r="H631" s="17" t="s">
        <v>19</v>
      </c>
      <c r="I631" s="16" t="s">
        <v>176</v>
      </c>
      <c r="J631" s="16" t="s">
        <v>21</v>
      </c>
      <c r="K631" s="18"/>
      <c r="L631" s="19" t="s">
        <v>1515</v>
      </c>
    </row>
    <row r="632">
      <c r="A632" s="10">
        <v>628.0</v>
      </c>
      <c r="B632" s="11" t="s">
        <v>1516</v>
      </c>
      <c r="C632" s="12">
        <v>65.0</v>
      </c>
      <c r="D632" s="11" t="s">
        <v>176</v>
      </c>
      <c r="E632" s="11" t="s">
        <v>17</v>
      </c>
      <c r="F632" s="11" t="s">
        <v>18</v>
      </c>
      <c r="G632" s="13"/>
      <c r="H632" s="12" t="s">
        <v>19</v>
      </c>
      <c r="I632" s="11" t="s">
        <v>176</v>
      </c>
      <c r="J632" s="11" t="s">
        <v>21</v>
      </c>
      <c r="K632" s="13"/>
      <c r="L632" s="14" t="s">
        <v>1517</v>
      </c>
    </row>
    <row r="633">
      <c r="A633" s="15">
        <v>626.0</v>
      </c>
      <c r="B633" s="16" t="s">
        <v>1518</v>
      </c>
      <c r="C633" s="17">
        <v>50.0</v>
      </c>
      <c r="D633" s="16" t="s">
        <v>176</v>
      </c>
      <c r="E633" s="16" t="s">
        <v>17</v>
      </c>
      <c r="F633" s="16" t="s">
        <v>18</v>
      </c>
      <c r="G633" s="18"/>
      <c r="H633" s="17" t="s">
        <v>19</v>
      </c>
      <c r="I633" s="16" t="s">
        <v>1508</v>
      </c>
      <c r="J633" s="16" t="s">
        <v>21</v>
      </c>
      <c r="K633" s="18"/>
      <c r="L633" s="19" t="s">
        <v>1519</v>
      </c>
    </row>
    <row r="634">
      <c r="A634" s="10">
        <v>582.0</v>
      </c>
      <c r="B634" s="11" t="s">
        <v>1520</v>
      </c>
      <c r="C634" s="12">
        <v>51.0</v>
      </c>
      <c r="D634" s="11" t="s">
        <v>176</v>
      </c>
      <c r="E634" s="11" t="s">
        <v>17</v>
      </c>
      <c r="F634" s="11" t="s">
        <v>18</v>
      </c>
      <c r="G634" s="13"/>
      <c r="H634" s="12" t="s">
        <v>19</v>
      </c>
      <c r="I634" s="11" t="s">
        <v>176</v>
      </c>
      <c r="J634" s="11" t="s">
        <v>21</v>
      </c>
      <c r="K634" s="13"/>
      <c r="L634" s="14" t="s">
        <v>1521</v>
      </c>
    </row>
    <row r="635">
      <c r="A635" s="15">
        <v>629.0</v>
      </c>
      <c r="B635" s="16" t="s">
        <v>1522</v>
      </c>
      <c r="C635" s="17">
        <v>75.0</v>
      </c>
      <c r="D635" s="16" t="s">
        <v>176</v>
      </c>
      <c r="E635" s="16" t="s">
        <v>25</v>
      </c>
      <c r="F635" s="16" t="s">
        <v>18</v>
      </c>
      <c r="G635" s="18"/>
      <c r="H635" s="17" t="s">
        <v>19</v>
      </c>
      <c r="I635" s="16" t="s">
        <v>176</v>
      </c>
      <c r="J635" s="16" t="s">
        <v>21</v>
      </c>
      <c r="K635" s="18"/>
      <c r="L635" s="19" t="s">
        <v>1523</v>
      </c>
    </row>
    <row r="636">
      <c r="A636" s="10">
        <v>602.0</v>
      </c>
      <c r="B636" s="11" t="s">
        <v>1524</v>
      </c>
      <c r="C636" s="12">
        <v>50.0</v>
      </c>
      <c r="D636" s="11" t="s">
        <v>176</v>
      </c>
      <c r="E636" s="11" t="s">
        <v>17</v>
      </c>
      <c r="F636" s="11" t="s">
        <v>18</v>
      </c>
      <c r="G636" s="13"/>
      <c r="H636" s="12" t="s">
        <v>19</v>
      </c>
      <c r="I636" s="11" t="s">
        <v>176</v>
      </c>
      <c r="J636" s="11" t="s">
        <v>21</v>
      </c>
      <c r="K636" s="13"/>
      <c r="L636" s="14" t="s">
        <v>1525</v>
      </c>
    </row>
    <row r="637">
      <c r="A637" s="15">
        <v>610.0</v>
      </c>
      <c r="B637" s="16" t="s">
        <v>1526</v>
      </c>
      <c r="C637" s="17">
        <v>75.0</v>
      </c>
      <c r="D637" s="16" t="s">
        <v>176</v>
      </c>
      <c r="E637" s="16" t="s">
        <v>17</v>
      </c>
      <c r="F637" s="16" t="s">
        <v>18</v>
      </c>
      <c r="G637" s="18"/>
      <c r="H637" s="17" t="s">
        <v>19</v>
      </c>
      <c r="I637" s="16" t="s">
        <v>176</v>
      </c>
      <c r="J637" s="16" t="s">
        <v>21</v>
      </c>
      <c r="K637" s="18"/>
      <c r="L637" s="19" t="s">
        <v>1527</v>
      </c>
    </row>
    <row r="638">
      <c r="A638" s="10">
        <v>614.0</v>
      </c>
      <c r="B638" s="11" t="s">
        <v>1528</v>
      </c>
      <c r="C638" s="12">
        <v>71.0</v>
      </c>
      <c r="D638" s="11" t="s">
        <v>176</v>
      </c>
      <c r="E638" s="11" t="s">
        <v>25</v>
      </c>
      <c r="F638" s="11" t="s">
        <v>18</v>
      </c>
      <c r="G638" s="13"/>
      <c r="H638" s="12" t="s">
        <v>19</v>
      </c>
      <c r="I638" s="11" t="s">
        <v>176</v>
      </c>
      <c r="J638" s="11" t="s">
        <v>21</v>
      </c>
      <c r="K638" s="13"/>
      <c r="L638" s="14" t="s">
        <v>1529</v>
      </c>
    </row>
    <row r="639">
      <c r="A639" s="15">
        <v>615.0</v>
      </c>
      <c r="B639" s="16" t="s">
        <v>1530</v>
      </c>
      <c r="C639" s="17">
        <v>63.0</v>
      </c>
      <c r="D639" s="16" t="s">
        <v>176</v>
      </c>
      <c r="E639" s="16" t="s">
        <v>25</v>
      </c>
      <c r="F639" s="16" t="s">
        <v>18</v>
      </c>
      <c r="G639" s="18"/>
      <c r="H639" s="17" t="s">
        <v>19</v>
      </c>
      <c r="I639" s="16" t="s">
        <v>176</v>
      </c>
      <c r="J639" s="16" t="s">
        <v>21</v>
      </c>
      <c r="K639" s="18"/>
      <c r="L639" s="19" t="s">
        <v>1531</v>
      </c>
    </row>
    <row r="640">
      <c r="A640" s="10">
        <v>616.0</v>
      </c>
      <c r="B640" s="11" t="s">
        <v>1532</v>
      </c>
      <c r="C640" s="12">
        <v>67.0</v>
      </c>
      <c r="D640" s="11" t="s">
        <v>176</v>
      </c>
      <c r="E640" s="11" t="s">
        <v>17</v>
      </c>
      <c r="F640" s="11" t="s">
        <v>18</v>
      </c>
      <c r="G640" s="13"/>
      <c r="H640" s="12" t="s">
        <v>19</v>
      </c>
      <c r="I640" s="11" t="s">
        <v>176</v>
      </c>
      <c r="J640" s="11" t="s">
        <v>21</v>
      </c>
      <c r="K640" s="13"/>
      <c r="L640" s="14" t="s">
        <v>1533</v>
      </c>
    </row>
    <row r="641">
      <c r="A641" s="15">
        <v>617.0</v>
      </c>
      <c r="B641" s="16" t="s">
        <v>1534</v>
      </c>
      <c r="C641" s="17">
        <v>5.0</v>
      </c>
      <c r="D641" s="16" t="s">
        <v>176</v>
      </c>
      <c r="E641" s="16" t="s">
        <v>96</v>
      </c>
      <c r="F641" s="16" t="s">
        <v>18</v>
      </c>
      <c r="G641" s="18"/>
      <c r="H641" s="17" t="s">
        <v>19</v>
      </c>
      <c r="I641" s="16" t="s">
        <v>176</v>
      </c>
      <c r="J641" s="16" t="s">
        <v>21</v>
      </c>
      <c r="K641" s="18"/>
      <c r="L641" s="19" t="s">
        <v>1535</v>
      </c>
    </row>
    <row r="642">
      <c r="A642" s="10">
        <v>622.0</v>
      </c>
      <c r="B642" s="11" t="s">
        <v>1536</v>
      </c>
      <c r="C642" s="12">
        <v>36.0</v>
      </c>
      <c r="D642" s="11" t="s">
        <v>176</v>
      </c>
      <c r="E642" s="11" t="s">
        <v>17</v>
      </c>
      <c r="F642" s="11" t="s">
        <v>18</v>
      </c>
      <c r="G642" s="13"/>
      <c r="H642" s="12" t="s">
        <v>19</v>
      </c>
      <c r="I642" s="11" t="s">
        <v>176</v>
      </c>
      <c r="J642" s="11" t="s">
        <v>21</v>
      </c>
      <c r="K642" s="13"/>
      <c r="L642" s="14" t="s">
        <v>1537</v>
      </c>
    </row>
    <row r="643">
      <c r="A643" s="15">
        <v>619.0</v>
      </c>
      <c r="B643" s="16" t="s">
        <v>1538</v>
      </c>
      <c r="C643" s="17">
        <v>2.0</v>
      </c>
      <c r="D643" s="16" t="s">
        <v>176</v>
      </c>
      <c r="E643" s="16" t="s">
        <v>104</v>
      </c>
      <c r="F643" s="16" t="s">
        <v>18</v>
      </c>
      <c r="G643" s="18"/>
      <c r="H643" s="17" t="s">
        <v>19</v>
      </c>
      <c r="I643" s="16" t="s">
        <v>176</v>
      </c>
      <c r="J643" s="16" t="s">
        <v>21</v>
      </c>
      <c r="K643" s="18"/>
      <c r="L643" s="19" t="s">
        <v>1539</v>
      </c>
    </row>
    <row r="644">
      <c r="A644" s="10">
        <v>621.0</v>
      </c>
      <c r="B644" s="11" t="s">
        <v>1540</v>
      </c>
      <c r="C644" s="12">
        <v>35.0</v>
      </c>
      <c r="D644" s="11" t="s">
        <v>176</v>
      </c>
      <c r="E644" s="11" t="s">
        <v>25</v>
      </c>
      <c r="F644" s="11" t="s">
        <v>18</v>
      </c>
      <c r="G644" s="13"/>
      <c r="H644" s="12" t="s">
        <v>19</v>
      </c>
      <c r="I644" s="11" t="s">
        <v>176</v>
      </c>
      <c r="J644" s="11" t="s">
        <v>21</v>
      </c>
      <c r="K644" s="13"/>
      <c r="L644" s="14" t="s">
        <v>1541</v>
      </c>
    </row>
    <row r="645">
      <c r="A645" s="15">
        <v>618.0</v>
      </c>
      <c r="B645" s="16" t="s">
        <v>1542</v>
      </c>
      <c r="C645" s="17">
        <v>70.0</v>
      </c>
      <c r="D645" s="16" t="s">
        <v>176</v>
      </c>
      <c r="E645" s="16" t="s">
        <v>25</v>
      </c>
      <c r="F645" s="16" t="s">
        <v>18</v>
      </c>
      <c r="G645" s="18"/>
      <c r="H645" s="17" t="s">
        <v>19</v>
      </c>
      <c r="I645" s="16" t="s">
        <v>176</v>
      </c>
      <c r="J645" s="16" t="s">
        <v>21</v>
      </c>
      <c r="K645" s="18"/>
      <c r="L645" s="19" t="s">
        <v>1543</v>
      </c>
    </row>
    <row r="646">
      <c r="A646" s="10">
        <v>620.0</v>
      </c>
      <c r="B646" s="11" t="s">
        <v>1544</v>
      </c>
      <c r="C646" s="12">
        <v>5.0</v>
      </c>
      <c r="D646" s="11" t="s">
        <v>176</v>
      </c>
      <c r="E646" s="11" t="s">
        <v>96</v>
      </c>
      <c r="F646" s="11" t="s">
        <v>18</v>
      </c>
      <c r="G646" s="13"/>
      <c r="H646" s="12" t="s">
        <v>19</v>
      </c>
      <c r="I646" s="11" t="s">
        <v>176</v>
      </c>
      <c r="J646" s="11" t="s">
        <v>21</v>
      </c>
      <c r="K646" s="13"/>
      <c r="L646" s="14" t="s">
        <v>1545</v>
      </c>
    </row>
    <row r="647">
      <c r="A647" s="15">
        <v>566.0</v>
      </c>
      <c r="B647" s="16" t="s">
        <v>1546</v>
      </c>
      <c r="C647" s="17">
        <v>80.0</v>
      </c>
      <c r="D647" s="16" t="s">
        <v>176</v>
      </c>
      <c r="E647" s="16" t="s">
        <v>17</v>
      </c>
      <c r="F647" s="16" t="s">
        <v>18</v>
      </c>
      <c r="G647" s="18"/>
      <c r="H647" s="17" t="s">
        <v>19</v>
      </c>
      <c r="I647" s="16" t="s">
        <v>176</v>
      </c>
      <c r="J647" s="16" t="s">
        <v>21</v>
      </c>
      <c r="K647" s="18"/>
      <c r="L647" s="19" t="s">
        <v>1547</v>
      </c>
    </row>
    <row r="648">
      <c r="A648" s="10">
        <v>583.0</v>
      </c>
      <c r="B648" s="11" t="s">
        <v>1548</v>
      </c>
      <c r="C648" s="12">
        <v>78.0</v>
      </c>
      <c r="D648" s="11" t="s">
        <v>176</v>
      </c>
      <c r="E648" s="11" t="s">
        <v>17</v>
      </c>
      <c r="F648" s="11" t="s">
        <v>18</v>
      </c>
      <c r="G648" s="13"/>
      <c r="H648" s="12" t="s">
        <v>19</v>
      </c>
      <c r="I648" s="11" t="s">
        <v>176</v>
      </c>
      <c r="J648" s="11" t="s">
        <v>21</v>
      </c>
      <c r="K648" s="13"/>
      <c r="L648" s="14" t="s">
        <v>1549</v>
      </c>
    </row>
    <row r="649">
      <c r="A649" s="15">
        <v>612.0</v>
      </c>
      <c r="B649" s="16" t="s">
        <v>1550</v>
      </c>
      <c r="C649" s="17">
        <v>75.0</v>
      </c>
      <c r="D649" s="16" t="s">
        <v>176</v>
      </c>
      <c r="E649" s="16" t="s">
        <v>17</v>
      </c>
      <c r="F649" s="16" t="s">
        <v>18</v>
      </c>
      <c r="G649" s="18"/>
      <c r="H649" s="17" t="s">
        <v>19</v>
      </c>
      <c r="I649" s="16" t="s">
        <v>176</v>
      </c>
      <c r="J649" s="16" t="s">
        <v>21</v>
      </c>
      <c r="K649" s="18"/>
      <c r="L649" s="19" t="s">
        <v>1551</v>
      </c>
    </row>
    <row r="650">
      <c r="A650" s="10">
        <v>613.0</v>
      </c>
      <c r="B650" s="11" t="s">
        <v>1552</v>
      </c>
      <c r="C650" s="12">
        <v>54.0</v>
      </c>
      <c r="D650" s="11" t="s">
        <v>176</v>
      </c>
      <c r="E650" s="11" t="s">
        <v>17</v>
      </c>
      <c r="F650" s="11" t="s">
        <v>18</v>
      </c>
      <c r="G650" s="13"/>
      <c r="H650" s="12" t="s">
        <v>19</v>
      </c>
      <c r="I650" s="11" t="s">
        <v>176</v>
      </c>
      <c r="J650" s="11" t="s">
        <v>21</v>
      </c>
      <c r="K650" s="13"/>
      <c r="L650" s="14" t="s">
        <v>1553</v>
      </c>
    </row>
    <row r="651">
      <c r="A651" s="15">
        <v>611.0</v>
      </c>
      <c r="B651" s="16" t="s">
        <v>1554</v>
      </c>
      <c r="C651" s="17">
        <v>75.0</v>
      </c>
      <c r="D651" s="16" t="s">
        <v>176</v>
      </c>
      <c r="E651" s="16" t="s">
        <v>17</v>
      </c>
      <c r="F651" s="16" t="s">
        <v>18</v>
      </c>
      <c r="G651" s="18"/>
      <c r="H651" s="17" t="s">
        <v>19</v>
      </c>
      <c r="I651" s="16" t="s">
        <v>176</v>
      </c>
      <c r="J651" s="16" t="s">
        <v>21</v>
      </c>
      <c r="K651" s="18"/>
      <c r="L651" s="19" t="s">
        <v>1555</v>
      </c>
    </row>
    <row r="652">
      <c r="A652" s="10">
        <v>631.0</v>
      </c>
      <c r="B652" s="12" t="s">
        <v>1556</v>
      </c>
      <c r="C652" s="12">
        <v>22.0</v>
      </c>
      <c r="D652" s="11" t="s">
        <v>1557</v>
      </c>
      <c r="E652" s="11" t="s">
        <v>25</v>
      </c>
      <c r="F652" s="11" t="s">
        <v>169</v>
      </c>
      <c r="G652" s="13"/>
      <c r="H652" s="12" t="s">
        <v>19</v>
      </c>
      <c r="I652" s="11" t="s">
        <v>176</v>
      </c>
      <c r="J652" s="11" t="s">
        <v>21</v>
      </c>
      <c r="K652" s="13"/>
      <c r="L652" s="14" t="s">
        <v>1558</v>
      </c>
    </row>
    <row r="653">
      <c r="A653" s="15">
        <v>1395.0</v>
      </c>
      <c r="B653" s="17" t="s">
        <v>1559</v>
      </c>
      <c r="C653" s="17">
        <v>29.0</v>
      </c>
      <c r="D653" s="16" t="s">
        <v>175</v>
      </c>
      <c r="E653" s="16" t="s">
        <v>17</v>
      </c>
      <c r="F653" s="16" t="s">
        <v>169</v>
      </c>
      <c r="G653" s="18"/>
      <c r="H653" s="17" t="s">
        <v>19</v>
      </c>
      <c r="I653" s="16" t="s">
        <v>176</v>
      </c>
      <c r="J653" s="16" t="s">
        <v>21</v>
      </c>
      <c r="K653" s="18"/>
      <c r="L653" s="19" t="s">
        <v>1560</v>
      </c>
    </row>
    <row r="654">
      <c r="A654" s="10">
        <v>563.0</v>
      </c>
      <c r="B654" s="12" t="s">
        <v>1561</v>
      </c>
      <c r="C654" s="12">
        <v>34.0</v>
      </c>
      <c r="D654" s="11" t="s">
        <v>1562</v>
      </c>
      <c r="E654" s="11" t="s">
        <v>17</v>
      </c>
      <c r="F654" s="11" t="s">
        <v>169</v>
      </c>
      <c r="G654" s="13"/>
      <c r="H654" s="12" t="s">
        <v>19</v>
      </c>
      <c r="I654" s="11" t="s">
        <v>176</v>
      </c>
      <c r="J654" s="11" t="s">
        <v>21</v>
      </c>
      <c r="K654" s="13"/>
      <c r="L654" s="14" t="s">
        <v>1561</v>
      </c>
    </row>
    <row r="655">
      <c r="A655" s="15">
        <v>662.0</v>
      </c>
      <c r="B655" s="16" t="s">
        <v>1563</v>
      </c>
      <c r="C655" s="17">
        <v>66.0</v>
      </c>
      <c r="D655" s="16" t="s">
        <v>759</v>
      </c>
      <c r="E655" s="16" t="s">
        <v>17</v>
      </c>
      <c r="F655" s="16" t="s">
        <v>18</v>
      </c>
      <c r="G655" s="18"/>
      <c r="H655" s="17" t="s">
        <v>19</v>
      </c>
      <c r="I655" s="16" t="s">
        <v>1564</v>
      </c>
      <c r="J655" s="16" t="s">
        <v>21</v>
      </c>
      <c r="K655" s="18"/>
      <c r="L655" s="19" t="s">
        <v>1565</v>
      </c>
    </row>
    <row r="656">
      <c r="A656" s="10">
        <v>664.0</v>
      </c>
      <c r="B656" s="11" t="s">
        <v>1566</v>
      </c>
      <c r="C656" s="12">
        <v>58.0</v>
      </c>
      <c r="D656" s="11" t="s">
        <v>1564</v>
      </c>
      <c r="E656" s="11" t="s">
        <v>17</v>
      </c>
      <c r="F656" s="11" t="s">
        <v>18</v>
      </c>
      <c r="G656" s="13"/>
      <c r="H656" s="12" t="s">
        <v>19</v>
      </c>
      <c r="I656" s="11" t="s">
        <v>1564</v>
      </c>
      <c r="J656" s="11" t="s">
        <v>21</v>
      </c>
      <c r="K656" s="13"/>
      <c r="L656" s="14" t="s">
        <v>1567</v>
      </c>
    </row>
    <row r="657">
      <c r="A657" s="15">
        <v>663.0</v>
      </c>
      <c r="B657" s="16" t="s">
        <v>1568</v>
      </c>
      <c r="C657" s="17">
        <v>17.0</v>
      </c>
      <c r="D657" s="16" t="s">
        <v>1564</v>
      </c>
      <c r="E657" s="16" t="s">
        <v>96</v>
      </c>
      <c r="F657" s="16" t="s">
        <v>18</v>
      </c>
      <c r="G657" s="18"/>
      <c r="H657" s="17" t="s">
        <v>19</v>
      </c>
      <c r="I657" s="16" t="s">
        <v>1564</v>
      </c>
      <c r="J657" s="16" t="s">
        <v>21</v>
      </c>
      <c r="K657" s="18"/>
      <c r="L657" s="19" t="s">
        <v>1569</v>
      </c>
    </row>
    <row r="658">
      <c r="A658" s="10">
        <v>667.0</v>
      </c>
      <c r="B658" s="11" t="s">
        <v>1570</v>
      </c>
      <c r="C658" s="12">
        <v>54.0</v>
      </c>
      <c r="D658" s="11" t="s">
        <v>1564</v>
      </c>
      <c r="E658" s="11" t="s">
        <v>17</v>
      </c>
      <c r="F658" s="11" t="s">
        <v>18</v>
      </c>
      <c r="G658" s="13"/>
      <c r="H658" s="12" t="s">
        <v>19</v>
      </c>
      <c r="I658" s="11" t="s">
        <v>1564</v>
      </c>
      <c r="J658" s="11" t="s">
        <v>21</v>
      </c>
      <c r="K658" s="13"/>
      <c r="L658" s="14" t="s">
        <v>1571</v>
      </c>
    </row>
    <row r="659">
      <c r="A659" s="15">
        <v>1174.0</v>
      </c>
      <c r="B659" s="16" t="s">
        <v>1572</v>
      </c>
      <c r="C659" s="17">
        <v>57.0</v>
      </c>
      <c r="D659" s="16" t="s">
        <v>1573</v>
      </c>
      <c r="E659" s="16" t="s">
        <v>17</v>
      </c>
      <c r="F659" s="16" t="s">
        <v>18</v>
      </c>
      <c r="G659" s="18"/>
      <c r="H659" s="17" t="s">
        <v>19</v>
      </c>
      <c r="I659" s="16" t="s">
        <v>1573</v>
      </c>
      <c r="J659" s="16" t="s">
        <v>21</v>
      </c>
      <c r="K659" s="18"/>
      <c r="L659" s="19" t="s">
        <v>1574</v>
      </c>
    </row>
    <row r="660">
      <c r="A660" s="10">
        <v>201.0</v>
      </c>
      <c r="B660" s="11" t="s">
        <v>1575</v>
      </c>
      <c r="C660" s="12">
        <v>43.0</v>
      </c>
      <c r="D660" s="11" t="s">
        <v>1576</v>
      </c>
      <c r="E660" s="11" t="s">
        <v>25</v>
      </c>
      <c r="F660" s="11" t="s">
        <v>18</v>
      </c>
      <c r="G660" s="13"/>
      <c r="H660" s="12" t="s">
        <v>19</v>
      </c>
      <c r="I660" s="11" t="s">
        <v>1576</v>
      </c>
      <c r="J660" s="11" t="s">
        <v>21</v>
      </c>
      <c r="K660" s="13"/>
      <c r="L660" s="14" t="s">
        <v>1577</v>
      </c>
    </row>
    <row r="661">
      <c r="A661" s="15">
        <v>202.0</v>
      </c>
      <c r="B661" s="16" t="s">
        <v>1578</v>
      </c>
      <c r="C661" s="17">
        <v>63.0</v>
      </c>
      <c r="D661" s="16" t="s">
        <v>1579</v>
      </c>
      <c r="E661" s="16" t="s">
        <v>25</v>
      </c>
      <c r="F661" s="16" t="s">
        <v>18</v>
      </c>
      <c r="G661" s="18"/>
      <c r="H661" s="17" t="s">
        <v>19</v>
      </c>
      <c r="I661" s="16" t="s">
        <v>1576</v>
      </c>
      <c r="J661" s="16" t="s">
        <v>21</v>
      </c>
      <c r="K661" s="18"/>
      <c r="L661" s="19" t="s">
        <v>1580</v>
      </c>
    </row>
    <row r="662">
      <c r="A662" s="10">
        <v>1610.0</v>
      </c>
      <c r="B662" s="11" t="s">
        <v>1581</v>
      </c>
      <c r="C662" s="12">
        <v>61.0</v>
      </c>
      <c r="D662" s="11" t="s">
        <v>92</v>
      </c>
      <c r="E662" s="11" t="s">
        <v>17</v>
      </c>
      <c r="F662" s="11" t="s">
        <v>18</v>
      </c>
      <c r="G662" s="13"/>
      <c r="H662" s="12" t="s">
        <v>19</v>
      </c>
      <c r="I662" s="11" t="s">
        <v>139</v>
      </c>
      <c r="J662" s="11" t="s">
        <v>21</v>
      </c>
      <c r="K662" s="13"/>
      <c r="L662" s="14" t="s">
        <v>1582</v>
      </c>
    </row>
    <row r="663">
      <c r="A663" s="15">
        <v>203.0</v>
      </c>
      <c r="B663" s="16" t="s">
        <v>1583</v>
      </c>
      <c r="C663" s="17">
        <v>80.0</v>
      </c>
      <c r="D663" s="16" t="s">
        <v>1576</v>
      </c>
      <c r="E663" s="16" t="s">
        <v>25</v>
      </c>
      <c r="F663" s="16" t="s">
        <v>18</v>
      </c>
      <c r="G663" s="18"/>
      <c r="H663" s="17" t="s">
        <v>19</v>
      </c>
      <c r="I663" s="16" t="s">
        <v>1576</v>
      </c>
      <c r="J663" s="16" t="s">
        <v>21</v>
      </c>
      <c r="K663" s="18"/>
      <c r="L663" s="19" t="s">
        <v>1584</v>
      </c>
    </row>
    <row r="664">
      <c r="A664" s="10">
        <v>11.0</v>
      </c>
      <c r="B664" s="12" t="s">
        <v>1585</v>
      </c>
      <c r="C664" s="12">
        <v>24.0</v>
      </c>
      <c r="D664" s="11" t="s">
        <v>1586</v>
      </c>
      <c r="E664" s="11" t="s">
        <v>17</v>
      </c>
      <c r="F664" s="11" t="s">
        <v>169</v>
      </c>
      <c r="G664" s="13"/>
      <c r="H664" s="12" t="s">
        <v>19</v>
      </c>
      <c r="I664" s="11" t="s">
        <v>181</v>
      </c>
      <c r="J664" s="11" t="s">
        <v>21</v>
      </c>
      <c r="K664" s="13"/>
      <c r="L664" s="14" t="s">
        <v>1587</v>
      </c>
    </row>
    <row r="665">
      <c r="A665" s="15">
        <v>14.0</v>
      </c>
      <c r="B665" s="17" t="s">
        <v>1588</v>
      </c>
      <c r="C665" s="17">
        <v>25.0</v>
      </c>
      <c r="D665" s="16" t="s">
        <v>1586</v>
      </c>
      <c r="E665" s="16" t="s">
        <v>17</v>
      </c>
      <c r="F665" s="16" t="s">
        <v>169</v>
      </c>
      <c r="G665" s="18"/>
      <c r="H665" s="17" t="s">
        <v>19</v>
      </c>
      <c r="I665" s="16" t="s">
        <v>181</v>
      </c>
      <c r="J665" s="16" t="s">
        <v>21</v>
      </c>
      <c r="K665" s="18"/>
      <c r="L665" s="19" t="s">
        <v>1588</v>
      </c>
    </row>
    <row r="666">
      <c r="A666" s="10">
        <v>16.0</v>
      </c>
      <c r="B666" s="12" t="s">
        <v>1589</v>
      </c>
      <c r="C666" s="12">
        <v>24.0</v>
      </c>
      <c r="D666" s="11" t="s">
        <v>1586</v>
      </c>
      <c r="E666" s="11" t="s">
        <v>17</v>
      </c>
      <c r="F666" s="11" t="s">
        <v>169</v>
      </c>
      <c r="G666" s="13"/>
      <c r="H666" s="12" t="s">
        <v>19</v>
      </c>
      <c r="I666" s="11" t="s">
        <v>181</v>
      </c>
      <c r="J666" s="11" t="s">
        <v>21</v>
      </c>
      <c r="K666" s="13"/>
      <c r="L666" s="14" t="s">
        <v>1589</v>
      </c>
    </row>
    <row r="667">
      <c r="A667" s="15">
        <v>12.0</v>
      </c>
      <c r="B667" s="17" t="s">
        <v>1590</v>
      </c>
      <c r="C667" s="17">
        <v>24.0</v>
      </c>
      <c r="D667" s="16" t="s">
        <v>1586</v>
      </c>
      <c r="E667" s="16" t="s">
        <v>17</v>
      </c>
      <c r="F667" s="16" t="s">
        <v>169</v>
      </c>
      <c r="G667" s="18"/>
      <c r="H667" s="17" t="s">
        <v>19</v>
      </c>
      <c r="I667" s="16" t="s">
        <v>181</v>
      </c>
      <c r="J667" s="16" t="s">
        <v>21</v>
      </c>
      <c r="K667" s="18"/>
      <c r="L667" s="19" t="s">
        <v>1591</v>
      </c>
    </row>
    <row r="668">
      <c r="A668" s="10">
        <v>17.0</v>
      </c>
      <c r="B668" s="12" t="s">
        <v>1592</v>
      </c>
      <c r="C668" s="12">
        <v>25.0</v>
      </c>
      <c r="D668" s="11" t="s">
        <v>1586</v>
      </c>
      <c r="E668" s="11" t="s">
        <v>17</v>
      </c>
      <c r="F668" s="11" t="s">
        <v>169</v>
      </c>
      <c r="G668" s="13"/>
      <c r="H668" s="12" t="s">
        <v>19</v>
      </c>
      <c r="I668" s="11" t="s">
        <v>181</v>
      </c>
      <c r="J668" s="11" t="s">
        <v>21</v>
      </c>
      <c r="K668" s="13"/>
      <c r="L668" s="14" t="s">
        <v>1592</v>
      </c>
    </row>
    <row r="669">
      <c r="A669" s="15">
        <v>15.0</v>
      </c>
      <c r="B669" s="17" t="s">
        <v>1593</v>
      </c>
      <c r="C669" s="17">
        <v>23.0</v>
      </c>
      <c r="D669" s="16" t="s">
        <v>1586</v>
      </c>
      <c r="E669" s="16" t="s">
        <v>17</v>
      </c>
      <c r="F669" s="16" t="s">
        <v>169</v>
      </c>
      <c r="G669" s="18"/>
      <c r="H669" s="17" t="s">
        <v>19</v>
      </c>
      <c r="I669" s="16" t="s">
        <v>181</v>
      </c>
      <c r="J669" s="16" t="s">
        <v>21</v>
      </c>
      <c r="K669" s="18"/>
      <c r="L669" s="19" t="s">
        <v>1593</v>
      </c>
    </row>
    <row r="670">
      <c r="A670" s="10">
        <v>22.0</v>
      </c>
      <c r="B670" s="12" t="s">
        <v>1594</v>
      </c>
      <c r="C670" s="12">
        <v>24.0</v>
      </c>
      <c r="D670" s="11" t="s">
        <v>1586</v>
      </c>
      <c r="E670" s="11" t="s">
        <v>17</v>
      </c>
      <c r="F670" s="11" t="s">
        <v>169</v>
      </c>
      <c r="G670" s="13"/>
      <c r="H670" s="12" t="s">
        <v>19</v>
      </c>
      <c r="I670" s="11" t="s">
        <v>181</v>
      </c>
      <c r="J670" s="11" t="s">
        <v>21</v>
      </c>
      <c r="K670" s="13"/>
      <c r="L670" s="14" t="s">
        <v>1594</v>
      </c>
    </row>
    <row r="671">
      <c r="A671" s="15">
        <v>20.0</v>
      </c>
      <c r="B671" s="17" t="s">
        <v>1595</v>
      </c>
      <c r="C671" s="17">
        <v>22.0</v>
      </c>
      <c r="D671" s="16" t="s">
        <v>1586</v>
      </c>
      <c r="E671" s="16" t="s">
        <v>17</v>
      </c>
      <c r="F671" s="16" t="s">
        <v>169</v>
      </c>
      <c r="G671" s="18"/>
      <c r="H671" s="17" t="s">
        <v>19</v>
      </c>
      <c r="I671" s="16" t="s">
        <v>181</v>
      </c>
      <c r="J671" s="16" t="s">
        <v>21</v>
      </c>
      <c r="K671" s="18"/>
      <c r="L671" s="19" t="s">
        <v>1595</v>
      </c>
    </row>
    <row r="672">
      <c r="A672" s="10">
        <v>21.0</v>
      </c>
      <c r="B672" s="12" t="s">
        <v>1596</v>
      </c>
      <c r="C672" s="12">
        <v>25.0</v>
      </c>
      <c r="D672" s="11" t="s">
        <v>1586</v>
      </c>
      <c r="E672" s="11" t="s">
        <v>17</v>
      </c>
      <c r="F672" s="11" t="s">
        <v>169</v>
      </c>
      <c r="G672" s="13"/>
      <c r="H672" s="12" t="s">
        <v>19</v>
      </c>
      <c r="I672" s="11" t="s">
        <v>181</v>
      </c>
      <c r="J672" s="11" t="s">
        <v>21</v>
      </c>
      <c r="K672" s="13"/>
      <c r="L672" s="14" t="s">
        <v>1597</v>
      </c>
    </row>
    <row r="673">
      <c r="A673" s="15">
        <v>13.0</v>
      </c>
      <c r="B673" s="17" t="s">
        <v>1598</v>
      </c>
      <c r="C673" s="17">
        <v>22.0</v>
      </c>
      <c r="D673" s="16" t="s">
        <v>1586</v>
      </c>
      <c r="E673" s="16" t="s">
        <v>17</v>
      </c>
      <c r="F673" s="16" t="s">
        <v>169</v>
      </c>
      <c r="G673" s="18"/>
      <c r="H673" s="17" t="s">
        <v>19</v>
      </c>
      <c r="I673" s="16" t="s">
        <v>181</v>
      </c>
      <c r="J673" s="16" t="s">
        <v>21</v>
      </c>
      <c r="K673" s="18"/>
      <c r="L673" s="19" t="s">
        <v>1599</v>
      </c>
    </row>
    <row r="674">
      <c r="A674" s="10">
        <v>1731.0</v>
      </c>
      <c r="B674" s="11" t="s">
        <v>1600</v>
      </c>
      <c r="C674" s="12">
        <v>25.0</v>
      </c>
      <c r="D674" s="11" t="s">
        <v>1258</v>
      </c>
      <c r="E674" s="11" t="s">
        <v>25</v>
      </c>
      <c r="F674" s="11" t="s">
        <v>1601</v>
      </c>
      <c r="G674" s="11" t="s">
        <v>143</v>
      </c>
      <c r="H674" s="12" t="s">
        <v>19</v>
      </c>
      <c r="I674" s="11" t="s">
        <v>503</v>
      </c>
      <c r="J674" s="11" t="s">
        <v>57</v>
      </c>
      <c r="K674" s="13"/>
      <c r="L674" s="14" t="s">
        <v>1602</v>
      </c>
    </row>
    <row r="675">
      <c r="A675" s="15">
        <v>1059.0</v>
      </c>
      <c r="B675" s="16" t="s">
        <v>1603</v>
      </c>
      <c r="C675" s="17">
        <v>17.0</v>
      </c>
      <c r="D675" s="16" t="s">
        <v>1031</v>
      </c>
      <c r="E675" s="16" t="s">
        <v>104</v>
      </c>
      <c r="F675" s="16" t="s">
        <v>18</v>
      </c>
      <c r="G675" s="18"/>
      <c r="H675" s="17" t="s">
        <v>19</v>
      </c>
      <c r="I675" s="16" t="s">
        <v>1031</v>
      </c>
      <c r="J675" s="16" t="s">
        <v>21</v>
      </c>
      <c r="K675" s="18"/>
      <c r="L675" s="19" t="s">
        <v>1604</v>
      </c>
    </row>
    <row r="676">
      <c r="A676" s="10">
        <v>1061.0</v>
      </c>
      <c r="B676" s="11" t="s">
        <v>1605</v>
      </c>
      <c r="C676" s="12">
        <v>80.0</v>
      </c>
      <c r="D676" s="11" t="s">
        <v>1031</v>
      </c>
      <c r="E676" s="11" t="s">
        <v>25</v>
      </c>
      <c r="F676" s="11" t="s">
        <v>18</v>
      </c>
      <c r="G676" s="13"/>
      <c r="H676" s="12" t="s">
        <v>19</v>
      </c>
      <c r="I676" s="11" t="s">
        <v>1031</v>
      </c>
      <c r="J676" s="11" t="s">
        <v>21</v>
      </c>
      <c r="K676" s="13"/>
      <c r="L676" s="14" t="s">
        <v>1606</v>
      </c>
    </row>
    <row r="677">
      <c r="A677" s="15">
        <v>1058.0</v>
      </c>
      <c r="B677" s="16" t="s">
        <v>1607</v>
      </c>
      <c r="C677" s="17">
        <v>23.0</v>
      </c>
      <c r="D677" s="16" t="s">
        <v>1031</v>
      </c>
      <c r="E677" s="16" t="s">
        <v>17</v>
      </c>
      <c r="F677" s="16" t="s">
        <v>18</v>
      </c>
      <c r="G677" s="18"/>
      <c r="H677" s="17" t="s">
        <v>19</v>
      </c>
      <c r="I677" s="16" t="s">
        <v>1031</v>
      </c>
      <c r="J677" s="16" t="s">
        <v>21</v>
      </c>
      <c r="K677" s="18"/>
      <c r="L677" s="19" t="s">
        <v>1608</v>
      </c>
    </row>
    <row r="678">
      <c r="A678" s="10">
        <v>1056.0</v>
      </c>
      <c r="B678" s="11" t="s">
        <v>1609</v>
      </c>
      <c r="C678" s="12">
        <v>46.0</v>
      </c>
      <c r="D678" s="11" t="s">
        <v>1031</v>
      </c>
      <c r="E678" s="11" t="s">
        <v>17</v>
      </c>
      <c r="F678" s="11" t="s">
        <v>18</v>
      </c>
      <c r="G678" s="13"/>
      <c r="H678" s="12" t="s">
        <v>19</v>
      </c>
      <c r="I678" s="11" t="s">
        <v>1031</v>
      </c>
      <c r="J678" s="11" t="s">
        <v>21</v>
      </c>
      <c r="K678" s="13"/>
      <c r="L678" s="14" t="s">
        <v>1610</v>
      </c>
    </row>
    <row r="679">
      <c r="A679" s="15">
        <v>1372.0</v>
      </c>
      <c r="B679" s="16" t="s">
        <v>1611</v>
      </c>
      <c r="C679" s="17">
        <v>66.0</v>
      </c>
      <c r="D679" s="16" t="s">
        <v>173</v>
      </c>
      <c r="E679" s="16" t="s">
        <v>17</v>
      </c>
      <c r="F679" s="16" t="s">
        <v>18</v>
      </c>
      <c r="G679" s="18"/>
      <c r="H679" s="17" t="s">
        <v>19</v>
      </c>
      <c r="I679" s="16" t="s">
        <v>173</v>
      </c>
      <c r="J679" s="16" t="s">
        <v>21</v>
      </c>
      <c r="K679" s="18"/>
      <c r="L679" s="19" t="s">
        <v>1612</v>
      </c>
    </row>
    <row r="680">
      <c r="A680" s="10">
        <v>1162.0</v>
      </c>
      <c r="B680" s="11" t="s">
        <v>1613</v>
      </c>
      <c r="C680" s="12">
        <v>66.0</v>
      </c>
      <c r="D680" s="11" t="s">
        <v>173</v>
      </c>
      <c r="E680" s="11" t="s">
        <v>17</v>
      </c>
      <c r="F680" s="11" t="s">
        <v>18</v>
      </c>
      <c r="G680" s="13"/>
      <c r="H680" s="12" t="s">
        <v>19</v>
      </c>
      <c r="I680" s="11" t="s">
        <v>173</v>
      </c>
      <c r="J680" s="11" t="s">
        <v>21</v>
      </c>
      <c r="K680" s="13"/>
      <c r="L680" s="14" t="s">
        <v>1614</v>
      </c>
    </row>
    <row r="681">
      <c r="A681" s="15">
        <v>1148.0</v>
      </c>
      <c r="B681" s="16" t="s">
        <v>1615</v>
      </c>
      <c r="C681" s="17">
        <v>28.0</v>
      </c>
      <c r="D681" s="16" t="s">
        <v>173</v>
      </c>
      <c r="E681" s="16" t="s">
        <v>17</v>
      </c>
      <c r="F681" s="16" t="s">
        <v>18</v>
      </c>
      <c r="G681" s="18"/>
      <c r="H681" s="17" t="s">
        <v>19</v>
      </c>
      <c r="I681" s="16" t="s">
        <v>173</v>
      </c>
      <c r="J681" s="16" t="s">
        <v>21</v>
      </c>
      <c r="K681" s="18"/>
      <c r="L681" s="19" t="s">
        <v>1616</v>
      </c>
    </row>
    <row r="682">
      <c r="A682" s="10">
        <v>1469.0</v>
      </c>
      <c r="B682" s="11" t="s">
        <v>1617</v>
      </c>
      <c r="C682" s="12">
        <v>51.0</v>
      </c>
      <c r="D682" s="11" t="s">
        <v>1618</v>
      </c>
      <c r="E682" s="11" t="s">
        <v>17</v>
      </c>
      <c r="F682" s="11" t="s">
        <v>18</v>
      </c>
      <c r="G682" s="13"/>
      <c r="H682" s="12" t="s">
        <v>19</v>
      </c>
      <c r="I682" s="11" t="s">
        <v>150</v>
      </c>
      <c r="J682" s="11" t="s">
        <v>21</v>
      </c>
      <c r="K682" s="13"/>
      <c r="L682" s="14" t="s">
        <v>1619</v>
      </c>
    </row>
    <row r="683">
      <c r="A683" s="15">
        <v>1164.0</v>
      </c>
      <c r="B683" s="16" t="s">
        <v>1620</v>
      </c>
      <c r="C683" s="17">
        <v>68.0</v>
      </c>
      <c r="D683" s="16" t="s">
        <v>173</v>
      </c>
      <c r="E683" s="16" t="s">
        <v>17</v>
      </c>
      <c r="F683" s="16" t="s">
        <v>18</v>
      </c>
      <c r="G683" s="18"/>
      <c r="H683" s="17" t="s">
        <v>19</v>
      </c>
      <c r="I683" s="16" t="s">
        <v>173</v>
      </c>
      <c r="J683" s="16" t="s">
        <v>21</v>
      </c>
      <c r="K683" s="18"/>
      <c r="L683" s="19" t="s">
        <v>1621</v>
      </c>
    </row>
    <row r="684">
      <c r="A684" s="10">
        <v>1166.0</v>
      </c>
      <c r="B684" s="11" t="s">
        <v>1622</v>
      </c>
      <c r="C684" s="12">
        <v>32.0</v>
      </c>
      <c r="D684" s="11" t="s">
        <v>173</v>
      </c>
      <c r="E684" s="11" t="s">
        <v>17</v>
      </c>
      <c r="F684" s="11" t="s">
        <v>18</v>
      </c>
      <c r="G684" s="13"/>
      <c r="H684" s="12" t="s">
        <v>19</v>
      </c>
      <c r="I684" s="11" t="s">
        <v>1623</v>
      </c>
      <c r="J684" s="11" t="s">
        <v>21</v>
      </c>
      <c r="K684" s="13"/>
      <c r="L684" s="14" t="s">
        <v>1624</v>
      </c>
    </row>
    <row r="685">
      <c r="A685" s="15">
        <v>1474.0</v>
      </c>
      <c r="B685" s="16" t="s">
        <v>1625</v>
      </c>
      <c r="C685" s="17">
        <v>54.0</v>
      </c>
      <c r="D685" s="16" t="s">
        <v>173</v>
      </c>
      <c r="E685" s="16" t="s">
        <v>17</v>
      </c>
      <c r="F685" s="16" t="s">
        <v>18</v>
      </c>
      <c r="G685" s="18"/>
      <c r="H685" s="17" t="s">
        <v>19</v>
      </c>
      <c r="I685" s="16" t="s">
        <v>173</v>
      </c>
      <c r="J685" s="16" t="s">
        <v>21</v>
      </c>
      <c r="K685" s="18"/>
      <c r="L685" s="19" t="s">
        <v>1626</v>
      </c>
    </row>
    <row r="686">
      <c r="A686" s="10">
        <v>1145.0</v>
      </c>
      <c r="B686" s="11" t="s">
        <v>1627</v>
      </c>
      <c r="C686" s="12">
        <v>23.0</v>
      </c>
      <c r="D686" s="11" t="s">
        <v>173</v>
      </c>
      <c r="E686" s="11" t="s">
        <v>17</v>
      </c>
      <c r="F686" s="11" t="s">
        <v>18</v>
      </c>
      <c r="G686" s="13"/>
      <c r="H686" s="12" t="s">
        <v>19</v>
      </c>
      <c r="I686" s="11" t="s">
        <v>173</v>
      </c>
      <c r="J686" s="11" t="s">
        <v>21</v>
      </c>
      <c r="K686" s="13"/>
      <c r="L686" s="14" t="s">
        <v>1628</v>
      </c>
    </row>
    <row r="687">
      <c r="A687" s="15">
        <v>1165.0</v>
      </c>
      <c r="B687" s="16" t="s">
        <v>1629</v>
      </c>
      <c r="C687" s="17">
        <v>51.0</v>
      </c>
      <c r="D687" s="16" t="s">
        <v>173</v>
      </c>
      <c r="E687" s="16" t="s">
        <v>17</v>
      </c>
      <c r="F687" s="16" t="s">
        <v>18</v>
      </c>
      <c r="G687" s="18"/>
      <c r="H687" s="17" t="s">
        <v>19</v>
      </c>
      <c r="I687" s="16" t="s">
        <v>173</v>
      </c>
      <c r="J687" s="16" t="s">
        <v>21</v>
      </c>
      <c r="K687" s="18"/>
      <c r="L687" s="19" t="s">
        <v>1630</v>
      </c>
    </row>
    <row r="688">
      <c r="A688" s="10">
        <v>1168.0</v>
      </c>
      <c r="B688" s="11" t="s">
        <v>1631</v>
      </c>
      <c r="C688" s="12">
        <v>55.0</v>
      </c>
      <c r="D688" s="11" t="s">
        <v>173</v>
      </c>
      <c r="E688" s="11" t="s">
        <v>17</v>
      </c>
      <c r="F688" s="11" t="s">
        <v>18</v>
      </c>
      <c r="G688" s="13"/>
      <c r="H688" s="12" t="s">
        <v>19</v>
      </c>
      <c r="I688" s="11" t="s">
        <v>173</v>
      </c>
      <c r="J688" s="11" t="s">
        <v>21</v>
      </c>
      <c r="K688" s="13"/>
      <c r="L688" s="14" t="s">
        <v>1632</v>
      </c>
    </row>
    <row r="689">
      <c r="A689" s="15">
        <v>1163.0</v>
      </c>
      <c r="B689" s="16" t="s">
        <v>1633</v>
      </c>
      <c r="C689" s="17">
        <v>48.0</v>
      </c>
      <c r="D689" s="16" t="s">
        <v>173</v>
      </c>
      <c r="E689" s="16" t="s">
        <v>17</v>
      </c>
      <c r="F689" s="16" t="s">
        <v>18</v>
      </c>
      <c r="G689" s="18"/>
      <c r="H689" s="17" t="s">
        <v>19</v>
      </c>
      <c r="I689" s="16" t="s">
        <v>173</v>
      </c>
      <c r="J689" s="16" t="s">
        <v>21</v>
      </c>
      <c r="K689" s="18"/>
      <c r="L689" s="19" t="s">
        <v>1634</v>
      </c>
    </row>
    <row r="690">
      <c r="A690" s="10">
        <v>1597.0</v>
      </c>
      <c r="B690" s="11" t="s">
        <v>1635</v>
      </c>
      <c r="C690" s="12">
        <v>69.0</v>
      </c>
      <c r="D690" s="11" t="s">
        <v>1258</v>
      </c>
      <c r="E690" s="11" t="s">
        <v>17</v>
      </c>
      <c r="F690" s="11" t="s">
        <v>18</v>
      </c>
      <c r="G690" s="13"/>
      <c r="H690" s="12" t="s">
        <v>19</v>
      </c>
      <c r="I690" s="11" t="s">
        <v>150</v>
      </c>
      <c r="J690" s="11" t="s">
        <v>21</v>
      </c>
      <c r="K690" s="13"/>
      <c r="L690" s="14" t="s">
        <v>1636</v>
      </c>
    </row>
    <row r="691">
      <c r="A691" s="15">
        <v>1167.0</v>
      </c>
      <c r="B691" s="16" t="s">
        <v>1637</v>
      </c>
      <c r="C691" s="17">
        <v>78.0</v>
      </c>
      <c r="D691" s="16" t="s">
        <v>173</v>
      </c>
      <c r="E691" s="16" t="s">
        <v>17</v>
      </c>
      <c r="F691" s="16" t="s">
        <v>18</v>
      </c>
      <c r="G691" s="18"/>
      <c r="H691" s="17" t="s">
        <v>19</v>
      </c>
      <c r="I691" s="16" t="s">
        <v>173</v>
      </c>
      <c r="J691" s="16" t="s">
        <v>21</v>
      </c>
      <c r="K691" s="18"/>
      <c r="L691" s="19" t="s">
        <v>1638</v>
      </c>
    </row>
    <row r="692">
      <c r="A692" s="10">
        <v>2006.0</v>
      </c>
      <c r="B692" s="11" t="s">
        <v>1639</v>
      </c>
      <c r="C692" s="12">
        <v>60.0</v>
      </c>
      <c r="D692" s="11" t="s">
        <v>173</v>
      </c>
      <c r="E692" s="11" t="s">
        <v>17</v>
      </c>
      <c r="F692" s="11" t="s">
        <v>18</v>
      </c>
      <c r="G692" s="13"/>
      <c r="H692" s="12" t="s">
        <v>19</v>
      </c>
      <c r="I692" s="11" t="s">
        <v>173</v>
      </c>
      <c r="J692" s="11" t="s">
        <v>21</v>
      </c>
      <c r="K692" s="13"/>
      <c r="L692" s="14" t="s">
        <v>1640</v>
      </c>
    </row>
    <row r="693">
      <c r="A693" s="15">
        <v>1147.0</v>
      </c>
      <c r="B693" s="16" t="s">
        <v>1641</v>
      </c>
      <c r="C693" s="17">
        <v>33.0</v>
      </c>
      <c r="D693" s="16" t="s">
        <v>173</v>
      </c>
      <c r="E693" s="16" t="s">
        <v>25</v>
      </c>
      <c r="F693" s="16" t="s">
        <v>18</v>
      </c>
      <c r="G693" s="18"/>
      <c r="H693" s="17" t="s">
        <v>19</v>
      </c>
      <c r="I693" s="16" t="s">
        <v>173</v>
      </c>
      <c r="J693" s="16" t="s">
        <v>21</v>
      </c>
      <c r="K693" s="18"/>
      <c r="L693" s="19" t="s">
        <v>1642</v>
      </c>
    </row>
    <row r="694">
      <c r="A694" s="10">
        <v>1146.0</v>
      </c>
      <c r="B694" s="11" t="s">
        <v>1643</v>
      </c>
      <c r="C694" s="12">
        <v>34.0</v>
      </c>
      <c r="D694" s="11" t="s">
        <v>173</v>
      </c>
      <c r="E694" s="11" t="s">
        <v>17</v>
      </c>
      <c r="F694" s="11" t="s">
        <v>18</v>
      </c>
      <c r="G694" s="13"/>
      <c r="H694" s="12" t="s">
        <v>19</v>
      </c>
      <c r="I694" s="11" t="s">
        <v>173</v>
      </c>
      <c r="J694" s="11" t="s">
        <v>21</v>
      </c>
      <c r="K694" s="13"/>
      <c r="L694" s="14" t="s">
        <v>1644</v>
      </c>
    </row>
    <row r="695">
      <c r="A695" s="15">
        <v>1607.0</v>
      </c>
      <c r="B695" s="16" t="s">
        <v>1645</v>
      </c>
      <c r="C695" s="17">
        <v>51.0</v>
      </c>
      <c r="D695" s="16" t="s">
        <v>92</v>
      </c>
      <c r="E695" s="16" t="s">
        <v>17</v>
      </c>
      <c r="F695" s="16" t="s">
        <v>18</v>
      </c>
      <c r="G695" s="18"/>
      <c r="H695" s="17" t="s">
        <v>19</v>
      </c>
      <c r="I695" s="16" t="s">
        <v>150</v>
      </c>
      <c r="J695" s="16" t="s">
        <v>21</v>
      </c>
      <c r="K695" s="18"/>
      <c r="L695" s="19" t="s">
        <v>1646</v>
      </c>
    </row>
    <row r="696">
      <c r="A696" s="10">
        <v>1491.0</v>
      </c>
      <c r="B696" s="11" t="s">
        <v>1647</v>
      </c>
      <c r="C696" s="12">
        <v>43.0</v>
      </c>
      <c r="D696" s="11" t="s">
        <v>173</v>
      </c>
      <c r="E696" s="11" t="s">
        <v>17</v>
      </c>
      <c r="F696" s="11" t="s">
        <v>18</v>
      </c>
      <c r="G696" s="13"/>
      <c r="H696" s="12" t="s">
        <v>19</v>
      </c>
      <c r="I696" s="11" t="s">
        <v>1648</v>
      </c>
      <c r="J696" s="11" t="s">
        <v>21</v>
      </c>
      <c r="K696" s="13"/>
      <c r="L696" s="14" t="s">
        <v>1649</v>
      </c>
    </row>
    <row r="697">
      <c r="A697" s="15">
        <v>1489.0</v>
      </c>
      <c r="B697" s="16" t="s">
        <v>1650</v>
      </c>
      <c r="C697" s="17">
        <v>52.0</v>
      </c>
      <c r="D697" s="16" t="s">
        <v>173</v>
      </c>
      <c r="E697" s="16" t="s">
        <v>25</v>
      </c>
      <c r="F697" s="16" t="s">
        <v>18</v>
      </c>
      <c r="G697" s="18"/>
      <c r="H697" s="17" t="s">
        <v>19</v>
      </c>
      <c r="I697" s="16" t="s">
        <v>1648</v>
      </c>
      <c r="J697" s="16" t="s">
        <v>21</v>
      </c>
      <c r="K697" s="18"/>
      <c r="L697" s="19" t="s">
        <v>1651</v>
      </c>
    </row>
    <row r="698">
      <c r="A698" s="10">
        <v>2007.0</v>
      </c>
      <c r="B698" s="12" t="s">
        <v>1652</v>
      </c>
      <c r="C698" s="12">
        <v>47.0</v>
      </c>
      <c r="D698" s="11" t="s">
        <v>1653</v>
      </c>
      <c r="E698" s="11" t="s">
        <v>17</v>
      </c>
      <c r="F698" s="11" t="s">
        <v>169</v>
      </c>
      <c r="G698" s="13"/>
      <c r="H698" s="12" t="s">
        <v>19</v>
      </c>
      <c r="I698" s="11" t="s">
        <v>173</v>
      </c>
      <c r="J698" s="11" t="s">
        <v>21</v>
      </c>
      <c r="K698" s="13"/>
      <c r="L698" s="14" t="s">
        <v>1654</v>
      </c>
    </row>
    <row r="699">
      <c r="A699" s="15">
        <v>1701.0</v>
      </c>
      <c r="B699" s="17" t="s">
        <v>1655</v>
      </c>
      <c r="C699" s="17">
        <v>36.0</v>
      </c>
      <c r="D699" s="16" t="s">
        <v>1653</v>
      </c>
      <c r="E699" s="16" t="s">
        <v>17</v>
      </c>
      <c r="F699" s="16" t="s">
        <v>169</v>
      </c>
      <c r="G699" s="18"/>
      <c r="H699" s="17" t="s">
        <v>19</v>
      </c>
      <c r="I699" s="16" t="s">
        <v>173</v>
      </c>
      <c r="J699" s="16" t="s">
        <v>21</v>
      </c>
      <c r="K699" s="18"/>
      <c r="L699" s="19" t="s">
        <v>1655</v>
      </c>
    </row>
    <row r="700">
      <c r="A700" s="10">
        <v>1700.0</v>
      </c>
      <c r="B700" s="12" t="s">
        <v>1656</v>
      </c>
      <c r="C700" s="12">
        <v>35.0</v>
      </c>
      <c r="D700" s="11" t="s">
        <v>1653</v>
      </c>
      <c r="E700" s="11" t="s">
        <v>17</v>
      </c>
      <c r="F700" s="11" t="s">
        <v>169</v>
      </c>
      <c r="G700" s="13"/>
      <c r="H700" s="12" t="s">
        <v>19</v>
      </c>
      <c r="I700" s="11" t="s">
        <v>173</v>
      </c>
      <c r="J700" s="11" t="s">
        <v>21</v>
      </c>
      <c r="K700" s="13"/>
      <c r="L700" s="14" t="s">
        <v>1656</v>
      </c>
    </row>
    <row r="701">
      <c r="A701" s="15">
        <v>1151.0</v>
      </c>
      <c r="B701" s="16" t="s">
        <v>1657</v>
      </c>
      <c r="C701" s="17">
        <v>60.0</v>
      </c>
      <c r="D701" s="16" t="s">
        <v>173</v>
      </c>
      <c r="E701" s="16" t="s">
        <v>25</v>
      </c>
      <c r="F701" s="16" t="s">
        <v>18</v>
      </c>
      <c r="G701" s="18"/>
      <c r="H701" s="17" t="s">
        <v>19</v>
      </c>
      <c r="I701" s="16" t="s">
        <v>1658</v>
      </c>
      <c r="J701" s="16" t="s">
        <v>21</v>
      </c>
      <c r="K701" s="18"/>
      <c r="L701" s="19" t="s">
        <v>1659</v>
      </c>
    </row>
    <row r="702">
      <c r="A702" s="10">
        <v>981.0</v>
      </c>
      <c r="B702" s="11" t="s">
        <v>1660</v>
      </c>
      <c r="C702" s="12">
        <v>61.0</v>
      </c>
      <c r="D702" s="11" t="s">
        <v>16</v>
      </c>
      <c r="E702" s="11" t="s">
        <v>25</v>
      </c>
      <c r="F702" s="11" t="s">
        <v>18</v>
      </c>
      <c r="G702" s="13"/>
      <c r="H702" s="12" t="s">
        <v>19</v>
      </c>
      <c r="I702" s="11" t="s">
        <v>1658</v>
      </c>
      <c r="J702" s="11" t="s">
        <v>21</v>
      </c>
      <c r="K702" s="13"/>
      <c r="L702" s="14" t="s">
        <v>1661</v>
      </c>
    </row>
    <row r="703">
      <c r="A703" s="15">
        <v>1031.0</v>
      </c>
      <c r="B703" s="16" t="s">
        <v>1662</v>
      </c>
      <c r="C703" s="17">
        <v>60.0</v>
      </c>
      <c r="D703" s="16" t="s">
        <v>16</v>
      </c>
      <c r="E703" s="16" t="s">
        <v>25</v>
      </c>
      <c r="F703" s="16" t="s">
        <v>18</v>
      </c>
      <c r="G703" s="18"/>
      <c r="H703" s="17" t="s">
        <v>19</v>
      </c>
      <c r="I703" s="16" t="s">
        <v>1658</v>
      </c>
      <c r="J703" s="16" t="s">
        <v>21</v>
      </c>
      <c r="K703" s="18"/>
      <c r="L703" s="19" t="s">
        <v>1663</v>
      </c>
    </row>
    <row r="704">
      <c r="A704" s="10">
        <v>1149.0</v>
      </c>
      <c r="B704" s="11" t="s">
        <v>1664</v>
      </c>
      <c r="C704" s="12">
        <v>71.0</v>
      </c>
      <c r="D704" s="11" t="s">
        <v>1258</v>
      </c>
      <c r="E704" s="11" t="s">
        <v>25</v>
      </c>
      <c r="F704" s="11" t="s">
        <v>18</v>
      </c>
      <c r="G704" s="13"/>
      <c r="H704" s="12" t="s">
        <v>19</v>
      </c>
      <c r="I704" s="11" t="s">
        <v>1658</v>
      </c>
      <c r="J704" s="11" t="s">
        <v>21</v>
      </c>
      <c r="K704" s="13"/>
      <c r="L704" s="14" t="s">
        <v>1665</v>
      </c>
    </row>
    <row r="705">
      <c r="A705" s="15">
        <v>1000.0</v>
      </c>
      <c r="B705" s="16" t="s">
        <v>1666</v>
      </c>
      <c r="C705" s="17">
        <v>66.0</v>
      </c>
      <c r="D705" s="16" t="s">
        <v>16</v>
      </c>
      <c r="E705" s="16" t="s">
        <v>17</v>
      </c>
      <c r="F705" s="16" t="s">
        <v>18</v>
      </c>
      <c r="G705" s="18"/>
      <c r="H705" s="17" t="s">
        <v>19</v>
      </c>
      <c r="I705" s="16" t="s">
        <v>1658</v>
      </c>
      <c r="J705" s="16" t="s">
        <v>21</v>
      </c>
      <c r="K705" s="18"/>
      <c r="L705" s="19" t="s">
        <v>1667</v>
      </c>
    </row>
    <row r="706">
      <c r="A706" s="10">
        <v>1150.0</v>
      </c>
      <c r="B706" s="11" t="s">
        <v>1668</v>
      </c>
      <c r="C706" s="12">
        <v>75.0</v>
      </c>
      <c r="D706" s="11" t="s">
        <v>1258</v>
      </c>
      <c r="E706" s="11" t="s">
        <v>25</v>
      </c>
      <c r="F706" s="11" t="s">
        <v>18</v>
      </c>
      <c r="G706" s="13"/>
      <c r="H706" s="12" t="s">
        <v>19</v>
      </c>
      <c r="I706" s="11" t="s">
        <v>1658</v>
      </c>
      <c r="J706" s="11" t="s">
        <v>21</v>
      </c>
      <c r="K706" s="13"/>
      <c r="L706" s="14" t="s">
        <v>1669</v>
      </c>
    </row>
    <row r="707">
      <c r="A707" s="15">
        <v>1515.0</v>
      </c>
      <c r="B707" s="16" t="s">
        <v>1670</v>
      </c>
      <c r="C707" s="17">
        <v>74.0</v>
      </c>
      <c r="D707" s="16" t="s">
        <v>16</v>
      </c>
      <c r="E707" s="16" t="s">
        <v>17</v>
      </c>
      <c r="F707" s="16" t="s">
        <v>18</v>
      </c>
      <c r="G707" s="18"/>
      <c r="H707" s="17" t="s">
        <v>19</v>
      </c>
      <c r="I707" s="16" t="s">
        <v>1658</v>
      </c>
      <c r="J707" s="16" t="s">
        <v>21</v>
      </c>
      <c r="K707" s="18"/>
      <c r="L707" s="19" t="s">
        <v>1671</v>
      </c>
    </row>
    <row r="708">
      <c r="A708" s="10">
        <v>1516.0</v>
      </c>
      <c r="B708" s="11" t="s">
        <v>1672</v>
      </c>
      <c r="C708" s="12">
        <v>68.0</v>
      </c>
      <c r="D708" s="11" t="s">
        <v>16</v>
      </c>
      <c r="E708" s="11" t="s">
        <v>25</v>
      </c>
      <c r="F708" s="11" t="s">
        <v>18</v>
      </c>
      <c r="G708" s="13"/>
      <c r="H708" s="12" t="s">
        <v>19</v>
      </c>
      <c r="I708" s="11" t="s">
        <v>1658</v>
      </c>
      <c r="J708" s="11" t="s">
        <v>21</v>
      </c>
      <c r="K708" s="13"/>
      <c r="L708" s="14" t="s">
        <v>1673</v>
      </c>
    </row>
    <row r="709">
      <c r="A709" s="15">
        <v>1512.0</v>
      </c>
      <c r="B709" s="16" t="s">
        <v>1674</v>
      </c>
      <c r="C709" s="17">
        <v>78.0</v>
      </c>
      <c r="D709" s="16" t="s">
        <v>16</v>
      </c>
      <c r="E709" s="16" t="s">
        <v>25</v>
      </c>
      <c r="F709" s="16" t="s">
        <v>18</v>
      </c>
      <c r="G709" s="18"/>
      <c r="H709" s="17" t="s">
        <v>19</v>
      </c>
      <c r="I709" s="16" t="s">
        <v>1658</v>
      </c>
      <c r="J709" s="16" t="s">
        <v>21</v>
      </c>
      <c r="K709" s="18"/>
      <c r="L709" s="19" t="s">
        <v>1675</v>
      </c>
    </row>
    <row r="710">
      <c r="A710" s="10">
        <v>1514.0</v>
      </c>
      <c r="B710" s="11" t="s">
        <v>1676</v>
      </c>
      <c r="C710" s="12">
        <v>60.0</v>
      </c>
      <c r="D710" s="11" t="s">
        <v>173</v>
      </c>
      <c r="E710" s="11" t="s">
        <v>17</v>
      </c>
      <c r="F710" s="11" t="s">
        <v>18</v>
      </c>
      <c r="G710" s="13"/>
      <c r="H710" s="12" t="s">
        <v>19</v>
      </c>
      <c r="I710" s="11" t="s">
        <v>1658</v>
      </c>
      <c r="J710" s="11" t="s">
        <v>21</v>
      </c>
      <c r="K710" s="13"/>
      <c r="L710" s="14" t="s">
        <v>1677</v>
      </c>
    </row>
    <row r="711">
      <c r="A711" s="15">
        <v>1152.0</v>
      </c>
      <c r="B711" s="16" t="s">
        <v>1678</v>
      </c>
      <c r="C711" s="17">
        <v>72.0</v>
      </c>
      <c r="D711" s="16" t="s">
        <v>16</v>
      </c>
      <c r="E711" s="16" t="s">
        <v>17</v>
      </c>
      <c r="F711" s="16" t="s">
        <v>18</v>
      </c>
      <c r="G711" s="18"/>
      <c r="H711" s="17" t="s">
        <v>19</v>
      </c>
      <c r="I711" s="16" t="s">
        <v>1658</v>
      </c>
      <c r="J711" s="16" t="s">
        <v>21</v>
      </c>
      <c r="K711" s="18"/>
      <c r="L711" s="19" t="s">
        <v>1679</v>
      </c>
    </row>
    <row r="712">
      <c r="A712" s="10">
        <v>995.0</v>
      </c>
      <c r="B712" s="11" t="s">
        <v>1680</v>
      </c>
      <c r="C712" s="12">
        <v>56.0</v>
      </c>
      <c r="D712" s="11" t="s">
        <v>16</v>
      </c>
      <c r="E712" s="11" t="s">
        <v>25</v>
      </c>
      <c r="F712" s="11" t="s">
        <v>18</v>
      </c>
      <c r="G712" s="13"/>
      <c r="H712" s="12" t="s">
        <v>19</v>
      </c>
      <c r="I712" s="11" t="s">
        <v>1658</v>
      </c>
      <c r="J712" s="11" t="s">
        <v>21</v>
      </c>
      <c r="K712" s="13"/>
      <c r="L712" s="14" t="s">
        <v>1681</v>
      </c>
    </row>
    <row r="713">
      <c r="A713" s="15">
        <v>1513.0</v>
      </c>
      <c r="B713" s="16" t="s">
        <v>1682</v>
      </c>
      <c r="C713" s="17">
        <v>70.0</v>
      </c>
      <c r="D713" s="16" t="s">
        <v>16</v>
      </c>
      <c r="E713" s="16" t="s">
        <v>25</v>
      </c>
      <c r="F713" s="16" t="s">
        <v>18</v>
      </c>
      <c r="G713" s="18"/>
      <c r="H713" s="17" t="s">
        <v>19</v>
      </c>
      <c r="I713" s="16" t="s">
        <v>1658</v>
      </c>
      <c r="J713" s="16" t="s">
        <v>21</v>
      </c>
      <c r="K713" s="18"/>
      <c r="L713" s="19" t="s">
        <v>1683</v>
      </c>
    </row>
    <row r="714">
      <c r="A714" s="10">
        <v>1373.0</v>
      </c>
      <c r="B714" s="11" t="s">
        <v>1684</v>
      </c>
      <c r="C714" s="12">
        <v>5.0</v>
      </c>
      <c r="D714" s="11" t="s">
        <v>24</v>
      </c>
      <c r="E714" s="11" t="s">
        <v>104</v>
      </c>
      <c r="F714" s="11" t="s">
        <v>18</v>
      </c>
      <c r="G714" s="13"/>
      <c r="H714" s="12" t="s">
        <v>19</v>
      </c>
      <c r="I714" s="11" t="s">
        <v>24</v>
      </c>
      <c r="J714" s="11" t="s">
        <v>125</v>
      </c>
      <c r="K714" s="13"/>
      <c r="L714" s="14" t="s">
        <v>1685</v>
      </c>
    </row>
    <row r="715">
      <c r="A715" s="15">
        <v>1361.0</v>
      </c>
      <c r="B715" s="16" t="s">
        <v>1686</v>
      </c>
      <c r="C715" s="17">
        <v>30.0</v>
      </c>
      <c r="D715" s="16" t="s">
        <v>85</v>
      </c>
      <c r="E715" s="16" t="s">
        <v>25</v>
      </c>
      <c r="F715" s="16" t="s">
        <v>18</v>
      </c>
      <c r="G715" s="18"/>
      <c r="H715" s="17" t="s">
        <v>19</v>
      </c>
      <c r="I715" s="16" t="s">
        <v>1687</v>
      </c>
      <c r="J715" s="16" t="s">
        <v>21</v>
      </c>
      <c r="K715" s="18"/>
      <c r="L715" s="19" t="s">
        <v>1688</v>
      </c>
    </row>
    <row r="716">
      <c r="A716" s="10">
        <v>1386.0</v>
      </c>
      <c r="B716" s="11" t="s">
        <v>1689</v>
      </c>
      <c r="C716" s="12">
        <v>13.0</v>
      </c>
      <c r="D716" s="11" t="s">
        <v>1690</v>
      </c>
      <c r="E716" s="11" t="s">
        <v>96</v>
      </c>
      <c r="F716" s="11" t="s">
        <v>18</v>
      </c>
      <c r="G716" s="13"/>
      <c r="H716" s="12" t="s">
        <v>19</v>
      </c>
      <c r="I716" s="11" t="s">
        <v>1691</v>
      </c>
      <c r="J716" s="11" t="s">
        <v>125</v>
      </c>
      <c r="K716" s="13"/>
      <c r="L716" s="14" t="s">
        <v>1692</v>
      </c>
    </row>
    <row r="717">
      <c r="A717" s="15">
        <v>1379.0</v>
      </c>
      <c r="B717" s="16" t="s">
        <v>1693</v>
      </c>
      <c r="C717" s="17">
        <v>57.0</v>
      </c>
      <c r="D717" s="16" t="s">
        <v>1690</v>
      </c>
      <c r="E717" s="16" t="s">
        <v>25</v>
      </c>
      <c r="F717" s="16" t="s">
        <v>18</v>
      </c>
      <c r="G717" s="18"/>
      <c r="H717" s="17" t="s">
        <v>19</v>
      </c>
      <c r="I717" s="16" t="s">
        <v>1691</v>
      </c>
      <c r="J717" s="16" t="s">
        <v>125</v>
      </c>
      <c r="K717" s="18"/>
      <c r="L717" s="19" t="s">
        <v>1694</v>
      </c>
    </row>
    <row r="718">
      <c r="A718" s="10">
        <v>1376.0</v>
      </c>
      <c r="B718" s="11" t="s">
        <v>1695</v>
      </c>
      <c r="C718" s="12">
        <v>9.0</v>
      </c>
      <c r="D718" s="11" t="s">
        <v>1696</v>
      </c>
      <c r="E718" s="11" t="s">
        <v>104</v>
      </c>
      <c r="F718" s="11" t="s">
        <v>18</v>
      </c>
      <c r="G718" s="13"/>
      <c r="H718" s="12" t="s">
        <v>19</v>
      </c>
      <c r="I718" s="11" t="s">
        <v>1696</v>
      </c>
      <c r="J718" s="11" t="s">
        <v>125</v>
      </c>
      <c r="K718" s="13"/>
      <c r="L718" s="14" t="s">
        <v>1697</v>
      </c>
    </row>
    <row r="719">
      <c r="A719" s="15">
        <v>1375.0</v>
      </c>
      <c r="B719" s="16" t="s">
        <v>1698</v>
      </c>
      <c r="C719" s="17">
        <v>15.0</v>
      </c>
      <c r="D719" s="16" t="s">
        <v>1696</v>
      </c>
      <c r="E719" s="16" t="s">
        <v>104</v>
      </c>
      <c r="F719" s="16" t="s">
        <v>18</v>
      </c>
      <c r="G719" s="18"/>
      <c r="H719" s="17" t="s">
        <v>19</v>
      </c>
      <c r="I719" s="16" t="s">
        <v>1696</v>
      </c>
      <c r="J719" s="16" t="s">
        <v>125</v>
      </c>
      <c r="K719" s="18"/>
      <c r="L719" s="19" t="s">
        <v>1699</v>
      </c>
    </row>
    <row r="720">
      <c r="A720" s="10">
        <v>1374.0</v>
      </c>
      <c r="B720" s="11" t="s">
        <v>1700</v>
      </c>
      <c r="C720" s="12">
        <v>14.0</v>
      </c>
      <c r="D720" s="11" t="s">
        <v>1696</v>
      </c>
      <c r="E720" s="11" t="s">
        <v>104</v>
      </c>
      <c r="F720" s="11" t="s">
        <v>18</v>
      </c>
      <c r="G720" s="13"/>
      <c r="H720" s="12" t="s">
        <v>19</v>
      </c>
      <c r="I720" s="11" t="s">
        <v>1696</v>
      </c>
      <c r="J720" s="11" t="s">
        <v>125</v>
      </c>
      <c r="K720" s="13"/>
      <c r="L720" s="14" t="s">
        <v>1701</v>
      </c>
    </row>
    <row r="721">
      <c r="A721" s="15">
        <v>1377.0</v>
      </c>
      <c r="B721" s="16" t="s">
        <v>1702</v>
      </c>
      <c r="C721" s="17">
        <v>15.0</v>
      </c>
      <c r="D721" s="16" t="s">
        <v>1696</v>
      </c>
      <c r="E721" s="16" t="s">
        <v>104</v>
      </c>
      <c r="F721" s="16" t="s">
        <v>18</v>
      </c>
      <c r="G721" s="18"/>
      <c r="H721" s="17" t="s">
        <v>19</v>
      </c>
      <c r="I721" s="16" t="s">
        <v>1696</v>
      </c>
      <c r="J721" s="16" t="s">
        <v>125</v>
      </c>
      <c r="K721" s="18"/>
      <c r="L721" s="19" t="s">
        <v>1703</v>
      </c>
    </row>
    <row r="722">
      <c r="A722" s="10">
        <v>1567.0</v>
      </c>
      <c r="B722" s="11" t="s">
        <v>1704</v>
      </c>
      <c r="C722" s="12">
        <v>69.0</v>
      </c>
      <c r="D722" s="11" t="s">
        <v>1705</v>
      </c>
      <c r="E722" s="11" t="s">
        <v>25</v>
      </c>
      <c r="F722" s="11" t="s">
        <v>18</v>
      </c>
      <c r="G722" s="13"/>
      <c r="H722" s="12" t="s">
        <v>19</v>
      </c>
      <c r="I722" s="11" t="s">
        <v>1705</v>
      </c>
      <c r="J722" s="11" t="s">
        <v>125</v>
      </c>
      <c r="K722" s="13"/>
      <c r="L722" s="14" t="s">
        <v>1706</v>
      </c>
    </row>
    <row r="723">
      <c r="A723" s="15">
        <v>714.0</v>
      </c>
      <c r="B723" s="16" t="s">
        <v>1707</v>
      </c>
      <c r="C723" s="17">
        <v>23.0</v>
      </c>
      <c r="D723" s="16" t="s">
        <v>1708</v>
      </c>
      <c r="E723" s="16" t="s">
        <v>25</v>
      </c>
      <c r="F723" s="16" t="s">
        <v>18</v>
      </c>
      <c r="G723" s="18"/>
      <c r="H723" s="17" t="s">
        <v>19</v>
      </c>
      <c r="I723" s="16" t="s">
        <v>150</v>
      </c>
      <c r="J723" s="16" t="s">
        <v>21</v>
      </c>
      <c r="K723" s="18"/>
      <c r="L723" s="19" t="s">
        <v>1709</v>
      </c>
    </row>
    <row r="724">
      <c r="A724" s="10">
        <v>516.0</v>
      </c>
      <c r="B724" s="11" t="s">
        <v>1710</v>
      </c>
      <c r="C724" s="12">
        <v>30.0</v>
      </c>
      <c r="D724" s="11" t="s">
        <v>173</v>
      </c>
      <c r="E724" s="11" t="s">
        <v>25</v>
      </c>
      <c r="F724" s="11" t="s">
        <v>18</v>
      </c>
      <c r="G724" s="13"/>
      <c r="H724" s="12" t="s">
        <v>19</v>
      </c>
      <c r="I724" s="11" t="s">
        <v>1623</v>
      </c>
      <c r="J724" s="11" t="s">
        <v>21</v>
      </c>
      <c r="K724" s="13"/>
      <c r="L724" s="14" t="s">
        <v>1711</v>
      </c>
    </row>
    <row r="725">
      <c r="A725" s="15">
        <v>1261.0</v>
      </c>
      <c r="B725" s="16" t="s">
        <v>1712</v>
      </c>
      <c r="C725" s="17">
        <v>64.0</v>
      </c>
      <c r="D725" s="16" t="s">
        <v>92</v>
      </c>
      <c r="E725" s="16" t="s">
        <v>17</v>
      </c>
      <c r="F725" s="16" t="s">
        <v>18</v>
      </c>
      <c r="G725" s="18"/>
      <c r="H725" s="17" t="s">
        <v>19</v>
      </c>
      <c r="I725" s="16" t="s">
        <v>86</v>
      </c>
      <c r="J725" s="16" t="s">
        <v>21</v>
      </c>
      <c r="K725" s="18"/>
      <c r="L725" s="19" t="s">
        <v>1713</v>
      </c>
    </row>
    <row r="726">
      <c r="A726" s="10">
        <v>1614.0</v>
      </c>
      <c r="B726" s="11" t="s">
        <v>1714</v>
      </c>
      <c r="C726" s="12">
        <v>67.0</v>
      </c>
      <c r="D726" s="11" t="s">
        <v>92</v>
      </c>
      <c r="E726" s="11" t="s">
        <v>17</v>
      </c>
      <c r="F726" s="11" t="s">
        <v>18</v>
      </c>
      <c r="G726" s="13"/>
      <c r="H726" s="12" t="s">
        <v>19</v>
      </c>
      <c r="I726" s="11" t="s">
        <v>92</v>
      </c>
      <c r="J726" s="11" t="s">
        <v>125</v>
      </c>
      <c r="K726" s="13"/>
      <c r="L726" s="14" t="s">
        <v>1715</v>
      </c>
    </row>
    <row r="727">
      <c r="A727" s="15">
        <v>1541.0</v>
      </c>
      <c r="B727" s="16" t="s">
        <v>1716</v>
      </c>
      <c r="C727" s="17">
        <v>36.0</v>
      </c>
      <c r="D727" s="16" t="s">
        <v>1258</v>
      </c>
      <c r="E727" s="16" t="s">
        <v>17</v>
      </c>
      <c r="F727" s="16" t="s">
        <v>18</v>
      </c>
      <c r="G727" s="18"/>
      <c r="H727" s="17" t="s">
        <v>19</v>
      </c>
      <c r="I727" s="16" t="s">
        <v>1258</v>
      </c>
      <c r="J727" s="16" t="s">
        <v>125</v>
      </c>
      <c r="K727" s="18"/>
      <c r="L727" s="19" t="s">
        <v>1717</v>
      </c>
    </row>
    <row r="728">
      <c r="A728" s="10">
        <v>1542.0</v>
      </c>
      <c r="B728" s="11" t="s">
        <v>1718</v>
      </c>
      <c r="C728" s="12">
        <v>12.0</v>
      </c>
      <c r="D728" s="11" t="s">
        <v>1258</v>
      </c>
      <c r="E728" s="11" t="s">
        <v>104</v>
      </c>
      <c r="F728" s="11" t="s">
        <v>18</v>
      </c>
      <c r="G728" s="13"/>
      <c r="H728" s="12" t="s">
        <v>19</v>
      </c>
      <c r="I728" s="11" t="s">
        <v>1258</v>
      </c>
      <c r="J728" s="11" t="s">
        <v>125</v>
      </c>
      <c r="K728" s="13"/>
      <c r="L728" s="14" t="s">
        <v>1719</v>
      </c>
    </row>
    <row r="729">
      <c r="A729" s="15">
        <v>1540.0</v>
      </c>
      <c r="B729" s="16" t="s">
        <v>1720</v>
      </c>
      <c r="C729" s="17">
        <v>63.0</v>
      </c>
      <c r="D729" s="16" t="s">
        <v>1258</v>
      </c>
      <c r="E729" s="16" t="s">
        <v>17</v>
      </c>
      <c r="F729" s="16" t="s">
        <v>18</v>
      </c>
      <c r="G729" s="18"/>
      <c r="H729" s="17" t="s">
        <v>19</v>
      </c>
      <c r="I729" s="16" t="s">
        <v>1258</v>
      </c>
      <c r="J729" s="16" t="s">
        <v>125</v>
      </c>
      <c r="K729" s="18"/>
      <c r="L729" s="19" t="s">
        <v>1721</v>
      </c>
    </row>
    <row r="730">
      <c r="A730" s="10">
        <v>1560.0</v>
      </c>
      <c r="B730" s="11" t="s">
        <v>1722</v>
      </c>
      <c r="C730" s="12">
        <v>27.0</v>
      </c>
      <c r="D730" s="11" t="s">
        <v>1258</v>
      </c>
      <c r="E730" s="11" t="s">
        <v>17</v>
      </c>
      <c r="F730" s="11" t="s">
        <v>1601</v>
      </c>
      <c r="G730" s="11" t="s">
        <v>1723</v>
      </c>
      <c r="H730" s="12" t="s">
        <v>19</v>
      </c>
      <c r="I730" s="11" t="s">
        <v>150</v>
      </c>
      <c r="J730" s="11" t="s">
        <v>57</v>
      </c>
      <c r="K730" s="13"/>
      <c r="L730" s="14" t="s">
        <v>1724</v>
      </c>
    </row>
    <row r="731">
      <c r="A731" s="15">
        <v>1182.0</v>
      </c>
      <c r="B731" s="16" t="s">
        <v>1725</v>
      </c>
      <c r="C731" s="17">
        <v>39.0</v>
      </c>
      <c r="D731" s="16" t="s">
        <v>16</v>
      </c>
      <c r="E731" s="16" t="s">
        <v>17</v>
      </c>
      <c r="F731" s="16" t="s">
        <v>1601</v>
      </c>
      <c r="G731" s="16" t="s">
        <v>1726</v>
      </c>
      <c r="H731" s="17" t="s">
        <v>19</v>
      </c>
      <c r="I731" s="16" t="s">
        <v>16</v>
      </c>
      <c r="J731" s="16" t="s">
        <v>57</v>
      </c>
      <c r="K731" s="18"/>
      <c r="L731" s="19" t="s">
        <v>1727</v>
      </c>
    </row>
    <row r="732">
      <c r="A732" s="10">
        <v>990.0</v>
      </c>
      <c r="B732" s="11" t="s">
        <v>1728</v>
      </c>
      <c r="C732" s="12">
        <v>23.0</v>
      </c>
      <c r="D732" s="11" t="s">
        <v>16</v>
      </c>
      <c r="E732" s="11" t="s">
        <v>17</v>
      </c>
      <c r="F732" s="11" t="s">
        <v>18</v>
      </c>
      <c r="G732" s="13"/>
      <c r="H732" s="12" t="s">
        <v>19</v>
      </c>
      <c r="I732" s="11" t="s">
        <v>16</v>
      </c>
      <c r="J732" s="11" t="s">
        <v>21</v>
      </c>
      <c r="K732" s="13"/>
      <c r="L732" s="14" t="s">
        <v>1729</v>
      </c>
    </row>
    <row r="733">
      <c r="A733" s="15">
        <v>991.0</v>
      </c>
      <c r="B733" s="16" t="s">
        <v>1730</v>
      </c>
      <c r="C733" s="17">
        <v>52.0</v>
      </c>
      <c r="D733" s="16" t="s">
        <v>16</v>
      </c>
      <c r="E733" s="16" t="s">
        <v>17</v>
      </c>
      <c r="F733" s="16" t="s">
        <v>18</v>
      </c>
      <c r="G733" s="18"/>
      <c r="H733" s="17" t="s">
        <v>19</v>
      </c>
      <c r="I733" s="16" t="s">
        <v>16</v>
      </c>
      <c r="J733" s="16" t="s">
        <v>21</v>
      </c>
      <c r="K733" s="18"/>
      <c r="L733" s="19" t="s">
        <v>1731</v>
      </c>
    </row>
    <row r="734">
      <c r="A734" s="10">
        <v>986.0</v>
      </c>
      <c r="B734" s="11" t="s">
        <v>1732</v>
      </c>
      <c r="C734" s="12">
        <v>56.0</v>
      </c>
      <c r="D734" s="11" t="s">
        <v>16</v>
      </c>
      <c r="E734" s="11" t="s">
        <v>17</v>
      </c>
      <c r="F734" s="11" t="s">
        <v>1601</v>
      </c>
      <c r="G734" s="11" t="s">
        <v>1726</v>
      </c>
      <c r="H734" s="12" t="s">
        <v>19</v>
      </c>
      <c r="I734" s="11" t="s">
        <v>16</v>
      </c>
      <c r="J734" s="11" t="s">
        <v>57</v>
      </c>
      <c r="K734" s="13"/>
      <c r="L734" s="14" t="s">
        <v>1733</v>
      </c>
    </row>
    <row r="735">
      <c r="A735" s="15">
        <v>1640.0</v>
      </c>
      <c r="B735" s="16" t="s">
        <v>1734</v>
      </c>
      <c r="C735" s="17">
        <v>19.0</v>
      </c>
      <c r="D735" s="16" t="s">
        <v>1735</v>
      </c>
      <c r="E735" s="16" t="s">
        <v>17</v>
      </c>
      <c r="F735" s="16" t="s">
        <v>478</v>
      </c>
      <c r="G735" s="16" t="s">
        <v>1186</v>
      </c>
      <c r="H735" s="17" t="s">
        <v>19</v>
      </c>
      <c r="I735" s="16" t="s">
        <v>16</v>
      </c>
      <c r="J735" s="16" t="s">
        <v>21</v>
      </c>
      <c r="K735" s="18"/>
      <c r="L735" s="19" t="s">
        <v>1736</v>
      </c>
    </row>
    <row r="736">
      <c r="A736" s="10">
        <v>977.0</v>
      </c>
      <c r="B736" s="11" t="s">
        <v>1737</v>
      </c>
      <c r="C736" s="12">
        <v>26.0</v>
      </c>
      <c r="D736" s="11" t="s">
        <v>16</v>
      </c>
      <c r="E736" s="11" t="s">
        <v>17</v>
      </c>
      <c r="F736" s="11" t="s">
        <v>1601</v>
      </c>
      <c r="G736" s="11" t="s">
        <v>1738</v>
      </c>
      <c r="H736" s="12" t="s">
        <v>19</v>
      </c>
      <c r="I736" s="11" t="s">
        <v>16</v>
      </c>
      <c r="J736" s="11" t="s">
        <v>57</v>
      </c>
      <c r="K736" s="13"/>
      <c r="L736" s="14" t="s">
        <v>1739</v>
      </c>
    </row>
    <row r="737">
      <c r="A737" s="15">
        <v>982.0</v>
      </c>
      <c r="B737" s="16" t="s">
        <v>1740</v>
      </c>
      <c r="C737" s="17">
        <v>30.0</v>
      </c>
      <c r="D737" s="16" t="s">
        <v>16</v>
      </c>
      <c r="E737" s="16" t="s">
        <v>17</v>
      </c>
      <c r="F737" s="16" t="s">
        <v>18</v>
      </c>
      <c r="G737" s="18"/>
      <c r="H737" s="17" t="s">
        <v>19</v>
      </c>
      <c r="I737" s="16" t="s">
        <v>16</v>
      </c>
      <c r="J737" s="16" t="s">
        <v>21</v>
      </c>
      <c r="K737" s="18"/>
      <c r="L737" s="19" t="s">
        <v>1741</v>
      </c>
    </row>
    <row r="738">
      <c r="A738" s="10">
        <v>983.0</v>
      </c>
      <c r="B738" s="11" t="s">
        <v>1742</v>
      </c>
      <c r="C738" s="12">
        <v>21.0</v>
      </c>
      <c r="D738" s="11" t="s">
        <v>16</v>
      </c>
      <c r="E738" s="11" t="s">
        <v>17</v>
      </c>
      <c r="F738" s="11" t="s">
        <v>478</v>
      </c>
      <c r="G738" s="11" t="s">
        <v>479</v>
      </c>
      <c r="H738" s="12" t="s">
        <v>19</v>
      </c>
      <c r="I738" s="11" t="s">
        <v>16</v>
      </c>
      <c r="J738" s="11" t="s">
        <v>21</v>
      </c>
      <c r="K738" s="13"/>
      <c r="L738" s="14" t="s">
        <v>1743</v>
      </c>
    </row>
    <row r="739">
      <c r="A739" s="15">
        <v>1604.0</v>
      </c>
      <c r="B739" s="16" t="s">
        <v>1744</v>
      </c>
      <c r="C739" s="17">
        <v>30.0</v>
      </c>
      <c r="D739" s="16" t="s">
        <v>79</v>
      </c>
      <c r="E739" s="16" t="s">
        <v>17</v>
      </c>
      <c r="F739" s="16" t="s">
        <v>1601</v>
      </c>
      <c r="G739" s="16" t="s">
        <v>1745</v>
      </c>
      <c r="H739" s="17" t="s">
        <v>19</v>
      </c>
      <c r="I739" s="16" t="s">
        <v>16</v>
      </c>
      <c r="J739" s="16" t="s">
        <v>57</v>
      </c>
      <c r="K739" s="18"/>
      <c r="L739" s="19" t="s">
        <v>1746</v>
      </c>
    </row>
    <row r="740">
      <c r="A740" s="10">
        <v>988.0</v>
      </c>
      <c r="B740" s="11" t="s">
        <v>1747</v>
      </c>
      <c r="C740" s="12">
        <v>28.0</v>
      </c>
      <c r="D740" s="11" t="s">
        <v>16</v>
      </c>
      <c r="E740" s="11" t="s">
        <v>17</v>
      </c>
      <c r="F740" s="11" t="s">
        <v>1601</v>
      </c>
      <c r="G740" s="11" t="s">
        <v>1738</v>
      </c>
      <c r="H740" s="12" t="s">
        <v>19</v>
      </c>
      <c r="I740" s="11" t="s">
        <v>16</v>
      </c>
      <c r="J740" s="11" t="s">
        <v>57</v>
      </c>
      <c r="K740" s="13"/>
      <c r="L740" s="14" t="s">
        <v>1748</v>
      </c>
    </row>
    <row r="741">
      <c r="A741" s="15">
        <v>993.0</v>
      </c>
      <c r="B741" s="16" t="s">
        <v>1749</v>
      </c>
      <c r="C741" s="17">
        <v>21.0</v>
      </c>
      <c r="D741" s="16" t="s">
        <v>16</v>
      </c>
      <c r="E741" s="16" t="s">
        <v>17</v>
      </c>
      <c r="F741" s="16" t="s">
        <v>478</v>
      </c>
      <c r="G741" s="16" t="s">
        <v>479</v>
      </c>
      <c r="H741" s="17" t="s">
        <v>19</v>
      </c>
      <c r="I741" s="16" t="s">
        <v>16</v>
      </c>
      <c r="J741" s="16" t="s">
        <v>21</v>
      </c>
      <c r="K741" s="18"/>
      <c r="L741" s="19" t="s">
        <v>1750</v>
      </c>
    </row>
    <row r="742">
      <c r="A742" s="10">
        <v>978.0</v>
      </c>
      <c r="B742" s="11" t="s">
        <v>1751</v>
      </c>
      <c r="C742" s="12">
        <v>30.0</v>
      </c>
      <c r="D742" s="11" t="s">
        <v>16</v>
      </c>
      <c r="E742" s="11" t="s">
        <v>17</v>
      </c>
      <c r="F742" s="11" t="s">
        <v>18</v>
      </c>
      <c r="G742" s="13"/>
      <c r="H742" s="12" t="s">
        <v>19</v>
      </c>
      <c r="I742" s="11" t="s">
        <v>16</v>
      </c>
      <c r="J742" s="11" t="s">
        <v>21</v>
      </c>
      <c r="K742" s="13"/>
      <c r="L742" s="14" t="s">
        <v>1752</v>
      </c>
    </row>
    <row r="743">
      <c r="A743" s="15">
        <v>1716.0</v>
      </c>
      <c r="B743" s="16" t="s">
        <v>1753</v>
      </c>
      <c r="C743" s="17">
        <v>50.0</v>
      </c>
      <c r="D743" s="16" t="s">
        <v>1754</v>
      </c>
      <c r="E743" s="16" t="s">
        <v>17</v>
      </c>
      <c r="F743" s="16" t="s">
        <v>1601</v>
      </c>
      <c r="G743" s="16" t="s">
        <v>1755</v>
      </c>
      <c r="H743" s="17" t="s">
        <v>19</v>
      </c>
      <c r="I743" s="16" t="s">
        <v>1756</v>
      </c>
      <c r="J743" s="16" t="s">
        <v>57</v>
      </c>
      <c r="K743" s="18"/>
      <c r="L743" s="19" t="s">
        <v>1757</v>
      </c>
    </row>
    <row r="744">
      <c r="A744" s="10">
        <v>1186.0</v>
      </c>
      <c r="B744" s="11" t="s">
        <v>1758</v>
      </c>
      <c r="C744" s="12">
        <v>29.0</v>
      </c>
      <c r="D744" s="11" t="s">
        <v>1759</v>
      </c>
      <c r="E744" s="11" t="s">
        <v>17</v>
      </c>
      <c r="F744" s="11" t="s">
        <v>1601</v>
      </c>
      <c r="G744" s="11" t="s">
        <v>1723</v>
      </c>
      <c r="H744" s="12" t="s">
        <v>19</v>
      </c>
      <c r="I744" s="11" t="s">
        <v>150</v>
      </c>
      <c r="J744" s="11" t="s">
        <v>57</v>
      </c>
      <c r="K744" s="13"/>
      <c r="L744" s="14" t="s">
        <v>1760</v>
      </c>
    </row>
    <row r="745">
      <c r="A745" s="15">
        <v>222.0</v>
      </c>
      <c r="B745" s="16" t="s">
        <v>1761</v>
      </c>
      <c r="C745" s="17">
        <v>20.0</v>
      </c>
      <c r="D745" s="16" t="s">
        <v>92</v>
      </c>
      <c r="E745" s="16" t="s">
        <v>17</v>
      </c>
      <c r="F745" s="16" t="s">
        <v>478</v>
      </c>
      <c r="G745" s="16" t="s">
        <v>479</v>
      </c>
      <c r="H745" s="17" t="s">
        <v>19</v>
      </c>
      <c r="I745" s="16" t="s">
        <v>1762</v>
      </c>
      <c r="J745" s="16" t="s">
        <v>1139</v>
      </c>
      <c r="K745" s="18"/>
      <c r="L745" s="19" t="s">
        <v>1763</v>
      </c>
    </row>
    <row r="746">
      <c r="A746" s="10">
        <v>479.0</v>
      </c>
      <c r="B746" s="11" t="s">
        <v>1764</v>
      </c>
      <c r="C746" s="12">
        <v>20.0</v>
      </c>
      <c r="D746" s="11" t="s">
        <v>1765</v>
      </c>
      <c r="E746" s="11" t="s">
        <v>17</v>
      </c>
      <c r="F746" s="11" t="s">
        <v>478</v>
      </c>
      <c r="G746" s="11" t="s">
        <v>479</v>
      </c>
      <c r="H746" s="12" t="s">
        <v>19</v>
      </c>
      <c r="I746" s="11" t="s">
        <v>1766</v>
      </c>
      <c r="J746" s="11" t="s">
        <v>1139</v>
      </c>
      <c r="K746" s="13"/>
      <c r="L746" s="14" t="s">
        <v>1767</v>
      </c>
    </row>
    <row r="747">
      <c r="A747" s="15">
        <v>1556.0</v>
      </c>
      <c r="B747" s="16" t="s">
        <v>1768</v>
      </c>
      <c r="C747" s="17">
        <v>20.0</v>
      </c>
      <c r="D747" s="16" t="s">
        <v>1769</v>
      </c>
      <c r="E747" s="16" t="s">
        <v>17</v>
      </c>
      <c r="F747" s="16" t="s">
        <v>478</v>
      </c>
      <c r="G747" s="16" t="s">
        <v>479</v>
      </c>
      <c r="H747" s="17" t="s">
        <v>19</v>
      </c>
      <c r="I747" s="16" t="s">
        <v>191</v>
      </c>
      <c r="J747" s="16" t="s">
        <v>1139</v>
      </c>
      <c r="K747" s="18"/>
      <c r="L747" s="19" t="s">
        <v>1770</v>
      </c>
    </row>
    <row r="748">
      <c r="A748" s="10">
        <v>224.0</v>
      </c>
      <c r="B748" s="11" t="s">
        <v>1771</v>
      </c>
      <c r="C748" s="12">
        <v>21.0</v>
      </c>
      <c r="D748" s="11" t="s">
        <v>95</v>
      </c>
      <c r="E748" s="11" t="s">
        <v>17</v>
      </c>
      <c r="F748" s="11" t="s">
        <v>478</v>
      </c>
      <c r="G748" s="11" t="s">
        <v>479</v>
      </c>
      <c r="H748" s="12" t="s">
        <v>19</v>
      </c>
      <c r="I748" s="11" t="s">
        <v>1772</v>
      </c>
      <c r="J748" s="11" t="s">
        <v>1139</v>
      </c>
      <c r="K748" s="13"/>
      <c r="L748" s="14" t="s">
        <v>1773</v>
      </c>
    </row>
    <row r="749">
      <c r="A749" s="15">
        <v>257.0</v>
      </c>
      <c r="B749" s="16" t="s">
        <v>1774</v>
      </c>
      <c r="C749" s="17">
        <v>19.0</v>
      </c>
      <c r="D749" s="16" t="s">
        <v>1775</v>
      </c>
      <c r="E749" s="16" t="s">
        <v>17</v>
      </c>
      <c r="F749" s="16" t="s">
        <v>478</v>
      </c>
      <c r="G749" s="16" t="s">
        <v>689</v>
      </c>
      <c r="H749" s="17" t="s">
        <v>19</v>
      </c>
      <c r="I749" s="16" t="s">
        <v>1776</v>
      </c>
      <c r="J749" s="16" t="s">
        <v>1139</v>
      </c>
      <c r="K749" s="18"/>
      <c r="L749" s="19" t="s">
        <v>1777</v>
      </c>
    </row>
    <row r="750">
      <c r="A750" s="10">
        <v>407.0</v>
      </c>
      <c r="B750" s="11" t="s">
        <v>1778</v>
      </c>
      <c r="C750" s="12">
        <v>21.0</v>
      </c>
      <c r="D750" s="11" t="s">
        <v>350</v>
      </c>
      <c r="E750" s="11" t="s">
        <v>17</v>
      </c>
      <c r="F750" s="11" t="s">
        <v>478</v>
      </c>
      <c r="G750" s="11" t="s">
        <v>1012</v>
      </c>
      <c r="H750" s="12" t="s">
        <v>19</v>
      </c>
      <c r="I750" s="11" t="s">
        <v>1779</v>
      </c>
      <c r="J750" s="11" t="s">
        <v>1139</v>
      </c>
      <c r="K750" s="13"/>
      <c r="L750" s="14" t="s">
        <v>1780</v>
      </c>
    </row>
    <row r="751">
      <c r="A751" s="15">
        <v>475.0</v>
      </c>
      <c r="B751" s="16" t="s">
        <v>1781</v>
      </c>
      <c r="C751" s="17">
        <v>20.0</v>
      </c>
      <c r="D751" s="16" t="s">
        <v>991</v>
      </c>
      <c r="E751" s="16" t="s">
        <v>17</v>
      </c>
      <c r="F751" s="16" t="s">
        <v>478</v>
      </c>
      <c r="G751" s="16" t="s">
        <v>479</v>
      </c>
      <c r="H751" s="17" t="s">
        <v>19</v>
      </c>
      <c r="I751" s="16" t="s">
        <v>1782</v>
      </c>
      <c r="J751" s="16" t="s">
        <v>1139</v>
      </c>
      <c r="K751" s="18"/>
      <c r="L751" s="19" t="s">
        <v>1783</v>
      </c>
    </row>
    <row r="752">
      <c r="A752" s="10">
        <v>1275.0</v>
      </c>
      <c r="B752" s="11" t="s">
        <v>1784</v>
      </c>
      <c r="C752" s="12">
        <v>20.0</v>
      </c>
      <c r="D752" s="11" t="s">
        <v>845</v>
      </c>
      <c r="E752" s="11" t="s">
        <v>17</v>
      </c>
      <c r="F752" s="11" t="s">
        <v>478</v>
      </c>
      <c r="G752" s="11" t="s">
        <v>689</v>
      </c>
      <c r="H752" s="12" t="s">
        <v>19</v>
      </c>
      <c r="I752" s="11" t="s">
        <v>191</v>
      </c>
      <c r="J752" s="11" t="s">
        <v>1139</v>
      </c>
      <c r="K752" s="13"/>
      <c r="L752" s="14" t="s">
        <v>1785</v>
      </c>
    </row>
    <row r="753">
      <c r="A753" s="15">
        <v>216.0</v>
      </c>
      <c r="B753" s="16" t="s">
        <v>1786</v>
      </c>
      <c r="C753" s="17">
        <v>22.0</v>
      </c>
      <c r="D753" s="16" t="s">
        <v>413</v>
      </c>
      <c r="E753" s="16" t="s">
        <v>17</v>
      </c>
      <c r="F753" s="16" t="s">
        <v>478</v>
      </c>
      <c r="G753" s="16" t="s">
        <v>479</v>
      </c>
      <c r="H753" s="17" t="s">
        <v>19</v>
      </c>
      <c r="I753" s="16" t="s">
        <v>1787</v>
      </c>
      <c r="J753" s="16" t="s">
        <v>1139</v>
      </c>
      <c r="K753" s="18"/>
      <c r="L753" s="19" t="s">
        <v>1788</v>
      </c>
    </row>
    <row r="754">
      <c r="A754" s="10">
        <v>1032.0</v>
      </c>
      <c r="B754" s="11" t="s">
        <v>1789</v>
      </c>
      <c r="C754" s="12">
        <v>30.0</v>
      </c>
      <c r="D754" s="11" t="s">
        <v>1790</v>
      </c>
      <c r="E754" s="11" t="s">
        <v>17</v>
      </c>
      <c r="F754" s="11" t="s">
        <v>478</v>
      </c>
      <c r="G754" s="11" t="s">
        <v>1305</v>
      </c>
      <c r="H754" s="12" t="s">
        <v>19</v>
      </c>
      <c r="I754" s="11" t="s">
        <v>20</v>
      </c>
      <c r="J754" s="11" t="s">
        <v>1139</v>
      </c>
      <c r="K754" s="13"/>
      <c r="L754" s="14" t="s">
        <v>1791</v>
      </c>
    </row>
    <row r="755">
      <c r="A755" s="15">
        <v>1354.0</v>
      </c>
      <c r="B755" s="16" t="s">
        <v>1792</v>
      </c>
      <c r="C755" s="17">
        <v>19.0</v>
      </c>
      <c r="D755" s="16" t="s">
        <v>100</v>
      </c>
      <c r="E755" s="16" t="s">
        <v>17</v>
      </c>
      <c r="F755" s="16" t="s">
        <v>478</v>
      </c>
      <c r="G755" s="16" t="s">
        <v>689</v>
      </c>
      <c r="H755" s="17" t="s">
        <v>19</v>
      </c>
      <c r="I755" s="16" t="s">
        <v>1793</v>
      </c>
      <c r="J755" s="16" t="s">
        <v>1139</v>
      </c>
      <c r="K755" s="18"/>
      <c r="L755" s="19" t="s">
        <v>1794</v>
      </c>
    </row>
    <row r="756">
      <c r="A756" s="10">
        <v>53.0</v>
      </c>
      <c r="B756" s="11" t="s">
        <v>1795</v>
      </c>
      <c r="C756" s="12">
        <v>39.0</v>
      </c>
      <c r="D756" s="11" t="s">
        <v>527</v>
      </c>
      <c r="E756" s="11" t="s">
        <v>17</v>
      </c>
      <c r="F756" s="11" t="s">
        <v>1601</v>
      </c>
      <c r="G756" s="11" t="s">
        <v>1796</v>
      </c>
      <c r="H756" s="12" t="s">
        <v>19</v>
      </c>
      <c r="I756" s="11" t="s">
        <v>470</v>
      </c>
      <c r="J756" s="11" t="s">
        <v>57</v>
      </c>
      <c r="K756" s="13"/>
      <c r="L756" s="14" t="s">
        <v>1797</v>
      </c>
    </row>
    <row r="757">
      <c r="A757" s="15">
        <v>468.0</v>
      </c>
      <c r="B757" s="16" t="s">
        <v>1798</v>
      </c>
      <c r="C757" s="17">
        <v>19.0</v>
      </c>
      <c r="D757" s="16" t="s">
        <v>281</v>
      </c>
      <c r="E757" s="16" t="s">
        <v>17</v>
      </c>
      <c r="F757" s="16" t="s">
        <v>478</v>
      </c>
      <c r="G757" s="16" t="s">
        <v>479</v>
      </c>
      <c r="H757" s="17" t="s">
        <v>19</v>
      </c>
      <c r="I757" s="16" t="s">
        <v>1766</v>
      </c>
      <c r="J757" s="16" t="s">
        <v>1139</v>
      </c>
      <c r="K757" s="18"/>
      <c r="L757" s="19" t="s">
        <v>1799</v>
      </c>
    </row>
    <row r="758">
      <c r="A758" s="10">
        <v>470.0</v>
      </c>
      <c r="B758" s="11" t="s">
        <v>1800</v>
      </c>
      <c r="C758" s="12">
        <v>21.0</v>
      </c>
      <c r="D758" s="11" t="s">
        <v>508</v>
      </c>
      <c r="E758" s="11" t="s">
        <v>17</v>
      </c>
      <c r="F758" s="11" t="s">
        <v>478</v>
      </c>
      <c r="G758" s="11" t="s">
        <v>479</v>
      </c>
      <c r="H758" s="12" t="s">
        <v>19</v>
      </c>
      <c r="I758" s="11" t="s">
        <v>1793</v>
      </c>
      <c r="J758" s="11" t="s">
        <v>1139</v>
      </c>
      <c r="K758" s="13"/>
      <c r="L758" s="14" t="s">
        <v>1801</v>
      </c>
    </row>
    <row r="759">
      <c r="A759" s="15">
        <v>469.0</v>
      </c>
      <c r="B759" s="16" t="s">
        <v>1802</v>
      </c>
      <c r="C759" s="17">
        <v>20.0</v>
      </c>
      <c r="D759" s="16" t="s">
        <v>416</v>
      </c>
      <c r="E759" s="16" t="s">
        <v>17</v>
      </c>
      <c r="F759" s="16" t="s">
        <v>478</v>
      </c>
      <c r="G759" s="16" t="s">
        <v>479</v>
      </c>
      <c r="H759" s="17" t="s">
        <v>19</v>
      </c>
      <c r="I759" s="16" t="s">
        <v>1803</v>
      </c>
      <c r="J759" s="16" t="s">
        <v>1139</v>
      </c>
      <c r="K759" s="18"/>
      <c r="L759" s="19" t="s">
        <v>1804</v>
      </c>
    </row>
    <row r="760">
      <c r="A760" s="10">
        <v>1612.0</v>
      </c>
      <c r="B760" s="11" t="s">
        <v>1805</v>
      </c>
      <c r="C760" s="12">
        <v>26.0</v>
      </c>
      <c r="D760" s="11" t="s">
        <v>92</v>
      </c>
      <c r="E760" s="11" t="s">
        <v>17</v>
      </c>
      <c r="F760" s="11" t="s">
        <v>1429</v>
      </c>
      <c r="G760" s="13"/>
      <c r="H760" s="12" t="s">
        <v>19</v>
      </c>
      <c r="I760" s="11" t="s">
        <v>1806</v>
      </c>
      <c r="J760" s="11" t="s">
        <v>57</v>
      </c>
      <c r="K760" s="13"/>
      <c r="L760" s="14" t="s">
        <v>1807</v>
      </c>
    </row>
    <row r="761">
      <c r="A761" s="15">
        <v>401.0</v>
      </c>
      <c r="B761" s="16" t="s">
        <v>1808</v>
      </c>
      <c r="C761" s="17">
        <v>53.0</v>
      </c>
      <c r="D761" s="16" t="s">
        <v>657</v>
      </c>
      <c r="E761" s="16" t="s">
        <v>17</v>
      </c>
      <c r="F761" s="16" t="s">
        <v>1809</v>
      </c>
      <c r="G761" s="16" t="s">
        <v>1810</v>
      </c>
      <c r="H761" s="17" t="s">
        <v>1346</v>
      </c>
      <c r="I761" s="16" t="s">
        <v>52</v>
      </c>
      <c r="J761" s="16" t="s">
        <v>1139</v>
      </c>
      <c r="K761" s="18"/>
      <c r="L761" s="19" t="s">
        <v>1811</v>
      </c>
    </row>
    <row r="762">
      <c r="A762" s="10">
        <v>465.0</v>
      </c>
      <c r="B762" s="11" t="s">
        <v>1812</v>
      </c>
      <c r="C762" s="12">
        <v>21.0</v>
      </c>
      <c r="D762" s="11" t="s">
        <v>334</v>
      </c>
      <c r="E762" s="11" t="s">
        <v>17</v>
      </c>
      <c r="F762" s="11" t="s">
        <v>478</v>
      </c>
      <c r="G762" s="11" t="s">
        <v>479</v>
      </c>
      <c r="H762" s="12" t="s">
        <v>19</v>
      </c>
      <c r="I762" s="11" t="s">
        <v>1813</v>
      </c>
      <c r="J762" s="11" t="s">
        <v>1139</v>
      </c>
      <c r="K762" s="13"/>
      <c r="L762" s="14" t="s">
        <v>1814</v>
      </c>
    </row>
    <row r="763">
      <c r="A763" s="15">
        <v>1274.0</v>
      </c>
      <c r="B763" s="16" t="s">
        <v>1815</v>
      </c>
      <c r="C763" s="17">
        <v>20.0</v>
      </c>
      <c r="D763" s="16" t="s">
        <v>1816</v>
      </c>
      <c r="E763" s="16" t="s">
        <v>17</v>
      </c>
      <c r="F763" s="16" t="s">
        <v>478</v>
      </c>
      <c r="G763" s="16" t="s">
        <v>479</v>
      </c>
      <c r="H763" s="17" t="s">
        <v>19</v>
      </c>
      <c r="I763" s="16" t="s">
        <v>1793</v>
      </c>
      <c r="J763" s="16" t="s">
        <v>1139</v>
      </c>
      <c r="K763" s="18"/>
      <c r="L763" s="19" t="s">
        <v>1817</v>
      </c>
    </row>
    <row r="764">
      <c r="A764" s="10">
        <v>467.0</v>
      </c>
      <c r="B764" s="11" t="s">
        <v>1818</v>
      </c>
      <c r="C764" s="12">
        <v>20.0</v>
      </c>
      <c r="D764" s="11" t="s">
        <v>416</v>
      </c>
      <c r="E764" s="11" t="s">
        <v>17</v>
      </c>
      <c r="F764" s="11" t="s">
        <v>478</v>
      </c>
      <c r="G764" s="11" t="s">
        <v>479</v>
      </c>
      <c r="H764" s="12" t="s">
        <v>19</v>
      </c>
      <c r="I764" s="11" t="s">
        <v>1793</v>
      </c>
      <c r="J764" s="11" t="s">
        <v>1139</v>
      </c>
      <c r="K764" s="13"/>
      <c r="L764" s="14" t="s">
        <v>1819</v>
      </c>
    </row>
    <row r="765">
      <c r="A765" s="15">
        <v>1709.0</v>
      </c>
      <c r="B765" s="16" t="s">
        <v>1820</v>
      </c>
      <c r="C765" s="17">
        <v>20.0</v>
      </c>
      <c r="D765" s="16" t="s">
        <v>299</v>
      </c>
      <c r="E765" s="16" t="s">
        <v>17</v>
      </c>
      <c r="F765" s="16" t="s">
        <v>478</v>
      </c>
      <c r="G765" s="16" t="s">
        <v>1821</v>
      </c>
      <c r="H765" s="17" t="s">
        <v>19</v>
      </c>
      <c r="I765" s="16" t="s">
        <v>1031</v>
      </c>
      <c r="J765" s="16" t="s">
        <v>1139</v>
      </c>
      <c r="K765" s="18"/>
      <c r="L765" s="19" t="s">
        <v>1822</v>
      </c>
    </row>
    <row r="766">
      <c r="A766" s="10">
        <v>226.0</v>
      </c>
      <c r="B766" s="11" t="s">
        <v>1823</v>
      </c>
      <c r="C766" s="12">
        <v>35.0</v>
      </c>
      <c r="D766" s="11" t="s">
        <v>508</v>
      </c>
      <c r="E766" s="11" t="s">
        <v>17</v>
      </c>
      <c r="F766" s="11" t="s">
        <v>1809</v>
      </c>
      <c r="G766" s="11" t="s">
        <v>1738</v>
      </c>
      <c r="H766" s="12" t="s">
        <v>19</v>
      </c>
      <c r="I766" s="11" t="s">
        <v>1824</v>
      </c>
      <c r="J766" s="11" t="s">
        <v>1139</v>
      </c>
      <c r="K766" s="13"/>
      <c r="L766" s="14" t="s">
        <v>1825</v>
      </c>
    </row>
    <row r="767">
      <c r="A767" s="15">
        <v>2008.0</v>
      </c>
      <c r="B767" s="16" t="s">
        <v>1826</v>
      </c>
      <c r="C767" s="17">
        <v>26.0</v>
      </c>
      <c r="D767" s="16" t="s">
        <v>584</v>
      </c>
      <c r="E767" s="16" t="s">
        <v>17</v>
      </c>
      <c r="F767" s="16" t="s">
        <v>1429</v>
      </c>
      <c r="G767" s="18"/>
      <c r="H767" s="17" t="s">
        <v>19</v>
      </c>
      <c r="I767" s="16" t="s">
        <v>1827</v>
      </c>
      <c r="J767" s="16" t="s">
        <v>57</v>
      </c>
      <c r="K767" s="18"/>
      <c r="L767" s="19" t="s">
        <v>1828</v>
      </c>
    </row>
    <row r="768">
      <c r="A768" s="10">
        <v>260.0</v>
      </c>
      <c r="B768" s="11" t="s">
        <v>1829</v>
      </c>
      <c r="C768" s="12">
        <v>22.0</v>
      </c>
      <c r="D768" s="11" t="s">
        <v>299</v>
      </c>
      <c r="E768" s="11" t="s">
        <v>17</v>
      </c>
      <c r="F768" s="11" t="s">
        <v>478</v>
      </c>
      <c r="G768" s="11" t="s">
        <v>143</v>
      </c>
      <c r="H768" s="12" t="s">
        <v>19</v>
      </c>
      <c r="I768" s="11" t="s">
        <v>195</v>
      </c>
      <c r="J768" s="11" t="s">
        <v>1139</v>
      </c>
      <c r="K768" s="13"/>
      <c r="L768" s="14" t="s">
        <v>1830</v>
      </c>
    </row>
    <row r="769">
      <c r="A769" s="15">
        <v>230.0</v>
      </c>
      <c r="B769" s="16" t="s">
        <v>1831</v>
      </c>
      <c r="C769" s="17">
        <v>21.0</v>
      </c>
      <c r="D769" s="16" t="s">
        <v>508</v>
      </c>
      <c r="E769" s="16" t="s">
        <v>17</v>
      </c>
      <c r="F769" s="16" t="s">
        <v>478</v>
      </c>
      <c r="G769" s="16" t="s">
        <v>689</v>
      </c>
      <c r="H769" s="17" t="s">
        <v>19</v>
      </c>
      <c r="I769" s="16" t="s">
        <v>150</v>
      </c>
      <c r="J769" s="16" t="s">
        <v>1139</v>
      </c>
      <c r="K769" s="18"/>
      <c r="L769" s="19" t="s">
        <v>1832</v>
      </c>
    </row>
    <row r="770">
      <c r="A770" s="10">
        <v>487.0</v>
      </c>
      <c r="B770" s="11" t="s">
        <v>1833</v>
      </c>
      <c r="C770" s="12">
        <v>20.0</v>
      </c>
      <c r="D770" s="11" t="s">
        <v>570</v>
      </c>
      <c r="E770" s="11" t="s">
        <v>17</v>
      </c>
      <c r="F770" s="11" t="s">
        <v>478</v>
      </c>
      <c r="G770" s="11" t="s">
        <v>479</v>
      </c>
      <c r="H770" s="12" t="s">
        <v>19</v>
      </c>
      <c r="I770" s="11" t="s">
        <v>1793</v>
      </c>
      <c r="J770" s="11" t="s">
        <v>1139</v>
      </c>
      <c r="K770" s="13"/>
      <c r="L770" s="14" t="s">
        <v>1834</v>
      </c>
    </row>
    <row r="771">
      <c r="A771" s="15">
        <v>228.0</v>
      </c>
      <c r="B771" s="16" t="s">
        <v>1835</v>
      </c>
      <c r="C771" s="17">
        <v>20.0</v>
      </c>
      <c r="D771" s="16" t="s">
        <v>89</v>
      </c>
      <c r="E771" s="16" t="s">
        <v>17</v>
      </c>
      <c r="F771" s="16" t="s">
        <v>478</v>
      </c>
      <c r="G771" s="16" t="s">
        <v>479</v>
      </c>
      <c r="H771" s="17" t="s">
        <v>19</v>
      </c>
      <c r="I771" s="16" t="s">
        <v>1648</v>
      </c>
      <c r="J771" s="16" t="s">
        <v>1139</v>
      </c>
      <c r="K771" s="18"/>
      <c r="L771" s="19" t="s">
        <v>1836</v>
      </c>
    </row>
    <row r="772">
      <c r="A772" s="10">
        <v>669.0</v>
      </c>
      <c r="B772" s="11" t="s">
        <v>1837</v>
      </c>
      <c r="C772" s="12">
        <v>20.0</v>
      </c>
      <c r="D772" s="11" t="s">
        <v>624</v>
      </c>
      <c r="E772" s="11" t="s">
        <v>17</v>
      </c>
      <c r="F772" s="11" t="s">
        <v>478</v>
      </c>
      <c r="G772" s="11" t="s">
        <v>479</v>
      </c>
      <c r="H772" s="12" t="s">
        <v>19</v>
      </c>
      <c r="I772" s="11" t="s">
        <v>1762</v>
      </c>
      <c r="J772" s="11" t="s">
        <v>1139</v>
      </c>
      <c r="K772" s="13"/>
      <c r="L772" s="14" t="s">
        <v>1838</v>
      </c>
    </row>
    <row r="773">
      <c r="A773" s="15">
        <v>1666.0</v>
      </c>
      <c r="B773" s="16" t="s">
        <v>1839</v>
      </c>
      <c r="C773" s="17">
        <v>19.0</v>
      </c>
      <c r="D773" s="16" t="s">
        <v>413</v>
      </c>
      <c r="E773" s="16" t="s">
        <v>17</v>
      </c>
      <c r="F773" s="16" t="s">
        <v>478</v>
      </c>
      <c r="G773" s="16" t="s">
        <v>689</v>
      </c>
      <c r="H773" s="17" t="s">
        <v>19</v>
      </c>
      <c r="I773" s="16" t="s">
        <v>1490</v>
      </c>
      <c r="J773" s="16" t="s">
        <v>1139</v>
      </c>
      <c r="K773" s="18"/>
      <c r="L773" s="19" t="s">
        <v>1840</v>
      </c>
    </row>
    <row r="774">
      <c r="A774" s="10">
        <v>1498.0</v>
      </c>
      <c r="B774" s="11" t="s">
        <v>1841</v>
      </c>
      <c r="C774" s="12">
        <v>50.0</v>
      </c>
      <c r="D774" s="11" t="s">
        <v>730</v>
      </c>
      <c r="E774" s="11" t="s">
        <v>17</v>
      </c>
      <c r="F774" s="11" t="s">
        <v>18</v>
      </c>
      <c r="G774" s="13"/>
      <c r="H774" s="12" t="s">
        <v>19</v>
      </c>
      <c r="I774" s="11" t="s">
        <v>500</v>
      </c>
      <c r="J774" s="11" t="s">
        <v>21</v>
      </c>
      <c r="K774" s="13"/>
      <c r="L774" s="14" t="s">
        <v>1842</v>
      </c>
    </row>
    <row r="775">
      <c r="A775" s="15">
        <v>1185.0</v>
      </c>
      <c r="B775" s="16" t="s">
        <v>1843</v>
      </c>
      <c r="C775" s="17">
        <v>52.0</v>
      </c>
      <c r="D775" s="16" t="s">
        <v>271</v>
      </c>
      <c r="E775" s="16" t="s">
        <v>17</v>
      </c>
      <c r="F775" s="16" t="s">
        <v>1601</v>
      </c>
      <c r="G775" s="16" t="s">
        <v>1726</v>
      </c>
      <c r="H775" s="17" t="s">
        <v>19</v>
      </c>
      <c r="I775" s="16" t="s">
        <v>1844</v>
      </c>
      <c r="J775" s="16" t="s">
        <v>57</v>
      </c>
      <c r="K775" s="18"/>
      <c r="L775" s="19" t="s">
        <v>1845</v>
      </c>
    </row>
    <row r="776">
      <c r="A776" s="10">
        <v>247.0</v>
      </c>
      <c r="B776" s="11" t="s">
        <v>1846</v>
      </c>
      <c r="C776" s="12">
        <v>22.0</v>
      </c>
      <c r="D776" s="11" t="s">
        <v>1847</v>
      </c>
      <c r="E776" s="11" t="s">
        <v>17</v>
      </c>
      <c r="F776" s="11" t="s">
        <v>478</v>
      </c>
      <c r="G776" s="11" t="s">
        <v>1012</v>
      </c>
      <c r="H776" s="12" t="s">
        <v>19</v>
      </c>
      <c r="I776" s="11" t="s">
        <v>1762</v>
      </c>
      <c r="J776" s="11" t="s">
        <v>1139</v>
      </c>
      <c r="K776" s="13"/>
      <c r="L776" s="14" t="s">
        <v>1848</v>
      </c>
    </row>
    <row r="777">
      <c r="A777" s="15">
        <v>253.0</v>
      </c>
      <c r="B777" s="16" t="s">
        <v>1849</v>
      </c>
      <c r="C777" s="17">
        <v>19.0</v>
      </c>
      <c r="D777" s="16" t="s">
        <v>1005</v>
      </c>
      <c r="E777" s="16" t="s">
        <v>17</v>
      </c>
      <c r="F777" s="16" t="s">
        <v>478</v>
      </c>
      <c r="G777" s="16" t="s">
        <v>689</v>
      </c>
      <c r="H777" s="17" t="s">
        <v>19</v>
      </c>
      <c r="I777" s="16" t="s">
        <v>1850</v>
      </c>
      <c r="J777" s="16" t="s">
        <v>1139</v>
      </c>
      <c r="K777" s="18"/>
      <c r="L777" s="19" t="s">
        <v>1851</v>
      </c>
    </row>
    <row r="778">
      <c r="A778" s="10">
        <v>1582.0</v>
      </c>
      <c r="B778" s="11" t="s">
        <v>1852</v>
      </c>
      <c r="C778" s="12">
        <v>20.0</v>
      </c>
      <c r="D778" s="11" t="s">
        <v>33</v>
      </c>
      <c r="E778" s="11" t="s">
        <v>17</v>
      </c>
      <c r="F778" s="11" t="s">
        <v>478</v>
      </c>
      <c r="G778" s="11" t="s">
        <v>479</v>
      </c>
      <c r="H778" s="12" t="s">
        <v>19</v>
      </c>
      <c r="I778" s="11" t="s">
        <v>1803</v>
      </c>
      <c r="J778" s="11" t="s">
        <v>1139</v>
      </c>
      <c r="K778" s="13"/>
      <c r="L778" s="14" t="s">
        <v>1853</v>
      </c>
    </row>
    <row r="779">
      <c r="A779" s="15">
        <v>234.0</v>
      </c>
      <c r="B779" s="16" t="s">
        <v>1854</v>
      </c>
      <c r="C779" s="17">
        <v>26.0</v>
      </c>
      <c r="D779" s="16" t="s">
        <v>89</v>
      </c>
      <c r="E779" s="16" t="s">
        <v>17</v>
      </c>
      <c r="F779" s="16" t="s">
        <v>478</v>
      </c>
      <c r="G779" s="16" t="s">
        <v>1305</v>
      </c>
      <c r="H779" s="17" t="s">
        <v>19</v>
      </c>
      <c r="I779" s="16" t="s">
        <v>53</v>
      </c>
      <c r="J779" s="16" t="s">
        <v>1139</v>
      </c>
      <c r="K779" s="18"/>
      <c r="L779" s="19" t="s">
        <v>1855</v>
      </c>
    </row>
    <row r="780">
      <c r="A780" s="10">
        <v>1693.0</v>
      </c>
      <c r="B780" s="11" t="s">
        <v>1856</v>
      </c>
      <c r="C780" s="12">
        <v>39.0</v>
      </c>
      <c r="D780" s="11" t="s">
        <v>1857</v>
      </c>
      <c r="E780" s="11" t="s">
        <v>17</v>
      </c>
      <c r="F780" s="11" t="s">
        <v>1429</v>
      </c>
      <c r="G780" s="13"/>
      <c r="H780" s="12" t="s">
        <v>19</v>
      </c>
      <c r="I780" s="11" t="s">
        <v>147</v>
      </c>
      <c r="J780" s="11" t="s">
        <v>57</v>
      </c>
      <c r="K780" s="13"/>
      <c r="L780" s="14" t="s">
        <v>1858</v>
      </c>
    </row>
    <row r="781">
      <c r="A781" s="15">
        <v>496.0</v>
      </c>
      <c r="B781" s="16" t="s">
        <v>1859</v>
      </c>
      <c r="C781" s="17">
        <v>20.0</v>
      </c>
      <c r="D781" s="16" t="s">
        <v>337</v>
      </c>
      <c r="E781" s="16" t="s">
        <v>17</v>
      </c>
      <c r="F781" s="16" t="s">
        <v>478</v>
      </c>
      <c r="G781" s="16" t="s">
        <v>689</v>
      </c>
      <c r="H781" s="17" t="s">
        <v>19</v>
      </c>
      <c r="I781" s="16" t="s">
        <v>1776</v>
      </c>
      <c r="J781" s="16" t="s">
        <v>1139</v>
      </c>
      <c r="K781" s="18"/>
      <c r="L781" s="19" t="s">
        <v>1860</v>
      </c>
    </row>
    <row r="782">
      <c r="A782" s="10">
        <v>1306.0</v>
      </c>
      <c r="B782" s="11" t="s">
        <v>1861</v>
      </c>
      <c r="C782" s="12">
        <v>46.0</v>
      </c>
      <c r="D782" s="11" t="s">
        <v>917</v>
      </c>
      <c r="E782" s="11" t="s">
        <v>17</v>
      </c>
      <c r="F782" s="11" t="s">
        <v>18</v>
      </c>
      <c r="G782" s="13"/>
      <c r="H782" s="12" t="s">
        <v>19</v>
      </c>
      <c r="I782" s="11" t="s">
        <v>147</v>
      </c>
      <c r="J782" s="11" t="s">
        <v>21</v>
      </c>
      <c r="K782" s="11" t="s">
        <v>53</v>
      </c>
      <c r="L782" s="14" t="s">
        <v>1862</v>
      </c>
    </row>
    <row r="783">
      <c r="A783" s="15">
        <v>227.0</v>
      </c>
      <c r="B783" s="16" t="s">
        <v>1863</v>
      </c>
      <c r="C783" s="17">
        <v>19.0</v>
      </c>
      <c r="D783" s="16" t="s">
        <v>299</v>
      </c>
      <c r="E783" s="16" t="s">
        <v>17</v>
      </c>
      <c r="F783" s="16" t="s">
        <v>478</v>
      </c>
      <c r="G783" s="16" t="s">
        <v>689</v>
      </c>
      <c r="H783" s="17" t="s">
        <v>19</v>
      </c>
      <c r="I783" s="16" t="s">
        <v>397</v>
      </c>
      <c r="J783" s="16" t="s">
        <v>1139</v>
      </c>
      <c r="K783" s="18"/>
      <c r="L783" s="19" t="s">
        <v>1864</v>
      </c>
    </row>
    <row r="784">
      <c r="A784" s="10">
        <v>1295.0</v>
      </c>
      <c r="B784" s="11" t="s">
        <v>1865</v>
      </c>
      <c r="C784" s="12">
        <v>19.0</v>
      </c>
      <c r="D784" s="11" t="s">
        <v>450</v>
      </c>
      <c r="E784" s="11" t="s">
        <v>17</v>
      </c>
      <c r="F784" s="11" t="s">
        <v>478</v>
      </c>
      <c r="G784" s="11" t="s">
        <v>689</v>
      </c>
      <c r="H784" s="12" t="s">
        <v>19</v>
      </c>
      <c r="I784" s="11" t="s">
        <v>191</v>
      </c>
      <c r="J784" s="11" t="s">
        <v>1139</v>
      </c>
      <c r="K784" s="13"/>
      <c r="L784" s="14" t="s">
        <v>1866</v>
      </c>
    </row>
    <row r="785">
      <c r="A785" s="15">
        <v>250.0</v>
      </c>
      <c r="B785" s="16" t="s">
        <v>1867</v>
      </c>
      <c r="C785" s="17">
        <v>19.0</v>
      </c>
      <c r="D785" s="16" t="s">
        <v>1868</v>
      </c>
      <c r="E785" s="16" t="s">
        <v>17</v>
      </c>
      <c r="F785" s="16" t="s">
        <v>478</v>
      </c>
      <c r="G785" s="16" t="s">
        <v>689</v>
      </c>
      <c r="H785" s="17" t="s">
        <v>1869</v>
      </c>
      <c r="I785" s="16" t="s">
        <v>1850</v>
      </c>
      <c r="J785" s="16" t="s">
        <v>1139</v>
      </c>
      <c r="K785" s="18"/>
      <c r="L785" s="19" t="s">
        <v>1870</v>
      </c>
    </row>
    <row r="786">
      <c r="A786" s="10">
        <v>1579.0</v>
      </c>
      <c r="B786" s="11" t="s">
        <v>1871</v>
      </c>
      <c r="C786" s="12">
        <v>19.0</v>
      </c>
      <c r="D786" s="11" t="s">
        <v>450</v>
      </c>
      <c r="E786" s="11" t="s">
        <v>17</v>
      </c>
      <c r="F786" s="11" t="s">
        <v>478</v>
      </c>
      <c r="G786" s="11" t="s">
        <v>689</v>
      </c>
      <c r="H786" s="12" t="s">
        <v>19</v>
      </c>
      <c r="I786" s="11" t="s">
        <v>1793</v>
      </c>
      <c r="J786" s="11" t="s">
        <v>1139</v>
      </c>
      <c r="K786" s="13"/>
      <c r="L786" s="14" t="s">
        <v>1872</v>
      </c>
    </row>
    <row r="787">
      <c r="A787" s="15">
        <v>1137.0</v>
      </c>
      <c r="B787" s="16" t="s">
        <v>1873</v>
      </c>
      <c r="C787" s="17">
        <v>19.0</v>
      </c>
      <c r="D787" s="16" t="s">
        <v>173</v>
      </c>
      <c r="E787" s="16" t="s">
        <v>25</v>
      </c>
      <c r="F787" s="16" t="s">
        <v>478</v>
      </c>
      <c r="G787" s="16" t="s">
        <v>689</v>
      </c>
      <c r="H787" s="17" t="s">
        <v>19</v>
      </c>
      <c r="I787" s="16" t="s">
        <v>1874</v>
      </c>
      <c r="J787" s="16" t="s">
        <v>1139</v>
      </c>
      <c r="K787" s="18"/>
      <c r="L787" s="19" t="s">
        <v>1875</v>
      </c>
    </row>
    <row r="788">
      <c r="A788" s="10">
        <v>235.0</v>
      </c>
      <c r="B788" s="11" t="s">
        <v>1876</v>
      </c>
      <c r="C788" s="12">
        <v>23.0</v>
      </c>
      <c r="D788" s="11" t="s">
        <v>299</v>
      </c>
      <c r="E788" s="11" t="s">
        <v>17</v>
      </c>
      <c r="F788" s="11" t="s">
        <v>478</v>
      </c>
      <c r="G788" s="11" t="s">
        <v>479</v>
      </c>
      <c r="H788" s="12" t="s">
        <v>19</v>
      </c>
      <c r="I788" s="11" t="s">
        <v>195</v>
      </c>
      <c r="J788" s="11" t="s">
        <v>1139</v>
      </c>
      <c r="K788" s="13"/>
      <c r="L788" s="14" t="s">
        <v>1877</v>
      </c>
    </row>
    <row r="789">
      <c r="A789" s="15">
        <v>1179.0</v>
      </c>
      <c r="B789" s="16" t="s">
        <v>1878</v>
      </c>
      <c r="C789" s="17">
        <v>19.0</v>
      </c>
      <c r="D789" s="16" t="s">
        <v>299</v>
      </c>
      <c r="E789" s="16" t="s">
        <v>17</v>
      </c>
      <c r="F789" s="16" t="s">
        <v>478</v>
      </c>
      <c r="G789" s="16" t="s">
        <v>689</v>
      </c>
      <c r="H789" s="17" t="s">
        <v>19</v>
      </c>
      <c r="I789" s="16" t="s">
        <v>1787</v>
      </c>
      <c r="J789" s="16" t="s">
        <v>1139</v>
      </c>
      <c r="K789" s="18"/>
      <c r="L789" s="19" t="s">
        <v>1879</v>
      </c>
    </row>
    <row r="790">
      <c r="A790" s="10">
        <v>481.0</v>
      </c>
      <c r="B790" s="11" t="s">
        <v>1880</v>
      </c>
      <c r="C790" s="12">
        <v>19.0</v>
      </c>
      <c r="D790" s="11" t="s">
        <v>1881</v>
      </c>
      <c r="E790" s="11" t="s">
        <v>17</v>
      </c>
      <c r="F790" s="11" t="s">
        <v>478</v>
      </c>
      <c r="G790" s="11" t="s">
        <v>689</v>
      </c>
      <c r="H790" s="12" t="s">
        <v>19</v>
      </c>
      <c r="I790" s="11" t="s">
        <v>1813</v>
      </c>
      <c r="J790" s="11" t="s">
        <v>1139</v>
      </c>
      <c r="K790" s="13"/>
      <c r="L790" s="14" t="s">
        <v>1882</v>
      </c>
    </row>
    <row r="791">
      <c r="A791" s="15">
        <v>1714.0</v>
      </c>
      <c r="B791" s="16" t="s">
        <v>1883</v>
      </c>
      <c r="C791" s="17">
        <v>21.0</v>
      </c>
      <c r="D791" s="16" t="s">
        <v>299</v>
      </c>
      <c r="E791" s="16" t="s">
        <v>17</v>
      </c>
      <c r="F791" s="16" t="s">
        <v>478</v>
      </c>
      <c r="G791" s="16" t="s">
        <v>479</v>
      </c>
      <c r="H791" s="17" t="s">
        <v>19</v>
      </c>
      <c r="I791" s="16" t="s">
        <v>1787</v>
      </c>
      <c r="J791" s="16" t="s">
        <v>1139</v>
      </c>
      <c r="K791" s="18"/>
      <c r="L791" s="19" t="s">
        <v>1884</v>
      </c>
    </row>
    <row r="792">
      <c r="A792" s="10">
        <v>480.0</v>
      </c>
      <c r="B792" s="11" t="s">
        <v>1885</v>
      </c>
      <c r="C792" s="12">
        <v>21.0</v>
      </c>
      <c r="D792" s="11" t="s">
        <v>1886</v>
      </c>
      <c r="E792" s="11" t="s">
        <v>17</v>
      </c>
      <c r="F792" s="11" t="s">
        <v>478</v>
      </c>
      <c r="G792" s="11" t="s">
        <v>479</v>
      </c>
      <c r="H792" s="12" t="s">
        <v>19</v>
      </c>
      <c r="I792" s="11" t="s">
        <v>1793</v>
      </c>
      <c r="J792" s="11" t="s">
        <v>1139</v>
      </c>
      <c r="K792" s="13"/>
      <c r="L792" s="14" t="s">
        <v>1887</v>
      </c>
    </row>
    <row r="793">
      <c r="A793" s="15">
        <v>1280.0</v>
      </c>
      <c r="B793" s="16" t="s">
        <v>1888</v>
      </c>
      <c r="C793" s="17">
        <v>20.0</v>
      </c>
      <c r="D793" s="16" t="s">
        <v>438</v>
      </c>
      <c r="E793" s="16" t="s">
        <v>17</v>
      </c>
      <c r="F793" s="16" t="s">
        <v>478</v>
      </c>
      <c r="G793" s="16" t="s">
        <v>689</v>
      </c>
      <c r="H793" s="17" t="s">
        <v>19</v>
      </c>
      <c r="I793" s="16" t="s">
        <v>1889</v>
      </c>
      <c r="J793" s="16" t="s">
        <v>1139</v>
      </c>
      <c r="K793" s="18"/>
      <c r="L793" s="19" t="s">
        <v>1890</v>
      </c>
    </row>
    <row r="794">
      <c r="A794" s="10">
        <v>484.0</v>
      </c>
      <c r="B794" s="11" t="s">
        <v>1891</v>
      </c>
      <c r="C794" s="12">
        <v>20.0</v>
      </c>
      <c r="D794" s="11" t="s">
        <v>100</v>
      </c>
      <c r="E794" s="11" t="s">
        <v>17</v>
      </c>
      <c r="F794" s="11" t="s">
        <v>478</v>
      </c>
      <c r="G794" s="11" t="s">
        <v>479</v>
      </c>
      <c r="H794" s="12" t="s">
        <v>19</v>
      </c>
      <c r="I794" s="11" t="s">
        <v>1776</v>
      </c>
      <c r="J794" s="11" t="s">
        <v>1139</v>
      </c>
      <c r="K794" s="13"/>
      <c r="L794" s="14" t="s">
        <v>1892</v>
      </c>
    </row>
    <row r="795">
      <c r="A795" s="15">
        <v>264.0</v>
      </c>
      <c r="B795" s="16" t="s">
        <v>1891</v>
      </c>
      <c r="C795" s="17">
        <v>21.0</v>
      </c>
      <c r="D795" s="16" t="s">
        <v>416</v>
      </c>
      <c r="E795" s="16" t="s">
        <v>17</v>
      </c>
      <c r="F795" s="16" t="s">
        <v>478</v>
      </c>
      <c r="G795" s="16" t="s">
        <v>479</v>
      </c>
      <c r="H795" s="17" t="s">
        <v>19</v>
      </c>
      <c r="I795" s="16" t="s">
        <v>1893</v>
      </c>
      <c r="J795" s="16" t="s">
        <v>1139</v>
      </c>
      <c r="K795" s="18"/>
      <c r="L795" s="19" t="s">
        <v>1892</v>
      </c>
    </row>
    <row r="796">
      <c r="A796" s="10">
        <v>2009.0</v>
      </c>
      <c r="B796" s="11" t="s">
        <v>1894</v>
      </c>
      <c r="C796" s="12">
        <v>20.0</v>
      </c>
      <c r="D796" s="11" t="s">
        <v>946</v>
      </c>
      <c r="E796" s="11" t="s">
        <v>17</v>
      </c>
      <c r="F796" s="11" t="s">
        <v>478</v>
      </c>
      <c r="G796" s="11" t="s">
        <v>479</v>
      </c>
      <c r="H796" s="12" t="s">
        <v>19</v>
      </c>
      <c r="I796" s="11" t="s">
        <v>1766</v>
      </c>
      <c r="J796" s="11" t="s">
        <v>1139</v>
      </c>
      <c r="K796" s="13"/>
      <c r="L796" s="14" t="s">
        <v>1895</v>
      </c>
    </row>
    <row r="797">
      <c r="A797" s="15">
        <v>2010.0</v>
      </c>
      <c r="B797" s="16" t="s">
        <v>1896</v>
      </c>
      <c r="C797" s="17">
        <v>21.0</v>
      </c>
      <c r="D797" s="16" t="s">
        <v>1881</v>
      </c>
      <c r="E797" s="16" t="s">
        <v>17</v>
      </c>
      <c r="F797" s="16" t="s">
        <v>478</v>
      </c>
      <c r="G797" s="16" t="s">
        <v>479</v>
      </c>
      <c r="H797" s="17" t="s">
        <v>19</v>
      </c>
      <c r="I797" s="16" t="s">
        <v>1776</v>
      </c>
      <c r="J797" s="16" t="s">
        <v>1139</v>
      </c>
      <c r="K797" s="18"/>
      <c r="L797" s="19" t="s">
        <v>872</v>
      </c>
    </row>
    <row r="798">
      <c r="A798" s="10">
        <v>403.0</v>
      </c>
      <c r="B798" s="11" t="s">
        <v>1897</v>
      </c>
      <c r="C798" s="12">
        <v>38.0</v>
      </c>
      <c r="D798" s="11" t="s">
        <v>495</v>
      </c>
      <c r="E798" s="11" t="s">
        <v>17</v>
      </c>
      <c r="F798" s="11" t="s">
        <v>136</v>
      </c>
      <c r="G798" s="11" t="s">
        <v>1898</v>
      </c>
      <c r="H798" s="12" t="s">
        <v>19</v>
      </c>
      <c r="I798" s="11" t="s">
        <v>495</v>
      </c>
      <c r="J798" s="11" t="s">
        <v>21</v>
      </c>
      <c r="K798" s="13"/>
      <c r="L798" s="14" t="s">
        <v>1899</v>
      </c>
    </row>
    <row r="799">
      <c r="A799" s="15">
        <v>259.0</v>
      </c>
      <c r="B799" s="16" t="s">
        <v>1900</v>
      </c>
      <c r="C799" s="17">
        <v>19.0</v>
      </c>
      <c r="D799" s="16" t="s">
        <v>16</v>
      </c>
      <c r="E799" s="16" t="s">
        <v>17</v>
      </c>
      <c r="F799" s="16" t="s">
        <v>478</v>
      </c>
      <c r="G799" s="16" t="s">
        <v>1186</v>
      </c>
      <c r="H799" s="17" t="s">
        <v>19</v>
      </c>
      <c r="I799" s="16" t="s">
        <v>1776</v>
      </c>
      <c r="J799" s="16" t="s">
        <v>1139</v>
      </c>
      <c r="K799" s="18"/>
      <c r="L799" s="19" t="s">
        <v>1901</v>
      </c>
    </row>
    <row r="800">
      <c r="A800" s="10">
        <v>1562.0</v>
      </c>
      <c r="B800" s="11" t="s">
        <v>1902</v>
      </c>
      <c r="C800" s="12">
        <v>50.0</v>
      </c>
      <c r="D800" s="11" t="s">
        <v>271</v>
      </c>
      <c r="E800" s="11" t="s">
        <v>17</v>
      </c>
      <c r="F800" s="11" t="s">
        <v>142</v>
      </c>
      <c r="G800" s="11" t="s">
        <v>1898</v>
      </c>
      <c r="H800" s="12" t="s">
        <v>19</v>
      </c>
      <c r="I800" s="11" t="s">
        <v>173</v>
      </c>
      <c r="J800" s="11" t="s">
        <v>57</v>
      </c>
      <c r="K800" s="13"/>
      <c r="L800" s="14" t="s">
        <v>1903</v>
      </c>
    </row>
    <row r="801">
      <c r="A801" s="15">
        <v>1282.0</v>
      </c>
      <c r="B801" s="16" t="s">
        <v>1904</v>
      </c>
      <c r="C801" s="17">
        <v>20.0</v>
      </c>
      <c r="D801" s="16" t="s">
        <v>786</v>
      </c>
      <c r="E801" s="16" t="s">
        <v>17</v>
      </c>
      <c r="F801" s="16" t="s">
        <v>478</v>
      </c>
      <c r="G801" s="16" t="s">
        <v>689</v>
      </c>
      <c r="H801" s="17" t="s">
        <v>19</v>
      </c>
      <c r="I801" s="16" t="s">
        <v>1905</v>
      </c>
      <c r="J801" s="16" t="s">
        <v>1139</v>
      </c>
      <c r="K801" s="18"/>
      <c r="L801" s="19" t="s">
        <v>1906</v>
      </c>
    </row>
    <row r="802">
      <c r="A802" s="10">
        <v>1284.0</v>
      </c>
      <c r="B802" s="11" t="s">
        <v>1907</v>
      </c>
      <c r="C802" s="12">
        <v>19.0</v>
      </c>
      <c r="D802" s="11" t="s">
        <v>1908</v>
      </c>
      <c r="E802" s="11" t="s">
        <v>17</v>
      </c>
      <c r="F802" s="11" t="s">
        <v>478</v>
      </c>
      <c r="G802" s="11" t="s">
        <v>689</v>
      </c>
      <c r="H802" s="12" t="s">
        <v>19</v>
      </c>
      <c r="I802" s="11" t="s">
        <v>1909</v>
      </c>
      <c r="J802" s="11" t="s">
        <v>1139</v>
      </c>
      <c r="K802" s="13"/>
      <c r="L802" s="14" t="s">
        <v>1910</v>
      </c>
    </row>
    <row r="803">
      <c r="A803" s="15">
        <v>1723.0</v>
      </c>
      <c r="B803" s="16" t="s">
        <v>1911</v>
      </c>
      <c r="C803" s="17">
        <v>22.0</v>
      </c>
      <c r="D803" s="16" t="s">
        <v>624</v>
      </c>
      <c r="E803" s="16" t="s">
        <v>17</v>
      </c>
      <c r="F803" s="16" t="s">
        <v>478</v>
      </c>
      <c r="G803" s="16" t="s">
        <v>689</v>
      </c>
      <c r="H803" s="17" t="s">
        <v>19</v>
      </c>
      <c r="I803" s="16" t="s">
        <v>1776</v>
      </c>
      <c r="J803" s="16" t="s">
        <v>1139</v>
      </c>
      <c r="K803" s="18"/>
      <c r="L803" s="19" t="s">
        <v>1912</v>
      </c>
    </row>
    <row r="804">
      <c r="A804" s="10">
        <v>1288.0</v>
      </c>
      <c r="B804" s="11" t="s">
        <v>1913</v>
      </c>
      <c r="C804" s="12">
        <v>21.0</v>
      </c>
      <c r="D804" s="11" t="s">
        <v>307</v>
      </c>
      <c r="E804" s="11" t="s">
        <v>25</v>
      </c>
      <c r="F804" s="11" t="s">
        <v>478</v>
      </c>
      <c r="G804" s="11" t="s">
        <v>1012</v>
      </c>
      <c r="H804" s="12" t="s">
        <v>19</v>
      </c>
      <c r="I804" s="11" t="s">
        <v>397</v>
      </c>
      <c r="J804" s="11" t="s">
        <v>1139</v>
      </c>
      <c r="K804" s="13"/>
      <c r="L804" s="14" t="s">
        <v>1914</v>
      </c>
    </row>
    <row r="805">
      <c r="A805" s="15">
        <v>1437.0</v>
      </c>
      <c r="B805" s="16" t="s">
        <v>1915</v>
      </c>
      <c r="C805" s="17">
        <v>31.0</v>
      </c>
      <c r="D805" s="16" t="s">
        <v>299</v>
      </c>
      <c r="E805" s="16" t="s">
        <v>17</v>
      </c>
      <c r="F805" s="16" t="s">
        <v>478</v>
      </c>
      <c r="G805" s="16" t="s">
        <v>1305</v>
      </c>
      <c r="H805" s="17" t="s">
        <v>19</v>
      </c>
      <c r="I805" s="16" t="s">
        <v>470</v>
      </c>
      <c r="J805" s="16" t="s">
        <v>1139</v>
      </c>
      <c r="K805" s="18"/>
      <c r="L805" s="19" t="s">
        <v>1916</v>
      </c>
    </row>
    <row r="806">
      <c r="A806" s="10">
        <v>1144.0</v>
      </c>
      <c r="B806" s="11" t="s">
        <v>1917</v>
      </c>
      <c r="C806" s="12">
        <v>21.0</v>
      </c>
      <c r="D806" s="11" t="s">
        <v>991</v>
      </c>
      <c r="E806" s="11" t="s">
        <v>17</v>
      </c>
      <c r="F806" s="11" t="s">
        <v>478</v>
      </c>
      <c r="G806" s="11" t="s">
        <v>143</v>
      </c>
      <c r="H806" s="12" t="s">
        <v>19</v>
      </c>
      <c r="I806" s="11" t="s">
        <v>191</v>
      </c>
      <c r="J806" s="11" t="s">
        <v>1139</v>
      </c>
      <c r="K806" s="13"/>
      <c r="L806" s="14" t="s">
        <v>1918</v>
      </c>
    </row>
    <row r="807">
      <c r="A807" s="15">
        <v>1554.0</v>
      </c>
      <c r="B807" s="16" t="s">
        <v>1919</v>
      </c>
      <c r="C807" s="17">
        <v>57.0</v>
      </c>
      <c r="D807" s="16" t="s">
        <v>1920</v>
      </c>
      <c r="E807" s="16" t="s">
        <v>17</v>
      </c>
      <c r="F807" s="16" t="s">
        <v>18</v>
      </c>
      <c r="G807" s="18"/>
      <c r="H807" s="17" t="s">
        <v>19</v>
      </c>
      <c r="I807" s="16" t="s">
        <v>165</v>
      </c>
      <c r="J807" s="16" t="s">
        <v>21</v>
      </c>
      <c r="K807" s="18"/>
      <c r="L807" s="19" t="s">
        <v>1921</v>
      </c>
    </row>
    <row r="808">
      <c r="A808" s="10">
        <v>1704.0</v>
      </c>
      <c r="B808" s="11" t="s">
        <v>1922</v>
      </c>
      <c r="C808" s="12">
        <v>20.0</v>
      </c>
      <c r="D808" s="11" t="s">
        <v>508</v>
      </c>
      <c r="E808" s="11" t="s">
        <v>17</v>
      </c>
      <c r="F808" s="11" t="s">
        <v>478</v>
      </c>
      <c r="G808" s="11" t="s">
        <v>479</v>
      </c>
      <c r="H808" s="12" t="s">
        <v>19</v>
      </c>
      <c r="I808" s="11" t="s">
        <v>1793</v>
      </c>
      <c r="J808" s="11" t="s">
        <v>1139</v>
      </c>
      <c r="K808" s="13"/>
      <c r="L808" s="14" t="s">
        <v>1923</v>
      </c>
    </row>
    <row r="809">
      <c r="A809" s="15">
        <v>1581.0</v>
      </c>
      <c r="B809" s="16" t="s">
        <v>1924</v>
      </c>
      <c r="C809" s="17">
        <v>20.0</v>
      </c>
      <c r="D809" s="16" t="s">
        <v>92</v>
      </c>
      <c r="E809" s="16" t="s">
        <v>17</v>
      </c>
      <c r="F809" s="16" t="s">
        <v>478</v>
      </c>
      <c r="G809" s="16" t="s">
        <v>689</v>
      </c>
      <c r="H809" s="17" t="s">
        <v>19</v>
      </c>
      <c r="I809" s="16" t="s">
        <v>1793</v>
      </c>
      <c r="J809" s="16" t="s">
        <v>1139</v>
      </c>
      <c r="K809" s="18"/>
      <c r="L809" s="19" t="s">
        <v>1925</v>
      </c>
    </row>
    <row r="810">
      <c r="A810" s="10">
        <v>1555.0</v>
      </c>
      <c r="B810" s="11" t="s">
        <v>1926</v>
      </c>
      <c r="C810" s="12">
        <v>20.0</v>
      </c>
      <c r="D810" s="11" t="s">
        <v>364</v>
      </c>
      <c r="E810" s="11" t="s">
        <v>17</v>
      </c>
      <c r="F810" s="11" t="s">
        <v>478</v>
      </c>
      <c r="G810" s="11" t="s">
        <v>479</v>
      </c>
      <c r="H810" s="12" t="s">
        <v>19</v>
      </c>
      <c r="I810" s="11" t="s">
        <v>191</v>
      </c>
      <c r="J810" s="11" t="s">
        <v>1139</v>
      </c>
      <c r="K810" s="13"/>
      <c r="L810" s="14" t="s">
        <v>1927</v>
      </c>
    </row>
    <row r="811">
      <c r="A811" s="15">
        <v>1539.0</v>
      </c>
      <c r="B811" s="16" t="s">
        <v>1928</v>
      </c>
      <c r="C811" s="17">
        <v>25.0</v>
      </c>
      <c r="D811" s="16" t="s">
        <v>968</v>
      </c>
      <c r="E811" s="16" t="s">
        <v>17</v>
      </c>
      <c r="F811" s="16" t="s">
        <v>478</v>
      </c>
      <c r="G811" s="16" t="s">
        <v>1305</v>
      </c>
      <c r="H811" s="17" t="s">
        <v>19</v>
      </c>
      <c r="I811" s="16" t="s">
        <v>1787</v>
      </c>
      <c r="J811" s="16" t="s">
        <v>1139</v>
      </c>
      <c r="K811" s="18"/>
      <c r="L811" s="19" t="s">
        <v>1929</v>
      </c>
    </row>
    <row r="812">
      <c r="A812" s="10">
        <v>246.0</v>
      </c>
      <c r="B812" s="11" t="s">
        <v>1930</v>
      </c>
      <c r="C812" s="12">
        <v>33.0</v>
      </c>
      <c r="D812" s="11" t="s">
        <v>1931</v>
      </c>
      <c r="E812" s="11" t="s">
        <v>17</v>
      </c>
      <c r="F812" s="11" t="s">
        <v>478</v>
      </c>
      <c r="G812" s="11" t="s">
        <v>1932</v>
      </c>
      <c r="H812" s="12" t="s">
        <v>19</v>
      </c>
      <c r="I812" s="11" t="s">
        <v>296</v>
      </c>
      <c r="J812" s="11" t="s">
        <v>1139</v>
      </c>
      <c r="K812" s="13"/>
      <c r="L812" s="14" t="s">
        <v>1933</v>
      </c>
    </row>
    <row r="813">
      <c r="A813" s="15">
        <v>382.0</v>
      </c>
      <c r="B813" s="16" t="s">
        <v>1934</v>
      </c>
      <c r="C813" s="17">
        <v>20.0</v>
      </c>
      <c r="D813" s="16" t="s">
        <v>299</v>
      </c>
      <c r="E813" s="16" t="s">
        <v>17</v>
      </c>
      <c r="F813" s="16" t="s">
        <v>478</v>
      </c>
      <c r="G813" s="16" t="s">
        <v>479</v>
      </c>
      <c r="H813" s="17" t="s">
        <v>19</v>
      </c>
      <c r="I813" s="16" t="s">
        <v>191</v>
      </c>
      <c r="J813" s="16" t="s">
        <v>1139</v>
      </c>
      <c r="K813" s="18"/>
      <c r="L813" s="19" t="s">
        <v>1935</v>
      </c>
    </row>
    <row r="814">
      <c r="A814" s="10">
        <v>245.0</v>
      </c>
      <c r="B814" s="11" t="s">
        <v>1936</v>
      </c>
      <c r="C814" s="12">
        <v>21.0</v>
      </c>
      <c r="D814" s="11" t="s">
        <v>570</v>
      </c>
      <c r="E814" s="11" t="s">
        <v>17</v>
      </c>
      <c r="F814" s="11" t="s">
        <v>478</v>
      </c>
      <c r="G814" s="11" t="s">
        <v>479</v>
      </c>
      <c r="H814" s="12" t="s">
        <v>19</v>
      </c>
      <c r="I814" s="11" t="s">
        <v>1937</v>
      </c>
      <c r="J814" s="11" t="s">
        <v>1139</v>
      </c>
      <c r="K814" s="13"/>
      <c r="L814" s="14" t="s">
        <v>1938</v>
      </c>
    </row>
    <row r="815">
      <c r="A815" s="15">
        <v>252.0</v>
      </c>
      <c r="B815" s="16" t="s">
        <v>1939</v>
      </c>
      <c r="C815" s="17">
        <v>27.0</v>
      </c>
      <c r="D815" s="16" t="s">
        <v>408</v>
      </c>
      <c r="E815" s="16" t="s">
        <v>17</v>
      </c>
      <c r="F815" s="16" t="s">
        <v>478</v>
      </c>
      <c r="G815" s="16" t="s">
        <v>1305</v>
      </c>
      <c r="H815" s="17" t="s">
        <v>19</v>
      </c>
      <c r="I815" s="16" t="s">
        <v>1940</v>
      </c>
      <c r="J815" s="16" t="s">
        <v>1139</v>
      </c>
      <c r="K815" s="18"/>
      <c r="L815" s="19" t="s">
        <v>1941</v>
      </c>
    </row>
    <row r="816">
      <c r="A816" s="10">
        <v>1609.0</v>
      </c>
      <c r="B816" s="11" t="s">
        <v>1942</v>
      </c>
      <c r="C816" s="12">
        <v>45.0</v>
      </c>
      <c r="D816" s="11" t="s">
        <v>92</v>
      </c>
      <c r="E816" s="11" t="s">
        <v>17</v>
      </c>
      <c r="F816" s="11" t="s">
        <v>18</v>
      </c>
      <c r="G816" s="13"/>
      <c r="H816" s="12" t="s">
        <v>19</v>
      </c>
      <c r="I816" s="11" t="s">
        <v>389</v>
      </c>
      <c r="J816" s="11" t="s">
        <v>21</v>
      </c>
      <c r="K816" s="11" t="s">
        <v>53</v>
      </c>
      <c r="L816" s="14" t="s">
        <v>1943</v>
      </c>
    </row>
    <row r="817">
      <c r="A817" s="15">
        <v>418.0</v>
      </c>
      <c r="B817" s="16" t="s">
        <v>1944</v>
      </c>
      <c r="C817" s="17">
        <v>21.0</v>
      </c>
      <c r="D817" s="16" t="s">
        <v>1945</v>
      </c>
      <c r="E817" s="16" t="s">
        <v>17</v>
      </c>
      <c r="F817" s="16" t="s">
        <v>478</v>
      </c>
      <c r="G817" s="16" t="s">
        <v>689</v>
      </c>
      <c r="H817" s="17" t="s">
        <v>19</v>
      </c>
      <c r="I817" s="16" t="s">
        <v>397</v>
      </c>
      <c r="J817" s="16" t="s">
        <v>1139</v>
      </c>
      <c r="K817" s="18"/>
      <c r="L817" s="19" t="s">
        <v>1946</v>
      </c>
    </row>
    <row r="818">
      <c r="A818" s="10">
        <v>489.0</v>
      </c>
      <c r="B818" s="11" t="s">
        <v>1947</v>
      </c>
      <c r="C818" s="12">
        <v>21.0</v>
      </c>
      <c r="D818" s="11" t="s">
        <v>1948</v>
      </c>
      <c r="E818" s="11" t="s">
        <v>17</v>
      </c>
      <c r="F818" s="11" t="s">
        <v>478</v>
      </c>
      <c r="G818" s="11" t="s">
        <v>689</v>
      </c>
      <c r="H818" s="12" t="s">
        <v>19</v>
      </c>
      <c r="I818" s="11" t="s">
        <v>1793</v>
      </c>
      <c r="J818" s="11" t="s">
        <v>1139</v>
      </c>
      <c r="K818" s="13"/>
      <c r="L818" s="14" t="s">
        <v>1949</v>
      </c>
    </row>
    <row r="819">
      <c r="A819" s="15">
        <v>1461.0</v>
      </c>
      <c r="B819" s="16" t="s">
        <v>1950</v>
      </c>
      <c r="C819" s="17">
        <v>19.0</v>
      </c>
      <c r="D819" s="16" t="s">
        <v>1951</v>
      </c>
      <c r="E819" s="16" t="s">
        <v>17</v>
      </c>
      <c r="F819" s="16" t="s">
        <v>478</v>
      </c>
      <c r="G819" s="16" t="s">
        <v>479</v>
      </c>
      <c r="H819" s="17" t="s">
        <v>19</v>
      </c>
      <c r="I819" s="16" t="s">
        <v>1779</v>
      </c>
      <c r="J819" s="16" t="s">
        <v>1139</v>
      </c>
      <c r="K819" s="18"/>
      <c r="L819" s="19" t="s">
        <v>1952</v>
      </c>
    </row>
    <row r="820">
      <c r="A820" s="10">
        <v>490.0</v>
      </c>
      <c r="B820" s="11" t="s">
        <v>1953</v>
      </c>
      <c r="C820" s="12">
        <v>21.0</v>
      </c>
      <c r="D820" s="11" t="s">
        <v>89</v>
      </c>
      <c r="E820" s="11" t="s">
        <v>17</v>
      </c>
      <c r="F820" s="11" t="s">
        <v>478</v>
      </c>
      <c r="G820" s="11" t="s">
        <v>479</v>
      </c>
      <c r="H820" s="12" t="s">
        <v>19</v>
      </c>
      <c r="I820" s="11" t="s">
        <v>1776</v>
      </c>
      <c r="J820" s="11" t="s">
        <v>1139</v>
      </c>
      <c r="K820" s="13"/>
      <c r="L820" s="14" t="s">
        <v>1954</v>
      </c>
    </row>
    <row r="821">
      <c r="A821" s="15">
        <v>493.0</v>
      </c>
      <c r="B821" s="16" t="s">
        <v>1955</v>
      </c>
      <c r="C821" s="17">
        <v>21.0</v>
      </c>
      <c r="D821" s="16" t="s">
        <v>1931</v>
      </c>
      <c r="E821" s="16" t="s">
        <v>17</v>
      </c>
      <c r="F821" s="16" t="s">
        <v>478</v>
      </c>
      <c r="G821" s="16" t="s">
        <v>479</v>
      </c>
      <c r="H821" s="17" t="s">
        <v>19</v>
      </c>
      <c r="I821" s="16" t="s">
        <v>1956</v>
      </c>
      <c r="J821" s="16" t="s">
        <v>1139</v>
      </c>
      <c r="K821" s="18"/>
      <c r="L821" s="19" t="s">
        <v>1957</v>
      </c>
    </row>
    <row r="822">
      <c r="A822" s="10">
        <v>1298.0</v>
      </c>
      <c r="B822" s="11" t="s">
        <v>1958</v>
      </c>
      <c r="C822" s="12">
        <v>47.0</v>
      </c>
      <c r="D822" s="11" t="s">
        <v>1959</v>
      </c>
      <c r="E822" s="11" t="s">
        <v>17</v>
      </c>
      <c r="F822" s="11" t="s">
        <v>1429</v>
      </c>
      <c r="G822" s="13"/>
      <c r="H822" s="12" t="s">
        <v>19</v>
      </c>
      <c r="I822" s="11" t="s">
        <v>195</v>
      </c>
      <c r="J822" s="11" t="s">
        <v>57</v>
      </c>
      <c r="K822" s="13"/>
      <c r="L822" s="14" t="s">
        <v>1960</v>
      </c>
    </row>
    <row r="823">
      <c r="A823" s="15">
        <v>492.0</v>
      </c>
      <c r="B823" s="16" t="s">
        <v>1961</v>
      </c>
      <c r="C823" s="17">
        <v>20.0</v>
      </c>
      <c r="D823" s="16" t="s">
        <v>527</v>
      </c>
      <c r="E823" s="16" t="s">
        <v>17</v>
      </c>
      <c r="F823" s="16" t="s">
        <v>478</v>
      </c>
      <c r="G823" s="16" t="s">
        <v>479</v>
      </c>
      <c r="H823" s="17" t="s">
        <v>19</v>
      </c>
      <c r="I823" s="16" t="s">
        <v>1956</v>
      </c>
      <c r="J823" s="16" t="s">
        <v>1139</v>
      </c>
      <c r="K823" s="18"/>
      <c r="L823" s="19" t="s">
        <v>1962</v>
      </c>
    </row>
    <row r="824">
      <c r="A824" s="10">
        <v>491.0</v>
      </c>
      <c r="B824" s="11" t="s">
        <v>1963</v>
      </c>
      <c r="C824" s="12">
        <v>20.0</v>
      </c>
      <c r="D824" s="11" t="s">
        <v>89</v>
      </c>
      <c r="E824" s="11" t="s">
        <v>17</v>
      </c>
      <c r="F824" s="11" t="s">
        <v>478</v>
      </c>
      <c r="G824" s="11" t="s">
        <v>479</v>
      </c>
      <c r="H824" s="12" t="s">
        <v>19</v>
      </c>
      <c r="I824" s="11" t="s">
        <v>1766</v>
      </c>
      <c r="J824" s="11" t="s">
        <v>1139</v>
      </c>
      <c r="K824" s="13"/>
      <c r="L824" s="14" t="s">
        <v>1964</v>
      </c>
    </row>
    <row r="825">
      <c r="A825" s="15">
        <v>286.0</v>
      </c>
      <c r="B825" s="16" t="s">
        <v>1965</v>
      </c>
      <c r="C825" s="17">
        <v>21.0</v>
      </c>
      <c r="D825" s="16" t="s">
        <v>1966</v>
      </c>
      <c r="E825" s="16" t="s">
        <v>17</v>
      </c>
      <c r="F825" s="16" t="s">
        <v>478</v>
      </c>
      <c r="G825" s="16" t="s">
        <v>479</v>
      </c>
      <c r="H825" s="17" t="s">
        <v>19</v>
      </c>
      <c r="I825" s="16" t="s">
        <v>1889</v>
      </c>
      <c r="J825" s="16" t="s">
        <v>1139</v>
      </c>
      <c r="K825" s="18"/>
      <c r="L825" s="19" t="s">
        <v>1967</v>
      </c>
    </row>
    <row r="826">
      <c r="A826" s="10">
        <v>994.0</v>
      </c>
      <c r="B826" s="11" t="s">
        <v>1968</v>
      </c>
      <c r="C826" s="12">
        <v>23.0</v>
      </c>
      <c r="D826" s="11" t="s">
        <v>1969</v>
      </c>
      <c r="E826" s="11" t="s">
        <v>17</v>
      </c>
      <c r="F826" s="11" t="s">
        <v>478</v>
      </c>
      <c r="G826" s="11" t="s">
        <v>1012</v>
      </c>
      <c r="H826" s="12" t="s">
        <v>19</v>
      </c>
      <c r="I826" s="11" t="s">
        <v>1970</v>
      </c>
      <c r="J826" s="11" t="s">
        <v>1139</v>
      </c>
      <c r="K826" s="13"/>
      <c r="L826" s="14" t="s">
        <v>1971</v>
      </c>
    </row>
    <row r="827">
      <c r="A827" s="15">
        <v>1279.0</v>
      </c>
      <c r="B827" s="16" t="s">
        <v>1972</v>
      </c>
      <c r="C827" s="17">
        <v>29.0</v>
      </c>
      <c r="D827" s="16" t="s">
        <v>100</v>
      </c>
      <c r="E827" s="16" t="s">
        <v>17</v>
      </c>
      <c r="F827" s="16" t="s">
        <v>478</v>
      </c>
      <c r="G827" s="16" t="s">
        <v>1305</v>
      </c>
      <c r="H827" s="17" t="s">
        <v>19</v>
      </c>
      <c r="I827" s="16" t="s">
        <v>1973</v>
      </c>
      <c r="J827" s="16" t="s">
        <v>1139</v>
      </c>
      <c r="K827" s="18"/>
      <c r="L827" s="19" t="s">
        <v>1974</v>
      </c>
    </row>
    <row r="828">
      <c r="A828" s="10">
        <v>1496.0</v>
      </c>
      <c r="B828" s="11" t="s">
        <v>1975</v>
      </c>
      <c r="C828" s="12">
        <v>20.0</v>
      </c>
      <c r="D828" s="11" t="s">
        <v>759</v>
      </c>
      <c r="E828" s="11" t="s">
        <v>17</v>
      </c>
      <c r="F828" s="11" t="s">
        <v>478</v>
      </c>
      <c r="G828" s="11" t="s">
        <v>479</v>
      </c>
      <c r="H828" s="12" t="s">
        <v>19</v>
      </c>
      <c r="I828" s="11" t="s">
        <v>1813</v>
      </c>
      <c r="J828" s="11" t="s">
        <v>1139</v>
      </c>
      <c r="K828" s="13"/>
      <c r="L828" s="14" t="s">
        <v>1976</v>
      </c>
    </row>
    <row r="829">
      <c r="A829" s="15">
        <v>242.0</v>
      </c>
      <c r="B829" s="16" t="s">
        <v>1977</v>
      </c>
      <c r="C829" s="17">
        <v>21.0</v>
      </c>
      <c r="D829" s="16" t="s">
        <v>1978</v>
      </c>
      <c r="E829" s="16" t="s">
        <v>17</v>
      </c>
      <c r="F829" s="16" t="s">
        <v>478</v>
      </c>
      <c r="G829" s="16" t="s">
        <v>479</v>
      </c>
      <c r="H829" s="17" t="s">
        <v>19</v>
      </c>
      <c r="I829" s="16" t="s">
        <v>1787</v>
      </c>
      <c r="J829" s="16" t="s">
        <v>1139</v>
      </c>
      <c r="K829" s="18"/>
      <c r="L829" s="19" t="s">
        <v>1979</v>
      </c>
    </row>
    <row r="830">
      <c r="A830" s="10">
        <v>1585.0</v>
      </c>
      <c r="B830" s="11" t="s">
        <v>1980</v>
      </c>
      <c r="C830" s="12">
        <v>19.0</v>
      </c>
      <c r="D830" s="11" t="s">
        <v>299</v>
      </c>
      <c r="E830" s="11" t="s">
        <v>17</v>
      </c>
      <c r="F830" s="11" t="s">
        <v>478</v>
      </c>
      <c r="G830" s="11" t="s">
        <v>689</v>
      </c>
      <c r="H830" s="12" t="s">
        <v>19</v>
      </c>
      <c r="I830" s="11" t="s">
        <v>1776</v>
      </c>
      <c r="J830" s="11" t="s">
        <v>1139</v>
      </c>
      <c r="K830" s="13"/>
      <c r="L830" s="14" t="s">
        <v>1981</v>
      </c>
    </row>
    <row r="831">
      <c r="A831" s="15">
        <v>254.0</v>
      </c>
      <c r="B831" s="16" t="s">
        <v>1982</v>
      </c>
      <c r="C831" s="17">
        <v>20.0</v>
      </c>
      <c r="D831" s="16" t="s">
        <v>331</v>
      </c>
      <c r="E831" s="16" t="s">
        <v>17</v>
      </c>
      <c r="F831" s="16" t="s">
        <v>478</v>
      </c>
      <c r="G831" s="16" t="s">
        <v>479</v>
      </c>
      <c r="H831" s="17" t="s">
        <v>19</v>
      </c>
      <c r="I831" s="16" t="s">
        <v>1772</v>
      </c>
      <c r="J831" s="16" t="s">
        <v>1139</v>
      </c>
      <c r="K831" s="18"/>
      <c r="L831" s="19" t="s">
        <v>1983</v>
      </c>
    </row>
    <row r="832">
      <c r="A832" s="10">
        <v>1725.0</v>
      </c>
      <c r="B832" s="11" t="s">
        <v>1984</v>
      </c>
      <c r="C832" s="12">
        <v>22.0</v>
      </c>
      <c r="D832" s="11" t="s">
        <v>299</v>
      </c>
      <c r="E832" s="11" t="s">
        <v>17</v>
      </c>
      <c r="F832" s="11" t="s">
        <v>478</v>
      </c>
      <c r="G832" s="11" t="s">
        <v>479</v>
      </c>
      <c r="H832" s="12" t="s">
        <v>19</v>
      </c>
      <c r="I832" s="11" t="s">
        <v>1772</v>
      </c>
      <c r="J832" s="11" t="s">
        <v>1139</v>
      </c>
      <c r="K832" s="13"/>
      <c r="L832" s="14" t="s">
        <v>1985</v>
      </c>
    </row>
    <row r="833">
      <c r="A833" s="15">
        <v>213.0</v>
      </c>
      <c r="B833" s="16" t="s">
        <v>1986</v>
      </c>
      <c r="C833" s="17">
        <v>19.0</v>
      </c>
      <c r="D833" s="16" t="s">
        <v>1987</v>
      </c>
      <c r="E833" s="16" t="s">
        <v>17</v>
      </c>
      <c r="F833" s="16" t="s">
        <v>478</v>
      </c>
      <c r="G833" s="16" t="s">
        <v>689</v>
      </c>
      <c r="H833" s="17" t="s">
        <v>19</v>
      </c>
      <c r="I833" s="16" t="s">
        <v>191</v>
      </c>
      <c r="J833" s="16" t="s">
        <v>1139</v>
      </c>
      <c r="K833" s="18"/>
      <c r="L833" s="19" t="s">
        <v>1988</v>
      </c>
    </row>
    <row r="834">
      <c r="A834" s="10">
        <v>483.0</v>
      </c>
      <c r="B834" s="11" t="s">
        <v>1989</v>
      </c>
      <c r="C834" s="12">
        <v>19.0</v>
      </c>
      <c r="D834" s="11" t="s">
        <v>438</v>
      </c>
      <c r="E834" s="11" t="s">
        <v>17</v>
      </c>
      <c r="F834" s="11" t="s">
        <v>478</v>
      </c>
      <c r="G834" s="11" t="s">
        <v>689</v>
      </c>
      <c r="H834" s="12" t="s">
        <v>19</v>
      </c>
      <c r="I834" s="11" t="s">
        <v>1990</v>
      </c>
      <c r="J834" s="11" t="s">
        <v>1139</v>
      </c>
      <c r="K834" s="13"/>
      <c r="L834" s="14" t="s">
        <v>1991</v>
      </c>
    </row>
    <row r="835">
      <c r="A835" s="15">
        <v>374.0</v>
      </c>
      <c r="B835" s="16" t="s">
        <v>1992</v>
      </c>
      <c r="C835" s="17">
        <v>20.0</v>
      </c>
      <c r="D835" s="16" t="s">
        <v>508</v>
      </c>
      <c r="E835" s="16" t="s">
        <v>17</v>
      </c>
      <c r="F835" s="16" t="s">
        <v>478</v>
      </c>
      <c r="G835" s="16" t="s">
        <v>479</v>
      </c>
      <c r="H835" s="17" t="s">
        <v>19</v>
      </c>
      <c r="I835" s="16" t="s">
        <v>1990</v>
      </c>
      <c r="J835" s="16" t="s">
        <v>1139</v>
      </c>
      <c r="K835" s="18"/>
      <c r="L835" s="19" t="s">
        <v>1993</v>
      </c>
    </row>
    <row r="836">
      <c r="A836" s="10">
        <v>1443.0</v>
      </c>
      <c r="B836" s="11" t="s">
        <v>1994</v>
      </c>
      <c r="C836" s="12">
        <v>21.0</v>
      </c>
      <c r="D836" s="11" t="s">
        <v>508</v>
      </c>
      <c r="E836" s="11" t="s">
        <v>17</v>
      </c>
      <c r="F836" s="11" t="s">
        <v>478</v>
      </c>
      <c r="G836" s="11" t="s">
        <v>479</v>
      </c>
      <c r="H836" s="12" t="s">
        <v>19</v>
      </c>
      <c r="I836" s="11" t="s">
        <v>191</v>
      </c>
      <c r="J836" s="11" t="s">
        <v>1139</v>
      </c>
      <c r="K836" s="13"/>
      <c r="L836" s="14" t="s">
        <v>1995</v>
      </c>
    </row>
    <row r="837">
      <c r="A837" s="15">
        <v>2011.0</v>
      </c>
      <c r="B837" s="16" t="s">
        <v>1996</v>
      </c>
      <c r="C837" s="17">
        <v>20.0</v>
      </c>
      <c r="D837" s="16" t="s">
        <v>89</v>
      </c>
      <c r="E837" s="16" t="s">
        <v>17</v>
      </c>
      <c r="F837" s="16" t="s">
        <v>478</v>
      </c>
      <c r="G837" s="16" t="s">
        <v>689</v>
      </c>
      <c r="H837" s="17" t="s">
        <v>19</v>
      </c>
      <c r="I837" s="16" t="s">
        <v>1990</v>
      </c>
      <c r="J837" s="16" t="s">
        <v>1139</v>
      </c>
      <c r="K837" s="18"/>
      <c r="L837" s="19" t="s">
        <v>1997</v>
      </c>
    </row>
    <row r="838">
      <c r="A838" s="10">
        <v>1294.0</v>
      </c>
      <c r="B838" s="11" t="s">
        <v>1998</v>
      </c>
      <c r="C838" s="12">
        <v>21.0</v>
      </c>
      <c r="D838" s="11" t="s">
        <v>299</v>
      </c>
      <c r="E838" s="11" t="s">
        <v>17</v>
      </c>
      <c r="F838" s="11" t="s">
        <v>478</v>
      </c>
      <c r="G838" s="11" t="s">
        <v>479</v>
      </c>
      <c r="H838" s="12" t="s">
        <v>19</v>
      </c>
      <c r="I838" s="11" t="s">
        <v>1772</v>
      </c>
      <c r="J838" s="11" t="s">
        <v>1139</v>
      </c>
      <c r="K838" s="13"/>
      <c r="L838" s="14" t="s">
        <v>1999</v>
      </c>
    </row>
    <row r="839">
      <c r="A839" s="15">
        <v>1712.0</v>
      </c>
      <c r="B839" s="16" t="s">
        <v>2000</v>
      </c>
      <c r="C839" s="17">
        <v>20.0</v>
      </c>
      <c r="D839" s="16" t="s">
        <v>2001</v>
      </c>
      <c r="E839" s="16" t="s">
        <v>17</v>
      </c>
      <c r="F839" s="16" t="s">
        <v>478</v>
      </c>
      <c r="G839" s="16" t="s">
        <v>689</v>
      </c>
      <c r="H839" s="17" t="s">
        <v>19</v>
      </c>
      <c r="I839" s="16" t="s">
        <v>1990</v>
      </c>
      <c r="J839" s="16" t="s">
        <v>1139</v>
      </c>
      <c r="K839" s="18"/>
      <c r="L839" s="19" t="s">
        <v>2002</v>
      </c>
    </row>
    <row r="840">
      <c r="A840" s="10">
        <v>392.0</v>
      </c>
      <c r="B840" s="11" t="s">
        <v>2003</v>
      </c>
      <c r="C840" s="12">
        <v>21.0</v>
      </c>
      <c r="D840" s="11" t="s">
        <v>284</v>
      </c>
      <c r="E840" s="11" t="s">
        <v>17</v>
      </c>
      <c r="F840" s="11" t="s">
        <v>478</v>
      </c>
      <c r="G840" s="11" t="s">
        <v>143</v>
      </c>
      <c r="H840" s="12" t="s">
        <v>19</v>
      </c>
      <c r="I840" s="11" t="s">
        <v>1990</v>
      </c>
      <c r="J840" s="11" t="s">
        <v>1139</v>
      </c>
      <c r="K840" s="13"/>
      <c r="L840" s="14" t="s">
        <v>2004</v>
      </c>
    </row>
    <row r="841">
      <c r="A841" s="15">
        <v>380.0</v>
      </c>
      <c r="B841" s="16" t="s">
        <v>2005</v>
      </c>
      <c r="C841" s="17">
        <v>19.0</v>
      </c>
      <c r="D841" s="16" t="s">
        <v>416</v>
      </c>
      <c r="E841" s="16" t="s">
        <v>17</v>
      </c>
      <c r="F841" s="16" t="s">
        <v>478</v>
      </c>
      <c r="G841" s="16" t="s">
        <v>689</v>
      </c>
      <c r="H841" s="17" t="s">
        <v>19</v>
      </c>
      <c r="I841" s="16" t="s">
        <v>1772</v>
      </c>
      <c r="J841" s="16" t="s">
        <v>1139</v>
      </c>
      <c r="K841" s="18"/>
      <c r="L841" s="19" t="s">
        <v>2006</v>
      </c>
    </row>
    <row r="842">
      <c r="A842" s="10">
        <v>397.0</v>
      </c>
      <c r="B842" s="11" t="s">
        <v>2007</v>
      </c>
      <c r="C842" s="12">
        <v>21.0</v>
      </c>
      <c r="D842" s="11" t="s">
        <v>527</v>
      </c>
      <c r="E842" s="11" t="s">
        <v>17</v>
      </c>
      <c r="F842" s="11" t="s">
        <v>478</v>
      </c>
      <c r="G842" s="11" t="s">
        <v>143</v>
      </c>
      <c r="H842" s="12" t="s">
        <v>19</v>
      </c>
      <c r="I842" s="11" t="s">
        <v>1990</v>
      </c>
      <c r="J842" s="11" t="s">
        <v>1139</v>
      </c>
      <c r="K842" s="13"/>
      <c r="L842" s="14" t="s">
        <v>2008</v>
      </c>
    </row>
    <row r="843">
      <c r="A843" s="15">
        <v>398.0</v>
      </c>
      <c r="B843" s="16" t="s">
        <v>2009</v>
      </c>
      <c r="C843" s="17">
        <v>24.0</v>
      </c>
      <c r="D843" s="16" t="s">
        <v>413</v>
      </c>
      <c r="E843" s="16" t="s">
        <v>17</v>
      </c>
      <c r="F843" s="16" t="s">
        <v>478</v>
      </c>
      <c r="G843" s="16" t="s">
        <v>1305</v>
      </c>
      <c r="H843" s="17" t="s">
        <v>19</v>
      </c>
      <c r="I843" s="16" t="s">
        <v>1772</v>
      </c>
      <c r="J843" s="16" t="s">
        <v>1139</v>
      </c>
      <c r="K843" s="18"/>
      <c r="L843" s="19" t="s">
        <v>2010</v>
      </c>
    </row>
    <row r="844">
      <c r="A844" s="10">
        <v>1733.0</v>
      </c>
      <c r="B844" s="11" t="s">
        <v>2011</v>
      </c>
      <c r="C844" s="12">
        <v>23.0</v>
      </c>
      <c r="D844" s="11" t="s">
        <v>1881</v>
      </c>
      <c r="E844" s="11" t="s">
        <v>17</v>
      </c>
      <c r="F844" s="11" t="s">
        <v>478</v>
      </c>
      <c r="G844" s="11" t="s">
        <v>689</v>
      </c>
      <c r="H844" s="12" t="s">
        <v>19</v>
      </c>
      <c r="I844" s="11" t="s">
        <v>1956</v>
      </c>
      <c r="J844" s="11" t="s">
        <v>1139</v>
      </c>
      <c r="K844" s="13"/>
      <c r="L844" s="14" t="s">
        <v>2012</v>
      </c>
    </row>
    <row r="845">
      <c r="A845" s="15">
        <v>1285.0</v>
      </c>
      <c r="B845" s="16" t="s">
        <v>2013</v>
      </c>
      <c r="C845" s="17">
        <v>20.0</v>
      </c>
      <c r="D845" s="16" t="s">
        <v>350</v>
      </c>
      <c r="E845" s="16" t="s">
        <v>17</v>
      </c>
      <c r="F845" s="16" t="s">
        <v>478</v>
      </c>
      <c r="G845" s="16" t="s">
        <v>479</v>
      </c>
      <c r="H845" s="17" t="s">
        <v>19</v>
      </c>
      <c r="I845" s="16" t="s">
        <v>2014</v>
      </c>
      <c r="J845" s="16" t="s">
        <v>1139</v>
      </c>
      <c r="K845" s="18"/>
      <c r="L845" s="19" t="s">
        <v>2015</v>
      </c>
    </row>
    <row r="846">
      <c r="A846" s="10">
        <v>2012.0</v>
      </c>
      <c r="B846" s="11" t="s">
        <v>2016</v>
      </c>
      <c r="C846" s="12">
        <v>22.0</v>
      </c>
      <c r="D846" s="11" t="s">
        <v>1579</v>
      </c>
      <c r="E846" s="11" t="s">
        <v>17</v>
      </c>
      <c r="F846" s="11" t="s">
        <v>478</v>
      </c>
      <c r="G846" s="11" t="s">
        <v>1012</v>
      </c>
      <c r="H846" s="12" t="s">
        <v>19</v>
      </c>
      <c r="I846" s="11" t="s">
        <v>1990</v>
      </c>
      <c r="J846" s="11" t="s">
        <v>1139</v>
      </c>
      <c r="K846" s="13"/>
      <c r="L846" s="14" t="s">
        <v>2017</v>
      </c>
    </row>
    <row r="847">
      <c r="A847" s="15">
        <v>1287.0</v>
      </c>
      <c r="B847" s="16" t="s">
        <v>2018</v>
      </c>
      <c r="C847" s="17">
        <v>21.0</v>
      </c>
      <c r="D847" s="16" t="s">
        <v>2019</v>
      </c>
      <c r="E847" s="16" t="s">
        <v>17</v>
      </c>
      <c r="F847" s="16" t="s">
        <v>478</v>
      </c>
      <c r="G847" s="16" t="s">
        <v>143</v>
      </c>
      <c r="H847" s="17" t="s">
        <v>19</v>
      </c>
      <c r="I847" s="16" t="s">
        <v>1990</v>
      </c>
      <c r="J847" s="16" t="s">
        <v>1139</v>
      </c>
      <c r="K847" s="18"/>
      <c r="L847" s="19" t="s">
        <v>2020</v>
      </c>
    </row>
    <row r="848">
      <c r="A848" s="10">
        <v>1732.0</v>
      </c>
      <c r="B848" s="11" t="s">
        <v>2021</v>
      </c>
      <c r="C848" s="12">
        <v>23.0</v>
      </c>
      <c r="D848" s="11" t="s">
        <v>2022</v>
      </c>
      <c r="E848" s="11" t="s">
        <v>17</v>
      </c>
      <c r="F848" s="11" t="s">
        <v>478</v>
      </c>
      <c r="G848" s="11" t="s">
        <v>1012</v>
      </c>
      <c r="H848" s="12" t="s">
        <v>19</v>
      </c>
      <c r="I848" s="11" t="s">
        <v>1956</v>
      </c>
      <c r="J848" s="11" t="s">
        <v>1139</v>
      </c>
      <c r="K848" s="13"/>
      <c r="L848" s="14" t="s">
        <v>2023</v>
      </c>
    </row>
    <row r="849">
      <c r="A849" s="15">
        <v>459.0</v>
      </c>
      <c r="B849" s="16" t="s">
        <v>2024</v>
      </c>
      <c r="C849" s="17">
        <v>19.0</v>
      </c>
      <c r="D849" s="16" t="s">
        <v>2025</v>
      </c>
      <c r="E849" s="16" t="s">
        <v>25</v>
      </c>
      <c r="F849" s="16" t="s">
        <v>478</v>
      </c>
      <c r="G849" s="16" t="s">
        <v>1186</v>
      </c>
      <c r="H849" s="17" t="s">
        <v>19</v>
      </c>
      <c r="I849" s="16" t="s">
        <v>2026</v>
      </c>
      <c r="J849" s="16" t="s">
        <v>1139</v>
      </c>
      <c r="K849" s="18"/>
      <c r="L849" s="19" t="s">
        <v>2027</v>
      </c>
    </row>
    <row r="850">
      <c r="A850" s="10">
        <v>473.0</v>
      </c>
      <c r="B850" s="11" t="s">
        <v>2028</v>
      </c>
      <c r="C850" s="12">
        <v>19.0</v>
      </c>
      <c r="D850" s="11" t="s">
        <v>527</v>
      </c>
      <c r="E850" s="11" t="s">
        <v>17</v>
      </c>
      <c r="F850" s="11" t="s">
        <v>478</v>
      </c>
      <c r="G850" s="11" t="s">
        <v>689</v>
      </c>
      <c r="H850" s="12" t="s">
        <v>19</v>
      </c>
      <c r="I850" s="11" t="s">
        <v>1813</v>
      </c>
      <c r="J850" s="11" t="s">
        <v>1139</v>
      </c>
      <c r="K850" s="13"/>
      <c r="L850" s="14" t="s">
        <v>2029</v>
      </c>
    </row>
    <row r="851">
      <c r="A851" s="15">
        <v>1544.0</v>
      </c>
      <c r="B851" s="16" t="s">
        <v>2030</v>
      </c>
      <c r="C851" s="17">
        <v>20.0</v>
      </c>
      <c r="D851" s="16" t="s">
        <v>2031</v>
      </c>
      <c r="E851" s="16" t="s">
        <v>25</v>
      </c>
      <c r="F851" s="16" t="s">
        <v>478</v>
      </c>
      <c r="G851" s="16" t="s">
        <v>1012</v>
      </c>
      <c r="H851" s="17" t="s">
        <v>19</v>
      </c>
      <c r="I851" s="16" t="s">
        <v>1779</v>
      </c>
      <c r="J851" s="16" t="s">
        <v>1139</v>
      </c>
      <c r="K851" s="18"/>
      <c r="L851" s="19" t="s">
        <v>2032</v>
      </c>
    </row>
    <row r="852">
      <c r="A852" s="10">
        <v>1497.0</v>
      </c>
      <c r="B852" s="11" t="s">
        <v>2033</v>
      </c>
      <c r="C852" s="12">
        <v>21.0</v>
      </c>
      <c r="D852" s="11" t="s">
        <v>438</v>
      </c>
      <c r="E852" s="11" t="s">
        <v>17</v>
      </c>
      <c r="F852" s="11" t="s">
        <v>478</v>
      </c>
      <c r="G852" s="11" t="s">
        <v>479</v>
      </c>
      <c r="H852" s="12" t="s">
        <v>19</v>
      </c>
      <c r="I852" s="11" t="s">
        <v>1793</v>
      </c>
      <c r="J852" s="11" t="s">
        <v>1139</v>
      </c>
      <c r="K852" s="13"/>
      <c r="L852" s="14" t="s">
        <v>2034</v>
      </c>
    </row>
    <row r="853">
      <c r="A853" s="15">
        <v>464.0</v>
      </c>
      <c r="B853" s="16" t="s">
        <v>2035</v>
      </c>
      <c r="C853" s="17">
        <v>20.0</v>
      </c>
      <c r="D853" s="16" t="s">
        <v>92</v>
      </c>
      <c r="E853" s="16" t="s">
        <v>25</v>
      </c>
      <c r="F853" s="16" t="s">
        <v>478</v>
      </c>
      <c r="G853" s="16" t="s">
        <v>479</v>
      </c>
      <c r="H853" s="17" t="s">
        <v>19</v>
      </c>
      <c r="I853" s="16" t="s">
        <v>2026</v>
      </c>
      <c r="J853" s="16" t="s">
        <v>1139</v>
      </c>
      <c r="K853" s="18"/>
      <c r="L853" s="19" t="s">
        <v>2036</v>
      </c>
    </row>
    <row r="854">
      <c r="A854" s="10">
        <v>1313.0</v>
      </c>
      <c r="B854" s="11" t="s">
        <v>2037</v>
      </c>
      <c r="C854" s="12">
        <v>19.0</v>
      </c>
      <c r="D854" s="11" t="s">
        <v>2038</v>
      </c>
      <c r="E854" s="11" t="s">
        <v>25</v>
      </c>
      <c r="F854" s="11" t="s">
        <v>478</v>
      </c>
      <c r="G854" s="11" t="s">
        <v>689</v>
      </c>
      <c r="H854" s="12" t="s">
        <v>19</v>
      </c>
      <c r="I854" s="11" t="s">
        <v>1779</v>
      </c>
      <c r="J854" s="11" t="s">
        <v>1139</v>
      </c>
      <c r="K854" s="13"/>
      <c r="L854" s="14" t="s">
        <v>2039</v>
      </c>
    </row>
    <row r="855">
      <c r="A855" s="15">
        <v>463.0</v>
      </c>
      <c r="B855" s="16" t="s">
        <v>2040</v>
      </c>
      <c r="C855" s="17">
        <v>19.0</v>
      </c>
      <c r="D855" s="16" t="s">
        <v>508</v>
      </c>
      <c r="E855" s="16" t="s">
        <v>25</v>
      </c>
      <c r="F855" s="16" t="s">
        <v>478</v>
      </c>
      <c r="G855" s="16" t="s">
        <v>689</v>
      </c>
      <c r="H855" s="17" t="s">
        <v>19</v>
      </c>
      <c r="I855" s="16" t="s">
        <v>2026</v>
      </c>
      <c r="J855" s="16" t="s">
        <v>1139</v>
      </c>
      <c r="K855" s="18"/>
      <c r="L855" s="19" t="s">
        <v>2041</v>
      </c>
    </row>
    <row r="856">
      <c r="A856" s="10">
        <v>217.0</v>
      </c>
      <c r="B856" s="11" t="s">
        <v>2042</v>
      </c>
      <c r="C856" s="12">
        <v>19.0</v>
      </c>
      <c r="D856" s="11" t="s">
        <v>89</v>
      </c>
      <c r="E856" s="11" t="s">
        <v>25</v>
      </c>
      <c r="F856" s="11" t="s">
        <v>478</v>
      </c>
      <c r="G856" s="11" t="s">
        <v>689</v>
      </c>
      <c r="H856" s="12" t="s">
        <v>19</v>
      </c>
      <c r="I856" s="11" t="s">
        <v>2043</v>
      </c>
      <c r="J856" s="11" t="s">
        <v>1139</v>
      </c>
      <c r="K856" s="13"/>
      <c r="L856" s="14" t="s">
        <v>2044</v>
      </c>
    </row>
    <row r="857">
      <c r="A857" s="15">
        <v>1378.0</v>
      </c>
      <c r="B857" s="16" t="s">
        <v>2045</v>
      </c>
      <c r="C857" s="17">
        <v>20.0</v>
      </c>
      <c r="D857" s="16" t="s">
        <v>983</v>
      </c>
      <c r="E857" s="16" t="s">
        <v>17</v>
      </c>
      <c r="F857" s="16" t="s">
        <v>478</v>
      </c>
      <c r="G857" s="16" t="s">
        <v>479</v>
      </c>
      <c r="H857" s="17" t="s">
        <v>19</v>
      </c>
      <c r="I857" s="16" t="s">
        <v>1813</v>
      </c>
      <c r="J857" s="16" t="s">
        <v>1139</v>
      </c>
      <c r="K857" s="18"/>
      <c r="L857" s="19" t="s">
        <v>2046</v>
      </c>
    </row>
    <row r="858">
      <c r="A858" s="10">
        <v>1495.0</v>
      </c>
      <c r="B858" s="11" t="s">
        <v>2047</v>
      </c>
      <c r="C858" s="12">
        <v>20.0</v>
      </c>
      <c r="D858" s="11" t="s">
        <v>284</v>
      </c>
      <c r="E858" s="11" t="s">
        <v>25</v>
      </c>
      <c r="F858" s="11" t="s">
        <v>478</v>
      </c>
      <c r="G858" s="11" t="s">
        <v>479</v>
      </c>
      <c r="H858" s="12" t="s">
        <v>19</v>
      </c>
      <c r="I858" s="11" t="s">
        <v>1779</v>
      </c>
      <c r="J858" s="11" t="s">
        <v>1139</v>
      </c>
      <c r="K858" s="13"/>
      <c r="L858" s="14" t="s">
        <v>2048</v>
      </c>
    </row>
    <row r="859">
      <c r="A859" s="15">
        <v>474.0</v>
      </c>
      <c r="B859" s="16" t="s">
        <v>2049</v>
      </c>
      <c r="C859" s="17">
        <v>19.0</v>
      </c>
      <c r="D859" s="16" t="s">
        <v>2050</v>
      </c>
      <c r="E859" s="16" t="s">
        <v>25</v>
      </c>
      <c r="F859" s="16" t="s">
        <v>478</v>
      </c>
      <c r="G859" s="16" t="s">
        <v>689</v>
      </c>
      <c r="H859" s="17" t="s">
        <v>19</v>
      </c>
      <c r="I859" s="16" t="s">
        <v>1874</v>
      </c>
      <c r="J859" s="16" t="s">
        <v>1139</v>
      </c>
      <c r="K859" s="18"/>
      <c r="L859" s="19" t="s">
        <v>2051</v>
      </c>
    </row>
    <row r="860">
      <c r="A860" s="10">
        <v>1605.0</v>
      </c>
      <c r="B860" s="11" t="s">
        <v>2052</v>
      </c>
      <c r="C860" s="12">
        <v>26.0</v>
      </c>
      <c r="D860" s="11" t="s">
        <v>1579</v>
      </c>
      <c r="E860" s="11" t="s">
        <v>17</v>
      </c>
      <c r="F860" s="11" t="s">
        <v>478</v>
      </c>
      <c r="G860" s="11" t="s">
        <v>1821</v>
      </c>
      <c r="H860" s="12" t="s">
        <v>19</v>
      </c>
      <c r="I860" s="11" t="s">
        <v>1779</v>
      </c>
      <c r="J860" s="11" t="s">
        <v>1139</v>
      </c>
      <c r="K860" s="13"/>
      <c r="L860" s="14" t="s">
        <v>2053</v>
      </c>
    </row>
    <row r="861">
      <c r="A861" s="15">
        <v>416.0</v>
      </c>
      <c r="B861" s="16" t="s">
        <v>2054</v>
      </c>
      <c r="C861" s="17">
        <v>25.0</v>
      </c>
      <c r="D861" s="16" t="s">
        <v>2055</v>
      </c>
      <c r="E861" s="16" t="s">
        <v>17</v>
      </c>
      <c r="F861" s="16" t="s">
        <v>478</v>
      </c>
      <c r="G861" s="16" t="s">
        <v>1305</v>
      </c>
      <c r="H861" s="17" t="s">
        <v>19</v>
      </c>
      <c r="I861" s="16" t="s">
        <v>1803</v>
      </c>
      <c r="J861" s="16" t="s">
        <v>1139</v>
      </c>
      <c r="K861" s="18"/>
      <c r="L861" s="19" t="s">
        <v>2056</v>
      </c>
    </row>
    <row r="862">
      <c r="A862" s="10">
        <v>1642.0</v>
      </c>
      <c r="B862" s="11" t="s">
        <v>2057</v>
      </c>
      <c r="C862" s="12">
        <v>19.0</v>
      </c>
      <c r="D862" s="11" t="s">
        <v>2058</v>
      </c>
      <c r="E862" s="11" t="s">
        <v>25</v>
      </c>
      <c r="F862" s="11" t="s">
        <v>478</v>
      </c>
      <c r="G862" s="11" t="s">
        <v>1186</v>
      </c>
      <c r="H862" s="12" t="s">
        <v>19</v>
      </c>
      <c r="I862" s="11" t="s">
        <v>1779</v>
      </c>
      <c r="J862" s="11" t="s">
        <v>1139</v>
      </c>
      <c r="K862" s="13"/>
      <c r="L862" s="14" t="s">
        <v>2059</v>
      </c>
    </row>
    <row r="863">
      <c r="A863" s="15">
        <v>1641.0</v>
      </c>
      <c r="B863" s="16" t="s">
        <v>2060</v>
      </c>
      <c r="C863" s="17">
        <v>19.0</v>
      </c>
      <c r="D863" s="16" t="s">
        <v>79</v>
      </c>
      <c r="E863" s="16" t="s">
        <v>25</v>
      </c>
      <c r="F863" s="16" t="s">
        <v>478</v>
      </c>
      <c r="G863" s="16" t="s">
        <v>689</v>
      </c>
      <c r="H863" s="17" t="s">
        <v>19</v>
      </c>
      <c r="I863" s="16" t="s">
        <v>2026</v>
      </c>
      <c r="J863" s="16" t="s">
        <v>1139</v>
      </c>
      <c r="K863" s="18"/>
      <c r="L863" s="19" t="s">
        <v>2061</v>
      </c>
    </row>
    <row r="864">
      <c r="A864" s="10">
        <v>1394.0</v>
      </c>
      <c r="B864" s="11" t="s">
        <v>2062</v>
      </c>
      <c r="C864" s="12">
        <v>20.0</v>
      </c>
      <c r="D864" s="11" t="s">
        <v>350</v>
      </c>
      <c r="E864" s="11" t="s">
        <v>25</v>
      </c>
      <c r="F864" s="11" t="s">
        <v>478</v>
      </c>
      <c r="G864" s="11" t="s">
        <v>479</v>
      </c>
      <c r="H864" s="12" t="s">
        <v>19</v>
      </c>
      <c r="I864" s="11" t="s">
        <v>1779</v>
      </c>
      <c r="J864" s="11" t="s">
        <v>1139</v>
      </c>
      <c r="K864" s="13"/>
      <c r="L864" s="14" t="s">
        <v>2063</v>
      </c>
    </row>
    <row r="865">
      <c r="A865" s="15">
        <v>1181.0</v>
      </c>
      <c r="B865" s="16" t="s">
        <v>2064</v>
      </c>
      <c r="C865" s="17">
        <v>19.0</v>
      </c>
      <c r="D865" s="16" t="s">
        <v>2065</v>
      </c>
      <c r="E865" s="16" t="s">
        <v>17</v>
      </c>
      <c r="F865" s="16" t="s">
        <v>478</v>
      </c>
      <c r="G865" s="16" t="s">
        <v>689</v>
      </c>
      <c r="H865" s="17" t="s">
        <v>19</v>
      </c>
      <c r="I865" s="16" t="s">
        <v>2066</v>
      </c>
      <c r="J865" s="16" t="s">
        <v>1139</v>
      </c>
      <c r="K865" s="18"/>
      <c r="L865" s="19" t="s">
        <v>2067</v>
      </c>
    </row>
    <row r="866">
      <c r="A866" s="10">
        <v>248.0</v>
      </c>
      <c r="B866" s="11" t="s">
        <v>2068</v>
      </c>
      <c r="C866" s="12">
        <v>23.0</v>
      </c>
      <c r="D866" s="11" t="s">
        <v>711</v>
      </c>
      <c r="E866" s="11" t="s">
        <v>17</v>
      </c>
      <c r="F866" s="11" t="s">
        <v>478</v>
      </c>
      <c r="G866" s="11" t="s">
        <v>1012</v>
      </c>
      <c r="H866" s="12" t="s">
        <v>19</v>
      </c>
      <c r="I866" s="11" t="s">
        <v>2069</v>
      </c>
      <c r="J866" s="11" t="s">
        <v>1139</v>
      </c>
      <c r="K866" s="13"/>
      <c r="L866" s="14" t="s">
        <v>2070</v>
      </c>
    </row>
    <row r="867">
      <c r="A867" s="15">
        <v>472.0</v>
      </c>
      <c r="B867" s="16" t="s">
        <v>2071</v>
      </c>
      <c r="C867" s="17">
        <v>18.0</v>
      </c>
      <c r="D867" s="16" t="s">
        <v>2072</v>
      </c>
      <c r="E867" s="16" t="s">
        <v>25</v>
      </c>
      <c r="F867" s="16" t="s">
        <v>478</v>
      </c>
      <c r="G867" s="16" t="s">
        <v>1186</v>
      </c>
      <c r="H867" s="17" t="s">
        <v>19</v>
      </c>
      <c r="I867" s="16" t="s">
        <v>2026</v>
      </c>
      <c r="J867" s="16" t="s">
        <v>1139</v>
      </c>
      <c r="K867" s="18"/>
      <c r="L867" s="19" t="s">
        <v>2073</v>
      </c>
    </row>
    <row r="868">
      <c r="A868" s="10">
        <v>476.0</v>
      </c>
      <c r="B868" s="11" t="s">
        <v>2074</v>
      </c>
      <c r="C868" s="12">
        <v>20.0</v>
      </c>
      <c r="D868" s="11" t="s">
        <v>350</v>
      </c>
      <c r="E868" s="11" t="s">
        <v>17</v>
      </c>
      <c r="F868" s="11" t="s">
        <v>478</v>
      </c>
      <c r="G868" s="11" t="s">
        <v>479</v>
      </c>
      <c r="H868" s="12" t="s">
        <v>19</v>
      </c>
      <c r="I868" s="11" t="s">
        <v>1782</v>
      </c>
      <c r="J868" s="11" t="s">
        <v>1139</v>
      </c>
      <c r="K868" s="13"/>
      <c r="L868" s="14" t="s">
        <v>2075</v>
      </c>
    </row>
    <row r="869">
      <c r="A869" s="15">
        <v>477.0</v>
      </c>
      <c r="B869" s="16" t="s">
        <v>2076</v>
      </c>
      <c r="C869" s="17">
        <v>21.0</v>
      </c>
      <c r="D869" s="16" t="s">
        <v>1089</v>
      </c>
      <c r="E869" s="16" t="s">
        <v>17</v>
      </c>
      <c r="F869" s="16" t="s">
        <v>478</v>
      </c>
      <c r="G869" s="16" t="s">
        <v>479</v>
      </c>
      <c r="H869" s="17" t="s">
        <v>19</v>
      </c>
      <c r="I869" s="16" t="s">
        <v>1782</v>
      </c>
      <c r="J869" s="16" t="s">
        <v>1139</v>
      </c>
      <c r="K869" s="18"/>
      <c r="L869" s="19" t="s">
        <v>2077</v>
      </c>
    </row>
    <row r="870">
      <c r="A870" s="10">
        <v>478.0</v>
      </c>
      <c r="B870" s="11" t="s">
        <v>2078</v>
      </c>
      <c r="C870" s="12">
        <v>20.0</v>
      </c>
      <c r="D870" s="11" t="s">
        <v>2079</v>
      </c>
      <c r="E870" s="11" t="s">
        <v>25</v>
      </c>
      <c r="F870" s="11" t="s">
        <v>478</v>
      </c>
      <c r="G870" s="11" t="s">
        <v>689</v>
      </c>
      <c r="H870" s="12" t="s">
        <v>19</v>
      </c>
      <c r="I870" s="11" t="s">
        <v>1779</v>
      </c>
      <c r="J870" s="11" t="s">
        <v>1139</v>
      </c>
      <c r="K870" s="13"/>
      <c r="L870" s="14" t="s">
        <v>2080</v>
      </c>
    </row>
    <row r="871">
      <c r="A871" s="15">
        <v>1518.0</v>
      </c>
      <c r="B871" s="16" t="s">
        <v>2081</v>
      </c>
      <c r="C871" s="17">
        <v>19.0</v>
      </c>
      <c r="D871" s="16" t="s">
        <v>570</v>
      </c>
      <c r="E871" s="16" t="s">
        <v>25</v>
      </c>
      <c r="F871" s="16" t="s">
        <v>478</v>
      </c>
      <c r="G871" s="16" t="s">
        <v>479</v>
      </c>
      <c r="H871" s="17" t="s">
        <v>19</v>
      </c>
      <c r="I871" s="16" t="s">
        <v>1779</v>
      </c>
      <c r="J871" s="16" t="s">
        <v>1139</v>
      </c>
      <c r="K871" s="18"/>
      <c r="L871" s="19" t="s">
        <v>2082</v>
      </c>
    </row>
    <row r="872">
      <c r="A872" s="10">
        <v>1543.0</v>
      </c>
      <c r="B872" s="11" t="s">
        <v>2083</v>
      </c>
      <c r="C872" s="12">
        <v>19.0</v>
      </c>
      <c r="D872" s="11" t="s">
        <v>408</v>
      </c>
      <c r="E872" s="11" t="s">
        <v>25</v>
      </c>
      <c r="F872" s="11" t="s">
        <v>478</v>
      </c>
      <c r="G872" s="11" t="s">
        <v>689</v>
      </c>
      <c r="H872" s="12" t="s">
        <v>19</v>
      </c>
      <c r="I872" s="11" t="s">
        <v>1779</v>
      </c>
      <c r="J872" s="11" t="s">
        <v>1139</v>
      </c>
      <c r="K872" s="13"/>
      <c r="L872" s="14" t="s">
        <v>2084</v>
      </c>
    </row>
    <row r="873">
      <c r="A873" s="15">
        <v>1475.0</v>
      </c>
      <c r="B873" s="16" t="s">
        <v>2085</v>
      </c>
      <c r="C873" s="17">
        <v>22.0</v>
      </c>
      <c r="D873" s="16" t="s">
        <v>284</v>
      </c>
      <c r="E873" s="16" t="s">
        <v>25</v>
      </c>
      <c r="F873" s="16" t="s">
        <v>478</v>
      </c>
      <c r="G873" s="16" t="s">
        <v>1012</v>
      </c>
      <c r="H873" s="17" t="s">
        <v>19</v>
      </c>
      <c r="I873" s="16" t="s">
        <v>2026</v>
      </c>
      <c r="J873" s="16" t="s">
        <v>1139</v>
      </c>
      <c r="K873" s="18"/>
      <c r="L873" s="19" t="s">
        <v>2086</v>
      </c>
    </row>
    <row r="874">
      <c r="A874" s="10">
        <v>486.0</v>
      </c>
      <c r="B874" s="11" t="s">
        <v>2087</v>
      </c>
      <c r="C874" s="12">
        <v>20.0</v>
      </c>
      <c r="D874" s="11" t="s">
        <v>92</v>
      </c>
      <c r="E874" s="11" t="s">
        <v>25</v>
      </c>
      <c r="F874" s="11" t="s">
        <v>478</v>
      </c>
      <c r="G874" s="11" t="s">
        <v>479</v>
      </c>
      <c r="H874" s="12" t="s">
        <v>19</v>
      </c>
      <c r="I874" s="11" t="s">
        <v>2026</v>
      </c>
      <c r="J874" s="11" t="s">
        <v>1139</v>
      </c>
      <c r="K874" s="13"/>
      <c r="L874" s="14" t="s">
        <v>2088</v>
      </c>
    </row>
    <row r="875">
      <c r="A875" s="15">
        <v>495.0</v>
      </c>
      <c r="B875" s="16" t="s">
        <v>2089</v>
      </c>
      <c r="C875" s="17">
        <v>20.0</v>
      </c>
      <c r="D875" s="16" t="s">
        <v>79</v>
      </c>
      <c r="E875" s="16" t="s">
        <v>17</v>
      </c>
      <c r="F875" s="16" t="s">
        <v>478</v>
      </c>
      <c r="G875" s="16" t="s">
        <v>479</v>
      </c>
      <c r="H875" s="17" t="s">
        <v>19</v>
      </c>
      <c r="I875" s="16" t="s">
        <v>1766</v>
      </c>
      <c r="J875" s="16" t="s">
        <v>1139</v>
      </c>
      <c r="K875" s="18"/>
      <c r="L875" s="19" t="s">
        <v>2090</v>
      </c>
    </row>
    <row r="876">
      <c r="A876" s="10">
        <v>461.0</v>
      </c>
      <c r="B876" s="11" t="s">
        <v>2091</v>
      </c>
      <c r="C876" s="12">
        <v>18.0</v>
      </c>
      <c r="D876" s="11" t="s">
        <v>274</v>
      </c>
      <c r="E876" s="11" t="s">
        <v>25</v>
      </c>
      <c r="F876" s="11" t="s">
        <v>478</v>
      </c>
      <c r="G876" s="11" t="s">
        <v>1186</v>
      </c>
      <c r="H876" s="12" t="s">
        <v>19</v>
      </c>
      <c r="I876" s="11" t="s">
        <v>2026</v>
      </c>
      <c r="J876" s="11" t="s">
        <v>1139</v>
      </c>
      <c r="K876" s="13"/>
      <c r="L876" s="14" t="s">
        <v>2092</v>
      </c>
    </row>
    <row r="877">
      <c r="A877" s="15">
        <v>414.0</v>
      </c>
      <c r="B877" s="16" t="s">
        <v>2093</v>
      </c>
      <c r="C877" s="17">
        <v>21.0</v>
      </c>
      <c r="D877" s="16" t="s">
        <v>2065</v>
      </c>
      <c r="E877" s="16" t="s">
        <v>17</v>
      </c>
      <c r="F877" s="16" t="s">
        <v>478</v>
      </c>
      <c r="G877" s="16" t="s">
        <v>479</v>
      </c>
      <c r="H877" s="17" t="s">
        <v>19</v>
      </c>
      <c r="I877" s="16" t="s">
        <v>1803</v>
      </c>
      <c r="J877" s="16" t="s">
        <v>1139</v>
      </c>
      <c r="K877" s="18"/>
      <c r="L877" s="19" t="s">
        <v>2094</v>
      </c>
    </row>
    <row r="878">
      <c r="A878" s="10">
        <v>420.0</v>
      </c>
      <c r="B878" s="11" t="s">
        <v>2095</v>
      </c>
      <c r="C878" s="12">
        <v>20.0</v>
      </c>
      <c r="D878" s="11" t="s">
        <v>470</v>
      </c>
      <c r="E878" s="11" t="s">
        <v>25</v>
      </c>
      <c r="F878" s="11" t="s">
        <v>478</v>
      </c>
      <c r="G878" s="11" t="s">
        <v>479</v>
      </c>
      <c r="H878" s="12" t="s">
        <v>19</v>
      </c>
      <c r="I878" s="11" t="s">
        <v>2043</v>
      </c>
      <c r="J878" s="11" t="s">
        <v>1139</v>
      </c>
      <c r="K878" s="13"/>
      <c r="L878" s="14" t="s">
        <v>2096</v>
      </c>
    </row>
    <row r="879">
      <c r="A879" s="15">
        <v>488.0</v>
      </c>
      <c r="B879" s="16" t="s">
        <v>2097</v>
      </c>
      <c r="C879" s="17">
        <v>20.0</v>
      </c>
      <c r="D879" s="16" t="s">
        <v>2098</v>
      </c>
      <c r="E879" s="16" t="s">
        <v>25</v>
      </c>
      <c r="F879" s="16" t="s">
        <v>478</v>
      </c>
      <c r="G879" s="16" t="s">
        <v>479</v>
      </c>
      <c r="H879" s="17" t="s">
        <v>19</v>
      </c>
      <c r="I879" s="16" t="s">
        <v>2026</v>
      </c>
      <c r="J879" s="16" t="s">
        <v>1139</v>
      </c>
      <c r="K879" s="18"/>
      <c r="L879" s="19" t="s">
        <v>2099</v>
      </c>
    </row>
    <row r="880">
      <c r="A880" s="10">
        <v>1139.0</v>
      </c>
      <c r="B880" s="11" t="s">
        <v>2100</v>
      </c>
      <c r="C880" s="12">
        <v>23.0</v>
      </c>
      <c r="D880" s="11" t="s">
        <v>299</v>
      </c>
      <c r="E880" s="11" t="s">
        <v>17</v>
      </c>
      <c r="F880" s="11" t="s">
        <v>1601</v>
      </c>
      <c r="G880" s="11" t="s">
        <v>1723</v>
      </c>
      <c r="H880" s="12" t="s">
        <v>19</v>
      </c>
      <c r="I880" s="11" t="s">
        <v>1477</v>
      </c>
      <c r="J880" s="11" t="s">
        <v>57</v>
      </c>
      <c r="K880" s="13"/>
      <c r="L880" s="14" t="s">
        <v>2101</v>
      </c>
    </row>
    <row r="881">
      <c r="A881" s="15">
        <v>1606.0</v>
      </c>
      <c r="B881" s="16" t="s">
        <v>2102</v>
      </c>
      <c r="C881" s="17">
        <v>20.0</v>
      </c>
      <c r="D881" s="16" t="s">
        <v>257</v>
      </c>
      <c r="E881" s="16" t="s">
        <v>17</v>
      </c>
      <c r="F881" s="16" t="s">
        <v>478</v>
      </c>
      <c r="G881" s="16" t="s">
        <v>479</v>
      </c>
      <c r="H881" s="17" t="s">
        <v>19</v>
      </c>
      <c r="I881" s="16" t="s">
        <v>1779</v>
      </c>
      <c r="J881" s="16" t="s">
        <v>1139</v>
      </c>
      <c r="K881" s="18"/>
      <c r="L881" s="19" t="s">
        <v>2103</v>
      </c>
    </row>
    <row r="882">
      <c r="A882" s="10">
        <v>494.0</v>
      </c>
      <c r="B882" s="11" t="s">
        <v>2104</v>
      </c>
      <c r="C882" s="12">
        <v>19.0</v>
      </c>
      <c r="D882" s="11" t="s">
        <v>284</v>
      </c>
      <c r="E882" s="11" t="s">
        <v>25</v>
      </c>
      <c r="F882" s="11" t="s">
        <v>478</v>
      </c>
      <c r="G882" s="11" t="s">
        <v>689</v>
      </c>
      <c r="H882" s="12" t="s">
        <v>19</v>
      </c>
      <c r="I882" s="11" t="s">
        <v>1779</v>
      </c>
      <c r="J882" s="11" t="s">
        <v>1139</v>
      </c>
      <c r="K882" s="13"/>
      <c r="L882" s="14" t="s">
        <v>2105</v>
      </c>
    </row>
    <row r="883">
      <c r="A883" s="15">
        <v>221.0</v>
      </c>
      <c r="B883" s="16" t="s">
        <v>2106</v>
      </c>
      <c r="C883" s="17">
        <v>20.0</v>
      </c>
      <c r="D883" s="16" t="s">
        <v>2107</v>
      </c>
      <c r="E883" s="16" t="s">
        <v>17</v>
      </c>
      <c r="F883" s="16" t="s">
        <v>478</v>
      </c>
      <c r="G883" s="16" t="s">
        <v>689</v>
      </c>
      <c r="H883" s="17" t="s">
        <v>19</v>
      </c>
      <c r="I883" s="16" t="s">
        <v>1787</v>
      </c>
      <c r="J883" s="16" t="s">
        <v>1139</v>
      </c>
      <c r="K883" s="18"/>
      <c r="L883" s="19" t="s">
        <v>2108</v>
      </c>
    </row>
    <row r="884">
      <c r="A884" s="10">
        <v>1715.0</v>
      </c>
      <c r="B884" s="11" t="s">
        <v>2109</v>
      </c>
      <c r="C884" s="12">
        <v>20.0</v>
      </c>
      <c r="D884" s="11" t="s">
        <v>284</v>
      </c>
      <c r="E884" s="11" t="s">
        <v>17</v>
      </c>
      <c r="F884" s="11" t="s">
        <v>478</v>
      </c>
      <c r="G884" s="11" t="s">
        <v>479</v>
      </c>
      <c r="H884" s="12" t="s">
        <v>19</v>
      </c>
      <c r="I884" s="11" t="s">
        <v>1787</v>
      </c>
      <c r="J884" s="11" t="s">
        <v>1139</v>
      </c>
      <c r="K884" s="13"/>
      <c r="L884" s="14" t="s">
        <v>2110</v>
      </c>
    </row>
    <row r="885">
      <c r="A885" s="15">
        <v>1180.0</v>
      </c>
      <c r="B885" s="16" t="s">
        <v>2111</v>
      </c>
      <c r="C885" s="17">
        <v>21.0</v>
      </c>
      <c r="D885" s="16" t="s">
        <v>135</v>
      </c>
      <c r="E885" s="16" t="s">
        <v>17</v>
      </c>
      <c r="F885" s="16" t="s">
        <v>478</v>
      </c>
      <c r="G885" s="16" t="s">
        <v>479</v>
      </c>
      <c r="H885" s="17" t="s">
        <v>19</v>
      </c>
      <c r="I885" s="16" t="s">
        <v>1787</v>
      </c>
      <c r="J885" s="16" t="s">
        <v>1139</v>
      </c>
      <c r="K885" s="18"/>
      <c r="L885" s="19" t="s">
        <v>2112</v>
      </c>
    </row>
    <row r="886">
      <c r="A886" s="10">
        <v>1659.0</v>
      </c>
      <c r="B886" s="11" t="s">
        <v>2113</v>
      </c>
      <c r="C886" s="12">
        <v>21.0</v>
      </c>
      <c r="D886" s="11" t="s">
        <v>2114</v>
      </c>
      <c r="E886" s="11" t="s">
        <v>17</v>
      </c>
      <c r="F886" s="11" t="s">
        <v>478</v>
      </c>
      <c r="G886" s="11" t="s">
        <v>479</v>
      </c>
      <c r="H886" s="12" t="s">
        <v>19</v>
      </c>
      <c r="I886" s="11" t="s">
        <v>1787</v>
      </c>
      <c r="J886" s="11" t="s">
        <v>1139</v>
      </c>
      <c r="K886" s="13"/>
      <c r="L886" s="14" t="s">
        <v>2115</v>
      </c>
    </row>
    <row r="887">
      <c r="A887" s="15">
        <v>1289.0</v>
      </c>
      <c r="B887" s="16" t="s">
        <v>2116</v>
      </c>
      <c r="C887" s="17">
        <v>20.0</v>
      </c>
      <c r="D887" s="16" t="s">
        <v>983</v>
      </c>
      <c r="E887" s="16" t="s">
        <v>17</v>
      </c>
      <c r="F887" s="16" t="s">
        <v>478</v>
      </c>
      <c r="G887" s="16" t="s">
        <v>689</v>
      </c>
      <c r="H887" s="17" t="s">
        <v>19</v>
      </c>
      <c r="I887" s="16" t="s">
        <v>1787</v>
      </c>
      <c r="J887" s="16" t="s">
        <v>1139</v>
      </c>
      <c r="K887" s="18"/>
      <c r="L887" s="19" t="s">
        <v>2117</v>
      </c>
    </row>
    <row r="888">
      <c r="A888" s="10">
        <v>1293.0</v>
      </c>
      <c r="B888" s="11" t="s">
        <v>2118</v>
      </c>
      <c r="C888" s="12">
        <v>23.0</v>
      </c>
      <c r="D888" s="11" t="s">
        <v>2119</v>
      </c>
      <c r="E888" s="11" t="s">
        <v>17</v>
      </c>
      <c r="F888" s="11" t="s">
        <v>478</v>
      </c>
      <c r="G888" s="11" t="s">
        <v>1012</v>
      </c>
      <c r="H888" s="12" t="s">
        <v>19</v>
      </c>
      <c r="I888" s="11" t="s">
        <v>1793</v>
      </c>
      <c r="J888" s="11" t="s">
        <v>1139</v>
      </c>
      <c r="K888" s="13"/>
      <c r="L888" s="14" t="s">
        <v>2120</v>
      </c>
    </row>
    <row r="889">
      <c r="A889" s="15">
        <v>422.0</v>
      </c>
      <c r="B889" s="16" t="s">
        <v>2121</v>
      </c>
      <c r="C889" s="17">
        <v>19.0</v>
      </c>
      <c r="D889" s="16" t="s">
        <v>874</v>
      </c>
      <c r="E889" s="16" t="s">
        <v>17</v>
      </c>
      <c r="F889" s="16" t="s">
        <v>478</v>
      </c>
      <c r="G889" s="16" t="s">
        <v>689</v>
      </c>
      <c r="H889" s="17" t="s">
        <v>19</v>
      </c>
      <c r="I889" s="16" t="s">
        <v>1793</v>
      </c>
      <c r="J889" s="16" t="s">
        <v>1139</v>
      </c>
      <c r="K889" s="18"/>
      <c r="L889" s="19" t="s">
        <v>2122</v>
      </c>
    </row>
    <row r="890">
      <c r="A890" s="10">
        <v>1191.0</v>
      </c>
      <c r="B890" s="11" t="s">
        <v>2123</v>
      </c>
      <c r="C890" s="12">
        <v>19.0</v>
      </c>
      <c r="D890" s="11" t="s">
        <v>89</v>
      </c>
      <c r="E890" s="11" t="s">
        <v>25</v>
      </c>
      <c r="F890" s="11" t="s">
        <v>1601</v>
      </c>
      <c r="G890" s="11" t="s">
        <v>2124</v>
      </c>
      <c r="H890" s="12" t="s">
        <v>19</v>
      </c>
      <c r="I890" s="11" t="s">
        <v>203</v>
      </c>
      <c r="J890" s="11" t="s">
        <v>57</v>
      </c>
      <c r="K890" s="13"/>
      <c r="L890" s="14" t="s">
        <v>2125</v>
      </c>
    </row>
    <row r="891">
      <c r="A891" s="15">
        <v>1192.0</v>
      </c>
      <c r="B891" s="16" t="s">
        <v>2126</v>
      </c>
      <c r="C891" s="17">
        <v>30.0</v>
      </c>
      <c r="D891" s="16" t="s">
        <v>203</v>
      </c>
      <c r="E891" s="16" t="s">
        <v>17</v>
      </c>
      <c r="F891" s="16" t="s">
        <v>478</v>
      </c>
      <c r="G891" s="16" t="s">
        <v>1305</v>
      </c>
      <c r="H891" s="17" t="s">
        <v>19</v>
      </c>
      <c r="I891" s="16" t="s">
        <v>203</v>
      </c>
      <c r="J891" s="16" t="s">
        <v>21</v>
      </c>
      <c r="K891" s="18"/>
      <c r="L891" s="19" t="s">
        <v>2127</v>
      </c>
    </row>
    <row r="892">
      <c r="A892" s="10">
        <v>1204.0</v>
      </c>
      <c r="B892" s="11" t="s">
        <v>2128</v>
      </c>
      <c r="C892" s="12">
        <v>56.0</v>
      </c>
      <c r="D892" s="11" t="s">
        <v>200</v>
      </c>
      <c r="E892" s="11" t="s">
        <v>17</v>
      </c>
      <c r="F892" s="11" t="s">
        <v>136</v>
      </c>
      <c r="G892" s="11" t="s">
        <v>1898</v>
      </c>
      <c r="H892" s="12" t="s">
        <v>19</v>
      </c>
      <c r="I892" s="11" t="s">
        <v>495</v>
      </c>
      <c r="J892" s="11" t="s">
        <v>21</v>
      </c>
      <c r="K892" s="13"/>
      <c r="L892" s="14" t="s">
        <v>2129</v>
      </c>
    </row>
    <row r="893">
      <c r="A893" s="15">
        <v>1206.0</v>
      </c>
      <c r="B893" s="16" t="s">
        <v>2130</v>
      </c>
      <c r="C893" s="17">
        <v>44.0</v>
      </c>
      <c r="D893" s="16" t="s">
        <v>200</v>
      </c>
      <c r="E893" s="16" t="s">
        <v>17</v>
      </c>
      <c r="F893" s="16" t="s">
        <v>136</v>
      </c>
      <c r="G893" s="16" t="s">
        <v>1898</v>
      </c>
      <c r="H893" s="17" t="s">
        <v>19</v>
      </c>
      <c r="I893" s="16" t="s">
        <v>495</v>
      </c>
      <c r="J893" s="16" t="s">
        <v>21</v>
      </c>
      <c r="K893" s="18"/>
      <c r="L893" s="19" t="s">
        <v>2131</v>
      </c>
    </row>
    <row r="894">
      <c r="A894" s="10">
        <v>1364.0</v>
      </c>
      <c r="B894" s="11" t="s">
        <v>2132</v>
      </c>
      <c r="C894" s="12">
        <v>38.0</v>
      </c>
      <c r="D894" s="11" t="s">
        <v>495</v>
      </c>
      <c r="E894" s="11" t="s">
        <v>17</v>
      </c>
      <c r="F894" s="11" t="s">
        <v>136</v>
      </c>
      <c r="G894" s="11" t="s">
        <v>1738</v>
      </c>
      <c r="H894" s="12" t="s">
        <v>19</v>
      </c>
      <c r="I894" s="11" t="s">
        <v>495</v>
      </c>
      <c r="J894" s="11" t="s">
        <v>21</v>
      </c>
      <c r="K894" s="13"/>
      <c r="L894" s="14" t="s">
        <v>2133</v>
      </c>
    </row>
    <row r="895">
      <c r="A895" s="15">
        <v>1366.0</v>
      </c>
      <c r="B895" s="16" t="s">
        <v>2134</v>
      </c>
      <c r="C895" s="17">
        <v>20.0</v>
      </c>
      <c r="D895" s="16" t="s">
        <v>200</v>
      </c>
      <c r="E895" s="16" t="s">
        <v>17</v>
      </c>
      <c r="F895" s="16" t="s">
        <v>478</v>
      </c>
      <c r="G895" s="16" t="s">
        <v>479</v>
      </c>
      <c r="H895" s="17" t="s">
        <v>19</v>
      </c>
      <c r="I895" s="16" t="s">
        <v>495</v>
      </c>
      <c r="J895" s="16" t="s">
        <v>1139</v>
      </c>
      <c r="K895" s="18"/>
      <c r="L895" s="19" t="s">
        <v>2135</v>
      </c>
    </row>
    <row r="896">
      <c r="A896" s="10">
        <v>505.0</v>
      </c>
      <c r="B896" s="11" t="s">
        <v>2136</v>
      </c>
      <c r="C896" s="12">
        <v>62.0</v>
      </c>
      <c r="D896" s="11" t="s">
        <v>117</v>
      </c>
      <c r="E896" s="11" t="s">
        <v>17</v>
      </c>
      <c r="F896" s="11" t="s">
        <v>136</v>
      </c>
      <c r="G896" s="11" t="s">
        <v>1012</v>
      </c>
      <c r="H896" s="12" t="s">
        <v>19</v>
      </c>
      <c r="I896" s="11" t="s">
        <v>117</v>
      </c>
      <c r="J896" s="11" t="s">
        <v>21</v>
      </c>
      <c r="K896" s="13"/>
      <c r="L896" s="14" t="s">
        <v>2137</v>
      </c>
    </row>
    <row r="897">
      <c r="A897" s="15">
        <v>1615.0</v>
      </c>
      <c r="B897" s="16" t="s">
        <v>2138</v>
      </c>
      <c r="C897" s="17">
        <v>34.0</v>
      </c>
      <c r="D897" s="16" t="s">
        <v>92</v>
      </c>
      <c r="E897" s="16" t="s">
        <v>17</v>
      </c>
      <c r="F897" s="16" t="s">
        <v>1809</v>
      </c>
      <c r="G897" s="16" t="s">
        <v>1738</v>
      </c>
      <c r="H897" s="17" t="s">
        <v>1346</v>
      </c>
      <c r="I897" s="16" t="s">
        <v>2139</v>
      </c>
      <c r="J897" s="16" t="s">
        <v>1139</v>
      </c>
      <c r="K897" s="18"/>
      <c r="L897" s="19" t="s">
        <v>2140</v>
      </c>
    </row>
    <row r="898">
      <c r="A898" s="10">
        <v>530.0</v>
      </c>
      <c r="B898" s="11" t="s">
        <v>2141</v>
      </c>
      <c r="C898" s="12">
        <v>53.0</v>
      </c>
      <c r="D898" s="11" t="s">
        <v>117</v>
      </c>
      <c r="E898" s="11" t="s">
        <v>17</v>
      </c>
      <c r="F898" s="11" t="s">
        <v>18</v>
      </c>
      <c r="G898" s="13"/>
      <c r="H898" s="12" t="s">
        <v>19</v>
      </c>
      <c r="I898" s="11" t="s">
        <v>117</v>
      </c>
      <c r="J898" s="11" t="s">
        <v>21</v>
      </c>
      <c r="K898" s="13"/>
      <c r="L898" s="14" t="s">
        <v>2142</v>
      </c>
    </row>
    <row r="899">
      <c r="A899" s="15">
        <v>529.0</v>
      </c>
      <c r="B899" s="16" t="s">
        <v>2143</v>
      </c>
      <c r="C899" s="17">
        <v>48.0</v>
      </c>
      <c r="D899" s="16" t="s">
        <v>117</v>
      </c>
      <c r="E899" s="16" t="s">
        <v>17</v>
      </c>
      <c r="F899" s="16" t="s">
        <v>136</v>
      </c>
      <c r="G899" s="16" t="s">
        <v>1138</v>
      </c>
      <c r="H899" s="17" t="s">
        <v>19</v>
      </c>
      <c r="I899" s="16" t="s">
        <v>117</v>
      </c>
      <c r="J899" s="16" t="s">
        <v>21</v>
      </c>
      <c r="K899" s="18"/>
      <c r="L899" s="19" t="s">
        <v>2144</v>
      </c>
    </row>
    <row r="900">
      <c r="A900" s="10">
        <v>513.0</v>
      </c>
      <c r="B900" s="11" t="s">
        <v>2145</v>
      </c>
      <c r="C900" s="12">
        <v>49.0</v>
      </c>
      <c r="D900" s="11" t="s">
        <v>117</v>
      </c>
      <c r="E900" s="11" t="s">
        <v>17</v>
      </c>
      <c r="F900" s="11" t="s">
        <v>136</v>
      </c>
      <c r="G900" s="11" t="s">
        <v>1305</v>
      </c>
      <c r="H900" s="12" t="s">
        <v>19</v>
      </c>
      <c r="I900" s="11" t="s">
        <v>117</v>
      </c>
      <c r="J900" s="11" t="s">
        <v>21</v>
      </c>
      <c r="K900" s="13"/>
      <c r="L900" s="14" t="s">
        <v>2146</v>
      </c>
    </row>
    <row r="901">
      <c r="A901" s="15">
        <v>514.0</v>
      </c>
      <c r="B901" s="16" t="s">
        <v>2147</v>
      </c>
      <c r="C901" s="17">
        <v>46.0</v>
      </c>
      <c r="D901" s="16" t="s">
        <v>117</v>
      </c>
      <c r="E901" s="16" t="s">
        <v>17</v>
      </c>
      <c r="F901" s="16" t="s">
        <v>136</v>
      </c>
      <c r="G901" s="16" t="s">
        <v>1738</v>
      </c>
      <c r="H901" s="17" t="s">
        <v>19</v>
      </c>
      <c r="I901" s="16" t="s">
        <v>117</v>
      </c>
      <c r="J901" s="16" t="s">
        <v>21</v>
      </c>
      <c r="K901" s="18"/>
      <c r="L901" s="19" t="s">
        <v>2148</v>
      </c>
    </row>
    <row r="902">
      <c r="A902" s="10">
        <v>1033.0</v>
      </c>
      <c r="B902" s="11" t="s">
        <v>2149</v>
      </c>
      <c r="C902" s="12">
        <v>41.0</v>
      </c>
      <c r="D902" s="11" t="s">
        <v>1790</v>
      </c>
      <c r="E902" s="11" t="s">
        <v>17</v>
      </c>
      <c r="F902" s="11" t="s">
        <v>136</v>
      </c>
      <c r="G902" s="11" t="s">
        <v>1898</v>
      </c>
      <c r="H902" s="12" t="s">
        <v>19</v>
      </c>
      <c r="I902" s="11" t="s">
        <v>1756</v>
      </c>
      <c r="J902" s="11" t="s">
        <v>21</v>
      </c>
      <c r="K902" s="13"/>
      <c r="L902" s="14" t="s">
        <v>2150</v>
      </c>
    </row>
    <row r="903">
      <c r="A903" s="15">
        <v>1035.0</v>
      </c>
      <c r="B903" s="16" t="s">
        <v>2151</v>
      </c>
      <c r="C903" s="17">
        <v>32.0</v>
      </c>
      <c r="D903" s="16" t="s">
        <v>1790</v>
      </c>
      <c r="E903" s="16" t="s">
        <v>17</v>
      </c>
      <c r="F903" s="16" t="s">
        <v>136</v>
      </c>
      <c r="G903" s="16" t="s">
        <v>1738</v>
      </c>
      <c r="H903" s="17" t="s">
        <v>19</v>
      </c>
      <c r="I903" s="16" t="s">
        <v>20</v>
      </c>
      <c r="J903" s="16" t="s">
        <v>21</v>
      </c>
      <c r="K903" s="18"/>
      <c r="L903" s="19" t="s">
        <v>2152</v>
      </c>
    </row>
    <row r="904">
      <c r="A904" s="10">
        <v>1034.0</v>
      </c>
      <c r="B904" s="11" t="s">
        <v>2153</v>
      </c>
      <c r="C904" s="12">
        <v>36.0</v>
      </c>
      <c r="D904" s="11" t="s">
        <v>1790</v>
      </c>
      <c r="E904" s="11" t="s">
        <v>17</v>
      </c>
      <c r="F904" s="11" t="s">
        <v>136</v>
      </c>
      <c r="G904" s="11" t="s">
        <v>1898</v>
      </c>
      <c r="H904" s="12" t="s">
        <v>19</v>
      </c>
      <c r="I904" s="11" t="s">
        <v>1756</v>
      </c>
      <c r="J904" s="11" t="s">
        <v>21</v>
      </c>
      <c r="K904" s="13"/>
      <c r="L904" s="14" t="s">
        <v>2154</v>
      </c>
    </row>
    <row r="905">
      <c r="A905" s="15">
        <v>220.0</v>
      </c>
      <c r="B905" s="16" t="s">
        <v>2155</v>
      </c>
      <c r="C905" s="17">
        <v>18.0</v>
      </c>
      <c r="D905" s="16" t="s">
        <v>2156</v>
      </c>
      <c r="E905" s="16" t="s">
        <v>25</v>
      </c>
      <c r="F905" s="16" t="s">
        <v>478</v>
      </c>
      <c r="G905" s="16" t="s">
        <v>1186</v>
      </c>
      <c r="H905" s="17" t="s">
        <v>19</v>
      </c>
      <c r="I905" s="16" t="s">
        <v>1874</v>
      </c>
      <c r="J905" s="16" t="s">
        <v>1139</v>
      </c>
      <c r="K905" s="18"/>
      <c r="L905" s="19" t="s">
        <v>2157</v>
      </c>
    </row>
    <row r="906">
      <c r="A906" s="10">
        <v>236.0</v>
      </c>
      <c r="B906" s="11" t="s">
        <v>2158</v>
      </c>
      <c r="C906" s="12">
        <v>19.0</v>
      </c>
      <c r="D906" s="11" t="s">
        <v>281</v>
      </c>
      <c r="E906" s="11" t="s">
        <v>25</v>
      </c>
      <c r="F906" s="11" t="s">
        <v>478</v>
      </c>
      <c r="G906" s="11" t="s">
        <v>1186</v>
      </c>
      <c r="H906" s="12" t="s">
        <v>19</v>
      </c>
      <c r="I906" s="11" t="s">
        <v>1874</v>
      </c>
      <c r="J906" s="11" t="s">
        <v>1139</v>
      </c>
      <c r="K906" s="13"/>
      <c r="L906" s="14" t="s">
        <v>2159</v>
      </c>
    </row>
    <row r="907">
      <c r="A907" s="15">
        <v>212.0</v>
      </c>
      <c r="B907" s="16" t="s">
        <v>2160</v>
      </c>
      <c r="C907" s="17">
        <v>19.0</v>
      </c>
      <c r="D907" s="16" t="s">
        <v>271</v>
      </c>
      <c r="E907" s="16" t="s">
        <v>17</v>
      </c>
      <c r="F907" s="16" t="s">
        <v>478</v>
      </c>
      <c r="G907" s="16" t="s">
        <v>689</v>
      </c>
      <c r="H907" s="17" t="s">
        <v>19</v>
      </c>
      <c r="I907" s="16" t="s">
        <v>1874</v>
      </c>
      <c r="J907" s="16" t="s">
        <v>1139</v>
      </c>
      <c r="K907" s="18"/>
      <c r="L907" s="19" t="s">
        <v>2161</v>
      </c>
    </row>
    <row r="908">
      <c r="A908" s="10">
        <v>1460.0</v>
      </c>
      <c r="B908" s="11" t="s">
        <v>2162</v>
      </c>
      <c r="C908" s="12">
        <v>23.0</v>
      </c>
      <c r="D908" s="11" t="s">
        <v>527</v>
      </c>
      <c r="E908" s="11" t="s">
        <v>25</v>
      </c>
      <c r="F908" s="11" t="s">
        <v>478</v>
      </c>
      <c r="G908" s="11" t="s">
        <v>1012</v>
      </c>
      <c r="H908" s="12" t="s">
        <v>19</v>
      </c>
      <c r="I908" s="11" t="s">
        <v>1874</v>
      </c>
      <c r="J908" s="11" t="s">
        <v>1139</v>
      </c>
      <c r="K908" s="13"/>
      <c r="L908" s="14" t="s">
        <v>2163</v>
      </c>
    </row>
    <row r="909">
      <c r="A909" s="15">
        <v>980.0</v>
      </c>
      <c r="B909" s="16" t="s">
        <v>2164</v>
      </c>
      <c r="C909" s="17">
        <v>36.0</v>
      </c>
      <c r="D909" s="16" t="s">
        <v>16</v>
      </c>
      <c r="E909" s="16" t="s">
        <v>17</v>
      </c>
      <c r="F909" s="16" t="s">
        <v>478</v>
      </c>
      <c r="G909" s="16" t="s">
        <v>1898</v>
      </c>
      <c r="H909" s="17" t="s">
        <v>19</v>
      </c>
      <c r="I909" s="16" t="s">
        <v>1874</v>
      </c>
      <c r="J909" s="16" t="s">
        <v>1139</v>
      </c>
      <c r="K909" s="18"/>
      <c r="L909" s="19" t="s">
        <v>2165</v>
      </c>
    </row>
    <row r="910">
      <c r="A910" s="10">
        <v>1291.0</v>
      </c>
      <c r="B910" s="11" t="s">
        <v>2166</v>
      </c>
      <c r="C910" s="12">
        <v>19.0</v>
      </c>
      <c r="D910" s="11" t="s">
        <v>438</v>
      </c>
      <c r="E910" s="11" t="s">
        <v>25</v>
      </c>
      <c r="F910" s="11" t="s">
        <v>478</v>
      </c>
      <c r="G910" s="11" t="s">
        <v>689</v>
      </c>
      <c r="H910" s="12" t="s">
        <v>19</v>
      </c>
      <c r="I910" s="11" t="s">
        <v>1874</v>
      </c>
      <c r="J910" s="11" t="s">
        <v>1139</v>
      </c>
      <c r="K910" s="13"/>
      <c r="L910" s="14" t="s">
        <v>2167</v>
      </c>
    </row>
    <row r="911">
      <c r="A911" s="15">
        <v>211.0</v>
      </c>
      <c r="B911" s="16" t="s">
        <v>2168</v>
      </c>
      <c r="C911" s="17">
        <v>20.0</v>
      </c>
      <c r="D911" s="16" t="s">
        <v>2169</v>
      </c>
      <c r="E911" s="16" t="s">
        <v>17</v>
      </c>
      <c r="F911" s="16" t="s">
        <v>478</v>
      </c>
      <c r="G911" s="16" t="s">
        <v>689</v>
      </c>
      <c r="H911" s="17" t="s">
        <v>19</v>
      </c>
      <c r="I911" s="16" t="s">
        <v>2170</v>
      </c>
      <c r="J911" s="16" t="s">
        <v>1139</v>
      </c>
      <c r="K911" s="18"/>
      <c r="L911" s="19" t="s">
        <v>2171</v>
      </c>
    </row>
    <row r="912">
      <c r="A912" s="10">
        <v>1262.0</v>
      </c>
      <c r="B912" s="11" t="s">
        <v>2172</v>
      </c>
      <c r="C912" s="12">
        <v>19.0</v>
      </c>
      <c r="D912" s="11" t="s">
        <v>2173</v>
      </c>
      <c r="E912" s="11" t="s">
        <v>25</v>
      </c>
      <c r="F912" s="11" t="s">
        <v>478</v>
      </c>
      <c r="G912" s="11" t="s">
        <v>479</v>
      </c>
      <c r="H912" s="12" t="s">
        <v>19</v>
      </c>
      <c r="I912" s="11" t="s">
        <v>2174</v>
      </c>
      <c r="J912" s="11" t="s">
        <v>1139</v>
      </c>
      <c r="K912" s="13"/>
      <c r="L912" s="14" t="s">
        <v>2175</v>
      </c>
    </row>
    <row r="913">
      <c r="A913" s="15">
        <v>1264.0</v>
      </c>
      <c r="B913" s="16" t="s">
        <v>2176</v>
      </c>
      <c r="C913" s="17">
        <v>19.0</v>
      </c>
      <c r="D913" s="16" t="s">
        <v>413</v>
      </c>
      <c r="E913" s="16" t="s">
        <v>25</v>
      </c>
      <c r="F913" s="16" t="s">
        <v>478</v>
      </c>
      <c r="G913" s="16" t="s">
        <v>1186</v>
      </c>
      <c r="H913" s="17" t="s">
        <v>19</v>
      </c>
      <c r="I913" s="16" t="s">
        <v>1940</v>
      </c>
      <c r="J913" s="16" t="s">
        <v>1139</v>
      </c>
      <c r="K913" s="18"/>
      <c r="L913" s="19" t="s">
        <v>2177</v>
      </c>
    </row>
    <row r="914">
      <c r="A914" s="10">
        <v>1263.0</v>
      </c>
      <c r="B914" s="11" t="s">
        <v>2178</v>
      </c>
      <c r="C914" s="12">
        <v>20.0</v>
      </c>
      <c r="D914" s="11" t="s">
        <v>2179</v>
      </c>
      <c r="E914" s="11" t="s">
        <v>25</v>
      </c>
      <c r="F914" s="11" t="s">
        <v>478</v>
      </c>
      <c r="G914" s="11" t="s">
        <v>1821</v>
      </c>
      <c r="H914" s="12" t="s">
        <v>19</v>
      </c>
      <c r="I914" s="11" t="s">
        <v>2174</v>
      </c>
      <c r="J914" s="11" t="s">
        <v>1139</v>
      </c>
      <c r="K914" s="13"/>
      <c r="L914" s="14" t="s">
        <v>2180</v>
      </c>
    </row>
    <row r="915">
      <c r="A915" s="15">
        <v>466.0</v>
      </c>
      <c r="B915" s="16" t="s">
        <v>2181</v>
      </c>
      <c r="C915" s="17">
        <v>19.0</v>
      </c>
      <c r="D915" s="16" t="s">
        <v>100</v>
      </c>
      <c r="E915" s="16" t="s">
        <v>17</v>
      </c>
      <c r="F915" s="16" t="s">
        <v>478</v>
      </c>
      <c r="G915" s="16" t="s">
        <v>689</v>
      </c>
      <c r="H915" s="17" t="s">
        <v>19</v>
      </c>
      <c r="I915" s="16" t="s">
        <v>1940</v>
      </c>
      <c r="J915" s="16" t="s">
        <v>1139</v>
      </c>
      <c r="K915" s="18"/>
      <c r="L915" s="19" t="s">
        <v>2182</v>
      </c>
    </row>
    <row r="916">
      <c r="A916" s="10">
        <v>229.0</v>
      </c>
      <c r="B916" s="11" t="s">
        <v>2183</v>
      </c>
      <c r="C916" s="12">
        <v>21.0</v>
      </c>
      <c r="D916" s="11" t="s">
        <v>759</v>
      </c>
      <c r="E916" s="11" t="s">
        <v>17</v>
      </c>
      <c r="F916" s="11" t="s">
        <v>478</v>
      </c>
      <c r="G916" s="11" t="s">
        <v>479</v>
      </c>
      <c r="H916" s="12" t="s">
        <v>19</v>
      </c>
      <c r="I916" s="11" t="s">
        <v>2170</v>
      </c>
      <c r="J916" s="11" t="s">
        <v>1139</v>
      </c>
      <c r="K916" s="13"/>
      <c r="L916" s="14" t="s">
        <v>2184</v>
      </c>
    </row>
    <row r="917">
      <c r="A917" s="15">
        <v>266.0</v>
      </c>
      <c r="B917" s="16" t="s">
        <v>2185</v>
      </c>
      <c r="C917" s="17">
        <v>20.0</v>
      </c>
      <c r="D917" s="16" t="s">
        <v>2186</v>
      </c>
      <c r="E917" s="16" t="s">
        <v>17</v>
      </c>
      <c r="F917" s="16" t="s">
        <v>478</v>
      </c>
      <c r="G917" s="16" t="s">
        <v>1821</v>
      </c>
      <c r="H917" s="17" t="s">
        <v>19</v>
      </c>
      <c r="I917" s="16" t="s">
        <v>1940</v>
      </c>
      <c r="J917" s="16" t="s">
        <v>1139</v>
      </c>
      <c r="K917" s="18"/>
      <c r="L917" s="19" t="s">
        <v>2187</v>
      </c>
    </row>
    <row r="918">
      <c r="A918" s="10">
        <v>139.0</v>
      </c>
      <c r="B918" s="11" t="s">
        <v>2188</v>
      </c>
      <c r="C918" s="12">
        <v>21.0</v>
      </c>
      <c r="D918" s="11" t="s">
        <v>299</v>
      </c>
      <c r="E918" s="11" t="s">
        <v>17</v>
      </c>
      <c r="F918" s="11" t="s">
        <v>478</v>
      </c>
      <c r="G918" s="11" t="s">
        <v>689</v>
      </c>
      <c r="H918" s="12" t="s">
        <v>19</v>
      </c>
      <c r="I918" s="11" t="s">
        <v>53</v>
      </c>
      <c r="J918" s="11" t="s">
        <v>1139</v>
      </c>
      <c r="K918" s="13"/>
      <c r="L918" s="14" t="s">
        <v>2189</v>
      </c>
    </row>
    <row r="919">
      <c r="A919" s="15">
        <v>509.0</v>
      </c>
      <c r="B919" s="16" t="s">
        <v>2190</v>
      </c>
      <c r="C919" s="17">
        <v>19.0</v>
      </c>
      <c r="D919" s="16" t="s">
        <v>331</v>
      </c>
      <c r="E919" s="16" t="s">
        <v>17</v>
      </c>
      <c r="F919" s="16" t="s">
        <v>478</v>
      </c>
      <c r="G919" s="16" t="s">
        <v>689</v>
      </c>
      <c r="H919" s="17" t="s">
        <v>19</v>
      </c>
      <c r="I919" s="16" t="s">
        <v>1937</v>
      </c>
      <c r="J919" s="16" t="s">
        <v>1139</v>
      </c>
      <c r="K919" s="18"/>
      <c r="L919" s="19" t="s">
        <v>2191</v>
      </c>
    </row>
    <row r="920">
      <c r="A920" s="10">
        <v>429.0</v>
      </c>
      <c r="B920" s="11" t="s">
        <v>2192</v>
      </c>
      <c r="C920" s="12">
        <v>19.0</v>
      </c>
      <c r="D920" s="11" t="s">
        <v>337</v>
      </c>
      <c r="E920" s="11" t="s">
        <v>17</v>
      </c>
      <c r="F920" s="11" t="s">
        <v>478</v>
      </c>
      <c r="G920" s="11" t="s">
        <v>689</v>
      </c>
      <c r="H920" s="12" t="s">
        <v>19</v>
      </c>
      <c r="I920" s="11" t="s">
        <v>2193</v>
      </c>
      <c r="J920" s="11" t="s">
        <v>1139</v>
      </c>
      <c r="K920" s="13"/>
      <c r="L920" s="14" t="s">
        <v>2194</v>
      </c>
    </row>
    <row r="921">
      <c r="A921" s="15">
        <v>237.0</v>
      </c>
      <c r="B921" s="16" t="s">
        <v>2195</v>
      </c>
      <c r="C921" s="17">
        <v>21.0</v>
      </c>
      <c r="D921" s="16" t="s">
        <v>2196</v>
      </c>
      <c r="E921" s="16" t="s">
        <v>17</v>
      </c>
      <c r="F921" s="16" t="s">
        <v>478</v>
      </c>
      <c r="G921" s="16" t="s">
        <v>689</v>
      </c>
      <c r="H921" s="17" t="s">
        <v>19</v>
      </c>
      <c r="I921" s="16" t="s">
        <v>86</v>
      </c>
      <c r="J921" s="16" t="s">
        <v>1139</v>
      </c>
      <c r="K921" s="18"/>
      <c r="L921" s="19" t="s">
        <v>2197</v>
      </c>
    </row>
    <row r="922">
      <c r="A922" s="10">
        <v>1266.0</v>
      </c>
      <c r="B922" s="11" t="s">
        <v>2198</v>
      </c>
      <c r="C922" s="12">
        <v>23.0</v>
      </c>
      <c r="D922" s="11" t="s">
        <v>307</v>
      </c>
      <c r="E922" s="11" t="s">
        <v>17</v>
      </c>
      <c r="F922" s="11" t="s">
        <v>478</v>
      </c>
      <c r="G922" s="11" t="s">
        <v>1012</v>
      </c>
      <c r="H922" s="12" t="s">
        <v>19</v>
      </c>
      <c r="I922" s="11" t="s">
        <v>1937</v>
      </c>
      <c r="J922" s="11" t="s">
        <v>1139</v>
      </c>
      <c r="K922" s="13"/>
      <c r="L922" s="14" t="s">
        <v>2199</v>
      </c>
    </row>
    <row r="923">
      <c r="A923" s="15">
        <v>1268.0</v>
      </c>
      <c r="B923" s="16" t="s">
        <v>2200</v>
      </c>
      <c r="C923" s="17">
        <v>22.0</v>
      </c>
      <c r="D923" s="16" t="s">
        <v>89</v>
      </c>
      <c r="E923" s="16" t="s">
        <v>25</v>
      </c>
      <c r="F923" s="16" t="s">
        <v>478</v>
      </c>
      <c r="G923" s="16" t="s">
        <v>1012</v>
      </c>
      <c r="H923" s="17" t="s">
        <v>19</v>
      </c>
      <c r="I923" s="16" t="s">
        <v>2174</v>
      </c>
      <c r="J923" s="16" t="s">
        <v>1139</v>
      </c>
      <c r="K923" s="18"/>
      <c r="L923" s="19" t="s">
        <v>2201</v>
      </c>
    </row>
    <row r="924">
      <c r="A924" s="10">
        <v>1267.0</v>
      </c>
      <c r="B924" s="11" t="s">
        <v>2202</v>
      </c>
      <c r="C924" s="12">
        <v>19.0</v>
      </c>
      <c r="D924" s="11" t="s">
        <v>274</v>
      </c>
      <c r="E924" s="11" t="s">
        <v>17</v>
      </c>
      <c r="F924" s="11" t="s">
        <v>478</v>
      </c>
      <c r="G924" s="11" t="s">
        <v>1821</v>
      </c>
      <c r="H924" s="12" t="s">
        <v>19</v>
      </c>
      <c r="I924" s="11" t="s">
        <v>1940</v>
      </c>
      <c r="J924" s="11" t="s">
        <v>1139</v>
      </c>
      <c r="K924" s="13"/>
      <c r="L924" s="14" t="s">
        <v>2203</v>
      </c>
    </row>
    <row r="925">
      <c r="A925" s="15">
        <v>1269.0</v>
      </c>
      <c r="B925" s="16" t="s">
        <v>2204</v>
      </c>
      <c r="C925" s="17">
        <v>21.0</v>
      </c>
      <c r="D925" s="16" t="s">
        <v>2205</v>
      </c>
      <c r="E925" s="16" t="s">
        <v>17</v>
      </c>
      <c r="F925" s="16" t="s">
        <v>478</v>
      </c>
      <c r="G925" s="16" t="s">
        <v>479</v>
      </c>
      <c r="H925" s="17" t="s">
        <v>19</v>
      </c>
      <c r="I925" s="16" t="s">
        <v>1940</v>
      </c>
      <c r="J925" s="16" t="s">
        <v>1139</v>
      </c>
      <c r="K925" s="18"/>
      <c r="L925" s="19" t="s">
        <v>2206</v>
      </c>
    </row>
    <row r="926">
      <c r="A926" s="10">
        <v>210.0</v>
      </c>
      <c r="B926" s="11" t="s">
        <v>2207</v>
      </c>
      <c r="C926" s="12">
        <v>18.0</v>
      </c>
      <c r="D926" s="11" t="s">
        <v>2065</v>
      </c>
      <c r="E926" s="11" t="s">
        <v>17</v>
      </c>
      <c r="F926" s="11" t="s">
        <v>478</v>
      </c>
      <c r="G926" s="11" t="s">
        <v>1186</v>
      </c>
      <c r="H926" s="12" t="s">
        <v>19</v>
      </c>
      <c r="I926" s="11" t="s">
        <v>2174</v>
      </c>
      <c r="J926" s="11" t="s">
        <v>1139</v>
      </c>
      <c r="K926" s="13"/>
      <c r="L926" s="14" t="s">
        <v>2208</v>
      </c>
    </row>
    <row r="927">
      <c r="A927" s="15">
        <v>209.0</v>
      </c>
      <c r="B927" s="16" t="s">
        <v>2209</v>
      </c>
      <c r="C927" s="17">
        <v>23.0</v>
      </c>
      <c r="D927" s="16" t="s">
        <v>284</v>
      </c>
      <c r="E927" s="16" t="s">
        <v>17</v>
      </c>
      <c r="F927" s="16" t="s">
        <v>478</v>
      </c>
      <c r="G927" s="16" t="s">
        <v>1305</v>
      </c>
      <c r="H927" s="17" t="s">
        <v>19</v>
      </c>
      <c r="I927" s="16" t="s">
        <v>2174</v>
      </c>
      <c r="J927" s="16" t="s">
        <v>1139</v>
      </c>
      <c r="K927" s="18"/>
      <c r="L927" s="19" t="s">
        <v>2210</v>
      </c>
    </row>
    <row r="928">
      <c r="A928" s="10">
        <v>1270.0</v>
      </c>
      <c r="B928" s="11" t="s">
        <v>2211</v>
      </c>
      <c r="C928" s="12">
        <v>20.0</v>
      </c>
      <c r="D928" s="11" t="s">
        <v>2058</v>
      </c>
      <c r="E928" s="11" t="s">
        <v>17</v>
      </c>
      <c r="F928" s="11" t="s">
        <v>478</v>
      </c>
      <c r="G928" s="11" t="s">
        <v>479</v>
      </c>
      <c r="H928" s="12" t="s">
        <v>19</v>
      </c>
      <c r="I928" s="11" t="s">
        <v>2174</v>
      </c>
      <c r="J928" s="11" t="s">
        <v>1139</v>
      </c>
      <c r="K928" s="13"/>
      <c r="L928" s="14" t="s">
        <v>2212</v>
      </c>
    </row>
    <row r="929">
      <c r="A929" s="15">
        <v>255.0</v>
      </c>
      <c r="B929" s="16" t="s">
        <v>2213</v>
      </c>
      <c r="C929" s="17">
        <v>19.0</v>
      </c>
      <c r="D929" s="16" t="s">
        <v>364</v>
      </c>
      <c r="E929" s="16" t="s">
        <v>17</v>
      </c>
      <c r="F929" s="16" t="s">
        <v>478</v>
      </c>
      <c r="G929" s="16" t="s">
        <v>689</v>
      </c>
      <c r="H929" s="17" t="s">
        <v>19</v>
      </c>
      <c r="I929" s="16" t="s">
        <v>1937</v>
      </c>
      <c r="J929" s="16" t="s">
        <v>1139</v>
      </c>
      <c r="K929" s="18"/>
      <c r="L929" s="19" t="s">
        <v>2214</v>
      </c>
    </row>
    <row r="930">
      <c r="A930" s="10">
        <v>1265.0</v>
      </c>
      <c r="B930" s="11" t="s">
        <v>2215</v>
      </c>
      <c r="C930" s="12">
        <v>20.0</v>
      </c>
      <c r="D930" s="11" t="s">
        <v>2216</v>
      </c>
      <c r="E930" s="11" t="s">
        <v>17</v>
      </c>
      <c r="F930" s="11" t="s">
        <v>478</v>
      </c>
      <c r="G930" s="11" t="s">
        <v>1821</v>
      </c>
      <c r="H930" s="12" t="s">
        <v>19</v>
      </c>
      <c r="I930" s="11" t="s">
        <v>2174</v>
      </c>
      <c r="J930" s="11" t="s">
        <v>1139</v>
      </c>
      <c r="K930" s="13"/>
      <c r="L930" s="14" t="s">
        <v>2217</v>
      </c>
    </row>
    <row r="931">
      <c r="A931" s="15">
        <v>258.0</v>
      </c>
      <c r="B931" s="16" t="s">
        <v>2218</v>
      </c>
      <c r="C931" s="17">
        <v>21.0</v>
      </c>
      <c r="D931" s="16" t="s">
        <v>2219</v>
      </c>
      <c r="E931" s="16" t="s">
        <v>17</v>
      </c>
      <c r="F931" s="16" t="s">
        <v>478</v>
      </c>
      <c r="G931" s="16" t="s">
        <v>479</v>
      </c>
      <c r="H931" s="17" t="s">
        <v>19</v>
      </c>
      <c r="I931" s="16" t="s">
        <v>1940</v>
      </c>
      <c r="J931" s="16" t="s">
        <v>1139</v>
      </c>
      <c r="K931" s="18"/>
      <c r="L931" s="19" t="s">
        <v>2220</v>
      </c>
    </row>
    <row r="932">
      <c r="A932" s="10">
        <v>232.0</v>
      </c>
      <c r="B932" s="11" t="s">
        <v>2221</v>
      </c>
      <c r="C932" s="12">
        <v>21.0</v>
      </c>
      <c r="D932" s="11" t="s">
        <v>2222</v>
      </c>
      <c r="E932" s="11" t="s">
        <v>17</v>
      </c>
      <c r="F932" s="11" t="s">
        <v>478</v>
      </c>
      <c r="G932" s="11" t="s">
        <v>479</v>
      </c>
      <c r="H932" s="12" t="s">
        <v>19</v>
      </c>
      <c r="I932" s="11" t="s">
        <v>1940</v>
      </c>
      <c r="J932" s="11" t="s">
        <v>1139</v>
      </c>
      <c r="K932" s="13"/>
      <c r="L932" s="14" t="s">
        <v>2223</v>
      </c>
    </row>
    <row r="933">
      <c r="A933" s="15">
        <v>1281.0</v>
      </c>
      <c r="B933" s="16" t="s">
        <v>2224</v>
      </c>
      <c r="C933" s="17">
        <v>41.0</v>
      </c>
      <c r="D933" s="16" t="s">
        <v>1618</v>
      </c>
      <c r="E933" s="16" t="s">
        <v>17</v>
      </c>
      <c r="F933" s="16" t="s">
        <v>478</v>
      </c>
      <c r="G933" s="16" t="s">
        <v>1898</v>
      </c>
      <c r="H933" s="17" t="s">
        <v>19</v>
      </c>
      <c r="I933" s="16" t="s">
        <v>1970</v>
      </c>
      <c r="J933" s="16" t="s">
        <v>1139</v>
      </c>
      <c r="K933" s="18"/>
      <c r="L933" s="19" t="s">
        <v>2225</v>
      </c>
    </row>
    <row r="934">
      <c r="A934" s="10">
        <v>1586.0</v>
      </c>
      <c r="B934" s="11" t="s">
        <v>2226</v>
      </c>
      <c r="C934" s="12">
        <v>27.0</v>
      </c>
      <c r="D934" s="11" t="s">
        <v>1258</v>
      </c>
      <c r="E934" s="11" t="s">
        <v>17</v>
      </c>
      <c r="F934" s="11" t="s">
        <v>1601</v>
      </c>
      <c r="G934" s="11" t="s">
        <v>1898</v>
      </c>
      <c r="H934" s="12" t="s">
        <v>19</v>
      </c>
      <c r="I934" s="11" t="s">
        <v>1031</v>
      </c>
      <c r="J934" s="11" t="s">
        <v>57</v>
      </c>
      <c r="K934" s="13"/>
      <c r="L934" s="14" t="s">
        <v>2227</v>
      </c>
    </row>
    <row r="935">
      <c r="A935" s="15">
        <v>973.0</v>
      </c>
      <c r="B935" s="16" t="s">
        <v>2228</v>
      </c>
      <c r="C935" s="17">
        <v>40.0</v>
      </c>
      <c r="D935" s="16" t="s">
        <v>16</v>
      </c>
      <c r="E935" s="16" t="s">
        <v>25</v>
      </c>
      <c r="F935" s="16" t="s">
        <v>2229</v>
      </c>
      <c r="G935" s="16" t="s">
        <v>1898</v>
      </c>
      <c r="H935" s="17" t="s">
        <v>19</v>
      </c>
      <c r="I935" s="16" t="s">
        <v>341</v>
      </c>
      <c r="J935" s="16" t="s">
        <v>57</v>
      </c>
      <c r="K935" s="16" t="s">
        <v>53</v>
      </c>
      <c r="L935" s="19" t="s">
        <v>2230</v>
      </c>
    </row>
    <row r="936">
      <c r="A936" s="10">
        <v>1658.0</v>
      </c>
      <c r="B936" s="11" t="s">
        <v>2231</v>
      </c>
      <c r="C936" s="12">
        <v>33.0</v>
      </c>
      <c r="D936" s="11" t="s">
        <v>281</v>
      </c>
      <c r="E936" s="11" t="s">
        <v>17</v>
      </c>
      <c r="F936" s="11" t="s">
        <v>1601</v>
      </c>
      <c r="G936" s="11" t="s">
        <v>1138</v>
      </c>
      <c r="H936" s="12" t="s">
        <v>19</v>
      </c>
      <c r="I936" s="11" t="s">
        <v>1031</v>
      </c>
      <c r="J936" s="11" t="s">
        <v>57</v>
      </c>
      <c r="K936" s="13"/>
      <c r="L936" s="14" t="s">
        <v>2232</v>
      </c>
    </row>
    <row r="937">
      <c r="A937" s="15">
        <v>1355.0</v>
      </c>
      <c r="B937" s="16" t="s">
        <v>2233</v>
      </c>
      <c r="C937" s="17">
        <v>19.0</v>
      </c>
      <c r="D937" s="16" t="s">
        <v>705</v>
      </c>
      <c r="E937" s="16" t="s">
        <v>25</v>
      </c>
      <c r="F937" s="16" t="s">
        <v>478</v>
      </c>
      <c r="G937" s="16" t="s">
        <v>689</v>
      </c>
      <c r="H937" s="17" t="s">
        <v>19</v>
      </c>
      <c r="I937" s="16" t="s">
        <v>1779</v>
      </c>
      <c r="J937" s="16" t="s">
        <v>1139</v>
      </c>
      <c r="K937" s="18"/>
      <c r="L937" s="19" t="s">
        <v>2234</v>
      </c>
    </row>
    <row r="938">
      <c r="A938" s="10">
        <v>233.0</v>
      </c>
      <c r="B938" s="11" t="s">
        <v>2235</v>
      </c>
      <c r="C938" s="12">
        <v>38.0</v>
      </c>
      <c r="D938" s="11" t="s">
        <v>2236</v>
      </c>
      <c r="E938" s="11" t="s">
        <v>17</v>
      </c>
      <c r="F938" s="11" t="s">
        <v>1601</v>
      </c>
      <c r="G938" s="11" t="s">
        <v>1755</v>
      </c>
      <c r="H938" s="12" t="s">
        <v>19</v>
      </c>
      <c r="I938" s="11" t="s">
        <v>150</v>
      </c>
      <c r="J938" s="11" t="s">
        <v>57</v>
      </c>
      <c r="K938" s="13"/>
      <c r="L938" s="14" t="s">
        <v>2237</v>
      </c>
    </row>
    <row r="939">
      <c r="A939" s="15">
        <v>1434.0</v>
      </c>
      <c r="B939" s="16" t="s">
        <v>2238</v>
      </c>
      <c r="C939" s="17">
        <v>39.0</v>
      </c>
      <c r="D939" s="16" t="s">
        <v>2239</v>
      </c>
      <c r="E939" s="16" t="s">
        <v>17</v>
      </c>
      <c r="F939" s="16" t="s">
        <v>478</v>
      </c>
      <c r="G939" s="16" t="s">
        <v>1138</v>
      </c>
      <c r="H939" s="17" t="s">
        <v>19</v>
      </c>
      <c r="I939" s="16" t="s">
        <v>1779</v>
      </c>
      <c r="J939" s="16" t="s">
        <v>1139</v>
      </c>
      <c r="K939" s="18"/>
      <c r="L939" s="19" t="s">
        <v>2240</v>
      </c>
    </row>
    <row r="940">
      <c r="A940" s="10">
        <v>249.0</v>
      </c>
      <c r="B940" s="11" t="s">
        <v>2241</v>
      </c>
      <c r="C940" s="12">
        <v>27.0</v>
      </c>
      <c r="D940" s="11" t="s">
        <v>2242</v>
      </c>
      <c r="E940" s="11" t="s">
        <v>17</v>
      </c>
      <c r="F940" s="11" t="s">
        <v>478</v>
      </c>
      <c r="G940" s="11" t="s">
        <v>1305</v>
      </c>
      <c r="H940" s="12" t="s">
        <v>19</v>
      </c>
      <c r="I940" s="11" t="s">
        <v>1970</v>
      </c>
      <c r="J940" s="11" t="s">
        <v>1139</v>
      </c>
      <c r="K940" s="13"/>
      <c r="L940" s="14" t="s">
        <v>2243</v>
      </c>
    </row>
    <row r="941">
      <c r="A941" s="15">
        <v>646.0</v>
      </c>
      <c r="B941" s="16" t="s">
        <v>2244</v>
      </c>
      <c r="C941" s="17">
        <v>49.0</v>
      </c>
      <c r="D941" s="16" t="s">
        <v>2245</v>
      </c>
      <c r="E941" s="16" t="s">
        <v>17</v>
      </c>
      <c r="F941" s="16" t="s">
        <v>1601</v>
      </c>
      <c r="G941" s="16" t="s">
        <v>1726</v>
      </c>
      <c r="H941" s="17" t="s">
        <v>19</v>
      </c>
      <c r="I941" s="16" t="s">
        <v>594</v>
      </c>
      <c r="J941" s="16" t="s">
        <v>57</v>
      </c>
      <c r="K941" s="16" t="s">
        <v>53</v>
      </c>
      <c r="L941" s="19" t="s">
        <v>2246</v>
      </c>
    </row>
    <row r="942">
      <c r="A942" s="10">
        <v>1076.0</v>
      </c>
      <c r="B942" s="11" t="s">
        <v>2247</v>
      </c>
      <c r="C942" s="12">
        <v>34.0</v>
      </c>
      <c r="D942" s="11" t="s">
        <v>16</v>
      </c>
      <c r="E942" s="11" t="s">
        <v>17</v>
      </c>
      <c r="F942" s="11" t="s">
        <v>1601</v>
      </c>
      <c r="G942" s="11" t="s">
        <v>1738</v>
      </c>
      <c r="H942" s="12" t="s">
        <v>19</v>
      </c>
      <c r="I942" s="11" t="s">
        <v>325</v>
      </c>
      <c r="J942" s="11" t="s">
        <v>57</v>
      </c>
      <c r="K942" s="11" t="s">
        <v>53</v>
      </c>
      <c r="L942" s="14" t="s">
        <v>2248</v>
      </c>
    </row>
    <row r="943">
      <c r="A943" s="15">
        <v>1184.0</v>
      </c>
      <c r="B943" s="16" t="s">
        <v>2249</v>
      </c>
      <c r="C943" s="17">
        <v>29.0</v>
      </c>
      <c r="D943" s="16" t="s">
        <v>287</v>
      </c>
      <c r="E943" s="16" t="s">
        <v>17</v>
      </c>
      <c r="F943" s="16" t="s">
        <v>1601</v>
      </c>
      <c r="G943" s="16" t="s">
        <v>1138</v>
      </c>
      <c r="H943" s="17" t="s">
        <v>19</v>
      </c>
      <c r="I943" s="16" t="s">
        <v>150</v>
      </c>
      <c r="J943" s="16" t="s">
        <v>57</v>
      </c>
      <c r="K943" s="18"/>
      <c r="L943" s="19" t="s">
        <v>2250</v>
      </c>
    </row>
    <row r="944">
      <c r="A944" s="10">
        <v>238.0</v>
      </c>
      <c r="B944" s="11" t="s">
        <v>2251</v>
      </c>
      <c r="C944" s="12">
        <v>36.0</v>
      </c>
      <c r="D944" s="11" t="s">
        <v>284</v>
      </c>
      <c r="E944" s="11" t="s">
        <v>17</v>
      </c>
      <c r="F944" s="11" t="s">
        <v>478</v>
      </c>
      <c r="G944" s="11" t="s">
        <v>1932</v>
      </c>
      <c r="H944" s="12" t="s">
        <v>19</v>
      </c>
      <c r="I944" s="11" t="s">
        <v>1970</v>
      </c>
      <c r="J944" s="11" t="s">
        <v>1139</v>
      </c>
      <c r="K944" s="13"/>
      <c r="L944" s="14" t="s">
        <v>2252</v>
      </c>
    </row>
    <row r="945">
      <c r="A945" s="15">
        <v>239.0</v>
      </c>
      <c r="B945" s="16" t="s">
        <v>2253</v>
      </c>
      <c r="C945" s="17">
        <v>33.0</v>
      </c>
      <c r="D945" s="16" t="s">
        <v>748</v>
      </c>
      <c r="E945" s="16" t="s">
        <v>17</v>
      </c>
      <c r="F945" s="16" t="s">
        <v>1601</v>
      </c>
      <c r="G945" s="16" t="s">
        <v>1755</v>
      </c>
      <c r="H945" s="17" t="s">
        <v>19</v>
      </c>
      <c r="I945" s="16" t="s">
        <v>150</v>
      </c>
      <c r="J945" s="16" t="s">
        <v>57</v>
      </c>
      <c r="K945" s="18"/>
      <c r="L945" s="19" t="s">
        <v>2254</v>
      </c>
    </row>
    <row r="946">
      <c r="A946" s="10">
        <v>1143.0</v>
      </c>
      <c r="B946" s="11" t="s">
        <v>2255</v>
      </c>
      <c r="C946" s="12">
        <v>33.0</v>
      </c>
      <c r="D946" s="11" t="s">
        <v>1987</v>
      </c>
      <c r="E946" s="11" t="s">
        <v>17</v>
      </c>
      <c r="F946" s="11" t="s">
        <v>1601</v>
      </c>
      <c r="G946" s="11" t="s">
        <v>1138</v>
      </c>
      <c r="H946" s="12" t="s">
        <v>19</v>
      </c>
      <c r="I946" s="11" t="s">
        <v>150</v>
      </c>
      <c r="J946" s="11" t="s">
        <v>57</v>
      </c>
      <c r="K946" s="13"/>
      <c r="L946" s="14" t="s">
        <v>2256</v>
      </c>
    </row>
    <row r="947">
      <c r="A947" s="15">
        <v>1077.0</v>
      </c>
      <c r="B947" s="16" t="s">
        <v>2257</v>
      </c>
      <c r="C947" s="17">
        <v>18.0</v>
      </c>
      <c r="D947" s="16" t="s">
        <v>2258</v>
      </c>
      <c r="E947" s="16" t="s">
        <v>17</v>
      </c>
      <c r="F947" s="16" t="s">
        <v>478</v>
      </c>
      <c r="G947" s="16" t="s">
        <v>1186</v>
      </c>
      <c r="H947" s="17" t="s">
        <v>19</v>
      </c>
      <c r="I947" s="16" t="s">
        <v>1970</v>
      </c>
      <c r="J947" s="16" t="s">
        <v>1139</v>
      </c>
      <c r="K947" s="18"/>
      <c r="L947" s="19" t="s">
        <v>2259</v>
      </c>
    </row>
    <row r="948">
      <c r="A948" s="10">
        <v>26.0</v>
      </c>
      <c r="B948" s="11" t="s">
        <v>2260</v>
      </c>
      <c r="C948" s="12">
        <v>22.0</v>
      </c>
      <c r="D948" s="11" t="s">
        <v>2261</v>
      </c>
      <c r="E948" s="11" t="s">
        <v>17</v>
      </c>
      <c r="F948" s="11" t="s">
        <v>478</v>
      </c>
      <c r="G948" s="11" t="s">
        <v>1012</v>
      </c>
      <c r="H948" s="12" t="s">
        <v>19</v>
      </c>
      <c r="I948" s="11" t="s">
        <v>139</v>
      </c>
      <c r="J948" s="11" t="s">
        <v>1139</v>
      </c>
      <c r="K948" s="13"/>
      <c r="L948" s="14" t="s">
        <v>2262</v>
      </c>
    </row>
    <row r="949">
      <c r="A949" s="15">
        <v>1277.0</v>
      </c>
      <c r="B949" s="16" t="s">
        <v>2263</v>
      </c>
      <c r="C949" s="17">
        <v>21.0</v>
      </c>
      <c r="D949" s="16" t="s">
        <v>95</v>
      </c>
      <c r="E949" s="16" t="s">
        <v>17</v>
      </c>
      <c r="F949" s="16" t="s">
        <v>478</v>
      </c>
      <c r="G949" s="16" t="s">
        <v>479</v>
      </c>
      <c r="H949" s="17" t="s">
        <v>19</v>
      </c>
      <c r="I949" s="16" t="s">
        <v>1772</v>
      </c>
      <c r="J949" s="16" t="s">
        <v>1139</v>
      </c>
      <c r="K949" s="18"/>
      <c r="L949" s="19" t="s">
        <v>2264</v>
      </c>
    </row>
    <row r="950">
      <c r="A950" s="10">
        <v>1580.0</v>
      </c>
      <c r="B950" s="11" t="s">
        <v>2265</v>
      </c>
      <c r="C950" s="12">
        <v>20.0</v>
      </c>
      <c r="D950" s="11" t="s">
        <v>662</v>
      </c>
      <c r="E950" s="11" t="s">
        <v>17</v>
      </c>
      <c r="F950" s="11" t="s">
        <v>478</v>
      </c>
      <c r="G950" s="11" t="s">
        <v>479</v>
      </c>
      <c r="H950" s="12" t="s">
        <v>19</v>
      </c>
      <c r="I950" s="11" t="s">
        <v>1793</v>
      </c>
      <c r="J950" s="11" t="s">
        <v>1139</v>
      </c>
      <c r="K950" s="13"/>
      <c r="L950" s="14" t="s">
        <v>2266</v>
      </c>
    </row>
    <row r="951">
      <c r="A951" s="15">
        <v>244.0</v>
      </c>
      <c r="B951" s="16" t="s">
        <v>2267</v>
      </c>
      <c r="C951" s="17">
        <v>40.0</v>
      </c>
      <c r="D951" s="16" t="s">
        <v>2268</v>
      </c>
      <c r="E951" s="16" t="s">
        <v>17</v>
      </c>
      <c r="F951" s="16" t="s">
        <v>1601</v>
      </c>
      <c r="G951" s="16" t="s">
        <v>1755</v>
      </c>
      <c r="H951" s="17" t="s">
        <v>19</v>
      </c>
      <c r="I951" s="16" t="s">
        <v>1031</v>
      </c>
      <c r="J951" s="16" t="s">
        <v>57</v>
      </c>
      <c r="K951" s="18"/>
      <c r="L951" s="19" t="s">
        <v>2269</v>
      </c>
    </row>
    <row r="952">
      <c r="A952" s="10">
        <v>1066.0</v>
      </c>
      <c r="B952" s="11" t="s">
        <v>2270</v>
      </c>
      <c r="C952" s="12">
        <v>19.0</v>
      </c>
      <c r="D952" s="11" t="s">
        <v>95</v>
      </c>
      <c r="E952" s="11" t="s">
        <v>17</v>
      </c>
      <c r="F952" s="11" t="s">
        <v>478</v>
      </c>
      <c r="G952" s="11" t="s">
        <v>689</v>
      </c>
      <c r="H952" s="12" t="s">
        <v>19</v>
      </c>
      <c r="I952" s="11" t="s">
        <v>2271</v>
      </c>
      <c r="J952" s="11" t="s">
        <v>1139</v>
      </c>
      <c r="K952" s="13"/>
      <c r="L952" s="14" t="s">
        <v>2272</v>
      </c>
    </row>
    <row r="953">
      <c r="A953" s="15">
        <v>737.0</v>
      </c>
      <c r="B953" s="16" t="s">
        <v>2273</v>
      </c>
      <c r="C953" s="17">
        <v>24.0</v>
      </c>
      <c r="D953" s="16" t="s">
        <v>508</v>
      </c>
      <c r="E953" s="16" t="s">
        <v>17</v>
      </c>
      <c r="F953" s="16" t="s">
        <v>1429</v>
      </c>
      <c r="G953" s="16" t="s">
        <v>1821</v>
      </c>
      <c r="H953" s="17" t="s">
        <v>19</v>
      </c>
      <c r="I953" s="16" t="s">
        <v>53</v>
      </c>
      <c r="J953" s="16" t="s">
        <v>21</v>
      </c>
      <c r="K953" s="16" t="s">
        <v>53</v>
      </c>
      <c r="L953" s="19" t="s">
        <v>2274</v>
      </c>
    </row>
    <row r="954">
      <c r="A954" s="10">
        <v>742.0</v>
      </c>
      <c r="B954" s="11" t="s">
        <v>2275</v>
      </c>
      <c r="C954" s="12">
        <v>38.0</v>
      </c>
      <c r="D954" s="11" t="s">
        <v>2276</v>
      </c>
      <c r="E954" s="11" t="s">
        <v>17</v>
      </c>
      <c r="F954" s="11" t="s">
        <v>18</v>
      </c>
      <c r="G954" s="13"/>
      <c r="H954" s="12" t="s">
        <v>19</v>
      </c>
      <c r="I954" s="11" t="s">
        <v>594</v>
      </c>
      <c r="J954" s="11" t="s">
        <v>21</v>
      </c>
      <c r="K954" s="11" t="s">
        <v>53</v>
      </c>
      <c r="L954" s="14" t="s">
        <v>2277</v>
      </c>
    </row>
    <row r="955">
      <c r="A955" s="15">
        <v>746.0</v>
      </c>
      <c r="B955" s="16" t="s">
        <v>2278</v>
      </c>
      <c r="C955" s="17">
        <v>42.0</v>
      </c>
      <c r="D955" s="16" t="s">
        <v>587</v>
      </c>
      <c r="E955" s="16" t="s">
        <v>17</v>
      </c>
      <c r="F955" s="16" t="s">
        <v>18</v>
      </c>
      <c r="G955" s="18"/>
      <c r="H955" s="17" t="s">
        <v>19</v>
      </c>
      <c r="I955" s="16" t="s">
        <v>565</v>
      </c>
      <c r="J955" s="16" t="s">
        <v>21</v>
      </c>
      <c r="K955" s="16" t="s">
        <v>53</v>
      </c>
      <c r="L955" s="19" t="s">
        <v>2279</v>
      </c>
    </row>
    <row r="956">
      <c r="A956" s="10">
        <v>256.0</v>
      </c>
      <c r="B956" s="11" t="s">
        <v>2280</v>
      </c>
      <c r="C956" s="12">
        <v>21.0</v>
      </c>
      <c r="D956" s="11" t="s">
        <v>597</v>
      </c>
      <c r="E956" s="11" t="s">
        <v>17</v>
      </c>
      <c r="F956" s="11" t="s">
        <v>478</v>
      </c>
      <c r="G956" s="11" t="s">
        <v>479</v>
      </c>
      <c r="H956" s="12" t="s">
        <v>19</v>
      </c>
      <c r="I956" s="11" t="s">
        <v>147</v>
      </c>
      <c r="J956" s="11" t="s">
        <v>21</v>
      </c>
      <c r="K956" s="11" t="s">
        <v>53</v>
      </c>
      <c r="L956" s="14" t="s">
        <v>2281</v>
      </c>
    </row>
    <row r="957">
      <c r="A957" s="15">
        <v>1708.0</v>
      </c>
      <c r="B957" s="16" t="s">
        <v>2282</v>
      </c>
      <c r="C957" s="17">
        <v>22.0</v>
      </c>
      <c r="D957" s="16" t="s">
        <v>860</v>
      </c>
      <c r="E957" s="16" t="s">
        <v>17</v>
      </c>
      <c r="F957" s="16" t="s">
        <v>478</v>
      </c>
      <c r="G957" s="16" t="s">
        <v>143</v>
      </c>
      <c r="H957" s="17" t="s">
        <v>19</v>
      </c>
      <c r="I957" s="16" t="s">
        <v>594</v>
      </c>
      <c r="J957" s="16" t="s">
        <v>21</v>
      </c>
      <c r="K957" s="16" t="s">
        <v>53</v>
      </c>
      <c r="L957" s="19" t="s">
        <v>2283</v>
      </c>
    </row>
    <row r="958">
      <c r="A958" s="10">
        <v>1569.0</v>
      </c>
      <c r="B958" s="11" t="s">
        <v>2284</v>
      </c>
      <c r="C958" s="12">
        <v>22.0</v>
      </c>
      <c r="D958" s="11" t="s">
        <v>941</v>
      </c>
      <c r="E958" s="11" t="s">
        <v>25</v>
      </c>
      <c r="F958" s="11" t="s">
        <v>1601</v>
      </c>
      <c r="G958" s="11" t="s">
        <v>1745</v>
      </c>
      <c r="H958" s="12" t="s">
        <v>19</v>
      </c>
      <c r="I958" s="11" t="s">
        <v>247</v>
      </c>
      <c r="J958" s="11" t="s">
        <v>21</v>
      </c>
      <c r="K958" s="11" t="s">
        <v>53</v>
      </c>
      <c r="L958" s="14" t="s">
        <v>2285</v>
      </c>
    </row>
    <row r="959">
      <c r="A959" s="15">
        <v>1468.0</v>
      </c>
      <c r="B959" s="16" t="s">
        <v>2286</v>
      </c>
      <c r="C959" s="17">
        <v>23.0</v>
      </c>
      <c r="D959" s="16" t="s">
        <v>2287</v>
      </c>
      <c r="E959" s="16" t="s">
        <v>17</v>
      </c>
      <c r="F959" s="16" t="s">
        <v>56</v>
      </c>
      <c r="G959" s="18"/>
      <c r="H959" s="17" t="s">
        <v>19</v>
      </c>
      <c r="I959" s="16" t="s">
        <v>325</v>
      </c>
      <c r="J959" s="16" t="s">
        <v>57</v>
      </c>
      <c r="K959" s="16" t="s">
        <v>53</v>
      </c>
      <c r="L959" s="19" t="s">
        <v>2288</v>
      </c>
    </row>
    <row r="960">
      <c r="A960" s="10">
        <v>956.0</v>
      </c>
      <c r="B960" s="11" t="s">
        <v>2289</v>
      </c>
      <c r="C960" s="12">
        <v>37.0</v>
      </c>
      <c r="D960" s="11" t="s">
        <v>95</v>
      </c>
      <c r="E960" s="11" t="s">
        <v>25</v>
      </c>
      <c r="F960" s="11" t="s">
        <v>1601</v>
      </c>
      <c r="G960" s="11" t="s">
        <v>1138</v>
      </c>
      <c r="H960" s="12" t="s">
        <v>19</v>
      </c>
      <c r="I960" s="11" t="s">
        <v>565</v>
      </c>
      <c r="J960" s="11" t="s">
        <v>57</v>
      </c>
      <c r="K960" s="11" t="s">
        <v>53</v>
      </c>
      <c r="L960" s="14" t="s">
        <v>2290</v>
      </c>
    </row>
    <row r="961">
      <c r="A961" s="15">
        <v>774.0</v>
      </c>
      <c r="B961" s="16" t="s">
        <v>2291</v>
      </c>
      <c r="C961" s="17">
        <v>28.0</v>
      </c>
      <c r="D961" s="16" t="s">
        <v>416</v>
      </c>
      <c r="E961" s="16" t="s">
        <v>25</v>
      </c>
      <c r="F961" s="16" t="s">
        <v>18</v>
      </c>
      <c r="G961" s="18"/>
      <c r="H961" s="17" t="s">
        <v>19</v>
      </c>
      <c r="I961" s="16" t="s">
        <v>312</v>
      </c>
      <c r="J961" s="16" t="s">
        <v>21</v>
      </c>
      <c r="K961" s="16" t="s">
        <v>53</v>
      </c>
      <c r="L961" s="19" t="s">
        <v>2292</v>
      </c>
    </row>
    <row r="962">
      <c r="A962" s="10">
        <v>1425.0</v>
      </c>
      <c r="B962" s="11" t="s">
        <v>2293</v>
      </c>
      <c r="C962" s="12">
        <v>31.0</v>
      </c>
      <c r="D962" s="11" t="s">
        <v>416</v>
      </c>
      <c r="E962" s="11" t="s">
        <v>17</v>
      </c>
      <c r="F962" s="11" t="s">
        <v>18</v>
      </c>
      <c r="G962" s="13"/>
      <c r="H962" s="12" t="s">
        <v>19</v>
      </c>
      <c r="I962" s="11" t="s">
        <v>53</v>
      </c>
      <c r="J962" s="11" t="s">
        <v>21</v>
      </c>
      <c r="K962" s="11" t="s">
        <v>53</v>
      </c>
      <c r="L962" s="14" t="s">
        <v>2294</v>
      </c>
    </row>
    <row r="963">
      <c r="A963" s="15">
        <v>916.0</v>
      </c>
      <c r="B963" s="16" t="s">
        <v>2295</v>
      </c>
      <c r="C963" s="17">
        <v>27.0</v>
      </c>
      <c r="D963" s="16" t="s">
        <v>2296</v>
      </c>
      <c r="E963" s="16" t="s">
        <v>17</v>
      </c>
      <c r="F963" s="16" t="s">
        <v>18</v>
      </c>
      <c r="G963" s="18"/>
      <c r="H963" s="17" t="s">
        <v>19</v>
      </c>
      <c r="I963" s="16" t="s">
        <v>473</v>
      </c>
      <c r="J963" s="16" t="s">
        <v>21</v>
      </c>
      <c r="K963" s="16" t="s">
        <v>53</v>
      </c>
      <c r="L963" s="19" t="s">
        <v>2297</v>
      </c>
    </row>
    <row r="964">
      <c r="A964" s="10">
        <v>881.0</v>
      </c>
      <c r="B964" s="11" t="s">
        <v>2298</v>
      </c>
      <c r="C964" s="12">
        <v>32.0</v>
      </c>
      <c r="D964" s="11" t="s">
        <v>416</v>
      </c>
      <c r="E964" s="11" t="s">
        <v>25</v>
      </c>
      <c r="F964" s="11" t="s">
        <v>18</v>
      </c>
      <c r="G964" s="13"/>
      <c r="H964" s="12" t="s">
        <v>19</v>
      </c>
      <c r="I964" s="11" t="s">
        <v>147</v>
      </c>
      <c r="J964" s="11" t="s">
        <v>21</v>
      </c>
      <c r="K964" s="11" t="s">
        <v>53</v>
      </c>
      <c r="L964" s="14" t="s">
        <v>2299</v>
      </c>
    </row>
    <row r="965">
      <c r="A965" s="15">
        <v>877.0</v>
      </c>
      <c r="B965" s="16" t="s">
        <v>2300</v>
      </c>
      <c r="C965" s="17">
        <v>24.0</v>
      </c>
      <c r="D965" s="16" t="s">
        <v>416</v>
      </c>
      <c r="E965" s="16" t="s">
        <v>17</v>
      </c>
      <c r="F965" s="16" t="s">
        <v>18</v>
      </c>
      <c r="G965" s="18"/>
      <c r="H965" s="17" t="s">
        <v>19</v>
      </c>
      <c r="I965" s="16" t="s">
        <v>341</v>
      </c>
      <c r="J965" s="16" t="s">
        <v>21</v>
      </c>
      <c r="K965" s="16" t="s">
        <v>53</v>
      </c>
      <c r="L965" s="19" t="s">
        <v>2301</v>
      </c>
    </row>
    <row r="966">
      <c r="A966" s="10">
        <v>910.0</v>
      </c>
      <c r="B966" s="11" t="s">
        <v>2302</v>
      </c>
      <c r="C966" s="12">
        <v>29.0</v>
      </c>
      <c r="D966" s="11" t="s">
        <v>416</v>
      </c>
      <c r="E966" s="11" t="s">
        <v>17</v>
      </c>
      <c r="F966" s="11" t="s">
        <v>18</v>
      </c>
      <c r="G966" s="13"/>
      <c r="H966" s="12" t="s">
        <v>19</v>
      </c>
      <c r="I966" s="11" t="s">
        <v>53</v>
      </c>
      <c r="J966" s="11" t="s">
        <v>21</v>
      </c>
      <c r="K966" s="11" t="s">
        <v>53</v>
      </c>
      <c r="L966" s="14" t="s">
        <v>2303</v>
      </c>
    </row>
    <row r="967">
      <c r="A967" s="15">
        <v>894.0</v>
      </c>
      <c r="B967" s="16" t="s">
        <v>2304</v>
      </c>
      <c r="C967" s="17">
        <v>35.0</v>
      </c>
      <c r="D967" s="16" t="s">
        <v>2305</v>
      </c>
      <c r="E967" s="16" t="s">
        <v>17</v>
      </c>
      <c r="F967" s="16" t="s">
        <v>18</v>
      </c>
      <c r="G967" s="18"/>
      <c r="H967" s="17" t="s">
        <v>19</v>
      </c>
      <c r="I967" s="16" t="s">
        <v>247</v>
      </c>
      <c r="J967" s="16" t="s">
        <v>21</v>
      </c>
      <c r="K967" s="16" t="s">
        <v>53</v>
      </c>
      <c r="L967" s="19" t="s">
        <v>2306</v>
      </c>
    </row>
    <row r="968">
      <c r="A968" s="10">
        <v>998.0</v>
      </c>
      <c r="B968" s="11" t="s">
        <v>2307</v>
      </c>
      <c r="C968" s="12">
        <v>42.0</v>
      </c>
      <c r="D968" s="11" t="s">
        <v>2308</v>
      </c>
      <c r="E968" s="11" t="s">
        <v>17</v>
      </c>
      <c r="F968" s="11" t="s">
        <v>1601</v>
      </c>
      <c r="G968" s="11" t="s">
        <v>1898</v>
      </c>
      <c r="H968" s="12" t="s">
        <v>19</v>
      </c>
      <c r="I968" s="11" t="s">
        <v>594</v>
      </c>
      <c r="J968" s="11" t="s">
        <v>57</v>
      </c>
      <c r="K968" s="11" t="s">
        <v>53</v>
      </c>
      <c r="L968" s="14" t="s">
        <v>2309</v>
      </c>
    </row>
    <row r="969">
      <c r="A969" s="15">
        <v>893.0</v>
      </c>
      <c r="B969" s="16" t="s">
        <v>2310</v>
      </c>
      <c r="C969" s="17">
        <v>26.0</v>
      </c>
      <c r="D969" s="16" t="s">
        <v>438</v>
      </c>
      <c r="E969" s="16" t="s">
        <v>17</v>
      </c>
      <c r="F969" s="16" t="s">
        <v>18</v>
      </c>
      <c r="G969" s="18"/>
      <c r="H969" s="17" t="s">
        <v>19</v>
      </c>
      <c r="I969" s="16" t="s">
        <v>2311</v>
      </c>
      <c r="J969" s="16" t="s">
        <v>21</v>
      </c>
      <c r="K969" s="16" t="s">
        <v>53</v>
      </c>
      <c r="L969" s="19" t="s">
        <v>2312</v>
      </c>
    </row>
    <row r="970">
      <c r="A970" s="10">
        <v>1477.0</v>
      </c>
      <c r="B970" s="11" t="s">
        <v>2313</v>
      </c>
      <c r="C970" s="12">
        <v>23.0</v>
      </c>
      <c r="D970" s="11" t="s">
        <v>422</v>
      </c>
      <c r="E970" s="11" t="s">
        <v>17</v>
      </c>
      <c r="F970" s="11" t="s">
        <v>1429</v>
      </c>
      <c r="G970" s="13"/>
      <c r="H970" s="12" t="s">
        <v>19</v>
      </c>
      <c r="I970" s="11" t="s">
        <v>423</v>
      </c>
      <c r="J970" s="11" t="s">
        <v>21</v>
      </c>
      <c r="K970" s="11" t="s">
        <v>53</v>
      </c>
      <c r="L970" s="14" t="s">
        <v>2314</v>
      </c>
    </row>
    <row r="971">
      <c r="A971" s="15">
        <v>847.0</v>
      </c>
      <c r="B971" s="16" t="s">
        <v>2315</v>
      </c>
      <c r="C971" s="17">
        <v>64.0</v>
      </c>
      <c r="D971" s="16" t="s">
        <v>2316</v>
      </c>
      <c r="E971" s="16" t="s">
        <v>17</v>
      </c>
      <c r="F971" s="16" t="s">
        <v>18</v>
      </c>
      <c r="G971" s="18"/>
      <c r="H971" s="17" t="s">
        <v>19</v>
      </c>
      <c r="I971" s="16" t="s">
        <v>247</v>
      </c>
      <c r="J971" s="16" t="s">
        <v>21</v>
      </c>
      <c r="K971" s="16" t="s">
        <v>53</v>
      </c>
      <c r="L971" s="19" t="s">
        <v>2317</v>
      </c>
    </row>
    <row r="972">
      <c r="A972" s="10">
        <v>1057.0</v>
      </c>
      <c r="B972" s="11" t="s">
        <v>2318</v>
      </c>
      <c r="C972" s="12">
        <v>30.0</v>
      </c>
      <c r="D972" s="11" t="s">
        <v>95</v>
      </c>
      <c r="E972" s="11" t="s">
        <v>17</v>
      </c>
      <c r="F972" s="11" t="s">
        <v>1601</v>
      </c>
      <c r="G972" s="11" t="s">
        <v>1738</v>
      </c>
      <c r="H972" s="12" t="s">
        <v>19</v>
      </c>
      <c r="I972" s="11" t="s">
        <v>53</v>
      </c>
      <c r="J972" s="11" t="s">
        <v>57</v>
      </c>
      <c r="K972" s="11" t="s">
        <v>53</v>
      </c>
      <c r="L972" s="14" t="s">
        <v>2319</v>
      </c>
    </row>
    <row r="973">
      <c r="A973" s="15">
        <v>1188.0</v>
      </c>
      <c r="B973" s="16" t="s">
        <v>2320</v>
      </c>
      <c r="C973" s="17">
        <v>38.0</v>
      </c>
      <c r="D973" s="16" t="s">
        <v>92</v>
      </c>
      <c r="E973" s="16" t="s">
        <v>17</v>
      </c>
      <c r="F973" s="16" t="s">
        <v>1601</v>
      </c>
      <c r="G973" s="16" t="s">
        <v>1138</v>
      </c>
      <c r="H973" s="17" t="s">
        <v>19</v>
      </c>
      <c r="I973" s="16" t="s">
        <v>53</v>
      </c>
      <c r="J973" s="16" t="s">
        <v>57</v>
      </c>
      <c r="K973" s="16" t="s">
        <v>53</v>
      </c>
      <c r="L973" s="19" t="s">
        <v>2321</v>
      </c>
    </row>
    <row r="974">
      <c r="A974" s="10">
        <v>1729.0</v>
      </c>
      <c r="B974" s="11" t="s">
        <v>2322</v>
      </c>
      <c r="C974" s="12">
        <v>34.0</v>
      </c>
      <c r="D974" s="11" t="s">
        <v>2098</v>
      </c>
      <c r="E974" s="11" t="s">
        <v>25</v>
      </c>
      <c r="F974" s="11" t="s">
        <v>1601</v>
      </c>
      <c r="G974" s="11" t="s">
        <v>1723</v>
      </c>
      <c r="H974" s="12" t="s">
        <v>19</v>
      </c>
      <c r="I974" s="11" t="s">
        <v>325</v>
      </c>
      <c r="J974" s="11" t="s">
        <v>57</v>
      </c>
      <c r="K974" s="11" t="s">
        <v>53</v>
      </c>
      <c r="L974" s="14" t="s">
        <v>2323</v>
      </c>
    </row>
    <row r="975">
      <c r="A975" s="15">
        <v>1643.0</v>
      </c>
      <c r="B975" s="16" t="s">
        <v>2324</v>
      </c>
      <c r="C975" s="17">
        <v>23.0</v>
      </c>
      <c r="D975" s="16" t="s">
        <v>2325</v>
      </c>
      <c r="E975" s="16" t="s">
        <v>17</v>
      </c>
      <c r="F975" s="16" t="s">
        <v>478</v>
      </c>
      <c r="G975" s="16" t="s">
        <v>479</v>
      </c>
      <c r="H975" s="17" t="s">
        <v>19</v>
      </c>
      <c r="I975" s="16" t="s">
        <v>53</v>
      </c>
      <c r="J975" s="16" t="s">
        <v>21</v>
      </c>
      <c r="K975" s="16" t="s">
        <v>53</v>
      </c>
      <c r="L975" s="19" t="s">
        <v>2326</v>
      </c>
    </row>
    <row r="976">
      <c r="A976" s="10">
        <v>921.0</v>
      </c>
      <c r="B976" s="11" t="s">
        <v>2327</v>
      </c>
      <c r="C976" s="12">
        <v>18.0</v>
      </c>
      <c r="D976" s="11" t="s">
        <v>2325</v>
      </c>
      <c r="E976" s="11" t="s">
        <v>17</v>
      </c>
      <c r="F976" s="11" t="s">
        <v>18</v>
      </c>
      <c r="G976" s="13"/>
      <c r="H976" s="12" t="s">
        <v>19</v>
      </c>
      <c r="I976" s="11" t="s">
        <v>308</v>
      </c>
      <c r="J976" s="11" t="s">
        <v>21</v>
      </c>
      <c r="K976" s="11" t="s">
        <v>53</v>
      </c>
      <c r="L976" s="14" t="s">
        <v>2328</v>
      </c>
    </row>
    <row r="977">
      <c r="A977" s="15">
        <v>839.0</v>
      </c>
      <c r="B977" s="16" t="s">
        <v>2329</v>
      </c>
      <c r="C977" s="17">
        <v>49.0</v>
      </c>
      <c r="D977" s="16" t="s">
        <v>2330</v>
      </c>
      <c r="E977" s="16" t="s">
        <v>17</v>
      </c>
      <c r="F977" s="16" t="s">
        <v>18</v>
      </c>
      <c r="G977" s="18"/>
      <c r="H977" s="17" t="s">
        <v>19</v>
      </c>
      <c r="I977" s="16" t="s">
        <v>308</v>
      </c>
      <c r="J977" s="16" t="s">
        <v>21</v>
      </c>
      <c r="K977" s="16" t="s">
        <v>53</v>
      </c>
      <c r="L977" s="19" t="s">
        <v>2331</v>
      </c>
    </row>
    <row r="978">
      <c r="A978" s="10">
        <v>831.0</v>
      </c>
      <c r="B978" s="11" t="s">
        <v>2332</v>
      </c>
      <c r="C978" s="12">
        <v>29.0</v>
      </c>
      <c r="D978" s="11" t="s">
        <v>2333</v>
      </c>
      <c r="E978" s="11" t="s">
        <v>17</v>
      </c>
      <c r="F978" s="11" t="s">
        <v>18</v>
      </c>
      <c r="G978" s="13"/>
      <c r="H978" s="12" t="s">
        <v>19</v>
      </c>
      <c r="I978" s="11" t="s">
        <v>53</v>
      </c>
      <c r="J978" s="11" t="s">
        <v>21</v>
      </c>
      <c r="K978" s="11" t="s">
        <v>53</v>
      </c>
      <c r="L978" s="14" t="s">
        <v>2334</v>
      </c>
    </row>
    <row r="979">
      <c r="A979" s="15">
        <v>744.0</v>
      </c>
      <c r="B979" s="16" t="s">
        <v>2335</v>
      </c>
      <c r="C979" s="17">
        <v>22.0</v>
      </c>
      <c r="D979" s="16" t="s">
        <v>299</v>
      </c>
      <c r="E979" s="16" t="s">
        <v>17</v>
      </c>
      <c r="F979" s="16" t="s">
        <v>478</v>
      </c>
      <c r="G979" s="16" t="s">
        <v>479</v>
      </c>
      <c r="H979" s="17" t="s">
        <v>19</v>
      </c>
      <c r="I979" s="16" t="s">
        <v>304</v>
      </c>
      <c r="J979" s="16" t="s">
        <v>21</v>
      </c>
      <c r="K979" s="16" t="s">
        <v>53</v>
      </c>
      <c r="L979" s="19" t="s">
        <v>2336</v>
      </c>
    </row>
    <row r="980">
      <c r="A980" s="10">
        <v>206.0</v>
      </c>
      <c r="B980" s="11" t="s">
        <v>2337</v>
      </c>
      <c r="C980" s="12">
        <v>27.0</v>
      </c>
      <c r="D980" s="11" t="s">
        <v>2338</v>
      </c>
      <c r="E980" s="11" t="s">
        <v>17</v>
      </c>
      <c r="F980" s="11" t="s">
        <v>136</v>
      </c>
      <c r="G980" s="11" t="s">
        <v>1305</v>
      </c>
      <c r="H980" s="12" t="s">
        <v>19</v>
      </c>
      <c r="I980" s="11" t="s">
        <v>2339</v>
      </c>
      <c r="J980" s="11" t="s">
        <v>21</v>
      </c>
      <c r="K980" s="13"/>
      <c r="L980" s="14" t="s">
        <v>2340</v>
      </c>
    </row>
    <row r="981">
      <c r="A981" s="15">
        <v>35.0</v>
      </c>
      <c r="B981" s="16" t="s">
        <v>2341</v>
      </c>
      <c r="C981" s="17">
        <v>50.0</v>
      </c>
      <c r="D981" s="16" t="s">
        <v>470</v>
      </c>
      <c r="E981" s="16" t="s">
        <v>17</v>
      </c>
      <c r="F981" s="16" t="s">
        <v>136</v>
      </c>
      <c r="G981" s="16" t="s">
        <v>1898</v>
      </c>
      <c r="H981" s="17" t="s">
        <v>19</v>
      </c>
      <c r="I981" s="16" t="s">
        <v>470</v>
      </c>
      <c r="J981" s="16" t="s">
        <v>21</v>
      </c>
      <c r="K981" s="18"/>
      <c r="L981" s="19" t="s">
        <v>2342</v>
      </c>
    </row>
    <row r="982">
      <c r="A982" s="10">
        <v>30.0</v>
      </c>
      <c r="B982" s="11" t="s">
        <v>2343</v>
      </c>
      <c r="C982" s="12">
        <v>29.0</v>
      </c>
      <c r="D982" s="11" t="s">
        <v>438</v>
      </c>
      <c r="E982" s="11" t="s">
        <v>17</v>
      </c>
      <c r="F982" s="11" t="s">
        <v>1601</v>
      </c>
      <c r="G982" s="11" t="s">
        <v>1723</v>
      </c>
      <c r="H982" s="12" t="s">
        <v>19</v>
      </c>
      <c r="I982" s="11" t="s">
        <v>470</v>
      </c>
      <c r="J982" s="11" t="s">
        <v>57</v>
      </c>
      <c r="K982" s="13"/>
      <c r="L982" s="14" t="s">
        <v>2344</v>
      </c>
    </row>
    <row r="983">
      <c r="A983" s="15">
        <v>109.0</v>
      </c>
      <c r="B983" s="16" t="s">
        <v>2345</v>
      </c>
      <c r="C983" s="17">
        <v>19.0</v>
      </c>
      <c r="D983" s="16" t="s">
        <v>2346</v>
      </c>
      <c r="E983" s="16" t="s">
        <v>17</v>
      </c>
      <c r="F983" s="16" t="s">
        <v>478</v>
      </c>
      <c r="G983" s="16" t="s">
        <v>689</v>
      </c>
      <c r="H983" s="17" t="s">
        <v>1346</v>
      </c>
      <c r="I983" s="16" t="s">
        <v>470</v>
      </c>
      <c r="J983" s="16" t="s">
        <v>1139</v>
      </c>
      <c r="K983" s="18"/>
      <c r="L983" s="19" t="s">
        <v>2347</v>
      </c>
    </row>
    <row r="984">
      <c r="A984" s="10">
        <v>1545.0</v>
      </c>
      <c r="B984" s="11" t="s">
        <v>2348</v>
      </c>
      <c r="C984" s="12">
        <v>19.0</v>
      </c>
      <c r="D984" s="11" t="s">
        <v>2349</v>
      </c>
      <c r="E984" s="11" t="s">
        <v>17</v>
      </c>
      <c r="F984" s="11" t="s">
        <v>478</v>
      </c>
      <c r="G984" s="11" t="s">
        <v>689</v>
      </c>
      <c r="H984" s="12" t="s">
        <v>19</v>
      </c>
      <c r="I984" s="11" t="s">
        <v>2350</v>
      </c>
      <c r="J984" s="11" t="s">
        <v>1139</v>
      </c>
      <c r="K984" s="13"/>
      <c r="L984" s="14" t="s">
        <v>2351</v>
      </c>
    </row>
    <row r="985">
      <c r="A985" s="15">
        <v>54.0</v>
      </c>
      <c r="B985" s="16" t="s">
        <v>2352</v>
      </c>
      <c r="C985" s="17">
        <v>55.0</v>
      </c>
      <c r="D985" s="16" t="s">
        <v>470</v>
      </c>
      <c r="E985" s="16" t="s">
        <v>17</v>
      </c>
      <c r="F985" s="16" t="s">
        <v>136</v>
      </c>
      <c r="G985" s="16" t="s">
        <v>1138</v>
      </c>
      <c r="H985" s="17" t="s">
        <v>19</v>
      </c>
      <c r="I985" s="16" t="s">
        <v>470</v>
      </c>
      <c r="J985" s="16" t="s">
        <v>21</v>
      </c>
      <c r="K985" s="18"/>
      <c r="L985" s="19" t="s">
        <v>2353</v>
      </c>
    </row>
    <row r="986">
      <c r="A986" s="10">
        <v>214.0</v>
      </c>
      <c r="B986" s="11" t="s">
        <v>2354</v>
      </c>
      <c r="C986" s="12">
        <v>25.0</v>
      </c>
      <c r="D986" s="11" t="s">
        <v>711</v>
      </c>
      <c r="E986" s="11" t="s">
        <v>17</v>
      </c>
      <c r="F986" s="11" t="s">
        <v>1809</v>
      </c>
      <c r="G986" s="11" t="s">
        <v>1738</v>
      </c>
      <c r="H986" s="12" t="s">
        <v>19</v>
      </c>
      <c r="I986" s="11" t="s">
        <v>470</v>
      </c>
      <c r="J986" s="11" t="s">
        <v>1139</v>
      </c>
      <c r="K986" s="13"/>
      <c r="L986" s="14" t="s">
        <v>2355</v>
      </c>
    </row>
    <row r="987">
      <c r="A987" s="15">
        <v>215.0</v>
      </c>
      <c r="B987" s="16" t="s">
        <v>2356</v>
      </c>
      <c r="C987" s="17">
        <v>22.0</v>
      </c>
      <c r="D987" s="16" t="s">
        <v>527</v>
      </c>
      <c r="E987" s="16" t="s">
        <v>17</v>
      </c>
      <c r="F987" s="16" t="s">
        <v>478</v>
      </c>
      <c r="G987" s="16" t="s">
        <v>479</v>
      </c>
      <c r="H987" s="17" t="s">
        <v>1346</v>
      </c>
      <c r="I987" s="16" t="s">
        <v>470</v>
      </c>
      <c r="J987" s="16" t="s">
        <v>1139</v>
      </c>
      <c r="K987" s="18"/>
      <c r="L987" s="19" t="s">
        <v>2357</v>
      </c>
    </row>
    <row r="988">
      <c r="A988" s="10">
        <v>231.0</v>
      </c>
      <c r="B988" s="11" t="s">
        <v>2358</v>
      </c>
      <c r="C988" s="12">
        <v>20.0</v>
      </c>
      <c r="D988" s="11" t="s">
        <v>284</v>
      </c>
      <c r="E988" s="11" t="s">
        <v>17</v>
      </c>
      <c r="F988" s="11" t="s">
        <v>478</v>
      </c>
      <c r="G988" s="11" t="s">
        <v>1821</v>
      </c>
      <c r="H988" s="12" t="s">
        <v>19</v>
      </c>
      <c r="I988" s="11" t="s">
        <v>470</v>
      </c>
      <c r="J988" s="11" t="s">
        <v>1139</v>
      </c>
      <c r="K988" s="13"/>
      <c r="L988" s="14" t="s">
        <v>2359</v>
      </c>
    </row>
    <row r="989">
      <c r="A989" s="15">
        <v>79.0</v>
      </c>
      <c r="B989" s="16" t="s">
        <v>2360</v>
      </c>
      <c r="C989" s="17">
        <v>30.0</v>
      </c>
      <c r="D989" s="16" t="s">
        <v>408</v>
      </c>
      <c r="E989" s="16" t="s">
        <v>17</v>
      </c>
      <c r="F989" s="16" t="s">
        <v>478</v>
      </c>
      <c r="G989" s="16" t="s">
        <v>1305</v>
      </c>
      <c r="H989" s="17" t="s">
        <v>1346</v>
      </c>
      <c r="I989" s="16" t="s">
        <v>470</v>
      </c>
      <c r="J989" s="16" t="s">
        <v>1139</v>
      </c>
      <c r="K989" s="18"/>
      <c r="L989" s="19" t="s">
        <v>2361</v>
      </c>
    </row>
    <row r="990">
      <c r="A990" s="10">
        <v>1178.0</v>
      </c>
      <c r="B990" s="11" t="s">
        <v>2362</v>
      </c>
      <c r="C990" s="12">
        <v>42.0</v>
      </c>
      <c r="D990" s="11" t="s">
        <v>2363</v>
      </c>
      <c r="E990" s="11" t="s">
        <v>17</v>
      </c>
      <c r="F990" s="11" t="s">
        <v>478</v>
      </c>
      <c r="G990" s="11" t="s">
        <v>1932</v>
      </c>
      <c r="H990" s="12" t="s">
        <v>1346</v>
      </c>
      <c r="I990" s="11" t="s">
        <v>470</v>
      </c>
      <c r="J990" s="11" t="s">
        <v>1139</v>
      </c>
      <c r="K990" s="13"/>
      <c r="L990" s="14" t="s">
        <v>2364</v>
      </c>
    </row>
    <row r="991">
      <c r="A991" s="15">
        <v>1578.0</v>
      </c>
      <c r="B991" s="16" t="s">
        <v>2365</v>
      </c>
      <c r="C991" s="17">
        <v>41.0</v>
      </c>
      <c r="D991" s="16" t="s">
        <v>840</v>
      </c>
      <c r="E991" s="16" t="s">
        <v>17</v>
      </c>
      <c r="F991" s="16" t="s">
        <v>1601</v>
      </c>
      <c r="G991" s="16" t="s">
        <v>1755</v>
      </c>
      <c r="H991" s="17" t="s">
        <v>19</v>
      </c>
      <c r="I991" s="16" t="s">
        <v>470</v>
      </c>
      <c r="J991" s="16" t="s">
        <v>57</v>
      </c>
      <c r="K991" s="18"/>
      <c r="L991" s="19" t="s">
        <v>2366</v>
      </c>
    </row>
    <row r="992">
      <c r="A992" s="10">
        <v>76.0</v>
      </c>
      <c r="B992" s="11" t="s">
        <v>2367</v>
      </c>
      <c r="C992" s="12">
        <v>22.0</v>
      </c>
      <c r="D992" s="11" t="s">
        <v>299</v>
      </c>
      <c r="E992" s="11" t="s">
        <v>17</v>
      </c>
      <c r="F992" s="11" t="s">
        <v>478</v>
      </c>
      <c r="G992" s="11" t="s">
        <v>479</v>
      </c>
      <c r="H992" s="12" t="s">
        <v>19</v>
      </c>
      <c r="I992" s="11" t="s">
        <v>470</v>
      </c>
      <c r="J992" s="11" t="s">
        <v>1139</v>
      </c>
      <c r="K992" s="13"/>
      <c r="L992" s="14" t="s">
        <v>2368</v>
      </c>
    </row>
    <row r="993">
      <c r="A993" s="15">
        <v>979.0</v>
      </c>
      <c r="B993" s="16" t="s">
        <v>2369</v>
      </c>
      <c r="C993" s="17">
        <v>43.0</v>
      </c>
      <c r="D993" s="16" t="s">
        <v>95</v>
      </c>
      <c r="E993" s="16" t="s">
        <v>17</v>
      </c>
      <c r="F993" s="16" t="s">
        <v>1601</v>
      </c>
      <c r="G993" s="16" t="s">
        <v>2370</v>
      </c>
      <c r="H993" s="17" t="s">
        <v>19</v>
      </c>
      <c r="I993" s="16" t="s">
        <v>397</v>
      </c>
      <c r="J993" s="16" t="s">
        <v>57</v>
      </c>
      <c r="K993" s="18"/>
      <c r="L993" s="19" t="s">
        <v>2371</v>
      </c>
    </row>
    <row r="994">
      <c r="A994" s="10">
        <v>149.0</v>
      </c>
      <c r="B994" s="11" t="s">
        <v>2372</v>
      </c>
      <c r="C994" s="12">
        <v>34.0</v>
      </c>
      <c r="D994" s="11" t="s">
        <v>334</v>
      </c>
      <c r="E994" s="11" t="s">
        <v>17</v>
      </c>
      <c r="F994" s="11" t="s">
        <v>1601</v>
      </c>
      <c r="G994" s="11" t="s">
        <v>1138</v>
      </c>
      <c r="H994" s="12" t="s">
        <v>19</v>
      </c>
      <c r="I994" s="11" t="s">
        <v>470</v>
      </c>
      <c r="J994" s="11" t="s">
        <v>57</v>
      </c>
      <c r="K994" s="13"/>
      <c r="L994" s="14" t="s">
        <v>2373</v>
      </c>
    </row>
    <row r="995">
      <c r="A995" s="15">
        <v>80.0</v>
      </c>
      <c r="B995" s="16" t="s">
        <v>2374</v>
      </c>
      <c r="C995" s="17">
        <v>43.0</v>
      </c>
      <c r="D995" s="16" t="s">
        <v>470</v>
      </c>
      <c r="E995" s="16" t="s">
        <v>17</v>
      </c>
      <c r="F995" s="16" t="s">
        <v>136</v>
      </c>
      <c r="G995" s="16" t="s">
        <v>1898</v>
      </c>
      <c r="H995" s="17" t="s">
        <v>19</v>
      </c>
      <c r="I995" s="16" t="s">
        <v>470</v>
      </c>
      <c r="J995" s="16" t="s">
        <v>21</v>
      </c>
      <c r="K995" s="18"/>
      <c r="L995" s="19" t="s">
        <v>2375</v>
      </c>
    </row>
    <row r="996">
      <c r="A996" s="10">
        <v>138.0</v>
      </c>
      <c r="B996" s="11" t="s">
        <v>2376</v>
      </c>
      <c r="C996" s="12">
        <v>32.0</v>
      </c>
      <c r="D996" s="11" t="s">
        <v>337</v>
      </c>
      <c r="E996" s="11" t="s">
        <v>17</v>
      </c>
      <c r="F996" s="11" t="s">
        <v>478</v>
      </c>
      <c r="G996" s="11" t="s">
        <v>1305</v>
      </c>
      <c r="H996" s="12" t="s">
        <v>1346</v>
      </c>
      <c r="I996" s="11" t="s">
        <v>470</v>
      </c>
      <c r="J996" s="11" t="s">
        <v>1139</v>
      </c>
      <c r="K996" s="13"/>
      <c r="L996" s="14" t="s">
        <v>2377</v>
      </c>
    </row>
    <row r="997">
      <c r="A997" s="15">
        <v>186.0</v>
      </c>
      <c r="B997" s="16" t="s">
        <v>2378</v>
      </c>
      <c r="C997" s="17">
        <v>36.0</v>
      </c>
      <c r="D997" s="16" t="s">
        <v>2379</v>
      </c>
      <c r="E997" s="16" t="s">
        <v>17</v>
      </c>
      <c r="F997" s="16" t="s">
        <v>478</v>
      </c>
      <c r="G997" s="16" t="s">
        <v>2380</v>
      </c>
      <c r="H997" s="17" t="s">
        <v>19</v>
      </c>
      <c r="I997" s="16" t="s">
        <v>470</v>
      </c>
      <c r="J997" s="16" t="s">
        <v>57</v>
      </c>
      <c r="K997" s="18"/>
      <c r="L997" s="19" t="s">
        <v>2381</v>
      </c>
    </row>
    <row r="998">
      <c r="A998" s="10">
        <v>219.0</v>
      </c>
      <c r="B998" s="11" t="s">
        <v>2382</v>
      </c>
      <c r="C998" s="12">
        <v>20.0</v>
      </c>
      <c r="D998" s="11" t="s">
        <v>2383</v>
      </c>
      <c r="E998" s="11" t="s">
        <v>17</v>
      </c>
      <c r="F998" s="11" t="s">
        <v>478</v>
      </c>
      <c r="G998" s="11" t="s">
        <v>143</v>
      </c>
      <c r="H998" s="12" t="s">
        <v>19</v>
      </c>
      <c r="I998" s="11" t="s">
        <v>470</v>
      </c>
      <c r="J998" s="11" t="s">
        <v>1139</v>
      </c>
      <c r="K998" s="13"/>
      <c r="L998" s="14" t="s">
        <v>1232</v>
      </c>
    </row>
    <row r="999">
      <c r="A999" s="15">
        <v>1138.0</v>
      </c>
      <c r="B999" s="16" t="s">
        <v>2384</v>
      </c>
      <c r="C999" s="17">
        <v>24.0</v>
      </c>
      <c r="D999" s="16" t="s">
        <v>173</v>
      </c>
      <c r="E999" s="16" t="s">
        <v>17</v>
      </c>
      <c r="F999" s="16" t="s">
        <v>478</v>
      </c>
      <c r="G999" s="16" t="s">
        <v>1012</v>
      </c>
      <c r="H999" s="17" t="s">
        <v>19</v>
      </c>
      <c r="I999" s="16" t="s">
        <v>470</v>
      </c>
      <c r="J999" s="16" t="s">
        <v>1139</v>
      </c>
      <c r="K999" s="18"/>
      <c r="L999" s="19" t="s">
        <v>2385</v>
      </c>
    </row>
    <row r="1000">
      <c r="A1000" s="10">
        <v>223.0</v>
      </c>
      <c r="B1000" s="11" t="s">
        <v>2386</v>
      </c>
      <c r="C1000" s="12">
        <v>21.0</v>
      </c>
      <c r="D1000" s="11" t="s">
        <v>1113</v>
      </c>
      <c r="E1000" s="11" t="s">
        <v>17</v>
      </c>
      <c r="F1000" s="11" t="s">
        <v>478</v>
      </c>
      <c r="G1000" s="11" t="s">
        <v>1821</v>
      </c>
      <c r="H1000" s="12" t="s">
        <v>19</v>
      </c>
      <c r="I1000" s="11" t="s">
        <v>470</v>
      </c>
      <c r="J1000" s="11" t="s">
        <v>1139</v>
      </c>
      <c r="K1000" s="13"/>
      <c r="L1000" s="14" t="s">
        <v>2387</v>
      </c>
    </row>
    <row r="1001">
      <c r="A1001" s="15">
        <v>154.0</v>
      </c>
      <c r="B1001" s="16" t="s">
        <v>2388</v>
      </c>
      <c r="C1001" s="17">
        <v>31.0</v>
      </c>
      <c r="D1001" s="16" t="s">
        <v>299</v>
      </c>
      <c r="E1001" s="16" t="s">
        <v>17</v>
      </c>
      <c r="F1001" s="16" t="s">
        <v>1809</v>
      </c>
      <c r="G1001" s="16" t="s">
        <v>1305</v>
      </c>
      <c r="H1001" s="17" t="s">
        <v>19</v>
      </c>
      <c r="I1001" s="16" t="s">
        <v>470</v>
      </c>
      <c r="J1001" s="16" t="s">
        <v>1139</v>
      </c>
      <c r="K1001" s="18"/>
      <c r="L1001" s="19" t="s">
        <v>2389</v>
      </c>
    </row>
    <row r="1002">
      <c r="A1002" s="10">
        <v>150.0</v>
      </c>
      <c r="B1002" s="11" t="s">
        <v>2390</v>
      </c>
      <c r="C1002" s="12">
        <v>29.0</v>
      </c>
      <c r="D1002" s="11" t="s">
        <v>271</v>
      </c>
      <c r="E1002" s="11" t="s">
        <v>17</v>
      </c>
      <c r="F1002" s="11" t="s">
        <v>1601</v>
      </c>
      <c r="G1002" s="11" t="s">
        <v>143</v>
      </c>
      <c r="H1002" s="12" t="s">
        <v>19</v>
      </c>
      <c r="I1002" s="11" t="s">
        <v>470</v>
      </c>
      <c r="J1002" s="11" t="s">
        <v>57</v>
      </c>
      <c r="K1002" s="13"/>
      <c r="L1002" s="14" t="s">
        <v>2391</v>
      </c>
    </row>
    <row r="1003">
      <c r="A1003" s="15">
        <v>151.0</v>
      </c>
      <c r="B1003" s="16" t="s">
        <v>2392</v>
      </c>
      <c r="C1003" s="17">
        <v>24.0</v>
      </c>
      <c r="D1003" s="16" t="s">
        <v>307</v>
      </c>
      <c r="E1003" s="16" t="s">
        <v>17</v>
      </c>
      <c r="F1003" s="16" t="s">
        <v>1601</v>
      </c>
      <c r="G1003" s="16" t="s">
        <v>143</v>
      </c>
      <c r="H1003" s="17" t="s">
        <v>19</v>
      </c>
      <c r="I1003" s="16" t="s">
        <v>470</v>
      </c>
      <c r="J1003" s="16" t="s">
        <v>57</v>
      </c>
      <c r="K1003" s="18"/>
      <c r="L1003" s="19" t="s">
        <v>2393</v>
      </c>
    </row>
    <row r="1004">
      <c r="A1004" s="10">
        <v>107.0</v>
      </c>
      <c r="B1004" s="11" t="s">
        <v>2394</v>
      </c>
      <c r="C1004" s="12">
        <v>28.0</v>
      </c>
      <c r="D1004" s="11" t="s">
        <v>337</v>
      </c>
      <c r="E1004" s="11" t="s">
        <v>17</v>
      </c>
      <c r="F1004" s="11" t="s">
        <v>1809</v>
      </c>
      <c r="G1004" s="11" t="s">
        <v>1305</v>
      </c>
      <c r="H1004" s="12" t="s">
        <v>19</v>
      </c>
      <c r="I1004" s="11" t="s">
        <v>470</v>
      </c>
      <c r="J1004" s="11" t="s">
        <v>1139</v>
      </c>
      <c r="K1004" s="13"/>
      <c r="L1004" s="14" t="s">
        <v>2395</v>
      </c>
    </row>
    <row r="1005">
      <c r="A1005" s="15">
        <v>1705.0</v>
      </c>
      <c r="B1005" s="16" t="s">
        <v>2396</v>
      </c>
      <c r="C1005" s="17">
        <v>55.0</v>
      </c>
      <c r="D1005" s="16" t="s">
        <v>2397</v>
      </c>
      <c r="E1005" s="16" t="s">
        <v>17</v>
      </c>
      <c r="F1005" s="16" t="s">
        <v>1601</v>
      </c>
      <c r="G1005" s="16" t="s">
        <v>1796</v>
      </c>
      <c r="H1005" s="17" t="s">
        <v>19</v>
      </c>
      <c r="I1005" s="16" t="s">
        <v>470</v>
      </c>
      <c r="J1005" s="16" t="s">
        <v>57</v>
      </c>
      <c r="K1005" s="18"/>
      <c r="L1005" s="19" t="s">
        <v>2398</v>
      </c>
    </row>
    <row r="1006">
      <c r="A1006" s="10">
        <v>187.0</v>
      </c>
      <c r="B1006" s="11" t="s">
        <v>2399</v>
      </c>
      <c r="C1006" s="12">
        <v>39.0</v>
      </c>
      <c r="D1006" s="11" t="s">
        <v>470</v>
      </c>
      <c r="E1006" s="11" t="s">
        <v>17</v>
      </c>
      <c r="F1006" s="11" t="s">
        <v>136</v>
      </c>
      <c r="G1006" s="11" t="s">
        <v>1898</v>
      </c>
      <c r="H1006" s="12" t="s">
        <v>19</v>
      </c>
      <c r="I1006" s="11" t="s">
        <v>470</v>
      </c>
      <c r="J1006" s="11" t="s">
        <v>21</v>
      </c>
      <c r="K1006" s="13"/>
      <c r="L1006" s="14" t="s">
        <v>2400</v>
      </c>
    </row>
    <row r="1007">
      <c r="A1007" s="15">
        <v>59.0</v>
      </c>
      <c r="B1007" s="16" t="s">
        <v>2401</v>
      </c>
      <c r="C1007" s="17">
        <v>41.0</v>
      </c>
      <c r="D1007" s="16" t="s">
        <v>2325</v>
      </c>
      <c r="E1007" s="16" t="s">
        <v>17</v>
      </c>
      <c r="F1007" s="16" t="s">
        <v>1809</v>
      </c>
      <c r="G1007" s="16" t="s">
        <v>1012</v>
      </c>
      <c r="H1007" s="17" t="s">
        <v>1346</v>
      </c>
      <c r="I1007" s="16" t="s">
        <v>470</v>
      </c>
      <c r="J1007" s="16" t="s">
        <v>1139</v>
      </c>
      <c r="K1007" s="18"/>
      <c r="L1007" s="19" t="s">
        <v>2402</v>
      </c>
    </row>
    <row r="1008">
      <c r="A1008" s="10">
        <v>97.0</v>
      </c>
      <c r="B1008" s="11" t="s">
        <v>2403</v>
      </c>
      <c r="C1008" s="12">
        <v>54.0</v>
      </c>
      <c r="D1008" s="11" t="s">
        <v>470</v>
      </c>
      <c r="E1008" s="11" t="s">
        <v>17</v>
      </c>
      <c r="F1008" s="11" t="s">
        <v>136</v>
      </c>
      <c r="G1008" s="11" t="s">
        <v>1898</v>
      </c>
      <c r="H1008" s="12" t="s">
        <v>19</v>
      </c>
      <c r="I1008" s="11" t="s">
        <v>470</v>
      </c>
      <c r="J1008" s="11" t="s">
        <v>21</v>
      </c>
      <c r="K1008" s="13"/>
      <c r="L1008" s="14" t="s">
        <v>2404</v>
      </c>
    </row>
    <row r="1009">
      <c r="A1009" s="15">
        <v>116.0</v>
      </c>
      <c r="B1009" s="16" t="s">
        <v>2405</v>
      </c>
      <c r="C1009" s="17">
        <v>21.0</v>
      </c>
      <c r="D1009" s="16" t="s">
        <v>1966</v>
      </c>
      <c r="E1009" s="16" t="s">
        <v>17</v>
      </c>
      <c r="F1009" s="16" t="s">
        <v>478</v>
      </c>
      <c r="G1009" s="16" t="s">
        <v>143</v>
      </c>
      <c r="H1009" s="17" t="s">
        <v>1346</v>
      </c>
      <c r="I1009" s="16" t="s">
        <v>470</v>
      </c>
      <c r="J1009" s="16" t="s">
        <v>1139</v>
      </c>
      <c r="K1009" s="18"/>
      <c r="L1009" s="19" t="s">
        <v>2406</v>
      </c>
    </row>
    <row r="1010">
      <c r="A1010" s="10">
        <v>142.0</v>
      </c>
      <c r="B1010" s="11" t="s">
        <v>2407</v>
      </c>
      <c r="C1010" s="12">
        <v>23.0</v>
      </c>
      <c r="D1010" s="11" t="s">
        <v>1005</v>
      </c>
      <c r="E1010" s="11" t="s">
        <v>17</v>
      </c>
      <c r="F1010" s="11" t="s">
        <v>1601</v>
      </c>
      <c r="G1010" s="11" t="s">
        <v>143</v>
      </c>
      <c r="H1010" s="12" t="s">
        <v>19</v>
      </c>
      <c r="I1010" s="11" t="s">
        <v>470</v>
      </c>
      <c r="J1010" s="11" t="s">
        <v>57</v>
      </c>
      <c r="K1010" s="13"/>
      <c r="L1010" s="14" t="s">
        <v>2408</v>
      </c>
    </row>
    <row r="1011">
      <c r="A1011" s="15">
        <v>267.0</v>
      </c>
      <c r="B1011" s="16" t="s">
        <v>2409</v>
      </c>
      <c r="C1011" s="17">
        <v>42.0</v>
      </c>
      <c r="D1011" s="16" t="s">
        <v>2410</v>
      </c>
      <c r="E1011" s="16" t="s">
        <v>17</v>
      </c>
      <c r="F1011" s="16" t="s">
        <v>1809</v>
      </c>
      <c r="G1011" s="16" t="s">
        <v>1898</v>
      </c>
      <c r="H1011" s="17" t="s">
        <v>19</v>
      </c>
      <c r="I1011" s="16" t="s">
        <v>179</v>
      </c>
      <c r="J1011" s="16" t="s">
        <v>1139</v>
      </c>
      <c r="K1011" s="18"/>
      <c r="L1011" s="19" t="s">
        <v>2411</v>
      </c>
    </row>
    <row r="1012">
      <c r="A1012" s="10">
        <v>1561.0</v>
      </c>
      <c r="B1012" s="11" t="s">
        <v>2412</v>
      </c>
      <c r="C1012" s="12">
        <v>51.0</v>
      </c>
      <c r="D1012" s="11" t="s">
        <v>2413</v>
      </c>
      <c r="E1012" s="11" t="s">
        <v>17</v>
      </c>
      <c r="F1012" s="11" t="s">
        <v>1809</v>
      </c>
      <c r="G1012" s="11" t="s">
        <v>1012</v>
      </c>
      <c r="H1012" s="12" t="s">
        <v>19</v>
      </c>
      <c r="I1012" s="11" t="s">
        <v>2414</v>
      </c>
      <c r="J1012" s="11" t="s">
        <v>1139</v>
      </c>
      <c r="K1012" s="13"/>
      <c r="L1012" s="14" t="s">
        <v>2415</v>
      </c>
    </row>
    <row r="1013">
      <c r="A1013" s="15">
        <v>274.0</v>
      </c>
      <c r="B1013" s="16" t="s">
        <v>2416</v>
      </c>
      <c r="C1013" s="17">
        <v>32.0</v>
      </c>
      <c r="D1013" s="16" t="s">
        <v>179</v>
      </c>
      <c r="E1013" s="16" t="s">
        <v>17</v>
      </c>
      <c r="F1013" s="16" t="s">
        <v>136</v>
      </c>
      <c r="G1013" s="16" t="s">
        <v>1738</v>
      </c>
      <c r="H1013" s="17" t="s">
        <v>19</v>
      </c>
      <c r="I1013" s="16" t="s">
        <v>179</v>
      </c>
      <c r="J1013" s="16" t="s">
        <v>21</v>
      </c>
      <c r="K1013" s="18"/>
      <c r="L1013" s="19" t="s">
        <v>2417</v>
      </c>
    </row>
    <row r="1014">
      <c r="A1014" s="10">
        <v>276.0</v>
      </c>
      <c r="B1014" s="11" t="s">
        <v>2418</v>
      </c>
      <c r="C1014" s="12">
        <v>56.0</v>
      </c>
      <c r="D1014" s="11" t="s">
        <v>179</v>
      </c>
      <c r="E1014" s="11" t="s">
        <v>17</v>
      </c>
      <c r="F1014" s="11" t="s">
        <v>136</v>
      </c>
      <c r="G1014" s="11" t="s">
        <v>1898</v>
      </c>
      <c r="H1014" s="12" t="s">
        <v>19</v>
      </c>
      <c r="I1014" s="11" t="s">
        <v>179</v>
      </c>
      <c r="J1014" s="11" t="s">
        <v>21</v>
      </c>
      <c r="K1014" s="13"/>
      <c r="L1014" s="14" t="s">
        <v>2419</v>
      </c>
    </row>
    <row r="1015">
      <c r="A1015" s="15">
        <v>1176.0</v>
      </c>
      <c r="B1015" s="16" t="s">
        <v>2420</v>
      </c>
      <c r="C1015" s="17">
        <v>36.0</v>
      </c>
      <c r="D1015" s="16" t="s">
        <v>1573</v>
      </c>
      <c r="E1015" s="16" t="s">
        <v>17</v>
      </c>
      <c r="F1015" s="16" t="s">
        <v>136</v>
      </c>
      <c r="G1015" s="16" t="s">
        <v>1305</v>
      </c>
      <c r="H1015" s="17" t="s">
        <v>19</v>
      </c>
      <c r="I1015" s="16" t="s">
        <v>1573</v>
      </c>
      <c r="J1015" s="16" t="s">
        <v>21</v>
      </c>
      <c r="K1015" s="18"/>
      <c r="L1015" s="19" t="s">
        <v>2421</v>
      </c>
    </row>
    <row r="1016">
      <c r="A1016" s="10">
        <v>261.0</v>
      </c>
      <c r="B1016" s="11" t="s">
        <v>2422</v>
      </c>
      <c r="C1016" s="12">
        <v>19.0</v>
      </c>
      <c r="D1016" s="11" t="s">
        <v>2423</v>
      </c>
      <c r="E1016" s="11" t="s">
        <v>17</v>
      </c>
      <c r="F1016" s="11" t="s">
        <v>478</v>
      </c>
      <c r="G1016" s="11" t="s">
        <v>689</v>
      </c>
      <c r="H1016" s="12" t="s">
        <v>19</v>
      </c>
      <c r="I1016" s="11" t="s">
        <v>191</v>
      </c>
      <c r="J1016" s="11" t="s">
        <v>1139</v>
      </c>
      <c r="K1016" s="13"/>
      <c r="L1016" s="14" t="s">
        <v>2424</v>
      </c>
    </row>
    <row r="1017">
      <c r="A1017" s="15">
        <v>396.0</v>
      </c>
      <c r="B1017" s="16" t="s">
        <v>2425</v>
      </c>
      <c r="C1017" s="17">
        <v>37.0</v>
      </c>
      <c r="D1017" s="16" t="s">
        <v>191</v>
      </c>
      <c r="E1017" s="16" t="s">
        <v>17</v>
      </c>
      <c r="F1017" s="16" t="s">
        <v>136</v>
      </c>
      <c r="G1017" s="16" t="s">
        <v>1898</v>
      </c>
      <c r="H1017" s="17" t="s">
        <v>19</v>
      </c>
      <c r="I1017" s="16" t="s">
        <v>191</v>
      </c>
      <c r="J1017" s="16" t="s">
        <v>21</v>
      </c>
      <c r="K1017" s="18"/>
      <c r="L1017" s="19" t="s">
        <v>2426</v>
      </c>
    </row>
    <row r="1018">
      <c r="A1018" s="10">
        <v>291.0</v>
      </c>
      <c r="B1018" s="11" t="s">
        <v>2427</v>
      </c>
      <c r="C1018" s="12">
        <v>56.0</v>
      </c>
      <c r="D1018" s="11" t="s">
        <v>195</v>
      </c>
      <c r="E1018" s="11" t="s">
        <v>17</v>
      </c>
      <c r="F1018" s="11" t="s">
        <v>136</v>
      </c>
      <c r="G1018" s="11" t="s">
        <v>1898</v>
      </c>
      <c r="H1018" s="12" t="s">
        <v>19</v>
      </c>
      <c r="I1018" s="11" t="s">
        <v>195</v>
      </c>
      <c r="J1018" s="11" t="s">
        <v>21</v>
      </c>
      <c r="K1018" s="13"/>
      <c r="L1018" s="14" t="s">
        <v>2428</v>
      </c>
    </row>
    <row r="1019">
      <c r="A1019" s="15">
        <v>299.0</v>
      </c>
      <c r="B1019" s="16" t="s">
        <v>2429</v>
      </c>
      <c r="C1019" s="17">
        <v>46.0</v>
      </c>
      <c r="D1019" s="16" t="s">
        <v>195</v>
      </c>
      <c r="E1019" s="16" t="s">
        <v>17</v>
      </c>
      <c r="F1019" s="16" t="s">
        <v>136</v>
      </c>
      <c r="G1019" s="16" t="s">
        <v>1898</v>
      </c>
      <c r="H1019" s="17" t="s">
        <v>19</v>
      </c>
      <c r="I1019" s="16" t="s">
        <v>195</v>
      </c>
      <c r="J1019" s="16" t="s">
        <v>21</v>
      </c>
      <c r="K1019" s="18"/>
      <c r="L1019" s="19" t="s">
        <v>2430</v>
      </c>
    </row>
    <row r="1020">
      <c r="A1020" s="10">
        <v>296.0</v>
      </c>
      <c r="B1020" s="11" t="s">
        <v>2431</v>
      </c>
      <c r="C1020" s="12">
        <v>33.0</v>
      </c>
      <c r="D1020" s="11" t="s">
        <v>195</v>
      </c>
      <c r="E1020" s="11" t="s">
        <v>17</v>
      </c>
      <c r="F1020" s="11" t="s">
        <v>136</v>
      </c>
      <c r="G1020" s="11" t="s">
        <v>1898</v>
      </c>
      <c r="H1020" s="12" t="s">
        <v>19</v>
      </c>
      <c r="I1020" s="11" t="s">
        <v>195</v>
      </c>
      <c r="J1020" s="11" t="s">
        <v>21</v>
      </c>
      <c r="K1020" s="13"/>
      <c r="L1020" s="14" t="s">
        <v>2432</v>
      </c>
    </row>
    <row r="1021">
      <c r="A1021" s="15">
        <v>1472.0</v>
      </c>
      <c r="B1021" s="16" t="s">
        <v>2433</v>
      </c>
      <c r="C1021" s="17">
        <v>24.0</v>
      </c>
      <c r="D1021" s="16" t="s">
        <v>253</v>
      </c>
      <c r="E1021" s="16" t="s">
        <v>17</v>
      </c>
      <c r="F1021" s="16" t="s">
        <v>478</v>
      </c>
      <c r="G1021" s="16" t="s">
        <v>1305</v>
      </c>
      <c r="H1021" s="17" t="s">
        <v>19</v>
      </c>
      <c r="I1021" s="16" t="s">
        <v>195</v>
      </c>
      <c r="J1021" s="16" t="s">
        <v>1139</v>
      </c>
      <c r="K1021" s="18"/>
      <c r="L1021" s="19" t="s">
        <v>2434</v>
      </c>
    </row>
    <row r="1022">
      <c r="A1022" s="10">
        <v>293.0</v>
      </c>
      <c r="B1022" s="11" t="s">
        <v>2435</v>
      </c>
      <c r="C1022" s="12">
        <v>33.0</v>
      </c>
      <c r="D1022" s="11" t="s">
        <v>195</v>
      </c>
      <c r="E1022" s="11" t="s">
        <v>17</v>
      </c>
      <c r="F1022" s="11" t="s">
        <v>136</v>
      </c>
      <c r="G1022" s="11" t="s">
        <v>1898</v>
      </c>
      <c r="H1022" s="12" t="s">
        <v>19</v>
      </c>
      <c r="I1022" s="11" t="s">
        <v>195</v>
      </c>
      <c r="J1022" s="11" t="s">
        <v>21</v>
      </c>
      <c r="K1022" s="13"/>
      <c r="L1022" s="14" t="s">
        <v>2436</v>
      </c>
    </row>
    <row r="1023">
      <c r="A1023" s="15">
        <v>1588.0</v>
      </c>
      <c r="B1023" s="16" t="s">
        <v>2437</v>
      </c>
      <c r="C1023" s="17">
        <v>20.0</v>
      </c>
      <c r="D1023" s="16" t="s">
        <v>2438</v>
      </c>
      <c r="E1023" s="16" t="s">
        <v>17</v>
      </c>
      <c r="F1023" s="16" t="s">
        <v>478</v>
      </c>
      <c r="G1023" s="16" t="s">
        <v>479</v>
      </c>
      <c r="H1023" s="17" t="s">
        <v>19</v>
      </c>
      <c r="I1023" s="16" t="s">
        <v>195</v>
      </c>
      <c r="J1023" s="16" t="s">
        <v>1139</v>
      </c>
      <c r="K1023" s="18"/>
      <c r="L1023" s="19" t="s">
        <v>2439</v>
      </c>
    </row>
    <row r="1024">
      <c r="A1024" s="10">
        <v>311.0</v>
      </c>
      <c r="B1024" s="11" t="s">
        <v>2440</v>
      </c>
      <c r="C1024" s="12">
        <v>37.0</v>
      </c>
      <c r="D1024" s="11" t="s">
        <v>195</v>
      </c>
      <c r="E1024" s="11" t="s">
        <v>17</v>
      </c>
      <c r="F1024" s="11" t="s">
        <v>136</v>
      </c>
      <c r="G1024" s="11" t="s">
        <v>1012</v>
      </c>
      <c r="H1024" s="12" t="s">
        <v>19</v>
      </c>
      <c r="I1024" s="11" t="s">
        <v>195</v>
      </c>
      <c r="J1024" s="11" t="s">
        <v>21</v>
      </c>
      <c r="K1024" s="13"/>
      <c r="L1024" s="14" t="s">
        <v>2441</v>
      </c>
    </row>
    <row r="1025">
      <c r="A1025" s="15">
        <v>370.0</v>
      </c>
      <c r="B1025" s="16" t="s">
        <v>2442</v>
      </c>
      <c r="C1025" s="17">
        <v>22.0</v>
      </c>
      <c r="D1025" s="16" t="s">
        <v>2443</v>
      </c>
      <c r="E1025" s="16" t="s">
        <v>17</v>
      </c>
      <c r="F1025" s="16" t="s">
        <v>478</v>
      </c>
      <c r="G1025" s="16" t="s">
        <v>479</v>
      </c>
      <c r="H1025" s="17" t="s">
        <v>19</v>
      </c>
      <c r="I1025" s="16" t="s">
        <v>195</v>
      </c>
      <c r="J1025" s="16" t="s">
        <v>1139</v>
      </c>
      <c r="K1025" s="18"/>
      <c r="L1025" s="19" t="s">
        <v>2444</v>
      </c>
    </row>
    <row r="1026">
      <c r="A1026" s="10">
        <v>1710.0</v>
      </c>
      <c r="B1026" s="11" t="s">
        <v>2445</v>
      </c>
      <c r="C1026" s="12">
        <v>27.0</v>
      </c>
      <c r="D1026" s="11" t="s">
        <v>2446</v>
      </c>
      <c r="E1026" s="11" t="s">
        <v>17</v>
      </c>
      <c r="F1026" s="11" t="s">
        <v>478</v>
      </c>
      <c r="G1026" s="11" t="s">
        <v>1305</v>
      </c>
      <c r="H1026" s="12" t="s">
        <v>19</v>
      </c>
      <c r="I1026" s="11" t="s">
        <v>195</v>
      </c>
      <c r="J1026" s="11" t="s">
        <v>1139</v>
      </c>
      <c r="K1026" s="13"/>
      <c r="L1026" s="14" t="s">
        <v>2447</v>
      </c>
    </row>
    <row r="1027">
      <c r="A1027" s="15">
        <v>297.0</v>
      </c>
      <c r="B1027" s="16" t="s">
        <v>2448</v>
      </c>
      <c r="C1027" s="17">
        <v>30.0</v>
      </c>
      <c r="D1027" s="16" t="s">
        <v>2449</v>
      </c>
      <c r="E1027" s="16" t="s">
        <v>17</v>
      </c>
      <c r="F1027" s="16" t="s">
        <v>478</v>
      </c>
      <c r="G1027" s="16" t="s">
        <v>1305</v>
      </c>
      <c r="H1027" s="17" t="s">
        <v>19</v>
      </c>
      <c r="I1027" s="16" t="s">
        <v>195</v>
      </c>
      <c r="J1027" s="16" t="s">
        <v>1139</v>
      </c>
      <c r="K1027" s="18"/>
      <c r="L1027" s="19" t="s">
        <v>2450</v>
      </c>
    </row>
    <row r="1028">
      <c r="A1028" s="10">
        <v>327.0</v>
      </c>
      <c r="B1028" s="11" t="s">
        <v>2451</v>
      </c>
      <c r="C1028" s="12">
        <v>50.0</v>
      </c>
      <c r="D1028" s="11" t="s">
        <v>195</v>
      </c>
      <c r="E1028" s="11" t="s">
        <v>17</v>
      </c>
      <c r="F1028" s="11" t="s">
        <v>136</v>
      </c>
      <c r="G1028" s="11" t="s">
        <v>1738</v>
      </c>
      <c r="H1028" s="12" t="s">
        <v>19</v>
      </c>
      <c r="I1028" s="11" t="s">
        <v>195</v>
      </c>
      <c r="J1028" s="11" t="s">
        <v>21</v>
      </c>
      <c r="K1028" s="13"/>
      <c r="L1028" s="14" t="s">
        <v>2452</v>
      </c>
    </row>
    <row r="1029">
      <c r="A1029" s="15">
        <v>328.0</v>
      </c>
      <c r="B1029" s="16" t="s">
        <v>2453</v>
      </c>
      <c r="C1029" s="17">
        <v>35.0</v>
      </c>
      <c r="D1029" s="16" t="s">
        <v>257</v>
      </c>
      <c r="E1029" s="16" t="s">
        <v>17</v>
      </c>
      <c r="F1029" s="16" t="s">
        <v>1809</v>
      </c>
      <c r="G1029" s="16" t="s">
        <v>1898</v>
      </c>
      <c r="H1029" s="17" t="s">
        <v>19</v>
      </c>
      <c r="I1029" s="16" t="s">
        <v>195</v>
      </c>
      <c r="J1029" s="16" t="s">
        <v>1139</v>
      </c>
      <c r="K1029" s="18"/>
      <c r="L1029" s="19" t="s">
        <v>2454</v>
      </c>
    </row>
    <row r="1030">
      <c r="A1030" s="10">
        <v>329.0</v>
      </c>
      <c r="B1030" s="11" t="s">
        <v>2455</v>
      </c>
      <c r="C1030" s="12">
        <v>23.0</v>
      </c>
      <c r="D1030" s="11" t="s">
        <v>2456</v>
      </c>
      <c r="E1030" s="11" t="s">
        <v>17</v>
      </c>
      <c r="F1030" s="11" t="s">
        <v>478</v>
      </c>
      <c r="G1030" s="11" t="s">
        <v>1012</v>
      </c>
      <c r="H1030" s="12" t="s">
        <v>19</v>
      </c>
      <c r="I1030" s="11" t="s">
        <v>195</v>
      </c>
      <c r="J1030" s="11" t="s">
        <v>1139</v>
      </c>
      <c r="K1030" s="13"/>
      <c r="L1030" s="14" t="s">
        <v>2457</v>
      </c>
    </row>
    <row r="1031">
      <c r="A1031" s="15">
        <v>343.0</v>
      </c>
      <c r="B1031" s="16" t="s">
        <v>2458</v>
      </c>
      <c r="C1031" s="17">
        <v>29.0</v>
      </c>
      <c r="D1031" s="16" t="s">
        <v>195</v>
      </c>
      <c r="E1031" s="16" t="s">
        <v>17</v>
      </c>
      <c r="F1031" s="16" t="s">
        <v>18</v>
      </c>
      <c r="G1031" s="18"/>
      <c r="H1031" s="17" t="s">
        <v>19</v>
      </c>
      <c r="I1031" s="16" t="s">
        <v>195</v>
      </c>
      <c r="J1031" s="16" t="s">
        <v>21</v>
      </c>
      <c r="K1031" s="18"/>
      <c r="L1031" s="19" t="s">
        <v>2459</v>
      </c>
    </row>
    <row r="1032">
      <c r="A1032" s="10">
        <v>1571.0</v>
      </c>
      <c r="B1032" s="11" t="s">
        <v>2460</v>
      </c>
      <c r="C1032" s="12">
        <v>21.0</v>
      </c>
      <c r="D1032" s="11" t="s">
        <v>988</v>
      </c>
      <c r="E1032" s="11" t="s">
        <v>17</v>
      </c>
      <c r="F1032" s="11" t="s">
        <v>478</v>
      </c>
      <c r="G1032" s="11" t="s">
        <v>1012</v>
      </c>
      <c r="H1032" s="12" t="s">
        <v>19</v>
      </c>
      <c r="I1032" s="11" t="s">
        <v>195</v>
      </c>
      <c r="J1032" s="11" t="s">
        <v>1139</v>
      </c>
      <c r="K1032" s="13"/>
      <c r="L1032" s="14" t="s">
        <v>2461</v>
      </c>
    </row>
    <row r="1033">
      <c r="A1033" s="15">
        <v>290.0</v>
      </c>
      <c r="B1033" s="16" t="s">
        <v>2462</v>
      </c>
      <c r="C1033" s="17">
        <v>39.0</v>
      </c>
      <c r="D1033" s="16" t="s">
        <v>195</v>
      </c>
      <c r="E1033" s="16" t="s">
        <v>17</v>
      </c>
      <c r="F1033" s="16" t="s">
        <v>136</v>
      </c>
      <c r="G1033" s="16" t="s">
        <v>1898</v>
      </c>
      <c r="H1033" s="17" t="s">
        <v>19</v>
      </c>
      <c r="I1033" s="16" t="s">
        <v>195</v>
      </c>
      <c r="J1033" s="16" t="s">
        <v>21</v>
      </c>
      <c r="K1033" s="18"/>
      <c r="L1033" s="19" t="s">
        <v>2463</v>
      </c>
    </row>
    <row r="1034">
      <c r="A1034" s="10">
        <v>225.0</v>
      </c>
      <c r="B1034" s="11" t="s">
        <v>2464</v>
      </c>
      <c r="C1034" s="12">
        <v>22.0</v>
      </c>
      <c r="D1034" s="11" t="s">
        <v>337</v>
      </c>
      <c r="E1034" s="11" t="s">
        <v>17</v>
      </c>
      <c r="F1034" s="11" t="s">
        <v>478</v>
      </c>
      <c r="G1034" s="11" t="s">
        <v>143</v>
      </c>
      <c r="H1034" s="12" t="s">
        <v>19</v>
      </c>
      <c r="I1034" s="11" t="s">
        <v>195</v>
      </c>
      <c r="J1034" s="11" t="s">
        <v>1139</v>
      </c>
      <c r="K1034" s="13"/>
      <c r="L1034" s="14" t="s">
        <v>2465</v>
      </c>
    </row>
    <row r="1035">
      <c r="A1035" s="15">
        <v>1711.0</v>
      </c>
      <c r="B1035" s="16" t="s">
        <v>2466</v>
      </c>
      <c r="C1035" s="17">
        <v>23.0</v>
      </c>
      <c r="D1035" s="16" t="s">
        <v>299</v>
      </c>
      <c r="E1035" s="16" t="s">
        <v>17</v>
      </c>
      <c r="F1035" s="16" t="s">
        <v>478</v>
      </c>
      <c r="G1035" s="16" t="s">
        <v>1012</v>
      </c>
      <c r="H1035" s="17" t="s">
        <v>19</v>
      </c>
      <c r="I1035" s="16" t="s">
        <v>195</v>
      </c>
      <c r="J1035" s="16" t="s">
        <v>1139</v>
      </c>
      <c r="K1035" s="18"/>
      <c r="L1035" s="19" t="s">
        <v>2467</v>
      </c>
    </row>
    <row r="1036">
      <c r="A1036" s="10">
        <v>319.0</v>
      </c>
      <c r="B1036" s="11" t="s">
        <v>2468</v>
      </c>
      <c r="C1036" s="12">
        <v>24.0</v>
      </c>
      <c r="D1036" s="11" t="s">
        <v>2469</v>
      </c>
      <c r="E1036" s="11" t="s">
        <v>17</v>
      </c>
      <c r="F1036" s="11" t="s">
        <v>478</v>
      </c>
      <c r="G1036" s="11" t="s">
        <v>1012</v>
      </c>
      <c r="H1036" s="12" t="s">
        <v>19</v>
      </c>
      <c r="I1036" s="11" t="s">
        <v>195</v>
      </c>
      <c r="J1036" s="11" t="s">
        <v>1139</v>
      </c>
      <c r="K1036" s="13"/>
      <c r="L1036" s="14" t="s">
        <v>2470</v>
      </c>
    </row>
    <row r="1037">
      <c r="A1037" s="15">
        <v>337.0</v>
      </c>
      <c r="B1037" s="16" t="s">
        <v>2471</v>
      </c>
      <c r="C1037" s="17">
        <v>44.0</v>
      </c>
      <c r="D1037" s="16" t="s">
        <v>195</v>
      </c>
      <c r="E1037" s="16" t="s">
        <v>17</v>
      </c>
      <c r="F1037" s="16" t="s">
        <v>136</v>
      </c>
      <c r="G1037" s="16" t="s">
        <v>1305</v>
      </c>
      <c r="H1037" s="17" t="s">
        <v>19</v>
      </c>
      <c r="I1037" s="16" t="s">
        <v>195</v>
      </c>
      <c r="J1037" s="16" t="s">
        <v>21</v>
      </c>
      <c r="K1037" s="18"/>
      <c r="L1037" s="19" t="s">
        <v>2472</v>
      </c>
    </row>
    <row r="1038">
      <c r="A1038" s="10">
        <v>334.0</v>
      </c>
      <c r="B1038" s="11" t="s">
        <v>2473</v>
      </c>
      <c r="C1038" s="12">
        <v>29.0</v>
      </c>
      <c r="D1038" s="11" t="s">
        <v>2474</v>
      </c>
      <c r="E1038" s="11" t="s">
        <v>17</v>
      </c>
      <c r="F1038" s="11" t="s">
        <v>478</v>
      </c>
      <c r="G1038" s="11" t="s">
        <v>1305</v>
      </c>
      <c r="H1038" s="12" t="s">
        <v>19</v>
      </c>
      <c r="I1038" s="11" t="s">
        <v>195</v>
      </c>
      <c r="J1038" s="11" t="s">
        <v>1139</v>
      </c>
      <c r="K1038" s="13"/>
      <c r="L1038" s="14" t="s">
        <v>2475</v>
      </c>
    </row>
    <row r="1039">
      <c r="A1039" s="15">
        <v>1707.0</v>
      </c>
      <c r="B1039" s="16" t="s">
        <v>2476</v>
      </c>
      <c r="C1039" s="17">
        <v>20.0</v>
      </c>
      <c r="D1039" s="16" t="s">
        <v>2477</v>
      </c>
      <c r="E1039" s="16" t="s">
        <v>17</v>
      </c>
      <c r="F1039" s="16" t="s">
        <v>478</v>
      </c>
      <c r="G1039" s="16" t="s">
        <v>479</v>
      </c>
      <c r="H1039" s="17" t="s">
        <v>19</v>
      </c>
      <c r="I1039" s="16" t="s">
        <v>1889</v>
      </c>
      <c r="J1039" s="16" t="s">
        <v>1139</v>
      </c>
      <c r="K1039" s="18"/>
      <c r="L1039" s="19" t="s">
        <v>2478</v>
      </c>
    </row>
    <row r="1040">
      <c r="A1040" s="10">
        <v>1439.0</v>
      </c>
      <c r="B1040" s="11" t="s">
        <v>2479</v>
      </c>
      <c r="C1040" s="12">
        <v>21.0</v>
      </c>
      <c r="D1040" s="11" t="s">
        <v>2480</v>
      </c>
      <c r="E1040" s="11" t="s">
        <v>17</v>
      </c>
      <c r="F1040" s="11" t="s">
        <v>478</v>
      </c>
      <c r="G1040" s="11" t="s">
        <v>479</v>
      </c>
      <c r="H1040" s="12" t="s">
        <v>19</v>
      </c>
      <c r="I1040" s="11" t="s">
        <v>1776</v>
      </c>
      <c r="J1040" s="11" t="s">
        <v>1139</v>
      </c>
      <c r="K1040" s="13"/>
      <c r="L1040" s="14" t="s">
        <v>2481</v>
      </c>
    </row>
    <row r="1041">
      <c r="A1041" s="15">
        <v>287.0</v>
      </c>
      <c r="B1041" s="16" t="s">
        <v>2482</v>
      </c>
      <c r="C1041" s="17">
        <v>33.0</v>
      </c>
      <c r="D1041" s="16" t="s">
        <v>1889</v>
      </c>
      <c r="E1041" s="16" t="s">
        <v>17</v>
      </c>
      <c r="F1041" s="16" t="s">
        <v>136</v>
      </c>
      <c r="G1041" s="16" t="s">
        <v>1738</v>
      </c>
      <c r="H1041" s="17" t="s">
        <v>19</v>
      </c>
      <c r="I1041" s="16" t="s">
        <v>1889</v>
      </c>
      <c r="J1041" s="16" t="s">
        <v>21</v>
      </c>
      <c r="K1041" s="18"/>
      <c r="L1041" s="19" t="s">
        <v>2483</v>
      </c>
    </row>
    <row r="1042">
      <c r="A1042" s="10">
        <v>283.0</v>
      </c>
      <c r="B1042" s="11" t="s">
        <v>2484</v>
      </c>
      <c r="C1042" s="12">
        <v>31.0</v>
      </c>
      <c r="D1042" s="11" t="s">
        <v>1889</v>
      </c>
      <c r="E1042" s="11" t="s">
        <v>17</v>
      </c>
      <c r="F1042" s="11" t="s">
        <v>136</v>
      </c>
      <c r="G1042" s="11" t="s">
        <v>1738</v>
      </c>
      <c r="H1042" s="12" t="s">
        <v>19</v>
      </c>
      <c r="I1042" s="11" t="s">
        <v>1889</v>
      </c>
      <c r="J1042" s="11" t="s">
        <v>21</v>
      </c>
      <c r="K1042" s="13"/>
      <c r="L1042" s="14" t="s">
        <v>2485</v>
      </c>
    </row>
    <row r="1043">
      <c r="A1043" s="15">
        <v>285.0</v>
      </c>
      <c r="B1043" s="16" t="s">
        <v>2486</v>
      </c>
      <c r="C1043" s="17">
        <v>23.0</v>
      </c>
      <c r="D1043" s="16" t="s">
        <v>2487</v>
      </c>
      <c r="E1043" s="16" t="s">
        <v>17</v>
      </c>
      <c r="F1043" s="16" t="s">
        <v>478</v>
      </c>
      <c r="G1043" s="16" t="s">
        <v>1012</v>
      </c>
      <c r="H1043" s="17" t="s">
        <v>19</v>
      </c>
      <c r="I1043" s="16" t="s">
        <v>2488</v>
      </c>
      <c r="J1043" s="16" t="s">
        <v>1139</v>
      </c>
      <c r="K1043" s="18"/>
      <c r="L1043" s="19" t="s">
        <v>2489</v>
      </c>
    </row>
    <row r="1044">
      <c r="A1044" s="10">
        <v>284.0</v>
      </c>
      <c r="B1044" s="11" t="s">
        <v>2490</v>
      </c>
      <c r="C1044" s="12">
        <v>42.0</v>
      </c>
      <c r="D1044" s="11" t="s">
        <v>2491</v>
      </c>
      <c r="E1044" s="11" t="s">
        <v>17</v>
      </c>
      <c r="F1044" s="11" t="s">
        <v>478</v>
      </c>
      <c r="G1044" s="11" t="s">
        <v>1810</v>
      </c>
      <c r="H1044" s="12" t="s">
        <v>19</v>
      </c>
      <c r="I1044" s="11" t="s">
        <v>296</v>
      </c>
      <c r="J1044" s="11" t="s">
        <v>1139</v>
      </c>
      <c r="K1044" s="13"/>
      <c r="L1044" s="14" t="s">
        <v>2492</v>
      </c>
    </row>
    <row r="1045">
      <c r="A1045" s="15">
        <v>400.0</v>
      </c>
      <c r="B1045" s="16" t="s">
        <v>2493</v>
      </c>
      <c r="C1045" s="17">
        <v>51.0</v>
      </c>
      <c r="D1045" s="16" t="s">
        <v>2494</v>
      </c>
      <c r="E1045" s="16" t="s">
        <v>17</v>
      </c>
      <c r="F1045" s="16" t="s">
        <v>136</v>
      </c>
      <c r="G1045" s="16" t="s">
        <v>1898</v>
      </c>
      <c r="H1045" s="17" t="s">
        <v>19</v>
      </c>
      <c r="I1045" s="16" t="s">
        <v>2495</v>
      </c>
      <c r="J1045" s="16" t="s">
        <v>21</v>
      </c>
      <c r="K1045" s="18"/>
      <c r="L1045" s="19" t="s">
        <v>2496</v>
      </c>
    </row>
    <row r="1046">
      <c r="A1046" s="10">
        <v>399.0</v>
      </c>
      <c r="B1046" s="11" t="s">
        <v>2497</v>
      </c>
      <c r="C1046" s="12">
        <v>63.0</v>
      </c>
      <c r="D1046" s="11" t="s">
        <v>2494</v>
      </c>
      <c r="E1046" s="11" t="s">
        <v>17</v>
      </c>
      <c r="F1046" s="11" t="s">
        <v>136</v>
      </c>
      <c r="G1046" s="11" t="s">
        <v>1726</v>
      </c>
      <c r="H1046" s="12" t="s">
        <v>19</v>
      </c>
      <c r="I1046" s="11" t="s">
        <v>2494</v>
      </c>
      <c r="J1046" s="11" t="s">
        <v>21</v>
      </c>
      <c r="K1046" s="13"/>
      <c r="L1046" s="14" t="s">
        <v>2498</v>
      </c>
    </row>
    <row r="1047">
      <c r="A1047" s="15">
        <v>218.0</v>
      </c>
      <c r="B1047" s="16" t="s">
        <v>2499</v>
      </c>
      <c r="C1047" s="17">
        <v>26.0</v>
      </c>
      <c r="D1047" s="16" t="s">
        <v>89</v>
      </c>
      <c r="E1047" s="16" t="s">
        <v>17</v>
      </c>
      <c r="F1047" s="16" t="s">
        <v>478</v>
      </c>
      <c r="G1047" s="16" t="s">
        <v>1305</v>
      </c>
      <c r="H1047" s="17" t="s">
        <v>19</v>
      </c>
      <c r="I1047" s="16" t="s">
        <v>2069</v>
      </c>
      <c r="J1047" s="16" t="s">
        <v>1139</v>
      </c>
      <c r="K1047" s="18"/>
      <c r="L1047" s="19" t="s">
        <v>2500</v>
      </c>
    </row>
    <row r="1048">
      <c r="A1048" s="10">
        <v>1538.0</v>
      </c>
      <c r="B1048" s="11" t="s">
        <v>2501</v>
      </c>
      <c r="C1048" s="12">
        <v>20.0</v>
      </c>
      <c r="D1048" s="11" t="s">
        <v>337</v>
      </c>
      <c r="E1048" s="11" t="s">
        <v>17</v>
      </c>
      <c r="F1048" s="11" t="s">
        <v>478</v>
      </c>
      <c r="G1048" s="11" t="s">
        <v>479</v>
      </c>
      <c r="H1048" s="12" t="s">
        <v>19</v>
      </c>
      <c r="I1048" s="11" t="s">
        <v>1803</v>
      </c>
      <c r="J1048" s="11" t="s">
        <v>1139</v>
      </c>
      <c r="K1048" s="13"/>
      <c r="L1048" s="14" t="s">
        <v>2502</v>
      </c>
    </row>
    <row r="1049">
      <c r="A1049" s="15">
        <v>1508.0</v>
      </c>
      <c r="B1049" s="16" t="s">
        <v>2503</v>
      </c>
      <c r="C1049" s="17">
        <v>21.0</v>
      </c>
      <c r="D1049" s="16" t="s">
        <v>350</v>
      </c>
      <c r="E1049" s="16" t="s">
        <v>17</v>
      </c>
      <c r="F1049" s="16" t="s">
        <v>478</v>
      </c>
      <c r="G1049" s="16" t="s">
        <v>479</v>
      </c>
      <c r="H1049" s="17" t="s">
        <v>19</v>
      </c>
      <c r="I1049" s="16" t="s">
        <v>1803</v>
      </c>
      <c r="J1049" s="16" t="s">
        <v>1139</v>
      </c>
      <c r="K1049" s="18"/>
      <c r="L1049" s="19" t="s">
        <v>2504</v>
      </c>
    </row>
    <row r="1050">
      <c r="A1050" s="10">
        <v>423.0</v>
      </c>
      <c r="B1050" s="11" t="s">
        <v>2505</v>
      </c>
      <c r="C1050" s="12">
        <v>48.0</v>
      </c>
      <c r="D1050" s="11" t="s">
        <v>1477</v>
      </c>
      <c r="E1050" s="11" t="s">
        <v>17</v>
      </c>
      <c r="F1050" s="11" t="s">
        <v>136</v>
      </c>
      <c r="G1050" s="11" t="s">
        <v>1898</v>
      </c>
      <c r="H1050" s="12" t="s">
        <v>19</v>
      </c>
      <c r="I1050" s="11" t="s">
        <v>1477</v>
      </c>
      <c r="J1050" s="11" t="s">
        <v>21</v>
      </c>
      <c r="K1050" s="13"/>
      <c r="L1050" s="14" t="s">
        <v>2506</v>
      </c>
    </row>
    <row r="1051">
      <c r="A1051" s="15">
        <v>413.0</v>
      </c>
      <c r="B1051" s="16" t="s">
        <v>2507</v>
      </c>
      <c r="C1051" s="17">
        <v>38.0</v>
      </c>
      <c r="D1051" s="16" t="s">
        <v>1477</v>
      </c>
      <c r="E1051" s="16" t="s">
        <v>17</v>
      </c>
      <c r="F1051" s="16" t="s">
        <v>136</v>
      </c>
      <c r="G1051" s="16" t="s">
        <v>1898</v>
      </c>
      <c r="H1051" s="17" t="s">
        <v>19</v>
      </c>
      <c r="I1051" s="16" t="s">
        <v>1477</v>
      </c>
      <c r="J1051" s="16" t="s">
        <v>21</v>
      </c>
      <c r="K1051" s="18"/>
      <c r="L1051" s="19" t="s">
        <v>2508</v>
      </c>
    </row>
    <row r="1052">
      <c r="A1052" s="10">
        <v>265.0</v>
      </c>
      <c r="B1052" s="11" t="s">
        <v>2509</v>
      </c>
      <c r="C1052" s="12">
        <v>20.0</v>
      </c>
      <c r="D1052" s="11" t="s">
        <v>2219</v>
      </c>
      <c r="E1052" s="11" t="s">
        <v>17</v>
      </c>
      <c r="F1052" s="11" t="s">
        <v>478</v>
      </c>
      <c r="G1052" s="11" t="s">
        <v>479</v>
      </c>
      <c r="H1052" s="12" t="s">
        <v>19</v>
      </c>
      <c r="I1052" s="11" t="s">
        <v>2069</v>
      </c>
      <c r="J1052" s="11" t="s">
        <v>1139</v>
      </c>
      <c r="K1052" s="13"/>
      <c r="L1052" s="14" t="s">
        <v>2510</v>
      </c>
    </row>
    <row r="1053">
      <c r="A1053" s="15">
        <v>651.0</v>
      </c>
      <c r="B1053" s="16" t="s">
        <v>2511</v>
      </c>
      <c r="C1053" s="17">
        <v>61.0</v>
      </c>
      <c r="D1053" s="16" t="s">
        <v>135</v>
      </c>
      <c r="E1053" s="16" t="s">
        <v>17</v>
      </c>
      <c r="F1053" s="16" t="s">
        <v>136</v>
      </c>
      <c r="G1053" s="16" t="s">
        <v>1898</v>
      </c>
      <c r="H1053" s="17" t="s">
        <v>19</v>
      </c>
      <c r="I1053" s="16" t="s">
        <v>135</v>
      </c>
      <c r="J1053" s="16" t="s">
        <v>21</v>
      </c>
      <c r="K1053" s="18"/>
      <c r="L1053" s="19" t="s">
        <v>2512</v>
      </c>
    </row>
    <row r="1054">
      <c r="A1054" s="10">
        <v>650.0</v>
      </c>
      <c r="B1054" s="11" t="s">
        <v>2513</v>
      </c>
      <c r="C1054" s="12">
        <v>28.0</v>
      </c>
      <c r="D1054" s="11" t="s">
        <v>135</v>
      </c>
      <c r="E1054" s="11" t="s">
        <v>17</v>
      </c>
      <c r="F1054" s="11" t="s">
        <v>136</v>
      </c>
      <c r="G1054" s="11" t="s">
        <v>143</v>
      </c>
      <c r="H1054" s="12" t="s">
        <v>19</v>
      </c>
      <c r="I1054" s="11" t="s">
        <v>135</v>
      </c>
      <c r="J1054" s="11" t="s">
        <v>21</v>
      </c>
      <c r="K1054" s="13"/>
      <c r="L1054" s="14" t="s">
        <v>2514</v>
      </c>
    </row>
    <row r="1055">
      <c r="A1055" s="15">
        <v>653.0</v>
      </c>
      <c r="B1055" s="16" t="s">
        <v>2515</v>
      </c>
      <c r="C1055" s="17">
        <v>41.0</v>
      </c>
      <c r="D1055" s="16" t="s">
        <v>135</v>
      </c>
      <c r="E1055" s="16" t="s">
        <v>17</v>
      </c>
      <c r="F1055" s="16" t="s">
        <v>136</v>
      </c>
      <c r="G1055" s="18"/>
      <c r="H1055" s="17" t="s">
        <v>19</v>
      </c>
      <c r="I1055" s="16" t="s">
        <v>135</v>
      </c>
      <c r="J1055" s="16" t="s">
        <v>21</v>
      </c>
      <c r="K1055" s="18"/>
      <c r="L1055" s="19" t="s">
        <v>2516</v>
      </c>
    </row>
    <row r="1056">
      <c r="A1056" s="10">
        <v>660.0</v>
      </c>
      <c r="B1056" s="11" t="s">
        <v>2517</v>
      </c>
      <c r="C1056" s="12">
        <v>51.0</v>
      </c>
      <c r="D1056" s="11" t="s">
        <v>135</v>
      </c>
      <c r="E1056" s="11" t="s">
        <v>17</v>
      </c>
      <c r="F1056" s="11" t="s">
        <v>136</v>
      </c>
      <c r="G1056" s="11" t="s">
        <v>1738</v>
      </c>
      <c r="H1056" s="12" t="s">
        <v>19</v>
      </c>
      <c r="I1056" s="11" t="s">
        <v>135</v>
      </c>
      <c r="J1056" s="11" t="s">
        <v>21</v>
      </c>
      <c r="K1056" s="13"/>
      <c r="L1056" s="14" t="s">
        <v>2518</v>
      </c>
    </row>
    <row r="1057">
      <c r="A1057" s="15">
        <v>546.0</v>
      </c>
      <c r="B1057" s="16" t="s">
        <v>2519</v>
      </c>
      <c r="C1057" s="17">
        <v>49.0</v>
      </c>
      <c r="D1057" s="16" t="s">
        <v>176</v>
      </c>
      <c r="E1057" s="16" t="s">
        <v>17</v>
      </c>
      <c r="F1057" s="16" t="s">
        <v>136</v>
      </c>
      <c r="G1057" s="18"/>
      <c r="H1057" s="17" t="s">
        <v>19</v>
      </c>
      <c r="I1057" s="16" t="s">
        <v>176</v>
      </c>
      <c r="J1057" s="16" t="s">
        <v>21</v>
      </c>
      <c r="K1057" s="18"/>
      <c r="L1057" s="19" t="s">
        <v>2520</v>
      </c>
    </row>
    <row r="1058">
      <c r="A1058" s="10">
        <v>535.0</v>
      </c>
      <c r="B1058" s="11" t="s">
        <v>2521</v>
      </c>
      <c r="C1058" s="12">
        <v>19.0</v>
      </c>
      <c r="D1058" s="11" t="s">
        <v>2522</v>
      </c>
      <c r="E1058" s="11" t="s">
        <v>17</v>
      </c>
      <c r="F1058" s="11" t="s">
        <v>478</v>
      </c>
      <c r="G1058" s="11" t="s">
        <v>689</v>
      </c>
      <c r="H1058" s="12" t="s">
        <v>19</v>
      </c>
      <c r="I1058" s="11" t="s">
        <v>2523</v>
      </c>
      <c r="J1058" s="11" t="s">
        <v>1139</v>
      </c>
      <c r="K1058" s="13"/>
      <c r="L1058" s="14" t="s">
        <v>2524</v>
      </c>
    </row>
    <row r="1059">
      <c r="A1059" s="15">
        <v>536.0</v>
      </c>
      <c r="B1059" s="16" t="s">
        <v>2525</v>
      </c>
      <c r="C1059" s="17">
        <v>47.0</v>
      </c>
      <c r="D1059" s="16" t="s">
        <v>1113</v>
      </c>
      <c r="E1059" s="16" t="s">
        <v>17</v>
      </c>
      <c r="F1059" s="16" t="s">
        <v>1601</v>
      </c>
      <c r="G1059" s="16" t="s">
        <v>1726</v>
      </c>
      <c r="H1059" s="17" t="s">
        <v>19</v>
      </c>
      <c r="I1059" s="16" t="s">
        <v>2523</v>
      </c>
      <c r="J1059" s="16" t="s">
        <v>57</v>
      </c>
      <c r="K1059" s="18"/>
      <c r="L1059" s="19" t="s">
        <v>2526</v>
      </c>
    </row>
    <row r="1060">
      <c r="A1060" s="10">
        <v>1551.0</v>
      </c>
      <c r="B1060" s="11" t="s">
        <v>2527</v>
      </c>
      <c r="C1060" s="12">
        <v>21.0</v>
      </c>
      <c r="D1060" s="11" t="s">
        <v>2528</v>
      </c>
      <c r="E1060" s="11" t="s">
        <v>17</v>
      </c>
      <c r="F1060" s="11" t="s">
        <v>478</v>
      </c>
      <c r="G1060" s="11" t="s">
        <v>479</v>
      </c>
      <c r="H1060" s="12" t="s">
        <v>19</v>
      </c>
      <c r="I1060" s="11" t="s">
        <v>191</v>
      </c>
      <c r="J1060" s="11" t="s">
        <v>1139</v>
      </c>
      <c r="K1060" s="13"/>
      <c r="L1060" s="14" t="s">
        <v>2529</v>
      </c>
    </row>
    <row r="1061">
      <c r="A1061" s="15">
        <v>1664.0</v>
      </c>
      <c r="B1061" s="16" t="s">
        <v>2530</v>
      </c>
      <c r="C1061" s="17">
        <v>20.0</v>
      </c>
      <c r="D1061" s="16" t="s">
        <v>651</v>
      </c>
      <c r="E1061" s="16" t="s">
        <v>17</v>
      </c>
      <c r="F1061" s="16" t="s">
        <v>478</v>
      </c>
      <c r="G1061" s="16" t="s">
        <v>479</v>
      </c>
      <c r="H1061" s="17" t="s">
        <v>19</v>
      </c>
      <c r="I1061" s="16" t="s">
        <v>1564</v>
      </c>
      <c r="J1061" s="16" t="s">
        <v>1139</v>
      </c>
      <c r="K1061" s="18"/>
      <c r="L1061" s="19" t="s">
        <v>2531</v>
      </c>
    </row>
    <row r="1062">
      <c r="A1062" s="10">
        <v>661.0</v>
      </c>
      <c r="B1062" s="11" t="s">
        <v>2532</v>
      </c>
      <c r="C1062" s="12">
        <v>24.0</v>
      </c>
      <c r="D1062" s="11" t="s">
        <v>508</v>
      </c>
      <c r="E1062" s="11" t="s">
        <v>17</v>
      </c>
      <c r="F1062" s="11" t="s">
        <v>18</v>
      </c>
      <c r="G1062" s="13"/>
      <c r="H1062" s="12" t="s">
        <v>19</v>
      </c>
      <c r="I1062" s="11" t="s">
        <v>1564</v>
      </c>
      <c r="J1062" s="11" t="s">
        <v>21</v>
      </c>
      <c r="K1062" s="13"/>
      <c r="L1062" s="14" t="s">
        <v>2533</v>
      </c>
    </row>
    <row r="1063">
      <c r="A1063" s="15">
        <v>1665.0</v>
      </c>
      <c r="B1063" s="16" t="s">
        <v>2534</v>
      </c>
      <c r="C1063" s="17">
        <v>19.0</v>
      </c>
      <c r="D1063" s="16" t="s">
        <v>100</v>
      </c>
      <c r="E1063" s="16" t="s">
        <v>17</v>
      </c>
      <c r="F1063" s="16" t="s">
        <v>478</v>
      </c>
      <c r="G1063" s="16" t="s">
        <v>689</v>
      </c>
      <c r="H1063" s="17" t="s">
        <v>19</v>
      </c>
      <c r="I1063" s="16" t="s">
        <v>1564</v>
      </c>
      <c r="J1063" s="16" t="s">
        <v>1139</v>
      </c>
      <c r="K1063" s="18"/>
      <c r="L1063" s="19" t="s">
        <v>2535</v>
      </c>
    </row>
    <row r="1064">
      <c r="A1064" s="10">
        <v>1668.0</v>
      </c>
      <c r="B1064" s="11" t="s">
        <v>2536</v>
      </c>
      <c r="C1064" s="12">
        <v>41.0</v>
      </c>
      <c r="D1064" s="11" t="s">
        <v>274</v>
      </c>
      <c r="E1064" s="11" t="s">
        <v>17</v>
      </c>
      <c r="F1064" s="11" t="s">
        <v>478</v>
      </c>
      <c r="G1064" s="11" t="s">
        <v>1810</v>
      </c>
      <c r="H1064" s="12" t="s">
        <v>19</v>
      </c>
      <c r="I1064" s="11" t="s">
        <v>1564</v>
      </c>
      <c r="J1064" s="11" t="s">
        <v>1139</v>
      </c>
      <c r="K1064" s="13"/>
      <c r="L1064" s="14" t="s">
        <v>2537</v>
      </c>
    </row>
    <row r="1065">
      <c r="A1065" s="15">
        <v>1190.0</v>
      </c>
      <c r="B1065" s="16" t="s">
        <v>2538</v>
      </c>
      <c r="C1065" s="17">
        <v>38.0</v>
      </c>
      <c r="D1065" s="16" t="s">
        <v>281</v>
      </c>
      <c r="E1065" s="16" t="s">
        <v>17</v>
      </c>
      <c r="F1065" s="16" t="s">
        <v>1601</v>
      </c>
      <c r="G1065" s="16" t="s">
        <v>1138</v>
      </c>
      <c r="H1065" s="17" t="s">
        <v>19</v>
      </c>
      <c r="I1065" s="16" t="s">
        <v>594</v>
      </c>
      <c r="J1065" s="16" t="s">
        <v>57</v>
      </c>
      <c r="K1065" s="16" t="s">
        <v>53</v>
      </c>
      <c r="L1065" s="19" t="s">
        <v>2539</v>
      </c>
    </row>
    <row r="1066">
      <c r="A1066" s="10">
        <v>1175.0</v>
      </c>
      <c r="B1066" s="11" t="s">
        <v>2540</v>
      </c>
      <c r="C1066" s="12">
        <v>57.0</v>
      </c>
      <c r="D1066" s="11" t="s">
        <v>1573</v>
      </c>
      <c r="E1066" s="11" t="s">
        <v>17</v>
      </c>
      <c r="F1066" s="11" t="s">
        <v>136</v>
      </c>
      <c r="G1066" s="11" t="s">
        <v>1305</v>
      </c>
      <c r="H1066" s="12" t="s">
        <v>19</v>
      </c>
      <c r="I1066" s="11" t="s">
        <v>1573</v>
      </c>
      <c r="J1066" s="11" t="s">
        <v>21</v>
      </c>
      <c r="K1066" s="13"/>
      <c r="L1066" s="14" t="s">
        <v>2541</v>
      </c>
    </row>
    <row r="1067">
      <c r="A1067" s="15">
        <v>1574.0</v>
      </c>
      <c r="B1067" s="16" t="s">
        <v>2542</v>
      </c>
      <c r="C1067" s="17">
        <v>21.0</v>
      </c>
      <c r="D1067" s="16" t="s">
        <v>2543</v>
      </c>
      <c r="E1067" s="16" t="s">
        <v>17</v>
      </c>
      <c r="F1067" s="16" t="s">
        <v>478</v>
      </c>
      <c r="G1067" s="16" t="s">
        <v>479</v>
      </c>
      <c r="H1067" s="17" t="s">
        <v>19</v>
      </c>
      <c r="I1067" s="16" t="s">
        <v>1787</v>
      </c>
      <c r="J1067" s="16" t="s">
        <v>1139</v>
      </c>
      <c r="K1067" s="18"/>
      <c r="L1067" s="19" t="s">
        <v>2544</v>
      </c>
    </row>
    <row r="1068">
      <c r="A1068" s="10">
        <v>1713.0</v>
      </c>
      <c r="B1068" s="11" t="s">
        <v>2545</v>
      </c>
      <c r="C1068" s="12">
        <v>22.0</v>
      </c>
      <c r="D1068" s="11" t="s">
        <v>2546</v>
      </c>
      <c r="E1068" s="11" t="s">
        <v>17</v>
      </c>
      <c r="F1068" s="11" t="s">
        <v>478</v>
      </c>
      <c r="G1068" s="11" t="s">
        <v>1012</v>
      </c>
      <c r="H1068" s="12" t="s">
        <v>19</v>
      </c>
      <c r="I1068" s="11" t="s">
        <v>1787</v>
      </c>
      <c r="J1068" s="11" t="s">
        <v>1139</v>
      </c>
      <c r="K1068" s="13"/>
      <c r="L1068" s="14" t="s">
        <v>2547</v>
      </c>
    </row>
    <row r="1069">
      <c r="A1069" s="15">
        <v>204.0</v>
      </c>
      <c r="B1069" s="16" t="s">
        <v>2548</v>
      </c>
      <c r="C1069" s="17">
        <v>57.0</v>
      </c>
      <c r="D1069" s="16" t="s">
        <v>1576</v>
      </c>
      <c r="E1069" s="16" t="s">
        <v>17</v>
      </c>
      <c r="F1069" s="16" t="s">
        <v>136</v>
      </c>
      <c r="G1069" s="16" t="s">
        <v>1305</v>
      </c>
      <c r="H1069" s="17" t="s">
        <v>19</v>
      </c>
      <c r="I1069" s="16" t="s">
        <v>1576</v>
      </c>
      <c r="J1069" s="16" t="s">
        <v>21</v>
      </c>
      <c r="K1069" s="18"/>
      <c r="L1069" s="19" t="s">
        <v>2549</v>
      </c>
    </row>
    <row r="1070">
      <c r="A1070" s="10">
        <v>1038.0</v>
      </c>
      <c r="B1070" s="11" t="s">
        <v>2550</v>
      </c>
      <c r="C1070" s="12">
        <v>22.0</v>
      </c>
      <c r="D1070" s="11" t="s">
        <v>508</v>
      </c>
      <c r="E1070" s="11" t="s">
        <v>17</v>
      </c>
      <c r="F1070" s="11" t="s">
        <v>478</v>
      </c>
      <c r="G1070" s="11" t="s">
        <v>1012</v>
      </c>
      <c r="H1070" s="12" t="s">
        <v>19</v>
      </c>
      <c r="I1070" s="11" t="s">
        <v>2261</v>
      </c>
      <c r="J1070" s="11" t="s">
        <v>1139</v>
      </c>
      <c r="K1070" s="13"/>
      <c r="L1070" s="14" t="s">
        <v>2551</v>
      </c>
    </row>
    <row r="1071">
      <c r="A1071" s="15">
        <v>28.0</v>
      </c>
      <c r="B1071" s="16" t="s">
        <v>2552</v>
      </c>
      <c r="C1071" s="17">
        <v>24.0</v>
      </c>
      <c r="D1071" s="16" t="s">
        <v>95</v>
      </c>
      <c r="E1071" s="16" t="s">
        <v>17</v>
      </c>
      <c r="F1071" s="16" t="s">
        <v>478</v>
      </c>
      <c r="G1071" s="16" t="s">
        <v>1738</v>
      </c>
      <c r="H1071" s="17" t="s">
        <v>19</v>
      </c>
      <c r="I1071" s="16" t="s">
        <v>2261</v>
      </c>
      <c r="J1071" s="16" t="s">
        <v>1139</v>
      </c>
      <c r="K1071" s="18"/>
      <c r="L1071" s="19" t="s">
        <v>2553</v>
      </c>
    </row>
    <row r="1072">
      <c r="A1072" s="10">
        <v>27.0</v>
      </c>
      <c r="B1072" s="11" t="s">
        <v>2554</v>
      </c>
      <c r="C1072" s="12">
        <v>31.0</v>
      </c>
      <c r="D1072" s="11" t="s">
        <v>299</v>
      </c>
      <c r="E1072" s="11" t="s">
        <v>17</v>
      </c>
      <c r="F1072" s="11" t="s">
        <v>1809</v>
      </c>
      <c r="G1072" s="11" t="s">
        <v>1898</v>
      </c>
      <c r="H1072" s="12" t="s">
        <v>19</v>
      </c>
      <c r="I1072" s="11" t="s">
        <v>2261</v>
      </c>
      <c r="J1072" s="11" t="s">
        <v>1139</v>
      </c>
      <c r="K1072" s="13"/>
      <c r="L1072" s="14" t="s">
        <v>2555</v>
      </c>
    </row>
    <row r="1073">
      <c r="A1073" s="15">
        <v>1079.0</v>
      </c>
      <c r="B1073" s="16" t="s">
        <v>2556</v>
      </c>
      <c r="C1073" s="17">
        <v>45.0</v>
      </c>
      <c r="D1073" s="16" t="s">
        <v>2557</v>
      </c>
      <c r="E1073" s="16" t="s">
        <v>17</v>
      </c>
      <c r="F1073" s="16" t="s">
        <v>478</v>
      </c>
      <c r="G1073" s="16" t="s">
        <v>1726</v>
      </c>
      <c r="H1073" s="17" t="s">
        <v>19</v>
      </c>
      <c r="I1073" s="16" t="s">
        <v>2261</v>
      </c>
      <c r="J1073" s="16" t="s">
        <v>1139</v>
      </c>
      <c r="K1073" s="18"/>
      <c r="L1073" s="19" t="s">
        <v>2558</v>
      </c>
    </row>
    <row r="1074">
      <c r="A1074" s="10">
        <v>1064.0</v>
      </c>
      <c r="B1074" s="11" t="s">
        <v>2559</v>
      </c>
      <c r="C1074" s="12">
        <v>36.0</v>
      </c>
      <c r="D1074" s="11" t="s">
        <v>16</v>
      </c>
      <c r="E1074" s="11" t="s">
        <v>17</v>
      </c>
      <c r="F1074" s="11" t="s">
        <v>1601</v>
      </c>
      <c r="G1074" s="11" t="s">
        <v>1755</v>
      </c>
      <c r="H1074" s="12" t="s">
        <v>19</v>
      </c>
      <c r="I1074" s="11" t="s">
        <v>615</v>
      </c>
      <c r="J1074" s="11" t="s">
        <v>57</v>
      </c>
      <c r="K1074" s="11" t="s">
        <v>53</v>
      </c>
      <c r="L1074" s="14" t="s">
        <v>2560</v>
      </c>
    </row>
    <row r="1075">
      <c r="A1075" s="15">
        <v>1183.0</v>
      </c>
      <c r="B1075" s="16" t="s">
        <v>2561</v>
      </c>
      <c r="C1075" s="17">
        <v>39.0</v>
      </c>
      <c r="D1075" s="16" t="s">
        <v>95</v>
      </c>
      <c r="E1075" s="16" t="s">
        <v>17</v>
      </c>
      <c r="F1075" s="16" t="s">
        <v>1601</v>
      </c>
      <c r="G1075" s="16" t="s">
        <v>1138</v>
      </c>
      <c r="H1075" s="17" t="s">
        <v>19</v>
      </c>
      <c r="I1075" s="16" t="s">
        <v>1031</v>
      </c>
      <c r="J1075" s="16" t="s">
        <v>57</v>
      </c>
      <c r="K1075" s="18"/>
      <c r="L1075" s="19" t="s">
        <v>2562</v>
      </c>
    </row>
    <row r="1076">
      <c r="A1076" s="10">
        <v>975.0</v>
      </c>
      <c r="B1076" s="11" t="s">
        <v>2563</v>
      </c>
      <c r="C1076" s="12">
        <v>43.0</v>
      </c>
      <c r="D1076" s="11" t="s">
        <v>789</v>
      </c>
      <c r="E1076" s="11" t="s">
        <v>17</v>
      </c>
      <c r="F1076" s="11" t="s">
        <v>1601</v>
      </c>
      <c r="G1076" s="11" t="s">
        <v>2370</v>
      </c>
      <c r="H1076" s="12" t="s">
        <v>19</v>
      </c>
      <c r="I1076" s="11" t="s">
        <v>1031</v>
      </c>
      <c r="J1076" s="11" t="s">
        <v>57</v>
      </c>
      <c r="K1076" s="13"/>
      <c r="L1076" s="14" t="s">
        <v>2564</v>
      </c>
    </row>
    <row r="1077">
      <c r="A1077" s="15">
        <v>1053.0</v>
      </c>
      <c r="B1077" s="16" t="s">
        <v>2565</v>
      </c>
      <c r="C1077" s="17">
        <v>24.0</v>
      </c>
      <c r="D1077" s="16" t="s">
        <v>2566</v>
      </c>
      <c r="E1077" s="16" t="s">
        <v>17</v>
      </c>
      <c r="F1077" s="16" t="s">
        <v>478</v>
      </c>
      <c r="G1077" s="16" t="s">
        <v>1012</v>
      </c>
      <c r="H1077" s="17" t="s">
        <v>19</v>
      </c>
      <c r="I1077" s="16" t="s">
        <v>1031</v>
      </c>
      <c r="J1077" s="16" t="s">
        <v>1139</v>
      </c>
      <c r="K1077" s="18"/>
      <c r="L1077" s="19" t="s">
        <v>2567</v>
      </c>
    </row>
    <row r="1078">
      <c r="A1078" s="10">
        <v>1692.0</v>
      </c>
      <c r="B1078" s="11" t="s">
        <v>2568</v>
      </c>
      <c r="C1078" s="12">
        <v>27.0</v>
      </c>
      <c r="D1078" s="11" t="s">
        <v>405</v>
      </c>
      <c r="E1078" s="11" t="s">
        <v>17</v>
      </c>
      <c r="F1078" s="11" t="s">
        <v>478</v>
      </c>
      <c r="G1078" s="11" t="s">
        <v>1305</v>
      </c>
      <c r="H1078" s="12" t="s">
        <v>19</v>
      </c>
      <c r="I1078" s="11" t="s">
        <v>1031</v>
      </c>
      <c r="J1078" s="11" t="s">
        <v>1139</v>
      </c>
      <c r="K1078" s="13"/>
      <c r="L1078" s="14" t="s">
        <v>2569</v>
      </c>
    </row>
    <row r="1079">
      <c r="A1079" s="15">
        <v>1052.0</v>
      </c>
      <c r="B1079" s="16" t="s">
        <v>2570</v>
      </c>
      <c r="C1079" s="17">
        <v>38.0</v>
      </c>
      <c r="D1079" s="16" t="s">
        <v>95</v>
      </c>
      <c r="E1079" s="16" t="s">
        <v>17</v>
      </c>
      <c r="F1079" s="16" t="s">
        <v>1601</v>
      </c>
      <c r="G1079" s="16" t="s">
        <v>1138</v>
      </c>
      <c r="H1079" s="17" t="s">
        <v>19</v>
      </c>
      <c r="I1079" s="16" t="s">
        <v>53</v>
      </c>
      <c r="J1079" s="16" t="s">
        <v>57</v>
      </c>
      <c r="K1079" s="16" t="s">
        <v>53</v>
      </c>
      <c r="L1079" s="19" t="s">
        <v>2571</v>
      </c>
    </row>
    <row r="1080">
      <c r="A1080" s="10">
        <v>1063.0</v>
      </c>
      <c r="B1080" s="11" t="s">
        <v>2572</v>
      </c>
      <c r="C1080" s="12">
        <v>44.0</v>
      </c>
      <c r="D1080" s="11" t="s">
        <v>2573</v>
      </c>
      <c r="E1080" s="11" t="s">
        <v>17</v>
      </c>
      <c r="F1080" s="11" t="s">
        <v>478</v>
      </c>
      <c r="G1080" s="11" t="s">
        <v>1810</v>
      </c>
      <c r="H1080" s="12" t="s">
        <v>19</v>
      </c>
      <c r="I1080" s="11" t="s">
        <v>1031</v>
      </c>
      <c r="J1080" s="11" t="s">
        <v>1139</v>
      </c>
      <c r="K1080" s="13"/>
      <c r="L1080" s="14" t="s">
        <v>2574</v>
      </c>
    </row>
    <row r="1081">
      <c r="A1081" s="15">
        <v>1611.0</v>
      </c>
      <c r="B1081" s="16" t="s">
        <v>2575</v>
      </c>
      <c r="C1081" s="17">
        <v>46.0</v>
      </c>
      <c r="D1081" s="16" t="s">
        <v>92</v>
      </c>
      <c r="E1081" s="16" t="s">
        <v>17</v>
      </c>
      <c r="F1081" s="16" t="s">
        <v>1601</v>
      </c>
      <c r="G1081" s="16" t="s">
        <v>1723</v>
      </c>
      <c r="H1081" s="17" t="s">
        <v>19</v>
      </c>
      <c r="I1081" s="16" t="s">
        <v>594</v>
      </c>
      <c r="J1081" s="16" t="s">
        <v>57</v>
      </c>
      <c r="K1081" s="16" t="s">
        <v>53</v>
      </c>
      <c r="L1081" s="19" t="s">
        <v>2576</v>
      </c>
    </row>
    <row r="1082">
      <c r="A1082" s="10">
        <v>241.0</v>
      </c>
      <c r="B1082" s="11" t="s">
        <v>2577</v>
      </c>
      <c r="C1082" s="12">
        <v>39.0</v>
      </c>
      <c r="D1082" s="11" t="s">
        <v>95</v>
      </c>
      <c r="E1082" s="11" t="s">
        <v>17</v>
      </c>
      <c r="F1082" s="11" t="s">
        <v>1601</v>
      </c>
      <c r="G1082" s="11" t="s">
        <v>1745</v>
      </c>
      <c r="H1082" s="12" t="s">
        <v>19</v>
      </c>
      <c r="I1082" s="11" t="s">
        <v>594</v>
      </c>
      <c r="J1082" s="11" t="s">
        <v>57</v>
      </c>
      <c r="K1082" s="11" t="s">
        <v>53</v>
      </c>
      <c r="L1082" s="14" t="s">
        <v>2578</v>
      </c>
    </row>
    <row r="1083">
      <c r="A1083" s="15">
        <v>1062.0</v>
      </c>
      <c r="B1083" s="16" t="s">
        <v>2579</v>
      </c>
      <c r="C1083" s="17">
        <v>32.0</v>
      </c>
      <c r="D1083" s="16" t="s">
        <v>281</v>
      </c>
      <c r="E1083" s="16" t="s">
        <v>17</v>
      </c>
      <c r="F1083" s="16" t="s">
        <v>1601</v>
      </c>
      <c r="G1083" s="16" t="s">
        <v>1138</v>
      </c>
      <c r="H1083" s="17" t="s">
        <v>19</v>
      </c>
      <c r="I1083" s="16" t="s">
        <v>594</v>
      </c>
      <c r="J1083" s="16" t="s">
        <v>57</v>
      </c>
      <c r="K1083" s="16" t="s">
        <v>53</v>
      </c>
      <c r="L1083" s="19" t="s">
        <v>2580</v>
      </c>
    </row>
    <row r="1084">
      <c r="A1084" s="10">
        <v>1286.0</v>
      </c>
      <c r="B1084" s="11" t="s">
        <v>2581</v>
      </c>
      <c r="C1084" s="12">
        <v>24.0</v>
      </c>
      <c r="D1084" s="11" t="s">
        <v>95</v>
      </c>
      <c r="E1084" s="11" t="s">
        <v>17</v>
      </c>
      <c r="F1084" s="11" t="s">
        <v>478</v>
      </c>
      <c r="G1084" s="11" t="s">
        <v>479</v>
      </c>
      <c r="H1084" s="12" t="s">
        <v>19</v>
      </c>
      <c r="I1084" s="11" t="s">
        <v>53</v>
      </c>
      <c r="J1084" s="11" t="s">
        <v>21</v>
      </c>
      <c r="K1084" s="11" t="s">
        <v>53</v>
      </c>
      <c r="L1084" s="14" t="s">
        <v>2582</v>
      </c>
    </row>
    <row r="1085">
      <c r="A1085" s="15">
        <v>1447.0</v>
      </c>
      <c r="B1085" s="16" t="s">
        <v>2583</v>
      </c>
      <c r="C1085" s="17">
        <v>20.0</v>
      </c>
      <c r="D1085" s="16" t="s">
        <v>657</v>
      </c>
      <c r="E1085" s="16" t="s">
        <v>17</v>
      </c>
      <c r="F1085" s="16" t="s">
        <v>478</v>
      </c>
      <c r="G1085" s="16" t="s">
        <v>479</v>
      </c>
      <c r="H1085" s="17" t="s">
        <v>19</v>
      </c>
      <c r="I1085" s="16" t="s">
        <v>1031</v>
      </c>
      <c r="J1085" s="16" t="s">
        <v>21</v>
      </c>
      <c r="K1085" s="16" t="s">
        <v>53</v>
      </c>
      <c r="L1085" s="19" t="s">
        <v>2584</v>
      </c>
    </row>
    <row r="1086">
      <c r="A1086" s="10">
        <v>1290.0</v>
      </c>
      <c r="B1086" s="11" t="s">
        <v>2585</v>
      </c>
      <c r="C1086" s="12">
        <v>29.0</v>
      </c>
      <c r="D1086" s="11" t="s">
        <v>2586</v>
      </c>
      <c r="E1086" s="11" t="s">
        <v>17</v>
      </c>
      <c r="F1086" s="11" t="s">
        <v>478</v>
      </c>
      <c r="G1086" s="11" t="s">
        <v>1305</v>
      </c>
      <c r="H1086" s="12" t="s">
        <v>19</v>
      </c>
      <c r="I1086" s="11" t="s">
        <v>1031</v>
      </c>
      <c r="J1086" s="11" t="s">
        <v>1139</v>
      </c>
      <c r="K1086" s="13"/>
      <c r="L1086" s="14" t="s">
        <v>2587</v>
      </c>
    </row>
    <row r="1087">
      <c r="A1087" s="15">
        <v>1065.0</v>
      </c>
      <c r="B1087" s="16" t="s">
        <v>2588</v>
      </c>
      <c r="C1087" s="17">
        <v>47.0</v>
      </c>
      <c r="D1087" s="16" t="s">
        <v>95</v>
      </c>
      <c r="E1087" s="16" t="s">
        <v>17</v>
      </c>
      <c r="F1087" s="16" t="s">
        <v>18</v>
      </c>
      <c r="G1087" s="18"/>
      <c r="H1087" s="17" t="s">
        <v>19</v>
      </c>
      <c r="I1087" s="16" t="s">
        <v>2271</v>
      </c>
      <c r="J1087" s="16" t="s">
        <v>21</v>
      </c>
      <c r="K1087" s="18"/>
      <c r="L1087" s="19" t="s">
        <v>2589</v>
      </c>
    </row>
    <row r="1088">
      <c r="A1088" s="10">
        <v>1385.0</v>
      </c>
      <c r="B1088" s="11" t="s">
        <v>2590</v>
      </c>
      <c r="C1088" s="12">
        <v>25.0</v>
      </c>
      <c r="D1088" s="11" t="s">
        <v>295</v>
      </c>
      <c r="E1088" s="11" t="s">
        <v>17</v>
      </c>
      <c r="F1088" s="11" t="s">
        <v>18</v>
      </c>
      <c r="G1088" s="13"/>
      <c r="H1088" s="12" t="s">
        <v>19</v>
      </c>
      <c r="I1088" s="11" t="s">
        <v>173</v>
      </c>
      <c r="J1088" s="11" t="s">
        <v>21</v>
      </c>
      <c r="K1088" s="13"/>
      <c r="L1088" s="14" t="s">
        <v>2591</v>
      </c>
    </row>
    <row r="1089">
      <c r="A1089" s="15">
        <v>208.0</v>
      </c>
      <c r="B1089" s="16" t="s">
        <v>2592</v>
      </c>
      <c r="C1089" s="17">
        <v>55.0</v>
      </c>
      <c r="D1089" s="16" t="s">
        <v>173</v>
      </c>
      <c r="E1089" s="16" t="s">
        <v>17</v>
      </c>
      <c r="F1089" s="16" t="s">
        <v>1601</v>
      </c>
      <c r="G1089" s="16" t="s">
        <v>1726</v>
      </c>
      <c r="H1089" s="17" t="s">
        <v>19</v>
      </c>
      <c r="I1089" s="16" t="s">
        <v>1844</v>
      </c>
      <c r="J1089" s="16" t="s">
        <v>57</v>
      </c>
      <c r="K1089" s="18"/>
      <c r="L1089" s="19" t="s">
        <v>2593</v>
      </c>
    </row>
    <row r="1090">
      <c r="A1090" s="10">
        <v>1135.0</v>
      </c>
      <c r="B1090" s="11" t="s">
        <v>2594</v>
      </c>
      <c r="C1090" s="12">
        <v>47.0</v>
      </c>
      <c r="D1090" s="11" t="s">
        <v>16</v>
      </c>
      <c r="E1090" s="11" t="s">
        <v>17</v>
      </c>
      <c r="F1090" s="11" t="s">
        <v>1601</v>
      </c>
      <c r="G1090" s="11" t="s">
        <v>1726</v>
      </c>
      <c r="H1090" s="12" t="s">
        <v>19</v>
      </c>
      <c r="I1090" s="11" t="s">
        <v>1844</v>
      </c>
      <c r="J1090" s="11" t="s">
        <v>57</v>
      </c>
      <c r="K1090" s="13"/>
      <c r="L1090" s="14" t="s">
        <v>2595</v>
      </c>
    </row>
    <row r="1091">
      <c r="A1091" s="15">
        <v>1136.0</v>
      </c>
      <c r="B1091" s="16" t="s">
        <v>2596</v>
      </c>
      <c r="C1091" s="17">
        <v>58.0</v>
      </c>
      <c r="D1091" s="16" t="s">
        <v>2597</v>
      </c>
      <c r="E1091" s="16" t="s">
        <v>17</v>
      </c>
      <c r="F1091" s="16" t="s">
        <v>1601</v>
      </c>
      <c r="G1091" s="16" t="s">
        <v>1726</v>
      </c>
      <c r="H1091" s="17" t="s">
        <v>19</v>
      </c>
      <c r="I1091" s="16" t="s">
        <v>1844</v>
      </c>
      <c r="J1091" s="16" t="s">
        <v>57</v>
      </c>
      <c r="K1091" s="18"/>
      <c r="L1091" s="19" t="s">
        <v>2598</v>
      </c>
    </row>
    <row r="1092">
      <c r="A1092" s="10">
        <v>1078.0</v>
      </c>
      <c r="B1092" s="11" t="s">
        <v>2599</v>
      </c>
      <c r="C1092" s="12">
        <v>20.0</v>
      </c>
      <c r="D1092" s="11" t="s">
        <v>89</v>
      </c>
      <c r="E1092" s="11" t="s">
        <v>17</v>
      </c>
      <c r="F1092" s="11" t="s">
        <v>478</v>
      </c>
      <c r="G1092" s="11" t="s">
        <v>479</v>
      </c>
      <c r="H1092" s="12" t="s">
        <v>1346</v>
      </c>
      <c r="I1092" s="11" t="s">
        <v>173</v>
      </c>
      <c r="J1092" s="11" t="s">
        <v>1139</v>
      </c>
      <c r="K1092" s="13"/>
      <c r="L1092" s="14" t="s">
        <v>2600</v>
      </c>
    </row>
    <row r="1093">
      <c r="A1093" s="15">
        <v>1566.0</v>
      </c>
      <c r="B1093" s="16" t="s">
        <v>2601</v>
      </c>
      <c r="C1093" s="17">
        <v>48.0</v>
      </c>
      <c r="D1093" s="16" t="s">
        <v>271</v>
      </c>
      <c r="E1093" s="16" t="s">
        <v>17</v>
      </c>
      <c r="F1093" s="16" t="s">
        <v>1601</v>
      </c>
      <c r="G1093" s="16" t="s">
        <v>1726</v>
      </c>
      <c r="H1093" s="17" t="s">
        <v>19</v>
      </c>
      <c r="I1093" s="16" t="s">
        <v>1844</v>
      </c>
      <c r="J1093" s="16" t="s">
        <v>57</v>
      </c>
      <c r="K1093" s="18"/>
      <c r="L1093" s="19" t="s">
        <v>2602</v>
      </c>
    </row>
    <row r="1094">
      <c r="A1094" s="10">
        <v>309.0</v>
      </c>
      <c r="B1094" s="11" t="s">
        <v>2603</v>
      </c>
      <c r="C1094" s="12">
        <v>25.0</v>
      </c>
      <c r="D1094" s="11" t="s">
        <v>219</v>
      </c>
      <c r="E1094" s="11" t="s">
        <v>17</v>
      </c>
      <c r="F1094" s="11" t="s">
        <v>478</v>
      </c>
      <c r="G1094" s="11" t="s">
        <v>1305</v>
      </c>
      <c r="H1094" s="12" t="s">
        <v>19</v>
      </c>
      <c r="I1094" s="11" t="s">
        <v>2604</v>
      </c>
      <c r="J1094" s="11" t="s">
        <v>1139</v>
      </c>
      <c r="K1094" s="13"/>
      <c r="L1094" s="14" t="s">
        <v>2605</v>
      </c>
    </row>
    <row r="1095">
      <c r="A1095" s="15">
        <v>1565.0</v>
      </c>
      <c r="B1095" s="16" t="s">
        <v>2606</v>
      </c>
      <c r="C1095" s="17">
        <v>28.0</v>
      </c>
      <c r="D1095" s="16" t="s">
        <v>416</v>
      </c>
      <c r="E1095" s="16" t="s">
        <v>17</v>
      </c>
      <c r="F1095" s="16" t="s">
        <v>1601</v>
      </c>
      <c r="G1095" s="16" t="s">
        <v>1738</v>
      </c>
      <c r="H1095" s="17" t="s">
        <v>19</v>
      </c>
      <c r="I1095" s="16" t="s">
        <v>1844</v>
      </c>
      <c r="J1095" s="16" t="s">
        <v>57</v>
      </c>
      <c r="K1095" s="18"/>
      <c r="L1095" s="19" t="s">
        <v>2607</v>
      </c>
    </row>
    <row r="1096">
      <c r="A1096" s="10">
        <v>1633.0</v>
      </c>
      <c r="B1096" s="11" t="s">
        <v>2608</v>
      </c>
      <c r="C1096" s="12">
        <v>20.0</v>
      </c>
      <c r="D1096" s="11" t="s">
        <v>2609</v>
      </c>
      <c r="E1096" s="11" t="s">
        <v>17</v>
      </c>
      <c r="F1096" s="11" t="s">
        <v>478</v>
      </c>
      <c r="G1096" s="11" t="s">
        <v>479</v>
      </c>
      <c r="H1096" s="12" t="s">
        <v>19</v>
      </c>
      <c r="I1096" s="11" t="s">
        <v>1648</v>
      </c>
      <c r="J1096" s="11" t="s">
        <v>1139</v>
      </c>
      <c r="K1096" s="13"/>
      <c r="L1096" s="14" t="s">
        <v>2610</v>
      </c>
    </row>
    <row r="1097">
      <c r="A1097" s="15">
        <v>1283.0</v>
      </c>
      <c r="B1097" s="16" t="s">
        <v>2611</v>
      </c>
      <c r="C1097" s="17">
        <v>44.0</v>
      </c>
      <c r="D1097" s="16" t="s">
        <v>2612</v>
      </c>
      <c r="E1097" s="16" t="s">
        <v>17</v>
      </c>
      <c r="F1097" s="16" t="s">
        <v>1809</v>
      </c>
      <c r="G1097" s="16" t="s">
        <v>1305</v>
      </c>
      <c r="H1097" s="17" t="s">
        <v>1869</v>
      </c>
      <c r="I1097" s="16" t="s">
        <v>150</v>
      </c>
      <c r="J1097" s="16" t="s">
        <v>1139</v>
      </c>
      <c r="K1097" s="18"/>
      <c r="L1097" s="19" t="s">
        <v>2613</v>
      </c>
    </row>
    <row r="1098">
      <c r="A1098" s="10">
        <v>240.0</v>
      </c>
      <c r="B1098" s="11" t="s">
        <v>2614</v>
      </c>
      <c r="C1098" s="12">
        <v>43.0</v>
      </c>
      <c r="D1098" s="11" t="s">
        <v>422</v>
      </c>
      <c r="E1098" s="11" t="s">
        <v>17</v>
      </c>
      <c r="F1098" s="11" t="s">
        <v>1601</v>
      </c>
      <c r="G1098" s="11" t="s">
        <v>1726</v>
      </c>
      <c r="H1098" s="12" t="s">
        <v>19</v>
      </c>
      <c r="I1098" s="11" t="s">
        <v>173</v>
      </c>
      <c r="J1098" s="11" t="s">
        <v>57</v>
      </c>
      <c r="K1098" s="13"/>
      <c r="L1098" s="14" t="s">
        <v>2615</v>
      </c>
    </row>
    <row r="1099">
      <c r="A1099" s="15">
        <v>1369.0</v>
      </c>
      <c r="B1099" s="16" t="s">
        <v>2616</v>
      </c>
      <c r="C1099" s="17">
        <v>60.0</v>
      </c>
      <c r="D1099" s="16" t="s">
        <v>173</v>
      </c>
      <c r="E1099" s="16" t="s">
        <v>17</v>
      </c>
      <c r="F1099" s="16" t="s">
        <v>142</v>
      </c>
      <c r="G1099" s="16" t="s">
        <v>2617</v>
      </c>
      <c r="H1099" s="17" t="s">
        <v>19</v>
      </c>
      <c r="I1099" s="16" t="s">
        <v>173</v>
      </c>
      <c r="J1099" s="16" t="s">
        <v>57</v>
      </c>
      <c r="K1099" s="18"/>
      <c r="L1099" s="19" t="s">
        <v>2618</v>
      </c>
    </row>
    <row r="1100">
      <c r="A1100" s="10">
        <v>1189.0</v>
      </c>
      <c r="B1100" s="11" t="s">
        <v>2619</v>
      </c>
      <c r="C1100" s="12">
        <v>50.0</v>
      </c>
      <c r="D1100" s="11" t="s">
        <v>2620</v>
      </c>
      <c r="E1100" s="11" t="s">
        <v>17</v>
      </c>
      <c r="F1100" s="11" t="s">
        <v>1601</v>
      </c>
      <c r="G1100" s="11" t="s">
        <v>1726</v>
      </c>
      <c r="H1100" s="12" t="s">
        <v>19</v>
      </c>
      <c r="I1100" s="11" t="s">
        <v>26</v>
      </c>
      <c r="J1100" s="11" t="s">
        <v>57</v>
      </c>
      <c r="K1100" s="13"/>
      <c r="L1100" s="14" t="s">
        <v>2621</v>
      </c>
    </row>
    <row r="1101">
      <c r="A1101" s="15">
        <v>1141.0</v>
      </c>
      <c r="B1101" s="16" t="s">
        <v>2622</v>
      </c>
      <c r="C1101" s="17">
        <v>46.0</v>
      </c>
      <c r="D1101" s="16" t="s">
        <v>173</v>
      </c>
      <c r="E1101" s="16" t="s">
        <v>17</v>
      </c>
      <c r="F1101" s="16" t="s">
        <v>1601</v>
      </c>
      <c r="G1101" s="16" t="s">
        <v>1796</v>
      </c>
      <c r="H1101" s="17" t="s">
        <v>19</v>
      </c>
      <c r="I1101" s="16" t="s">
        <v>173</v>
      </c>
      <c r="J1101" s="16" t="s">
        <v>57</v>
      </c>
      <c r="K1101" s="18"/>
      <c r="L1101" s="19" t="s">
        <v>2623</v>
      </c>
    </row>
    <row r="1102">
      <c r="A1102" s="10">
        <v>115.0</v>
      </c>
      <c r="B1102" s="11" t="s">
        <v>2624</v>
      </c>
      <c r="C1102" s="12">
        <v>20.0</v>
      </c>
      <c r="D1102" s="11" t="s">
        <v>159</v>
      </c>
      <c r="E1102" s="11" t="s">
        <v>17</v>
      </c>
      <c r="F1102" s="11" t="s">
        <v>478</v>
      </c>
      <c r="G1102" s="11" t="s">
        <v>479</v>
      </c>
      <c r="H1102" s="12" t="s">
        <v>19</v>
      </c>
      <c r="I1102" s="11" t="s">
        <v>173</v>
      </c>
      <c r="J1102" s="11" t="s">
        <v>1139</v>
      </c>
      <c r="K1102" s="13"/>
      <c r="L1102" s="14" t="s">
        <v>2625</v>
      </c>
    </row>
    <row r="1103">
      <c r="A1103" s="15">
        <v>1142.0</v>
      </c>
      <c r="B1103" s="16" t="s">
        <v>2626</v>
      </c>
      <c r="C1103" s="17">
        <v>47.0</v>
      </c>
      <c r="D1103" s="16" t="s">
        <v>173</v>
      </c>
      <c r="E1103" s="16" t="s">
        <v>17</v>
      </c>
      <c r="F1103" s="16" t="s">
        <v>1601</v>
      </c>
      <c r="G1103" s="16" t="s">
        <v>1726</v>
      </c>
      <c r="H1103" s="17" t="s">
        <v>19</v>
      </c>
      <c r="I1103" s="16" t="s">
        <v>1844</v>
      </c>
      <c r="J1103" s="16" t="s">
        <v>57</v>
      </c>
      <c r="K1103" s="18"/>
      <c r="L1103" s="19" t="s">
        <v>2627</v>
      </c>
    </row>
    <row r="1104">
      <c r="A1104" s="10">
        <v>243.0</v>
      </c>
      <c r="B1104" s="11" t="s">
        <v>2628</v>
      </c>
      <c r="C1104" s="12">
        <v>34.0</v>
      </c>
      <c r="D1104" s="11" t="s">
        <v>527</v>
      </c>
      <c r="E1104" s="11" t="s">
        <v>17</v>
      </c>
      <c r="F1104" s="11" t="s">
        <v>1601</v>
      </c>
      <c r="G1104" s="11" t="s">
        <v>1755</v>
      </c>
      <c r="H1104" s="12" t="s">
        <v>19</v>
      </c>
      <c r="I1104" s="11" t="s">
        <v>1844</v>
      </c>
      <c r="J1104" s="11" t="s">
        <v>57</v>
      </c>
      <c r="K1104" s="13"/>
      <c r="L1104" s="14" t="s">
        <v>2629</v>
      </c>
    </row>
    <row r="1105">
      <c r="A1105" s="15">
        <v>1459.0</v>
      </c>
      <c r="B1105" s="16" t="s">
        <v>2630</v>
      </c>
      <c r="C1105" s="17">
        <v>28.0</v>
      </c>
      <c r="D1105" s="16" t="s">
        <v>173</v>
      </c>
      <c r="E1105" s="16" t="s">
        <v>25</v>
      </c>
      <c r="F1105" s="16" t="s">
        <v>1601</v>
      </c>
      <c r="G1105" s="16" t="s">
        <v>1723</v>
      </c>
      <c r="H1105" s="17" t="s">
        <v>19</v>
      </c>
      <c r="I1105" s="16" t="s">
        <v>1844</v>
      </c>
      <c r="J1105" s="16" t="s">
        <v>57</v>
      </c>
      <c r="K1105" s="18"/>
      <c r="L1105" s="19" t="s">
        <v>2631</v>
      </c>
    </row>
    <row r="1106">
      <c r="A1106" s="10">
        <v>775.0</v>
      </c>
      <c r="B1106" s="11" t="s">
        <v>2632</v>
      </c>
      <c r="C1106" s="12">
        <v>26.0</v>
      </c>
      <c r="D1106" s="11" t="s">
        <v>337</v>
      </c>
      <c r="E1106" s="11" t="s">
        <v>17</v>
      </c>
      <c r="F1106" s="11" t="s">
        <v>18</v>
      </c>
      <c r="G1106" s="13"/>
      <c r="H1106" s="12" t="s">
        <v>2633</v>
      </c>
      <c r="I1106" s="11" t="s">
        <v>2634</v>
      </c>
      <c r="J1106" s="11" t="s">
        <v>21</v>
      </c>
      <c r="K1106" s="11" t="s">
        <v>53</v>
      </c>
      <c r="L1106" s="14" t="s">
        <v>2635</v>
      </c>
    </row>
    <row r="1107">
      <c r="A1107" s="15">
        <v>1690.0</v>
      </c>
      <c r="B1107" s="16" t="s">
        <v>2636</v>
      </c>
      <c r="C1107" s="17">
        <v>24.0</v>
      </c>
      <c r="D1107" s="16" t="s">
        <v>1948</v>
      </c>
      <c r="E1107" s="16" t="s">
        <v>17</v>
      </c>
      <c r="F1107" s="16" t="s">
        <v>18</v>
      </c>
      <c r="G1107" s="18"/>
      <c r="H1107" s="17" t="s">
        <v>2637</v>
      </c>
      <c r="I1107" s="16" t="s">
        <v>2638</v>
      </c>
      <c r="J1107" s="16" t="s">
        <v>21</v>
      </c>
      <c r="K1107" s="18"/>
      <c r="L1107" s="19" t="s">
        <v>2639</v>
      </c>
    </row>
    <row r="1108">
      <c r="A1108" s="10">
        <v>543.0</v>
      </c>
      <c r="B1108" s="11" t="s">
        <v>2640</v>
      </c>
      <c r="C1108" s="12">
        <v>54.0</v>
      </c>
      <c r="D1108" s="11" t="s">
        <v>176</v>
      </c>
      <c r="E1108" s="11" t="s">
        <v>17</v>
      </c>
      <c r="F1108" s="11" t="s">
        <v>18</v>
      </c>
      <c r="G1108" s="13"/>
      <c r="H1108" s="12" t="s">
        <v>19</v>
      </c>
      <c r="I1108" s="11" t="s">
        <v>176</v>
      </c>
      <c r="J1108" s="11" t="s">
        <v>21</v>
      </c>
      <c r="K1108" s="13"/>
      <c r="L1108" s="14" t="s">
        <v>2641</v>
      </c>
    </row>
    <row r="1109">
      <c r="A1109" s="15">
        <v>192.0</v>
      </c>
      <c r="B1109" s="16" t="s">
        <v>2642</v>
      </c>
      <c r="C1109" s="17">
        <v>19.0</v>
      </c>
      <c r="D1109" s="16" t="s">
        <v>95</v>
      </c>
      <c r="E1109" s="16" t="s">
        <v>17</v>
      </c>
      <c r="F1109" s="16" t="s">
        <v>478</v>
      </c>
      <c r="G1109" s="16" t="s">
        <v>1186</v>
      </c>
      <c r="H1109" s="17" t="s">
        <v>2643</v>
      </c>
      <c r="I1109" s="16" t="s">
        <v>2644</v>
      </c>
      <c r="J1109" s="16" t="s">
        <v>1139</v>
      </c>
      <c r="K1109" s="18"/>
      <c r="L1109" s="19" t="s">
        <v>2645</v>
      </c>
    </row>
    <row r="1110">
      <c r="A1110" s="10">
        <v>1452.0</v>
      </c>
      <c r="B1110" s="11" t="s">
        <v>2646</v>
      </c>
      <c r="C1110" s="12">
        <v>25.0</v>
      </c>
      <c r="D1110" s="11" t="s">
        <v>470</v>
      </c>
      <c r="E1110" s="11" t="s">
        <v>17</v>
      </c>
      <c r="F1110" s="11" t="s">
        <v>18</v>
      </c>
      <c r="G1110" s="13"/>
      <c r="H1110" s="12" t="s">
        <v>2647</v>
      </c>
      <c r="I1110" s="11" t="s">
        <v>2648</v>
      </c>
      <c r="J1110" s="11" t="s">
        <v>21</v>
      </c>
      <c r="K1110" s="13"/>
      <c r="L1110" s="14" t="s">
        <v>2649</v>
      </c>
    </row>
    <row r="1111">
      <c r="A1111" s="15">
        <v>569.0</v>
      </c>
      <c r="B1111" s="16" t="s">
        <v>2650</v>
      </c>
      <c r="C1111" s="17">
        <v>56.0</v>
      </c>
      <c r="D1111" s="16" t="s">
        <v>176</v>
      </c>
      <c r="E1111" s="16" t="s">
        <v>25</v>
      </c>
      <c r="F1111" s="16" t="s">
        <v>18</v>
      </c>
      <c r="G1111" s="18"/>
      <c r="H1111" s="17" t="s">
        <v>19</v>
      </c>
      <c r="I1111" s="16" t="s">
        <v>176</v>
      </c>
      <c r="J1111" s="16" t="s">
        <v>21</v>
      </c>
      <c r="K1111" s="18"/>
      <c r="L1111" s="19" t="s">
        <v>2651</v>
      </c>
    </row>
    <row r="1112">
      <c r="A1112" s="10">
        <v>183.0</v>
      </c>
      <c r="B1112" s="11" t="s">
        <v>2652</v>
      </c>
      <c r="C1112" s="12">
        <v>64.0</v>
      </c>
      <c r="D1112" s="11" t="s">
        <v>470</v>
      </c>
      <c r="E1112" s="11" t="s">
        <v>25</v>
      </c>
      <c r="F1112" s="11" t="s">
        <v>18</v>
      </c>
      <c r="G1112" s="13"/>
      <c r="H1112" s="12" t="s">
        <v>19</v>
      </c>
      <c r="I1112" s="11" t="s">
        <v>2653</v>
      </c>
      <c r="J1112" s="11" t="s">
        <v>21</v>
      </c>
      <c r="K1112" s="13"/>
      <c r="L1112" s="14" t="s">
        <v>2654</v>
      </c>
    </row>
    <row r="1113">
      <c r="A1113" s="15">
        <v>968.0</v>
      </c>
      <c r="B1113" s="16" t="s">
        <v>2655</v>
      </c>
      <c r="C1113" s="17">
        <v>28.0</v>
      </c>
      <c r="D1113" s="16" t="s">
        <v>350</v>
      </c>
      <c r="E1113" s="16" t="s">
        <v>25</v>
      </c>
      <c r="F1113" s="16" t="s">
        <v>18</v>
      </c>
      <c r="G1113" s="18"/>
      <c r="H1113" s="17" t="s">
        <v>19</v>
      </c>
      <c r="I1113" s="16" t="s">
        <v>147</v>
      </c>
      <c r="J1113" s="16" t="s">
        <v>21</v>
      </c>
      <c r="K1113" s="16" t="s">
        <v>53</v>
      </c>
      <c r="L1113" s="19" t="s">
        <v>2656</v>
      </c>
    </row>
    <row r="1114">
      <c r="A1114" s="10">
        <v>648.0</v>
      </c>
      <c r="B1114" s="11" t="s">
        <v>2657</v>
      </c>
      <c r="C1114" s="12">
        <v>86.0</v>
      </c>
      <c r="D1114" s="11" t="s">
        <v>176</v>
      </c>
      <c r="E1114" s="11" t="s">
        <v>17</v>
      </c>
      <c r="F1114" s="11" t="s">
        <v>18</v>
      </c>
      <c r="G1114" s="13"/>
      <c r="H1114" s="12" t="s">
        <v>2658</v>
      </c>
      <c r="I1114" s="11" t="s">
        <v>2659</v>
      </c>
      <c r="J1114" s="11" t="s">
        <v>21</v>
      </c>
      <c r="K1114" s="13"/>
      <c r="L1114" s="14" t="s">
        <v>2660</v>
      </c>
    </row>
    <row r="1115">
      <c r="A1115" s="15">
        <v>310.0</v>
      </c>
      <c r="B1115" s="16" t="s">
        <v>2661</v>
      </c>
      <c r="C1115" s="17">
        <v>28.0</v>
      </c>
      <c r="D1115" s="16" t="s">
        <v>195</v>
      </c>
      <c r="E1115" s="16" t="s">
        <v>17</v>
      </c>
      <c r="F1115" s="16" t="s">
        <v>18</v>
      </c>
      <c r="G1115" s="18"/>
      <c r="H1115" s="17" t="s">
        <v>2637</v>
      </c>
      <c r="I1115" s="16" t="s">
        <v>2638</v>
      </c>
      <c r="J1115" s="16" t="s">
        <v>21</v>
      </c>
      <c r="K1115" s="18"/>
      <c r="L1115" s="19" t="s">
        <v>2662</v>
      </c>
    </row>
    <row r="1116">
      <c r="A1116" s="10">
        <v>878.0</v>
      </c>
      <c r="B1116" s="11" t="s">
        <v>2663</v>
      </c>
      <c r="C1116" s="12">
        <v>28.0</v>
      </c>
      <c r="D1116" s="11" t="s">
        <v>337</v>
      </c>
      <c r="E1116" s="11" t="s">
        <v>17</v>
      </c>
      <c r="F1116" s="11" t="s">
        <v>18</v>
      </c>
      <c r="G1116" s="13"/>
      <c r="H1116" s="12" t="s">
        <v>2643</v>
      </c>
      <c r="I1116" s="11" t="s">
        <v>2644</v>
      </c>
      <c r="J1116" s="11" t="s">
        <v>21</v>
      </c>
      <c r="K1116" s="11" t="s">
        <v>53</v>
      </c>
      <c r="L1116" s="14" t="s">
        <v>2664</v>
      </c>
    </row>
    <row r="1117">
      <c r="A1117" s="15">
        <v>98.0</v>
      </c>
      <c r="B1117" s="16" t="s">
        <v>2665</v>
      </c>
      <c r="C1117" s="17">
        <v>53.0</v>
      </c>
      <c r="D1117" s="16" t="s">
        <v>597</v>
      </c>
      <c r="E1117" s="16" t="s">
        <v>17</v>
      </c>
      <c r="F1117" s="16" t="s">
        <v>18</v>
      </c>
      <c r="G1117" s="18"/>
      <c r="H1117" s="17" t="s">
        <v>19</v>
      </c>
      <c r="I1117" s="16" t="s">
        <v>52</v>
      </c>
      <c r="J1117" s="16" t="s">
        <v>21</v>
      </c>
      <c r="K1117" s="18"/>
      <c r="L1117" s="19" t="s">
        <v>2666</v>
      </c>
    </row>
    <row r="1118">
      <c r="A1118" s="10">
        <v>801.0</v>
      </c>
      <c r="B1118" s="11" t="s">
        <v>2667</v>
      </c>
      <c r="C1118" s="12">
        <v>23.0</v>
      </c>
      <c r="D1118" s="11" t="s">
        <v>2487</v>
      </c>
      <c r="E1118" s="11" t="s">
        <v>25</v>
      </c>
      <c r="F1118" s="11" t="s">
        <v>18</v>
      </c>
      <c r="G1118" s="13"/>
      <c r="H1118" s="12" t="s">
        <v>19</v>
      </c>
      <c r="I1118" s="11" t="s">
        <v>147</v>
      </c>
      <c r="J1118" s="11" t="s">
        <v>21</v>
      </c>
      <c r="K1118" s="11" t="s">
        <v>53</v>
      </c>
      <c r="L1118" s="14" t="s">
        <v>2668</v>
      </c>
    </row>
    <row r="1119">
      <c r="A1119" s="15">
        <v>565.0</v>
      </c>
      <c r="B1119" s="16" t="s">
        <v>2669</v>
      </c>
      <c r="C1119" s="17">
        <v>75.0</v>
      </c>
      <c r="D1119" s="16" t="s">
        <v>176</v>
      </c>
      <c r="E1119" s="16" t="s">
        <v>17</v>
      </c>
      <c r="F1119" s="16" t="s">
        <v>18</v>
      </c>
      <c r="G1119" s="18"/>
      <c r="H1119" s="17" t="s">
        <v>19</v>
      </c>
      <c r="I1119" s="16" t="s">
        <v>176</v>
      </c>
      <c r="J1119" s="16" t="s">
        <v>21</v>
      </c>
      <c r="K1119" s="18"/>
      <c r="L1119" s="19" t="s">
        <v>2670</v>
      </c>
    </row>
    <row r="1120">
      <c r="A1120" s="10">
        <v>482.0</v>
      </c>
      <c r="B1120" s="11" t="s">
        <v>2671</v>
      </c>
      <c r="C1120" s="12">
        <v>19.0</v>
      </c>
      <c r="D1120" s="11" t="s">
        <v>284</v>
      </c>
      <c r="E1120" s="11" t="s">
        <v>25</v>
      </c>
      <c r="F1120" s="11" t="s">
        <v>478</v>
      </c>
      <c r="G1120" s="11" t="s">
        <v>1186</v>
      </c>
      <c r="H1120" s="12" t="s">
        <v>2672</v>
      </c>
      <c r="I1120" s="11" t="s">
        <v>2673</v>
      </c>
      <c r="J1120" s="11" t="s">
        <v>1139</v>
      </c>
      <c r="K1120" s="13"/>
      <c r="L1120" s="14" t="s">
        <v>2674</v>
      </c>
    </row>
    <row r="1121">
      <c r="A1121" s="15">
        <v>1326.0</v>
      </c>
      <c r="B1121" s="16" t="s">
        <v>2675</v>
      </c>
      <c r="C1121" s="17">
        <v>21.0</v>
      </c>
      <c r="D1121" s="16" t="s">
        <v>337</v>
      </c>
      <c r="E1121" s="16" t="s">
        <v>17</v>
      </c>
      <c r="F1121" s="16" t="s">
        <v>18</v>
      </c>
      <c r="G1121" s="18"/>
      <c r="H1121" s="17" t="s">
        <v>19</v>
      </c>
      <c r="I1121" s="16" t="s">
        <v>470</v>
      </c>
      <c r="J1121" s="16" t="s">
        <v>21</v>
      </c>
      <c r="K1121" s="16" t="s">
        <v>53</v>
      </c>
      <c r="L1121" s="19" t="s">
        <v>2676</v>
      </c>
    </row>
    <row r="1122">
      <c r="A1122" s="10">
        <v>1601.0</v>
      </c>
      <c r="B1122" s="11" t="s">
        <v>2677</v>
      </c>
      <c r="C1122" s="12">
        <v>70.0</v>
      </c>
      <c r="D1122" s="11" t="s">
        <v>470</v>
      </c>
      <c r="E1122" s="11" t="s">
        <v>25</v>
      </c>
      <c r="F1122" s="11" t="s">
        <v>18</v>
      </c>
      <c r="G1122" s="13"/>
      <c r="H1122" s="12" t="s">
        <v>19</v>
      </c>
      <c r="I1122" s="11" t="s">
        <v>2678</v>
      </c>
      <c r="J1122" s="11" t="s">
        <v>21</v>
      </c>
      <c r="K1122" s="13"/>
      <c r="L1122" s="14" t="s">
        <v>2679</v>
      </c>
    </row>
    <row r="1123">
      <c r="A1123" s="15">
        <v>1327.0</v>
      </c>
      <c r="B1123" s="16" t="s">
        <v>2680</v>
      </c>
      <c r="C1123" s="17">
        <v>26.0</v>
      </c>
      <c r="D1123" s="16" t="s">
        <v>195</v>
      </c>
      <c r="E1123" s="16" t="s">
        <v>17</v>
      </c>
      <c r="F1123" s="16" t="s">
        <v>18</v>
      </c>
      <c r="G1123" s="18"/>
      <c r="H1123" s="17" t="s">
        <v>2637</v>
      </c>
      <c r="I1123" s="16" t="s">
        <v>2638</v>
      </c>
      <c r="J1123" s="16" t="s">
        <v>21</v>
      </c>
      <c r="K1123" s="18"/>
      <c r="L1123" s="19" t="s">
        <v>2681</v>
      </c>
    </row>
    <row r="1124">
      <c r="A1124" s="10">
        <v>193.0</v>
      </c>
      <c r="B1124" s="11" t="s">
        <v>2682</v>
      </c>
      <c r="C1124" s="12">
        <v>19.0</v>
      </c>
      <c r="D1124" s="11" t="s">
        <v>651</v>
      </c>
      <c r="E1124" s="11" t="s">
        <v>17</v>
      </c>
      <c r="F1124" s="11" t="s">
        <v>478</v>
      </c>
      <c r="G1124" s="11" t="s">
        <v>689</v>
      </c>
      <c r="H1124" s="12" t="s">
        <v>2643</v>
      </c>
      <c r="I1124" s="11" t="s">
        <v>2644</v>
      </c>
      <c r="J1124" s="11" t="s">
        <v>1139</v>
      </c>
      <c r="K1124" s="13"/>
      <c r="L1124" s="14" t="s">
        <v>2683</v>
      </c>
    </row>
    <row r="1125">
      <c r="A1125" s="15">
        <v>1694.0</v>
      </c>
      <c r="B1125" s="17" t="s">
        <v>2684</v>
      </c>
      <c r="C1125" s="17">
        <v>21.0</v>
      </c>
      <c r="D1125" s="16" t="s">
        <v>183</v>
      </c>
      <c r="E1125" s="16" t="s">
        <v>17</v>
      </c>
      <c r="F1125" s="16" t="s">
        <v>169</v>
      </c>
      <c r="G1125" s="18"/>
      <c r="H1125" s="17" t="s">
        <v>19</v>
      </c>
      <c r="I1125" s="16" t="s">
        <v>1477</v>
      </c>
      <c r="J1125" s="16" t="s">
        <v>21</v>
      </c>
      <c r="K1125" s="18"/>
      <c r="L1125" s="19" t="s">
        <v>2684</v>
      </c>
    </row>
    <row r="1126">
      <c r="A1126" s="10">
        <v>2013.0</v>
      </c>
      <c r="B1126" s="11" t="s">
        <v>2685</v>
      </c>
      <c r="C1126" s="12">
        <v>19.0</v>
      </c>
      <c r="D1126" s="11" t="s">
        <v>2686</v>
      </c>
      <c r="E1126" s="11" t="s">
        <v>17</v>
      </c>
      <c r="F1126" s="11" t="s">
        <v>18</v>
      </c>
      <c r="G1126" s="13"/>
      <c r="H1126" s="12" t="s">
        <v>1869</v>
      </c>
      <c r="I1126" s="11" t="s">
        <v>2686</v>
      </c>
      <c r="J1126" s="11" t="s">
        <v>125</v>
      </c>
      <c r="K1126" s="13"/>
      <c r="L1126" s="14" t="s">
        <v>2687</v>
      </c>
    </row>
    <row r="1127">
      <c r="A1127" s="15">
        <v>2014.0</v>
      </c>
      <c r="B1127" s="16" t="s">
        <v>2688</v>
      </c>
      <c r="C1127" s="17">
        <v>0.0</v>
      </c>
      <c r="D1127" s="16" t="s">
        <v>1696</v>
      </c>
      <c r="E1127" s="16" t="s">
        <v>96</v>
      </c>
      <c r="F1127" s="16" t="s">
        <v>18</v>
      </c>
      <c r="G1127" s="18"/>
      <c r="H1127" s="17" t="s">
        <v>19</v>
      </c>
      <c r="I1127" s="16" t="s">
        <v>20</v>
      </c>
      <c r="J1127" s="16" t="s">
        <v>21</v>
      </c>
      <c r="K1127" s="18"/>
      <c r="L1127" s="19" t="s">
        <v>2689</v>
      </c>
    </row>
    <row r="1128">
      <c r="A1128" s="10">
        <v>2015.0</v>
      </c>
      <c r="B1128" s="12" t="s">
        <v>2690</v>
      </c>
      <c r="C1128" s="12">
        <v>39.0</v>
      </c>
      <c r="D1128" s="11" t="s">
        <v>2</v>
      </c>
      <c r="E1128" s="11" t="s">
        <v>25</v>
      </c>
      <c r="F1128" s="11" t="s">
        <v>169</v>
      </c>
      <c r="G1128" s="13"/>
      <c r="H1128" s="12" t="s">
        <v>19</v>
      </c>
      <c r="I1128" s="11" t="s">
        <v>173</v>
      </c>
      <c r="J1128" s="11" t="s">
        <v>21</v>
      </c>
      <c r="K1128" s="13"/>
      <c r="L1128" s="14" t="s">
        <v>2690</v>
      </c>
    </row>
    <row r="1129">
      <c r="A1129" s="15">
        <v>376.0</v>
      </c>
      <c r="B1129" s="16" t="s">
        <v>2691</v>
      </c>
      <c r="C1129" s="17">
        <v>56.0</v>
      </c>
      <c r="D1129" s="16" t="s">
        <v>92</v>
      </c>
      <c r="E1129" s="16" t="s">
        <v>17</v>
      </c>
      <c r="F1129" s="16" t="s">
        <v>18</v>
      </c>
      <c r="G1129" s="18"/>
      <c r="H1129" s="17" t="s">
        <v>1869</v>
      </c>
      <c r="I1129" s="16" t="s">
        <v>191</v>
      </c>
      <c r="J1129" s="16" t="s">
        <v>21</v>
      </c>
      <c r="K1129" s="18"/>
      <c r="L1129" s="19" t="s">
        <v>2692</v>
      </c>
    </row>
    <row r="1130">
      <c r="A1130" s="10">
        <v>1333.0</v>
      </c>
      <c r="B1130" s="11" t="s">
        <v>2693</v>
      </c>
      <c r="C1130" s="12">
        <v>56.0</v>
      </c>
      <c r="D1130" s="11" t="s">
        <v>470</v>
      </c>
      <c r="E1130" s="11" t="s">
        <v>17</v>
      </c>
      <c r="F1130" s="11" t="s">
        <v>18</v>
      </c>
      <c r="G1130" s="13"/>
      <c r="H1130" s="12" t="s">
        <v>19</v>
      </c>
      <c r="I1130" s="11" t="s">
        <v>470</v>
      </c>
      <c r="J1130" s="11" t="s">
        <v>21</v>
      </c>
      <c r="K1130" s="13"/>
      <c r="L1130" s="14" t="s">
        <v>2694</v>
      </c>
    </row>
    <row r="1131">
      <c r="A1131" s="15">
        <v>1187.0</v>
      </c>
      <c r="B1131" s="16" t="s">
        <v>2695</v>
      </c>
      <c r="C1131" s="17">
        <v>19.0</v>
      </c>
      <c r="D1131" s="16" t="s">
        <v>2696</v>
      </c>
      <c r="E1131" s="16" t="s">
        <v>17</v>
      </c>
      <c r="F1131" s="16" t="s">
        <v>478</v>
      </c>
      <c r="G1131" s="16" t="s">
        <v>689</v>
      </c>
      <c r="H1131" s="17" t="s">
        <v>1869</v>
      </c>
      <c r="I1131" s="16" t="s">
        <v>195</v>
      </c>
      <c r="J1131" s="16" t="s">
        <v>1139</v>
      </c>
      <c r="K1131" s="18"/>
      <c r="L1131" s="19" t="s">
        <v>2697</v>
      </c>
    </row>
    <row r="1132">
      <c r="A1132" s="10">
        <v>720.0</v>
      </c>
      <c r="B1132" s="11" t="s">
        <v>2698</v>
      </c>
      <c r="C1132" s="12">
        <v>25.0</v>
      </c>
      <c r="D1132" s="11" t="s">
        <v>159</v>
      </c>
      <c r="E1132" s="11" t="s">
        <v>17</v>
      </c>
      <c r="F1132" s="11" t="s">
        <v>18</v>
      </c>
      <c r="G1132" s="13"/>
      <c r="H1132" s="12" t="s">
        <v>19</v>
      </c>
      <c r="I1132" s="11" t="s">
        <v>312</v>
      </c>
      <c r="J1132" s="11" t="s">
        <v>21</v>
      </c>
      <c r="K1132" s="11" t="s">
        <v>53</v>
      </c>
      <c r="L1132" s="14" t="s">
        <v>791</v>
      </c>
    </row>
    <row r="1133">
      <c r="A1133" s="15">
        <v>1273.0</v>
      </c>
      <c r="B1133" s="16" t="s">
        <v>2699</v>
      </c>
      <c r="C1133" s="17">
        <v>30.0</v>
      </c>
      <c r="D1133" s="16" t="s">
        <v>334</v>
      </c>
      <c r="E1133" s="16" t="s">
        <v>17</v>
      </c>
      <c r="F1133" s="16" t="s">
        <v>1809</v>
      </c>
      <c r="G1133" s="16" t="s">
        <v>1738</v>
      </c>
      <c r="H1133" s="17" t="s">
        <v>1869</v>
      </c>
      <c r="I1133" s="16" t="s">
        <v>150</v>
      </c>
      <c r="J1133" s="16" t="s">
        <v>1139</v>
      </c>
      <c r="K1133" s="18"/>
      <c r="L1133" s="19" t="s">
        <v>2700</v>
      </c>
    </row>
    <row r="1134">
      <c r="A1134" s="10">
        <v>767.0</v>
      </c>
      <c r="B1134" s="11" t="s">
        <v>2701</v>
      </c>
      <c r="C1134" s="12">
        <v>27.0</v>
      </c>
      <c r="D1134" s="11" t="s">
        <v>527</v>
      </c>
      <c r="E1134" s="11" t="s">
        <v>25</v>
      </c>
      <c r="F1134" s="11" t="s">
        <v>18</v>
      </c>
      <c r="G1134" s="13"/>
      <c r="H1134" s="12" t="s">
        <v>19</v>
      </c>
      <c r="I1134" s="11" t="s">
        <v>2702</v>
      </c>
      <c r="J1134" s="11" t="s">
        <v>21</v>
      </c>
      <c r="K1134" s="11" t="s">
        <v>53</v>
      </c>
      <c r="L1134" s="14" t="s">
        <v>2703</v>
      </c>
    </row>
    <row r="1135">
      <c r="A1135" s="15">
        <v>485.0</v>
      </c>
      <c r="B1135" s="16" t="s">
        <v>2704</v>
      </c>
      <c r="C1135" s="17">
        <v>21.0</v>
      </c>
      <c r="D1135" s="16" t="s">
        <v>527</v>
      </c>
      <c r="E1135" s="16" t="s">
        <v>17</v>
      </c>
      <c r="F1135" s="16" t="s">
        <v>478</v>
      </c>
      <c r="G1135" s="16" t="s">
        <v>479</v>
      </c>
      <c r="H1135" s="17" t="s">
        <v>19</v>
      </c>
      <c r="I1135" s="16" t="s">
        <v>1776</v>
      </c>
      <c r="J1135" s="16" t="s">
        <v>1139</v>
      </c>
      <c r="K1135" s="18"/>
      <c r="L1135" s="19" t="s">
        <v>2705</v>
      </c>
    </row>
    <row r="1136">
      <c r="A1136" s="10">
        <v>2016.0</v>
      </c>
      <c r="B1136" s="11" t="s">
        <v>2706</v>
      </c>
      <c r="C1136" s="12">
        <v>25.0</v>
      </c>
      <c r="D1136" s="11" t="s">
        <v>299</v>
      </c>
      <c r="E1136" s="11" t="s">
        <v>17</v>
      </c>
      <c r="F1136" s="11" t="s">
        <v>18</v>
      </c>
      <c r="G1136" s="13"/>
      <c r="H1136" s="12" t="s">
        <v>1346</v>
      </c>
      <c r="I1136" s="11" t="s">
        <v>2707</v>
      </c>
      <c r="J1136" s="11" t="s">
        <v>21</v>
      </c>
      <c r="K1136" s="13"/>
      <c r="L1136" s="14" t="s">
        <v>2708</v>
      </c>
    </row>
    <row r="1137">
      <c r="A1137" s="15">
        <v>1278.0</v>
      </c>
      <c r="B1137" s="16" t="s">
        <v>2709</v>
      </c>
      <c r="C1137" s="17">
        <v>30.0</v>
      </c>
      <c r="D1137" s="16" t="s">
        <v>2710</v>
      </c>
      <c r="E1137" s="16" t="s">
        <v>17</v>
      </c>
      <c r="F1137" s="16" t="s">
        <v>1809</v>
      </c>
      <c r="G1137" s="16" t="s">
        <v>1012</v>
      </c>
      <c r="H1137" s="17" t="s">
        <v>1869</v>
      </c>
      <c r="I1137" s="16" t="s">
        <v>150</v>
      </c>
      <c r="J1137" s="16" t="s">
        <v>1139</v>
      </c>
      <c r="K1137" s="18"/>
      <c r="L1137" s="19" t="s">
        <v>2711</v>
      </c>
    </row>
    <row r="1138">
      <c r="A1138" s="10">
        <v>639.0</v>
      </c>
      <c r="B1138" s="11" t="s">
        <v>2712</v>
      </c>
      <c r="C1138" s="12">
        <v>70.0</v>
      </c>
      <c r="D1138" s="11" t="s">
        <v>176</v>
      </c>
      <c r="E1138" s="11" t="s">
        <v>25</v>
      </c>
      <c r="F1138" s="11" t="s">
        <v>18</v>
      </c>
      <c r="G1138" s="13"/>
      <c r="H1138" s="12" t="s">
        <v>19</v>
      </c>
      <c r="I1138" s="11" t="s">
        <v>1508</v>
      </c>
      <c r="J1138" s="11" t="s">
        <v>21</v>
      </c>
      <c r="K1138" s="13"/>
      <c r="L1138" s="14" t="s">
        <v>2713</v>
      </c>
    </row>
    <row r="1139">
      <c r="A1139" s="15">
        <v>567.0</v>
      </c>
      <c r="B1139" s="16" t="s">
        <v>2714</v>
      </c>
      <c r="C1139" s="17">
        <v>73.0</v>
      </c>
      <c r="D1139" s="16" t="s">
        <v>176</v>
      </c>
      <c r="E1139" s="16" t="s">
        <v>17</v>
      </c>
      <c r="F1139" s="16" t="s">
        <v>18</v>
      </c>
      <c r="G1139" s="18"/>
      <c r="H1139" s="17" t="s">
        <v>19</v>
      </c>
      <c r="I1139" s="16" t="s">
        <v>1508</v>
      </c>
      <c r="J1139" s="16" t="s">
        <v>21</v>
      </c>
      <c r="K1139" s="18"/>
      <c r="L1139" s="19" t="s">
        <v>2715</v>
      </c>
    </row>
    <row r="1140">
      <c r="A1140" s="10">
        <v>538.0</v>
      </c>
      <c r="B1140" s="11" t="s">
        <v>2716</v>
      </c>
      <c r="C1140" s="12">
        <v>38.0</v>
      </c>
      <c r="D1140" s="11" t="s">
        <v>176</v>
      </c>
      <c r="E1140" s="11" t="s">
        <v>17</v>
      </c>
      <c r="F1140" s="11" t="s">
        <v>136</v>
      </c>
      <c r="G1140" s="13"/>
      <c r="H1140" s="12" t="s">
        <v>19</v>
      </c>
      <c r="I1140" s="11" t="s">
        <v>176</v>
      </c>
      <c r="J1140" s="11" t="s">
        <v>21</v>
      </c>
      <c r="K1140" s="13"/>
      <c r="L1140" s="14" t="s">
        <v>2717</v>
      </c>
    </row>
    <row r="1141">
      <c r="A1141" s="15">
        <v>263.0</v>
      </c>
      <c r="B1141" s="16" t="s">
        <v>2718</v>
      </c>
      <c r="C1141" s="17">
        <v>21.0</v>
      </c>
      <c r="D1141" s="16" t="s">
        <v>413</v>
      </c>
      <c r="E1141" s="16" t="s">
        <v>17</v>
      </c>
      <c r="F1141" s="16" t="s">
        <v>478</v>
      </c>
      <c r="G1141" s="16" t="s">
        <v>479</v>
      </c>
      <c r="H1141" s="17" t="s">
        <v>1346</v>
      </c>
      <c r="I1141" s="16" t="s">
        <v>2719</v>
      </c>
      <c r="J1141" s="16" t="s">
        <v>1139</v>
      </c>
      <c r="K1141" s="18"/>
      <c r="L1141" s="19" t="s">
        <v>2720</v>
      </c>
    </row>
    <row r="1142">
      <c r="A1142" s="10">
        <v>2017.0</v>
      </c>
      <c r="B1142" s="11" t="s">
        <v>2721</v>
      </c>
      <c r="C1142" s="12">
        <v>22.0</v>
      </c>
      <c r="D1142" s="11" t="s">
        <v>1959</v>
      </c>
      <c r="E1142" s="11" t="s">
        <v>17</v>
      </c>
      <c r="F1142" s="11" t="s">
        <v>478</v>
      </c>
      <c r="G1142" s="11" t="s">
        <v>1012</v>
      </c>
      <c r="H1142" s="12" t="s">
        <v>1869</v>
      </c>
      <c r="I1142" s="11" t="s">
        <v>195</v>
      </c>
      <c r="J1142" s="11" t="s">
        <v>1139</v>
      </c>
      <c r="K1142" s="13"/>
      <c r="L1142" s="14" t="s">
        <v>2722</v>
      </c>
    </row>
    <row r="1143">
      <c r="A1143" s="15">
        <v>1587.0</v>
      </c>
      <c r="B1143" s="16" t="s">
        <v>2723</v>
      </c>
      <c r="C1143" s="17">
        <v>21.0</v>
      </c>
      <c r="D1143" s="16" t="s">
        <v>1005</v>
      </c>
      <c r="E1143" s="16" t="s">
        <v>17</v>
      </c>
      <c r="F1143" s="16" t="s">
        <v>478</v>
      </c>
      <c r="G1143" s="16" t="s">
        <v>143</v>
      </c>
      <c r="H1143" s="17" t="s">
        <v>1869</v>
      </c>
      <c r="I1143" s="16" t="s">
        <v>191</v>
      </c>
      <c r="J1143" s="16" t="s">
        <v>1139</v>
      </c>
      <c r="K1143" s="18"/>
      <c r="L1143" s="19" t="s">
        <v>2724</v>
      </c>
    </row>
    <row r="1144">
      <c r="A1144" s="10">
        <v>1678.0</v>
      </c>
      <c r="B1144" s="12" t="s">
        <v>2725</v>
      </c>
      <c r="C1144" s="12">
        <v>37.0</v>
      </c>
      <c r="D1144" s="11" t="s">
        <v>175</v>
      </c>
      <c r="E1144" s="11" t="s">
        <v>17</v>
      </c>
      <c r="F1144" s="11" t="s">
        <v>169</v>
      </c>
      <c r="G1144" s="13"/>
      <c r="H1144" s="12" t="s">
        <v>19</v>
      </c>
      <c r="I1144" s="11" t="s">
        <v>181</v>
      </c>
      <c r="J1144" s="11" t="s">
        <v>21</v>
      </c>
      <c r="K1144" s="13"/>
      <c r="L1144" s="14" t="s">
        <v>2726</v>
      </c>
    </row>
    <row r="1145">
      <c r="A1145" s="15">
        <v>1680.0</v>
      </c>
      <c r="B1145" s="17" t="s">
        <v>2727</v>
      </c>
      <c r="C1145" s="18"/>
      <c r="D1145" s="16" t="s">
        <v>175</v>
      </c>
      <c r="E1145" s="16" t="s">
        <v>17</v>
      </c>
      <c r="F1145" s="16" t="s">
        <v>169</v>
      </c>
      <c r="G1145" s="18"/>
      <c r="H1145" s="17" t="s">
        <v>19</v>
      </c>
      <c r="I1145" s="16" t="s">
        <v>181</v>
      </c>
      <c r="J1145" s="16" t="s">
        <v>21</v>
      </c>
      <c r="K1145" s="18"/>
      <c r="L1145" s="19" t="s">
        <v>2727</v>
      </c>
    </row>
    <row r="1146">
      <c r="A1146" s="10">
        <v>1679.0</v>
      </c>
      <c r="B1146" s="12" t="s">
        <v>2728</v>
      </c>
      <c r="C1146" s="13"/>
      <c r="D1146" s="11" t="s">
        <v>175</v>
      </c>
      <c r="E1146" s="11" t="s">
        <v>17</v>
      </c>
      <c r="F1146" s="11" t="s">
        <v>169</v>
      </c>
      <c r="G1146" s="13"/>
      <c r="H1146" s="12" t="s">
        <v>19</v>
      </c>
      <c r="I1146" s="11" t="s">
        <v>181</v>
      </c>
      <c r="J1146" s="11" t="s">
        <v>21</v>
      </c>
      <c r="K1146" s="13"/>
      <c r="L1146" s="14" t="s">
        <v>2729</v>
      </c>
    </row>
    <row r="1147">
      <c r="A1147" s="15">
        <v>1686.0</v>
      </c>
      <c r="B1147" s="17" t="s">
        <v>2730</v>
      </c>
      <c r="C1147" s="17">
        <v>36.0</v>
      </c>
      <c r="D1147" s="16" t="s">
        <v>175</v>
      </c>
      <c r="E1147" s="16" t="s">
        <v>17</v>
      </c>
      <c r="F1147" s="16" t="s">
        <v>169</v>
      </c>
      <c r="G1147" s="18"/>
      <c r="H1147" s="17" t="s">
        <v>19</v>
      </c>
      <c r="I1147" s="16" t="s">
        <v>195</v>
      </c>
      <c r="J1147" s="16" t="s">
        <v>21</v>
      </c>
      <c r="K1147" s="18"/>
      <c r="L1147" s="19" t="s">
        <v>2731</v>
      </c>
    </row>
    <row r="1148">
      <c r="A1148" s="10">
        <v>1685.0</v>
      </c>
      <c r="B1148" s="12" t="s">
        <v>2732</v>
      </c>
      <c r="C1148" s="12">
        <v>29.0</v>
      </c>
      <c r="D1148" s="11" t="s">
        <v>175</v>
      </c>
      <c r="E1148" s="11" t="s">
        <v>17</v>
      </c>
      <c r="F1148" s="11" t="s">
        <v>169</v>
      </c>
      <c r="G1148" s="13"/>
      <c r="H1148" s="12" t="s">
        <v>19</v>
      </c>
      <c r="I1148" s="11" t="s">
        <v>181</v>
      </c>
      <c r="J1148" s="11" t="s">
        <v>21</v>
      </c>
      <c r="K1148" s="13"/>
      <c r="L1148" s="14" t="s">
        <v>2732</v>
      </c>
    </row>
    <row r="1149">
      <c r="A1149" s="15">
        <v>1677.0</v>
      </c>
      <c r="B1149" s="17" t="s">
        <v>2733</v>
      </c>
      <c r="C1149" s="17">
        <v>32.0</v>
      </c>
      <c r="D1149" s="16" t="s">
        <v>175</v>
      </c>
      <c r="E1149" s="16" t="s">
        <v>17</v>
      </c>
      <c r="F1149" s="16" t="s">
        <v>169</v>
      </c>
      <c r="G1149" s="18"/>
      <c r="H1149" s="17" t="s">
        <v>19</v>
      </c>
      <c r="I1149" s="16" t="s">
        <v>181</v>
      </c>
      <c r="J1149" s="16" t="s">
        <v>21</v>
      </c>
      <c r="K1149" s="18"/>
      <c r="L1149" s="19" t="s">
        <v>2733</v>
      </c>
    </row>
    <row r="1150">
      <c r="A1150" s="10">
        <v>1684.0</v>
      </c>
      <c r="B1150" s="12" t="s">
        <v>2734</v>
      </c>
      <c r="C1150" s="12">
        <v>35.0</v>
      </c>
      <c r="D1150" s="11" t="s">
        <v>175</v>
      </c>
      <c r="E1150" s="11" t="s">
        <v>17</v>
      </c>
      <c r="F1150" s="11" t="s">
        <v>169</v>
      </c>
      <c r="G1150" s="13"/>
      <c r="H1150" s="12" t="s">
        <v>19</v>
      </c>
      <c r="I1150" s="11" t="s">
        <v>181</v>
      </c>
      <c r="J1150" s="11" t="s">
        <v>21</v>
      </c>
      <c r="K1150" s="13"/>
      <c r="L1150" s="14" t="s">
        <v>2734</v>
      </c>
    </row>
    <row r="1151">
      <c r="A1151" s="15">
        <v>1683.0</v>
      </c>
      <c r="B1151" s="17" t="s">
        <v>2735</v>
      </c>
      <c r="C1151" s="17">
        <v>26.0</v>
      </c>
      <c r="D1151" s="16" t="s">
        <v>175</v>
      </c>
      <c r="E1151" s="16" t="s">
        <v>17</v>
      </c>
      <c r="F1151" s="16" t="s">
        <v>169</v>
      </c>
      <c r="G1151" s="18"/>
      <c r="H1151" s="17" t="s">
        <v>19</v>
      </c>
      <c r="I1151" s="16" t="s">
        <v>181</v>
      </c>
      <c r="J1151" s="16" t="s">
        <v>21</v>
      </c>
      <c r="K1151" s="18"/>
      <c r="L1151" s="19" t="s">
        <v>2735</v>
      </c>
    </row>
    <row r="1152">
      <c r="A1152" s="10">
        <v>2019.0</v>
      </c>
      <c r="B1152" s="12" t="s">
        <v>2736</v>
      </c>
      <c r="C1152" s="12">
        <v>32.0</v>
      </c>
      <c r="D1152" s="11" t="s">
        <v>175</v>
      </c>
      <c r="E1152" s="11" t="s">
        <v>17</v>
      </c>
      <c r="F1152" s="11" t="s">
        <v>169</v>
      </c>
      <c r="G1152" s="13"/>
      <c r="H1152" s="12" t="s">
        <v>19</v>
      </c>
      <c r="I1152" s="11" t="s">
        <v>176</v>
      </c>
      <c r="J1152" s="11" t="s">
        <v>21</v>
      </c>
      <c r="K1152" s="13"/>
      <c r="L1152" s="14" t="s">
        <v>2736</v>
      </c>
    </row>
    <row r="1153">
      <c r="A1153" s="15">
        <v>1689.0</v>
      </c>
      <c r="B1153" s="17" t="s">
        <v>2737</v>
      </c>
      <c r="C1153" s="17">
        <v>33.0</v>
      </c>
      <c r="D1153" s="16" t="s">
        <v>175</v>
      </c>
      <c r="E1153" s="16" t="s">
        <v>17</v>
      </c>
      <c r="F1153" s="16" t="s">
        <v>169</v>
      </c>
      <c r="G1153" s="18"/>
      <c r="H1153" s="17" t="s">
        <v>19</v>
      </c>
      <c r="I1153" s="16" t="s">
        <v>195</v>
      </c>
      <c r="J1153" s="16" t="s">
        <v>21</v>
      </c>
      <c r="K1153" s="18"/>
      <c r="L1153" s="19" t="s">
        <v>2737</v>
      </c>
    </row>
    <row r="1154">
      <c r="A1154" s="10">
        <v>1688.0</v>
      </c>
      <c r="B1154" s="12" t="s">
        <v>2738</v>
      </c>
      <c r="C1154" s="12">
        <v>35.0</v>
      </c>
      <c r="D1154" s="11" t="s">
        <v>175</v>
      </c>
      <c r="E1154" s="11" t="s">
        <v>17</v>
      </c>
      <c r="F1154" s="11" t="s">
        <v>169</v>
      </c>
      <c r="G1154" s="13"/>
      <c r="H1154" s="12" t="s">
        <v>19</v>
      </c>
      <c r="I1154" s="11" t="s">
        <v>1031</v>
      </c>
      <c r="J1154" s="11" t="s">
        <v>21</v>
      </c>
      <c r="K1154" s="13"/>
      <c r="L1154" s="14" t="s">
        <v>2738</v>
      </c>
    </row>
    <row r="1155">
      <c r="A1155" s="15">
        <v>2020.0</v>
      </c>
      <c r="B1155" s="16" t="s">
        <v>2739</v>
      </c>
      <c r="C1155" s="17">
        <v>52.0</v>
      </c>
      <c r="D1155" s="16" t="s">
        <v>587</v>
      </c>
      <c r="E1155" s="16" t="s">
        <v>17</v>
      </c>
      <c r="F1155" s="16" t="s">
        <v>18</v>
      </c>
      <c r="G1155" s="18"/>
      <c r="H1155" s="17" t="s">
        <v>1869</v>
      </c>
      <c r="I1155" s="16" t="s">
        <v>2740</v>
      </c>
      <c r="J1155" s="16" t="s">
        <v>21</v>
      </c>
      <c r="K1155" s="18"/>
      <c r="L1155" s="19" t="s">
        <v>2741</v>
      </c>
    </row>
    <row r="1156">
      <c r="A1156" s="10">
        <v>2021.0</v>
      </c>
      <c r="B1156" s="11" t="s">
        <v>2742</v>
      </c>
      <c r="C1156" s="12">
        <v>24.0</v>
      </c>
      <c r="D1156" s="11" t="s">
        <v>95</v>
      </c>
      <c r="E1156" s="11" t="s">
        <v>17</v>
      </c>
      <c r="F1156" s="11" t="s">
        <v>18</v>
      </c>
      <c r="G1156" s="13"/>
      <c r="H1156" s="12" t="s">
        <v>1869</v>
      </c>
      <c r="I1156" s="11" t="s">
        <v>2740</v>
      </c>
      <c r="J1156" s="11" t="s">
        <v>21</v>
      </c>
      <c r="K1156" s="13"/>
      <c r="L1156" s="14" t="s">
        <v>2743</v>
      </c>
    </row>
    <row r="1157">
      <c r="A1157" s="15">
        <v>135.0</v>
      </c>
      <c r="B1157" s="16" t="s">
        <v>2744</v>
      </c>
      <c r="C1157" s="17">
        <v>38.0</v>
      </c>
      <c r="D1157" s="16" t="s">
        <v>337</v>
      </c>
      <c r="E1157" s="16" t="s">
        <v>17</v>
      </c>
      <c r="F1157" s="16" t="s">
        <v>18</v>
      </c>
      <c r="G1157" s="18"/>
      <c r="H1157" s="17" t="s">
        <v>2745</v>
      </c>
      <c r="I1157" s="16" t="s">
        <v>2746</v>
      </c>
      <c r="J1157" s="16" t="s">
        <v>21</v>
      </c>
      <c r="K1157" s="18"/>
      <c r="L1157" s="19" t="s">
        <v>2747</v>
      </c>
    </row>
    <row r="1158">
      <c r="A1158" s="10">
        <v>122.0</v>
      </c>
      <c r="B1158" s="11" t="s">
        <v>2748</v>
      </c>
      <c r="C1158" s="12">
        <v>53.0</v>
      </c>
      <c r="D1158" s="11" t="s">
        <v>470</v>
      </c>
      <c r="E1158" s="11" t="s">
        <v>17</v>
      </c>
      <c r="F1158" s="11" t="s">
        <v>18</v>
      </c>
      <c r="G1158" s="13"/>
      <c r="H1158" s="12" t="s">
        <v>2749</v>
      </c>
      <c r="I1158" s="11" t="s">
        <v>2746</v>
      </c>
      <c r="J1158" s="11" t="s">
        <v>21</v>
      </c>
      <c r="K1158" s="13"/>
      <c r="L1158" s="14" t="s">
        <v>2750</v>
      </c>
    </row>
    <row r="1159">
      <c r="A1159" s="15">
        <v>1706.0</v>
      </c>
      <c r="B1159" s="16" t="s">
        <v>2751</v>
      </c>
      <c r="C1159" s="17">
        <v>19.0</v>
      </c>
      <c r="D1159" s="16" t="s">
        <v>2752</v>
      </c>
      <c r="E1159" s="16" t="s">
        <v>17</v>
      </c>
      <c r="F1159" s="16" t="s">
        <v>478</v>
      </c>
      <c r="G1159" s="16" t="s">
        <v>2753</v>
      </c>
      <c r="H1159" s="17" t="s">
        <v>19</v>
      </c>
      <c r="I1159" s="16" t="s">
        <v>2350</v>
      </c>
      <c r="J1159" s="16" t="s">
        <v>1139</v>
      </c>
      <c r="K1159" s="18"/>
      <c r="L1159" s="19" t="s">
        <v>2754</v>
      </c>
    </row>
    <row r="1160">
      <c r="A1160" s="10">
        <v>1697.0</v>
      </c>
      <c r="B1160" s="12" t="s">
        <v>2755</v>
      </c>
      <c r="C1160" s="13"/>
      <c r="D1160" s="11" t="s">
        <v>2756</v>
      </c>
      <c r="E1160" s="11" t="s">
        <v>17</v>
      </c>
      <c r="F1160" s="11" t="s">
        <v>169</v>
      </c>
      <c r="G1160" s="13"/>
      <c r="H1160" s="12" t="s">
        <v>19</v>
      </c>
      <c r="I1160" s="11" t="s">
        <v>173</v>
      </c>
      <c r="J1160" s="11" t="s">
        <v>21</v>
      </c>
      <c r="K1160" s="13"/>
      <c r="L1160" s="14" t="s">
        <v>2755</v>
      </c>
    </row>
    <row r="1161">
      <c r="A1161" s="15">
        <v>2023.0</v>
      </c>
      <c r="B1161" s="17" t="s">
        <v>2757</v>
      </c>
      <c r="C1161" s="18"/>
      <c r="D1161" s="16" t="s">
        <v>2756</v>
      </c>
      <c r="E1161" s="16" t="s">
        <v>17</v>
      </c>
      <c r="F1161" s="16" t="s">
        <v>169</v>
      </c>
      <c r="G1161" s="18"/>
      <c r="H1161" s="17" t="s">
        <v>19</v>
      </c>
      <c r="I1161" s="16" t="s">
        <v>173</v>
      </c>
      <c r="J1161" s="16" t="s">
        <v>21</v>
      </c>
      <c r="K1161" s="18"/>
      <c r="L1161" s="19" t="s">
        <v>2757</v>
      </c>
    </row>
    <row r="1162">
      <c r="A1162" s="10">
        <v>23.0</v>
      </c>
      <c r="B1162" s="11" t="s">
        <v>2758</v>
      </c>
      <c r="C1162" s="12">
        <v>24.0</v>
      </c>
      <c r="D1162" s="11" t="s">
        <v>789</v>
      </c>
      <c r="E1162" s="11" t="s">
        <v>17</v>
      </c>
      <c r="F1162" s="11" t="s">
        <v>1601</v>
      </c>
      <c r="G1162" s="11" t="s">
        <v>2759</v>
      </c>
      <c r="H1162" s="12" t="s">
        <v>19</v>
      </c>
      <c r="I1162" s="11" t="s">
        <v>2261</v>
      </c>
      <c r="J1162" s="11" t="s">
        <v>57</v>
      </c>
      <c r="K1162" s="13"/>
      <c r="L1162" s="14" t="s">
        <v>2760</v>
      </c>
    </row>
    <row r="1163">
      <c r="A1163" s="15">
        <v>644.0</v>
      </c>
      <c r="B1163" s="16" t="s">
        <v>2761</v>
      </c>
      <c r="C1163" s="17">
        <v>59.0</v>
      </c>
      <c r="D1163" s="16" t="s">
        <v>176</v>
      </c>
      <c r="E1163" s="16" t="s">
        <v>17</v>
      </c>
      <c r="F1163" s="16" t="s">
        <v>18</v>
      </c>
      <c r="G1163" s="18"/>
      <c r="H1163" s="17" t="s">
        <v>19</v>
      </c>
      <c r="I1163" s="16" t="s">
        <v>1508</v>
      </c>
      <c r="J1163" s="16" t="s">
        <v>21</v>
      </c>
      <c r="K1163" s="18"/>
      <c r="L1163" s="19" t="s">
        <v>2762</v>
      </c>
    </row>
    <row r="1164">
      <c r="A1164" s="10">
        <v>1726.0</v>
      </c>
      <c r="B1164" s="11" t="s">
        <v>2763</v>
      </c>
      <c r="C1164" s="12">
        <v>19.0</v>
      </c>
      <c r="D1164" s="11" t="s">
        <v>219</v>
      </c>
      <c r="E1164" s="11" t="s">
        <v>17</v>
      </c>
      <c r="F1164" s="11" t="s">
        <v>478</v>
      </c>
      <c r="G1164" s="11" t="s">
        <v>689</v>
      </c>
      <c r="H1164" s="12" t="s">
        <v>19</v>
      </c>
      <c r="I1164" s="11" t="s">
        <v>1490</v>
      </c>
      <c r="J1164" s="11" t="s">
        <v>1139</v>
      </c>
      <c r="K1164" s="13"/>
      <c r="L1164" s="14" t="s">
        <v>2764</v>
      </c>
    </row>
    <row r="1165">
      <c r="A1165" s="15">
        <v>428.0</v>
      </c>
      <c r="B1165" s="16" t="s">
        <v>2765</v>
      </c>
      <c r="C1165" s="17">
        <v>19.0</v>
      </c>
      <c r="D1165" s="16" t="s">
        <v>438</v>
      </c>
      <c r="E1165" s="16" t="s">
        <v>17</v>
      </c>
      <c r="F1165" s="16" t="s">
        <v>478</v>
      </c>
      <c r="G1165" s="16" t="s">
        <v>479</v>
      </c>
      <c r="H1165" s="17" t="s">
        <v>19</v>
      </c>
      <c r="I1165" s="16" t="s">
        <v>2193</v>
      </c>
      <c r="J1165" s="16" t="s">
        <v>1139</v>
      </c>
      <c r="K1165" s="18"/>
      <c r="L1165" s="19" t="s">
        <v>2766</v>
      </c>
    </row>
    <row r="1166">
      <c r="A1166" s="10">
        <v>1599.0</v>
      </c>
      <c r="B1166" s="11" t="s">
        <v>2767</v>
      </c>
      <c r="C1166" s="12">
        <v>22.0</v>
      </c>
      <c r="D1166" s="11" t="s">
        <v>2768</v>
      </c>
      <c r="E1166" s="11" t="s">
        <v>17</v>
      </c>
      <c r="F1166" s="11" t="s">
        <v>478</v>
      </c>
      <c r="G1166" s="11" t="s">
        <v>1012</v>
      </c>
      <c r="H1166" s="12" t="s">
        <v>19</v>
      </c>
      <c r="I1166" s="11" t="s">
        <v>2193</v>
      </c>
      <c r="J1166" s="11" t="s">
        <v>1139</v>
      </c>
      <c r="K1166" s="13"/>
      <c r="L1166" s="14" t="s">
        <v>2769</v>
      </c>
    </row>
    <row r="1167">
      <c r="A1167" s="15">
        <v>1338.0</v>
      </c>
      <c r="B1167" s="16" t="s">
        <v>2770</v>
      </c>
      <c r="C1167" s="17">
        <v>35.0</v>
      </c>
      <c r="D1167" s="16" t="s">
        <v>2771</v>
      </c>
      <c r="E1167" s="16" t="s">
        <v>17</v>
      </c>
      <c r="F1167" s="16" t="s">
        <v>18</v>
      </c>
      <c r="G1167" s="18"/>
      <c r="H1167" s="17" t="s">
        <v>19</v>
      </c>
      <c r="I1167" s="16" t="s">
        <v>147</v>
      </c>
      <c r="J1167" s="16" t="s">
        <v>21</v>
      </c>
      <c r="K1167" s="16" t="s">
        <v>53</v>
      </c>
      <c r="L1167" s="19" t="s">
        <v>2772</v>
      </c>
    </row>
    <row r="1168">
      <c r="A1168" s="10">
        <v>2024.0</v>
      </c>
      <c r="B1168" s="11" t="s">
        <v>2773</v>
      </c>
      <c r="C1168" s="13"/>
      <c r="D1168" s="11" t="s">
        <v>2774</v>
      </c>
      <c r="E1168" s="11" t="s">
        <v>17</v>
      </c>
      <c r="F1168" s="11" t="s">
        <v>169</v>
      </c>
      <c r="G1168" s="13"/>
      <c r="H1168" s="12" t="s">
        <v>19</v>
      </c>
      <c r="I1168" s="11" t="s">
        <v>150</v>
      </c>
      <c r="J1168" s="11" t="s">
        <v>21</v>
      </c>
      <c r="K1168" s="13"/>
      <c r="L1168" s="14" t="s">
        <v>2775</v>
      </c>
    </row>
    <row r="1169">
      <c r="A1169" s="15">
        <v>2027.0</v>
      </c>
      <c r="B1169" s="16" t="s">
        <v>2776</v>
      </c>
      <c r="C1169" s="18"/>
      <c r="D1169" s="16" t="s">
        <v>2774</v>
      </c>
      <c r="E1169" s="16" t="s">
        <v>17</v>
      </c>
      <c r="F1169" s="16" t="s">
        <v>169</v>
      </c>
      <c r="G1169" s="18"/>
      <c r="H1169" s="17" t="s">
        <v>19</v>
      </c>
      <c r="I1169" s="16" t="s">
        <v>150</v>
      </c>
      <c r="J1169" s="16" t="s">
        <v>21</v>
      </c>
      <c r="K1169" s="18"/>
      <c r="L1169" s="19" t="s">
        <v>2777</v>
      </c>
    </row>
    <row r="1170">
      <c r="A1170" s="10">
        <v>2028.0</v>
      </c>
      <c r="B1170" s="11" t="s">
        <v>2778</v>
      </c>
      <c r="C1170" s="13"/>
      <c r="D1170" s="11" t="s">
        <v>2774</v>
      </c>
      <c r="E1170" s="11" t="s">
        <v>17</v>
      </c>
      <c r="F1170" s="11" t="s">
        <v>169</v>
      </c>
      <c r="G1170" s="13"/>
      <c r="H1170" s="12" t="s">
        <v>19</v>
      </c>
      <c r="I1170" s="11" t="s">
        <v>150</v>
      </c>
      <c r="J1170" s="11" t="s">
        <v>21</v>
      </c>
      <c r="K1170" s="13"/>
      <c r="L1170" s="14" t="s">
        <v>2779</v>
      </c>
    </row>
    <row r="1171">
      <c r="A1171" s="15">
        <v>2029.0</v>
      </c>
      <c r="B1171" s="16" t="s">
        <v>2780</v>
      </c>
      <c r="C1171" s="18"/>
      <c r="D1171" s="16" t="s">
        <v>2774</v>
      </c>
      <c r="E1171" s="16" t="s">
        <v>17</v>
      </c>
      <c r="F1171" s="16" t="s">
        <v>169</v>
      </c>
      <c r="G1171" s="18"/>
      <c r="H1171" s="17" t="s">
        <v>19</v>
      </c>
      <c r="I1171" s="16" t="s">
        <v>150</v>
      </c>
      <c r="J1171" s="16" t="s">
        <v>21</v>
      </c>
      <c r="K1171" s="18"/>
      <c r="L1171" s="19" t="s">
        <v>2781</v>
      </c>
    </row>
    <row r="1172">
      <c r="A1172" s="10">
        <v>2030.0</v>
      </c>
      <c r="B1172" s="11" t="s">
        <v>2782</v>
      </c>
      <c r="C1172" s="13"/>
      <c r="D1172" s="11" t="s">
        <v>2774</v>
      </c>
      <c r="E1172" s="11" t="s">
        <v>17</v>
      </c>
      <c r="F1172" s="11" t="s">
        <v>169</v>
      </c>
      <c r="G1172" s="13"/>
      <c r="H1172" s="12" t="s">
        <v>19</v>
      </c>
      <c r="I1172" s="11" t="s">
        <v>150</v>
      </c>
      <c r="J1172" s="11" t="s">
        <v>21</v>
      </c>
      <c r="K1172" s="13"/>
      <c r="L1172" s="14" t="s">
        <v>2783</v>
      </c>
    </row>
    <row r="1173">
      <c r="A1173" s="15">
        <v>584.0</v>
      </c>
      <c r="B1173" s="16" t="s">
        <v>2784</v>
      </c>
      <c r="C1173" s="17">
        <v>47.0</v>
      </c>
      <c r="D1173" s="16" t="s">
        <v>176</v>
      </c>
      <c r="E1173" s="16" t="s">
        <v>17</v>
      </c>
      <c r="F1173" s="16" t="s">
        <v>18</v>
      </c>
      <c r="G1173" s="18"/>
      <c r="H1173" s="17" t="s">
        <v>2785</v>
      </c>
      <c r="I1173" s="16" t="s">
        <v>2786</v>
      </c>
      <c r="J1173" s="16" t="s">
        <v>21</v>
      </c>
      <c r="K1173" s="18"/>
      <c r="L1173" s="19" t="s">
        <v>2787</v>
      </c>
    </row>
    <row r="1174">
      <c r="A1174" s="10">
        <v>1320.0</v>
      </c>
      <c r="B1174" s="11" t="s">
        <v>2788</v>
      </c>
      <c r="C1174" s="12">
        <v>48.0</v>
      </c>
      <c r="D1174" s="11" t="s">
        <v>470</v>
      </c>
      <c r="E1174" s="11" t="s">
        <v>17</v>
      </c>
      <c r="F1174" s="11" t="s">
        <v>18</v>
      </c>
      <c r="G1174" s="13"/>
      <c r="H1174" s="12" t="s">
        <v>19</v>
      </c>
      <c r="I1174" s="11" t="s">
        <v>470</v>
      </c>
      <c r="J1174" s="11" t="s">
        <v>21</v>
      </c>
      <c r="K1174" s="13"/>
      <c r="L1174" s="14" t="s">
        <v>2789</v>
      </c>
    </row>
    <row r="1175">
      <c r="A1175" s="15">
        <v>798.0</v>
      </c>
      <c r="B1175" s="16" t="s">
        <v>2790</v>
      </c>
      <c r="C1175" s="17">
        <v>24.0</v>
      </c>
      <c r="D1175" s="16" t="s">
        <v>2791</v>
      </c>
      <c r="E1175" s="16" t="s">
        <v>17</v>
      </c>
      <c r="F1175" s="16" t="s">
        <v>18</v>
      </c>
      <c r="G1175" s="18"/>
      <c r="H1175" s="17" t="s">
        <v>19</v>
      </c>
      <c r="I1175" s="16" t="s">
        <v>565</v>
      </c>
      <c r="J1175" s="16" t="s">
        <v>21</v>
      </c>
      <c r="K1175" s="16" t="s">
        <v>53</v>
      </c>
      <c r="L1175" s="19" t="s">
        <v>2792</v>
      </c>
    </row>
    <row r="1176">
      <c r="A1176" s="10">
        <v>659.0</v>
      </c>
      <c r="B1176" s="11" t="s">
        <v>2793</v>
      </c>
      <c r="C1176" s="12">
        <v>61.0</v>
      </c>
      <c r="D1176" s="11" t="s">
        <v>135</v>
      </c>
      <c r="E1176" s="11" t="s">
        <v>17</v>
      </c>
      <c r="F1176" s="11" t="s">
        <v>18</v>
      </c>
      <c r="G1176" s="13"/>
      <c r="H1176" s="12" t="s">
        <v>19</v>
      </c>
      <c r="I1176" s="11" t="s">
        <v>135</v>
      </c>
      <c r="J1176" s="11" t="s">
        <v>21</v>
      </c>
      <c r="K1176" s="13"/>
      <c r="L1176" s="14" t="s">
        <v>2794</v>
      </c>
    </row>
    <row r="1177">
      <c r="A1177" s="15">
        <v>1702.0</v>
      </c>
      <c r="B1177" s="17" t="s">
        <v>2795</v>
      </c>
      <c r="C1177" s="17">
        <v>47.0</v>
      </c>
      <c r="D1177" s="16" t="s">
        <v>1653</v>
      </c>
      <c r="E1177" s="16" t="s">
        <v>17</v>
      </c>
      <c r="F1177" s="16" t="s">
        <v>169</v>
      </c>
      <c r="G1177" s="18"/>
      <c r="H1177" s="17" t="s">
        <v>19</v>
      </c>
      <c r="I1177" s="16" t="s">
        <v>173</v>
      </c>
      <c r="J1177" s="16" t="s">
        <v>21</v>
      </c>
      <c r="K1177" s="18"/>
      <c r="L1177" s="19" t="s">
        <v>2796</v>
      </c>
    </row>
    <row r="1178">
      <c r="A1178" s="10">
        <v>2031.0</v>
      </c>
      <c r="B1178" s="12" t="s">
        <v>2797</v>
      </c>
      <c r="C1178" s="12">
        <v>51.0</v>
      </c>
      <c r="D1178" s="11" t="s">
        <v>1653</v>
      </c>
      <c r="E1178" s="11" t="s">
        <v>17</v>
      </c>
      <c r="F1178" s="11" t="s">
        <v>169</v>
      </c>
      <c r="G1178" s="13"/>
      <c r="H1178" s="12" t="s">
        <v>19</v>
      </c>
      <c r="I1178" s="11" t="s">
        <v>170</v>
      </c>
      <c r="J1178" s="11" t="s">
        <v>21</v>
      </c>
      <c r="K1178" s="13"/>
      <c r="L1178" s="14" t="s">
        <v>2798</v>
      </c>
    </row>
    <row r="1179">
      <c r="A1179" s="15">
        <v>2032.0</v>
      </c>
      <c r="B1179" s="17" t="s">
        <v>2799</v>
      </c>
      <c r="C1179" s="17">
        <v>43.0</v>
      </c>
      <c r="D1179" s="16" t="s">
        <v>1653</v>
      </c>
      <c r="E1179" s="16" t="s">
        <v>17</v>
      </c>
      <c r="F1179" s="16" t="s">
        <v>169</v>
      </c>
      <c r="G1179" s="18"/>
      <c r="H1179" s="17" t="s">
        <v>19</v>
      </c>
      <c r="I1179" s="16" t="s">
        <v>170</v>
      </c>
      <c r="J1179" s="16" t="s">
        <v>21</v>
      </c>
      <c r="K1179" s="18"/>
      <c r="L1179" s="19" t="s">
        <v>2800</v>
      </c>
    </row>
    <row r="1180">
      <c r="A1180" s="10">
        <v>1734.0</v>
      </c>
      <c r="B1180" s="12" t="s">
        <v>2801</v>
      </c>
      <c r="C1180" s="13"/>
      <c r="D1180" s="11" t="s">
        <v>175</v>
      </c>
      <c r="E1180" s="11" t="s">
        <v>17</v>
      </c>
      <c r="F1180" s="11" t="s">
        <v>169</v>
      </c>
      <c r="G1180" s="13"/>
      <c r="H1180" s="12" t="s">
        <v>19</v>
      </c>
      <c r="I1180" s="11" t="s">
        <v>2802</v>
      </c>
      <c r="J1180" s="11" t="s">
        <v>21</v>
      </c>
      <c r="K1180" s="13"/>
      <c r="L1180" s="14" t="s">
        <v>2803</v>
      </c>
    </row>
    <row r="1181">
      <c r="A1181" s="15">
        <v>1735.0</v>
      </c>
      <c r="B1181" s="17" t="s">
        <v>2804</v>
      </c>
      <c r="C1181" s="18"/>
      <c r="D1181" s="16" t="s">
        <v>175</v>
      </c>
      <c r="E1181" s="16" t="s">
        <v>17</v>
      </c>
      <c r="F1181" s="16" t="s">
        <v>169</v>
      </c>
      <c r="G1181" s="18"/>
      <c r="H1181" s="17" t="s">
        <v>19</v>
      </c>
      <c r="I1181" s="16" t="s">
        <v>2802</v>
      </c>
      <c r="J1181" s="16" t="s">
        <v>21</v>
      </c>
      <c r="K1181" s="18"/>
      <c r="L1181" s="19" t="s">
        <v>2805</v>
      </c>
    </row>
    <row r="1182">
      <c r="A1182" s="10">
        <v>716.0</v>
      </c>
      <c r="B1182" s="11" t="s">
        <v>2806</v>
      </c>
      <c r="C1182" s="12">
        <v>28.0</v>
      </c>
      <c r="D1182" s="11" t="s">
        <v>89</v>
      </c>
      <c r="E1182" s="11" t="s">
        <v>25</v>
      </c>
      <c r="F1182" s="11" t="s">
        <v>18</v>
      </c>
      <c r="G1182" s="13"/>
      <c r="H1182" s="12" t="s">
        <v>19</v>
      </c>
      <c r="I1182" s="11" t="s">
        <v>147</v>
      </c>
      <c r="J1182" s="11" t="s">
        <v>21</v>
      </c>
      <c r="K1182" s="11" t="s">
        <v>53</v>
      </c>
      <c r="L1182" s="14" t="s">
        <v>2807</v>
      </c>
    </row>
    <row r="1183">
      <c r="A1183" s="15">
        <v>1600.0</v>
      </c>
      <c r="B1183" s="16" t="s">
        <v>2808</v>
      </c>
      <c r="C1183" s="17">
        <v>53.0</v>
      </c>
      <c r="D1183" s="16" t="s">
        <v>2809</v>
      </c>
      <c r="E1183" s="16" t="s">
        <v>17</v>
      </c>
      <c r="F1183" s="16" t="s">
        <v>18</v>
      </c>
      <c r="G1183" s="18"/>
      <c r="H1183" s="17" t="s">
        <v>19</v>
      </c>
      <c r="I1183" s="16" t="s">
        <v>147</v>
      </c>
      <c r="J1183" s="16" t="s">
        <v>21</v>
      </c>
      <c r="K1183" s="16" t="s">
        <v>53</v>
      </c>
      <c r="L1183" s="19" t="s">
        <v>2810</v>
      </c>
    </row>
    <row r="1184">
      <c r="A1184" s="10">
        <v>402.0</v>
      </c>
      <c r="B1184" s="11" t="s">
        <v>2811</v>
      </c>
      <c r="C1184" s="12">
        <v>59.0</v>
      </c>
      <c r="D1184" s="11" t="s">
        <v>508</v>
      </c>
      <c r="E1184" s="11" t="s">
        <v>17</v>
      </c>
      <c r="F1184" s="11" t="s">
        <v>18</v>
      </c>
      <c r="G1184" s="13"/>
      <c r="H1184" s="12" t="s">
        <v>19</v>
      </c>
      <c r="I1184" s="11" t="s">
        <v>147</v>
      </c>
      <c r="J1184" s="11" t="s">
        <v>21</v>
      </c>
      <c r="K1184" s="13"/>
      <c r="L1184" s="14" t="s">
        <v>2812</v>
      </c>
    </row>
    <row r="1185">
      <c r="A1185" s="15">
        <v>605.0</v>
      </c>
      <c r="B1185" s="16" t="s">
        <v>2813</v>
      </c>
      <c r="C1185" s="17">
        <v>59.0</v>
      </c>
      <c r="D1185" s="16" t="s">
        <v>173</v>
      </c>
      <c r="E1185" s="16" t="s">
        <v>17</v>
      </c>
      <c r="F1185" s="16" t="s">
        <v>18</v>
      </c>
      <c r="G1185" s="18"/>
      <c r="H1185" s="17" t="s">
        <v>19</v>
      </c>
      <c r="I1185" s="16" t="s">
        <v>147</v>
      </c>
      <c r="J1185" s="16" t="s">
        <v>21</v>
      </c>
      <c r="K1185" s="18"/>
      <c r="L1185" s="19" t="s">
        <v>2814</v>
      </c>
    </row>
    <row r="1186">
      <c r="A1186" s="10">
        <v>1589.0</v>
      </c>
      <c r="B1186" s="11" t="s">
        <v>2815</v>
      </c>
      <c r="C1186" s="12">
        <v>30.0</v>
      </c>
      <c r="D1186" s="11" t="s">
        <v>2816</v>
      </c>
      <c r="E1186" s="11" t="s">
        <v>17</v>
      </c>
      <c r="F1186" s="11" t="s">
        <v>169</v>
      </c>
      <c r="G1186" s="13"/>
      <c r="H1186" s="12" t="s">
        <v>19</v>
      </c>
      <c r="I1186" s="11" t="s">
        <v>147</v>
      </c>
      <c r="J1186" s="11" t="s">
        <v>21</v>
      </c>
      <c r="K1186" s="11" t="s">
        <v>53</v>
      </c>
      <c r="L1186" s="14" t="s">
        <v>2817</v>
      </c>
    </row>
    <row r="1187">
      <c r="A1187" s="15">
        <v>1335.0</v>
      </c>
      <c r="B1187" s="16" t="s">
        <v>2818</v>
      </c>
      <c r="C1187" s="17">
        <v>42.0</v>
      </c>
      <c r="D1187" s="16" t="s">
        <v>337</v>
      </c>
      <c r="E1187" s="16" t="s">
        <v>17</v>
      </c>
      <c r="F1187" s="16" t="s">
        <v>18</v>
      </c>
      <c r="G1187" s="18"/>
      <c r="H1187" s="17" t="s">
        <v>19</v>
      </c>
      <c r="I1187" s="16" t="s">
        <v>147</v>
      </c>
      <c r="J1187" s="16" t="s">
        <v>21</v>
      </c>
      <c r="K1187" s="16" t="s">
        <v>53</v>
      </c>
      <c r="L1187" s="19" t="s">
        <v>2819</v>
      </c>
    </row>
    <row r="1188">
      <c r="A1188" s="10">
        <v>562.0</v>
      </c>
      <c r="B1188" s="11" t="s">
        <v>2820</v>
      </c>
      <c r="C1188" s="12">
        <v>35.0</v>
      </c>
      <c r="D1188" s="11" t="s">
        <v>176</v>
      </c>
      <c r="E1188" s="11" t="s">
        <v>17</v>
      </c>
      <c r="F1188" s="11" t="s">
        <v>56</v>
      </c>
      <c r="G1188" s="13"/>
      <c r="H1188" s="12" t="s">
        <v>19</v>
      </c>
      <c r="I1188" s="11" t="s">
        <v>176</v>
      </c>
      <c r="J1188" s="11" t="s">
        <v>57</v>
      </c>
      <c r="K1188" s="13"/>
      <c r="L1188" s="14" t="s">
        <v>2821</v>
      </c>
    </row>
    <row r="1189">
      <c r="A1189" s="15">
        <v>666.0</v>
      </c>
      <c r="B1189" s="16" t="s">
        <v>2822</v>
      </c>
      <c r="C1189" s="17">
        <v>51.0</v>
      </c>
      <c r="D1189" s="16" t="s">
        <v>1564</v>
      </c>
      <c r="E1189" s="16" t="s">
        <v>17</v>
      </c>
      <c r="F1189" s="16" t="s">
        <v>18</v>
      </c>
      <c r="G1189" s="18"/>
      <c r="H1189" s="17">
        <v>2024.0</v>
      </c>
      <c r="I1189" s="16" t="s">
        <v>2786</v>
      </c>
      <c r="J1189" s="16" t="s">
        <v>21</v>
      </c>
      <c r="K1189" s="18"/>
      <c r="L1189" s="19" t="s">
        <v>2823</v>
      </c>
    </row>
    <row r="1190">
      <c r="A1190" s="10">
        <v>556.0</v>
      </c>
      <c r="B1190" s="11" t="s">
        <v>2824</v>
      </c>
      <c r="C1190" s="12">
        <v>84.0</v>
      </c>
      <c r="D1190" s="11" t="s">
        <v>176</v>
      </c>
      <c r="E1190" s="11" t="s">
        <v>17</v>
      </c>
      <c r="F1190" s="11" t="s">
        <v>18</v>
      </c>
      <c r="G1190" s="13"/>
      <c r="H1190" s="12">
        <v>2024.0</v>
      </c>
      <c r="I1190" s="11" t="s">
        <v>2786</v>
      </c>
      <c r="J1190" s="11" t="s">
        <v>21</v>
      </c>
      <c r="K1190" s="13"/>
      <c r="L1190" s="14" t="s">
        <v>2825</v>
      </c>
    </row>
    <row r="1191">
      <c r="A1191" s="15">
        <v>608.0</v>
      </c>
      <c r="B1191" s="16" t="s">
        <v>2826</v>
      </c>
      <c r="C1191" s="17">
        <v>79.0</v>
      </c>
      <c r="D1191" s="16" t="s">
        <v>176</v>
      </c>
      <c r="E1191" s="16" t="s">
        <v>17</v>
      </c>
      <c r="F1191" s="16" t="s">
        <v>18</v>
      </c>
      <c r="G1191" s="18"/>
      <c r="H1191" s="17">
        <v>2024.0</v>
      </c>
      <c r="I1191" s="16" t="s">
        <v>2786</v>
      </c>
      <c r="J1191" s="16" t="s">
        <v>21</v>
      </c>
      <c r="K1191" s="18"/>
      <c r="L1191" s="19" t="s">
        <v>2827</v>
      </c>
    </row>
    <row r="1192">
      <c r="A1192" s="10">
        <v>595.0</v>
      </c>
      <c r="B1192" s="11" t="s">
        <v>2828</v>
      </c>
      <c r="C1192" s="12">
        <v>80.0</v>
      </c>
      <c r="D1192" s="11" t="s">
        <v>176</v>
      </c>
      <c r="E1192" s="11" t="s">
        <v>17</v>
      </c>
      <c r="F1192" s="11" t="s">
        <v>18</v>
      </c>
      <c r="G1192" s="13"/>
      <c r="H1192" s="12">
        <v>2024.0</v>
      </c>
      <c r="I1192" s="11" t="s">
        <v>2786</v>
      </c>
      <c r="J1192" s="11" t="s">
        <v>21</v>
      </c>
      <c r="K1192" s="13"/>
      <c r="L1192" s="14" t="s">
        <v>2829</v>
      </c>
    </row>
    <row r="1193">
      <c r="A1193" s="15">
        <v>2038.0</v>
      </c>
      <c r="B1193" s="16" t="s">
        <v>2830</v>
      </c>
      <c r="C1193" s="17">
        <v>77.0</v>
      </c>
      <c r="D1193" s="16" t="s">
        <v>705</v>
      </c>
      <c r="E1193" s="16" t="s">
        <v>17</v>
      </c>
      <c r="F1193" s="16" t="s">
        <v>18</v>
      </c>
      <c r="G1193" s="18"/>
      <c r="H1193" s="17" t="s">
        <v>1869</v>
      </c>
      <c r="I1193" s="16" t="s">
        <v>2831</v>
      </c>
      <c r="J1193" s="16" t="s">
        <v>125</v>
      </c>
      <c r="K1193" s="18"/>
      <c r="L1193" s="19" t="s">
        <v>2832</v>
      </c>
    </row>
    <row r="1194">
      <c r="A1194" s="10">
        <v>1695.0</v>
      </c>
      <c r="B1194" s="11" t="s">
        <v>2833</v>
      </c>
      <c r="C1194" s="12">
        <v>40.0</v>
      </c>
      <c r="D1194" s="11" t="s">
        <v>2834</v>
      </c>
      <c r="E1194" s="11" t="s">
        <v>17</v>
      </c>
      <c r="F1194" s="11" t="s">
        <v>478</v>
      </c>
      <c r="G1194" s="13"/>
      <c r="H1194" s="12" t="s">
        <v>19</v>
      </c>
      <c r="I1194" s="11" t="s">
        <v>2835</v>
      </c>
      <c r="J1194" s="11" t="s">
        <v>1139</v>
      </c>
      <c r="K1194" s="13"/>
      <c r="L1194" s="14" t="s">
        <v>2836</v>
      </c>
    </row>
    <row r="1195">
      <c r="A1195" s="15">
        <v>560.0</v>
      </c>
      <c r="B1195" s="16" t="s">
        <v>2837</v>
      </c>
      <c r="C1195" s="17">
        <v>75.0</v>
      </c>
      <c r="D1195" s="16" t="s">
        <v>176</v>
      </c>
      <c r="E1195" s="16" t="s">
        <v>17</v>
      </c>
      <c r="F1195" s="16" t="s">
        <v>18</v>
      </c>
      <c r="G1195" s="18"/>
      <c r="H1195" s="17">
        <v>2024.0</v>
      </c>
      <c r="I1195" s="16" t="s">
        <v>2786</v>
      </c>
      <c r="J1195" s="16" t="s">
        <v>21</v>
      </c>
      <c r="K1195" s="18"/>
      <c r="L1195" s="19" t="s">
        <v>2838</v>
      </c>
    </row>
    <row r="1196">
      <c r="A1196" s="10">
        <v>1347.0</v>
      </c>
      <c r="B1196" s="11" t="s">
        <v>2839</v>
      </c>
      <c r="C1196" s="12">
        <v>34.0</v>
      </c>
      <c r="D1196" s="11" t="s">
        <v>1564</v>
      </c>
      <c r="E1196" s="11" t="s">
        <v>17</v>
      </c>
      <c r="F1196" s="11" t="s">
        <v>18</v>
      </c>
      <c r="G1196" s="13"/>
      <c r="H1196" s="12">
        <v>2024.0</v>
      </c>
      <c r="I1196" s="11" t="s">
        <v>2786</v>
      </c>
      <c r="J1196" s="11" t="s">
        <v>21</v>
      </c>
      <c r="K1196" s="13"/>
      <c r="L1196" s="14" t="s">
        <v>2840</v>
      </c>
    </row>
    <row r="1197">
      <c r="A1197" s="15">
        <v>600.0</v>
      </c>
      <c r="B1197" s="16" t="s">
        <v>2841</v>
      </c>
      <c r="C1197" s="17">
        <v>78.0</v>
      </c>
      <c r="D1197" s="16" t="s">
        <v>176</v>
      </c>
      <c r="E1197" s="16" t="s">
        <v>17</v>
      </c>
      <c r="F1197" s="16" t="s">
        <v>18</v>
      </c>
      <c r="G1197" s="18"/>
      <c r="H1197" s="17">
        <v>2024.0</v>
      </c>
      <c r="I1197" s="16" t="s">
        <v>2786</v>
      </c>
      <c r="J1197" s="16" t="s">
        <v>21</v>
      </c>
      <c r="K1197" s="18"/>
      <c r="L1197" s="19" t="s">
        <v>2842</v>
      </c>
    </row>
    <row r="1198">
      <c r="A1198" s="10">
        <v>74.0</v>
      </c>
      <c r="B1198" s="11" t="s">
        <v>2843</v>
      </c>
      <c r="C1198" s="12">
        <v>39.0</v>
      </c>
      <c r="D1198" s="11" t="s">
        <v>470</v>
      </c>
      <c r="E1198" s="11" t="s">
        <v>25</v>
      </c>
      <c r="F1198" s="11" t="s">
        <v>18</v>
      </c>
      <c r="G1198" s="13"/>
      <c r="H1198" s="12" t="s">
        <v>2844</v>
      </c>
      <c r="I1198" s="11" t="s">
        <v>2845</v>
      </c>
      <c r="J1198" s="11" t="s">
        <v>21</v>
      </c>
      <c r="K1198" s="13"/>
      <c r="L1198" s="14" t="s">
        <v>2846</v>
      </c>
    </row>
    <row r="1199">
      <c r="A1199" s="15">
        <v>1336.0</v>
      </c>
      <c r="B1199" s="16" t="s">
        <v>2847</v>
      </c>
      <c r="C1199" s="17">
        <v>24.0</v>
      </c>
      <c r="D1199" s="16" t="s">
        <v>337</v>
      </c>
      <c r="E1199" s="16" t="s">
        <v>25</v>
      </c>
      <c r="F1199" s="16" t="s">
        <v>18</v>
      </c>
      <c r="G1199" s="18"/>
      <c r="H1199" s="17" t="s">
        <v>2844</v>
      </c>
      <c r="I1199" s="16" t="s">
        <v>2845</v>
      </c>
      <c r="J1199" s="16" t="s">
        <v>21</v>
      </c>
      <c r="K1199" s="16" t="s">
        <v>53</v>
      </c>
      <c r="L1199" s="19" t="s">
        <v>2848</v>
      </c>
    </row>
    <row r="1200">
      <c r="A1200" s="10">
        <v>773.0</v>
      </c>
      <c r="B1200" s="11" t="s">
        <v>2849</v>
      </c>
      <c r="C1200" s="12">
        <v>23.0</v>
      </c>
      <c r="D1200" s="11" t="s">
        <v>299</v>
      </c>
      <c r="E1200" s="11" t="s">
        <v>17</v>
      </c>
      <c r="F1200" s="11" t="s">
        <v>18</v>
      </c>
      <c r="G1200" s="13"/>
      <c r="H1200" s="12" t="s">
        <v>2844</v>
      </c>
      <c r="I1200" s="11" t="s">
        <v>2845</v>
      </c>
      <c r="J1200" s="11" t="s">
        <v>21</v>
      </c>
      <c r="K1200" s="11" t="s">
        <v>53</v>
      </c>
      <c r="L1200" s="14" t="s">
        <v>2850</v>
      </c>
    </row>
    <row r="1201">
      <c r="A1201" s="15">
        <v>100.0</v>
      </c>
      <c r="B1201" s="16" t="s">
        <v>2851</v>
      </c>
      <c r="C1201" s="17">
        <v>32.0</v>
      </c>
      <c r="D1201" s="16" t="s">
        <v>92</v>
      </c>
      <c r="E1201" s="16" t="s">
        <v>17</v>
      </c>
      <c r="F1201" s="16" t="s">
        <v>18</v>
      </c>
      <c r="G1201" s="18"/>
      <c r="H1201" s="17" t="s">
        <v>2844</v>
      </c>
      <c r="I1201" s="16" t="s">
        <v>2845</v>
      </c>
      <c r="J1201" s="16" t="s">
        <v>21</v>
      </c>
      <c r="K1201" s="16" t="s">
        <v>53</v>
      </c>
      <c r="L1201" s="19" t="s">
        <v>2852</v>
      </c>
    </row>
    <row r="1202">
      <c r="A1202" s="10">
        <v>1458.0</v>
      </c>
      <c r="B1202" s="11" t="s">
        <v>2853</v>
      </c>
      <c r="C1202" s="12">
        <v>26.0</v>
      </c>
      <c r="D1202" s="11" t="s">
        <v>408</v>
      </c>
      <c r="E1202" s="11" t="s">
        <v>17</v>
      </c>
      <c r="F1202" s="11" t="s">
        <v>18</v>
      </c>
      <c r="G1202" s="13"/>
      <c r="H1202" s="12" t="s">
        <v>2844</v>
      </c>
      <c r="I1202" s="11" t="s">
        <v>2845</v>
      </c>
      <c r="J1202" s="11" t="s">
        <v>21</v>
      </c>
      <c r="K1202" s="11" t="s">
        <v>53</v>
      </c>
      <c r="L1202" s="14" t="s">
        <v>2854</v>
      </c>
    </row>
    <row r="1203">
      <c r="A1203" s="15">
        <v>726.0</v>
      </c>
      <c r="B1203" s="16" t="s">
        <v>2855</v>
      </c>
      <c r="C1203" s="17">
        <v>25.0</v>
      </c>
      <c r="D1203" s="16" t="s">
        <v>299</v>
      </c>
      <c r="E1203" s="16" t="s">
        <v>17</v>
      </c>
      <c r="F1203" s="16" t="s">
        <v>18</v>
      </c>
      <c r="G1203" s="18"/>
      <c r="H1203" s="17" t="s">
        <v>2844</v>
      </c>
      <c r="I1203" s="16" t="s">
        <v>2845</v>
      </c>
      <c r="J1203" s="16" t="s">
        <v>21</v>
      </c>
      <c r="K1203" s="16" t="s">
        <v>53</v>
      </c>
      <c r="L1203" s="19" t="s">
        <v>2856</v>
      </c>
    </row>
    <row r="1204">
      <c r="A1204" s="20">
        <v>1329.0</v>
      </c>
      <c r="B1204" s="21" t="s">
        <v>2857</v>
      </c>
      <c r="C1204" s="22">
        <v>28.0</v>
      </c>
      <c r="D1204" s="21" t="s">
        <v>337</v>
      </c>
      <c r="E1204" s="21" t="s">
        <v>17</v>
      </c>
      <c r="F1204" s="21" t="s">
        <v>18</v>
      </c>
      <c r="G1204" s="23"/>
      <c r="H1204" s="22" t="s">
        <v>19</v>
      </c>
      <c r="I1204" s="21" t="s">
        <v>698</v>
      </c>
      <c r="J1204" s="21" t="s">
        <v>21</v>
      </c>
      <c r="K1204" s="21" t="s">
        <v>53</v>
      </c>
      <c r="L1204" s="24" t="s">
        <v>2858</v>
      </c>
    </row>
  </sheetData>
  <customSheetViews>
    <customSheetView guid="{4EE57B77-0F12-4326-8BEB-E871C972C5A9}" filter="1" showAutoFilter="1">
      <autoFilter ref="$A$1:$L$1204">
        <filterColumn colId="9">
          <filters>
            <filter val="ירי רקטי"/>
          </filters>
        </filterColumn>
      </autoFilter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18.38"/>
    <col customWidth="1" min="3" max="3" width="21.63"/>
  </cols>
  <sheetData>
    <row r="1">
      <c r="A1" s="25" t="s">
        <v>2859</v>
      </c>
      <c r="B1" s="25" t="s">
        <v>2860</v>
      </c>
      <c r="C1" s="26" t="s">
        <v>2861</v>
      </c>
      <c r="D1" s="25" t="s">
        <v>2862</v>
      </c>
      <c r="E1" s="27"/>
    </row>
    <row r="2">
      <c r="A2" s="27"/>
      <c r="B2" s="25" t="s">
        <v>2863</v>
      </c>
      <c r="C2" s="27"/>
      <c r="D2" s="27"/>
      <c r="E2" s="27"/>
    </row>
    <row r="3">
      <c r="A3" s="27"/>
      <c r="B3" s="25" t="s">
        <v>2864</v>
      </c>
      <c r="C3" s="27"/>
      <c r="D3" s="27"/>
      <c r="E3" s="27"/>
    </row>
    <row r="4">
      <c r="A4" s="25" t="s">
        <v>2865</v>
      </c>
      <c r="B4" s="25" t="s">
        <v>2866</v>
      </c>
    </row>
    <row r="6">
      <c r="A6" s="25" t="s">
        <v>2867</v>
      </c>
      <c r="B6" s="28" t="s">
        <v>2868</v>
      </c>
    </row>
  </sheetData>
  <hyperlinks>
    <hyperlink r:id="rId1" ref="C1"/>
    <hyperlink r:id="rId2" ref="B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0"/>
  </cols>
  <sheetData>
    <row r="1">
      <c r="D1" s="5" t="s">
        <v>2869</v>
      </c>
      <c r="E1" s="5" t="s">
        <v>2870</v>
      </c>
    </row>
    <row r="2">
      <c r="D2" s="29">
        <v>8.0</v>
      </c>
      <c r="E2" s="3">
        <f>counta(B:B)-1</f>
        <v>39</v>
      </c>
    </row>
    <row r="3"/>
    <row r="4"/>
    <row r="5"/>
    <row r="6"/>
    <row r="7"/>
    <row r="8"/>
    <row r="9"/>
    <row r="10">
      <c r="D10" s="29">
        <v>16.0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D26" s="29">
        <v>6.0</v>
      </c>
    </row>
    <row r="27"/>
    <row r="28"/>
    <row r="29"/>
    <row r="30"/>
    <row r="31"/>
    <row r="32">
      <c r="D32" s="29">
        <v>2.0</v>
      </c>
    </row>
    <row r="33"/>
    <row r="34">
      <c r="D34" s="29">
        <v>3.0</v>
      </c>
    </row>
    <row r="35"/>
    <row r="36"/>
    <row r="37">
      <c r="D37" s="3">
        <f>counta(B37:B63)</f>
        <v>4</v>
      </c>
    </row>
    <row r="38"/>
    <row r="39"/>
    <row r="40"/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  <c r="D64" s="29">
        <v>16.0</v>
      </c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  <c r="D80" s="29">
        <v>3.0</v>
      </c>
    </row>
    <row r="81">
      <c r="A81" s="2"/>
    </row>
    <row r="82">
      <c r="A82" s="2"/>
    </row>
    <row r="83">
      <c r="A83" s="2"/>
      <c r="D83" s="29">
        <v>4.0</v>
      </c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2"/>
    </row>
    <row r="1304">
      <c r="A1304" s="2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2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2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2"/>
    </row>
    <row r="1464">
      <c r="A1464" s="2"/>
    </row>
    <row r="1465">
      <c r="A1465" s="2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2"/>
    </row>
    <row r="1474">
      <c r="A1474" s="2"/>
    </row>
    <row r="1475">
      <c r="A1475" s="2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2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2"/>
    </row>
    <row r="1573">
      <c r="A1573" s="2"/>
    </row>
    <row r="1574">
      <c r="A1574" s="2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2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2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13"/>
    <col customWidth="1" min="19" max="19" width="18.25"/>
  </cols>
  <sheetData>
    <row r="1">
      <c r="A1" s="3" t="str">
        <f>data!A1</f>
        <v>pid</v>
      </c>
      <c r="B1" s="3" t="str">
        <f>data!B1</f>
        <v>fullName</v>
      </c>
      <c r="C1" s="3" t="str">
        <f>data!C1</f>
        <v>age</v>
      </c>
      <c r="D1" s="3" t="str">
        <f>data!F1</f>
        <v>citizenGroup</v>
      </c>
      <c r="E1" s="29" t="s">
        <v>2871</v>
      </c>
      <c r="F1" s="29" t="s">
        <v>2872</v>
      </c>
      <c r="G1" s="5" t="s">
        <v>2873</v>
      </c>
      <c r="H1" s="5" t="s">
        <v>2874</v>
      </c>
      <c r="X1" s="29" t="s">
        <v>2876</v>
      </c>
      <c r="Y1" s="29" t="s">
        <v>2877</v>
      </c>
    </row>
    <row r="2">
      <c r="A2" s="3">
        <f>data!A2</f>
        <v>1719</v>
      </c>
      <c r="B2" s="3" t="str">
        <f>data!B2</f>
        <v>אוסטרובסקי מיכאל</v>
      </c>
      <c r="C2" s="3">
        <f>data!C2</f>
        <v>77</v>
      </c>
      <c r="D2" s="3" t="str">
        <f>data!F2</f>
        <v>אזרחים</v>
      </c>
      <c r="E2" s="3" t="str">
        <f t="shared" ref="E2:E1149" si="1">if(C2&lt;13,"child",if(and(C2&lt;19, D2="אזרחים"),"teen",if(C2&gt;64,"senior","adult")))</f>
        <v>senior</v>
      </c>
      <c r="F2" s="3">
        <f t="array" ref="F2:G1875">sort(C2:D1875,1,True)</f>
        <v>0</v>
      </c>
      <c r="G2" s="3" t="s">
        <v>18</v>
      </c>
      <c r="H2" s="1">
        <f t="shared" ref="H2:H1203" si="2">index(Y:Y,match(F2,X:X,0))</f>
        <v>1</v>
      </c>
      <c r="X2" s="29">
        <v>0.0</v>
      </c>
      <c r="Y2" s="29">
        <v>1.0</v>
      </c>
    </row>
    <row r="3">
      <c r="A3" s="3">
        <f>data!A3</f>
        <v>1363</v>
      </c>
      <c r="B3" s="3" t="str">
        <f>data!B3</f>
        <v>אלטלאקת פאטמה</v>
      </c>
      <c r="C3" s="3">
        <f>data!C3</f>
        <v>35</v>
      </c>
      <c r="D3" s="3" t="str">
        <f>data!F3</f>
        <v>אזרחים</v>
      </c>
      <c r="E3" s="3" t="str">
        <f t="shared" si="1"/>
        <v>adult</v>
      </c>
      <c r="F3" s="3">
        <v>0.0</v>
      </c>
      <c r="G3" s="3" t="s">
        <v>18</v>
      </c>
      <c r="H3" s="1">
        <f t="shared" si="2"/>
        <v>1</v>
      </c>
      <c r="X3" s="29">
        <v>1.0</v>
      </c>
      <c r="Y3" s="3">
        <f t="shared" ref="Y3:Y102" si="3">round((X3-5)/10,0)+1</f>
        <v>1</v>
      </c>
    </row>
    <row r="4">
      <c r="A4" s="3">
        <f>data!A4</f>
        <v>976</v>
      </c>
      <c r="B4" s="3" t="str">
        <f>data!B4</f>
        <v>ביליה אריאל (אריק)</v>
      </c>
      <c r="C4" s="3">
        <f>data!C4</f>
        <v>28</v>
      </c>
      <c r="D4" s="3" t="str">
        <f>data!F4</f>
        <v>אזרחים</v>
      </c>
      <c r="E4" s="3" t="str">
        <f t="shared" si="1"/>
        <v>adult</v>
      </c>
      <c r="F4" s="3">
        <v>2.0</v>
      </c>
      <c r="G4" s="3" t="s">
        <v>18</v>
      </c>
      <c r="H4" s="1">
        <f t="shared" si="2"/>
        <v>1</v>
      </c>
      <c r="X4" s="29">
        <v>2.0</v>
      </c>
      <c r="Y4" s="3">
        <f t="shared" si="3"/>
        <v>1</v>
      </c>
    </row>
    <row r="5">
      <c r="A5" s="3">
        <f>data!A5</f>
        <v>974</v>
      </c>
      <c r="B5" s="3" t="str">
        <f>data!B5</f>
        <v>בלטי יצחק (איציק)</v>
      </c>
      <c r="C5" s="3">
        <f>data!C5</f>
        <v>53</v>
      </c>
      <c r="D5" s="3" t="str">
        <f>data!F5</f>
        <v>אזרחים</v>
      </c>
      <c r="E5" s="3" t="str">
        <f t="shared" si="1"/>
        <v>adult</v>
      </c>
      <c r="F5" s="3">
        <v>4.0</v>
      </c>
      <c r="G5" s="3" t="s">
        <v>18</v>
      </c>
      <c r="H5" s="1">
        <f t="shared" si="2"/>
        <v>1</v>
      </c>
      <c r="X5" s="29">
        <v>3.0</v>
      </c>
      <c r="Y5" s="3">
        <f t="shared" si="3"/>
        <v>1</v>
      </c>
    </row>
    <row r="6">
      <c r="A6" s="3">
        <f>data!A6</f>
        <v>1005</v>
      </c>
      <c r="B6" s="3" t="str">
        <f>data!B6</f>
        <v>בן פורת משה</v>
      </c>
      <c r="C6" s="3">
        <f>data!C6</f>
        <v>58</v>
      </c>
      <c r="D6" s="3" t="str">
        <f>data!F6</f>
        <v>אזרחים</v>
      </c>
      <c r="E6" s="3" t="str">
        <f t="shared" si="1"/>
        <v>adult</v>
      </c>
      <c r="F6" s="3">
        <v>5.0</v>
      </c>
      <c r="G6" s="3" t="s">
        <v>18</v>
      </c>
      <c r="H6" s="1">
        <f t="shared" si="2"/>
        <v>1</v>
      </c>
      <c r="X6" s="29">
        <v>4.0</v>
      </c>
      <c r="Y6" s="3">
        <f t="shared" si="3"/>
        <v>1</v>
      </c>
    </row>
    <row r="7">
      <c r="A7" s="3">
        <f>data!A7</f>
        <v>987</v>
      </c>
      <c r="B7" s="3" t="str">
        <f>data!B7</f>
        <v>ג'מבקוב אנדריי</v>
      </c>
      <c r="C7" s="3">
        <f>data!C7</f>
        <v>39</v>
      </c>
      <c r="D7" s="3" t="str">
        <f>data!F7</f>
        <v>אזרחים</v>
      </c>
      <c r="E7" s="3" t="str">
        <f t="shared" si="1"/>
        <v>adult</v>
      </c>
      <c r="F7" s="3">
        <v>5.0</v>
      </c>
      <c r="G7" s="3" t="s">
        <v>18</v>
      </c>
      <c r="H7" s="1">
        <f t="shared" si="2"/>
        <v>1</v>
      </c>
      <c r="X7" s="29">
        <v>5.0</v>
      </c>
      <c r="Y7" s="3">
        <f t="shared" si="3"/>
        <v>1</v>
      </c>
    </row>
    <row r="8">
      <c r="A8" s="3">
        <f>data!A8</f>
        <v>1720</v>
      </c>
      <c r="B8" s="3" t="str">
        <f>data!B8</f>
        <v>ג'מבקוב זויה</v>
      </c>
      <c r="C8" s="3">
        <f>data!C8</f>
        <v>45</v>
      </c>
      <c r="D8" s="3" t="str">
        <f>data!F8</f>
        <v>אזרחים</v>
      </c>
      <c r="E8" s="3" t="str">
        <f t="shared" si="1"/>
        <v>adult</v>
      </c>
      <c r="F8" s="3">
        <v>5.0</v>
      </c>
      <c r="G8" s="3" t="s">
        <v>18</v>
      </c>
      <c r="H8" s="1">
        <f t="shared" si="2"/>
        <v>1</v>
      </c>
      <c r="X8" s="29">
        <v>6.0</v>
      </c>
      <c r="Y8" s="3">
        <f t="shared" si="3"/>
        <v>1</v>
      </c>
    </row>
    <row r="9">
      <c r="A9" s="3">
        <f>data!A9</f>
        <v>1500</v>
      </c>
      <c r="B9" s="3" t="str">
        <f>data!B9</f>
        <v>גרידסקול ויקטוריה</v>
      </c>
      <c r="C9" s="3">
        <f>data!C9</f>
        <v>81</v>
      </c>
      <c r="D9" s="3" t="str">
        <f>data!F9</f>
        <v>אזרחים</v>
      </c>
      <c r="E9" s="3" t="str">
        <f t="shared" si="1"/>
        <v>senior</v>
      </c>
      <c r="F9" s="3">
        <v>7.0</v>
      </c>
      <c r="G9" s="3" t="s">
        <v>18</v>
      </c>
      <c r="H9" s="1">
        <f t="shared" si="2"/>
        <v>1</v>
      </c>
      <c r="X9" s="29">
        <v>7.0</v>
      </c>
      <c r="Y9" s="3">
        <f t="shared" si="3"/>
        <v>1</v>
      </c>
    </row>
    <row r="10">
      <c r="A10" s="3">
        <f>data!A10</f>
        <v>1501</v>
      </c>
      <c r="B10" s="3" t="str">
        <f>data!B10</f>
        <v>גרידסקול סרגיי</v>
      </c>
      <c r="C10" s="3">
        <f>data!C10</f>
        <v>81</v>
      </c>
      <c r="D10" s="3" t="str">
        <f>data!F10</f>
        <v>אזרחים</v>
      </c>
      <c r="E10" s="3" t="str">
        <f t="shared" si="1"/>
        <v>senior</v>
      </c>
      <c r="F10" s="3">
        <v>9.0</v>
      </c>
      <c r="G10" s="3" t="s">
        <v>18</v>
      </c>
      <c r="H10" s="1">
        <f t="shared" si="2"/>
        <v>1</v>
      </c>
      <c r="X10" s="29">
        <v>8.0</v>
      </c>
      <c r="Y10" s="3">
        <f t="shared" si="3"/>
        <v>1</v>
      </c>
    </row>
    <row r="11">
      <c r="A11" s="3">
        <f>data!A11</f>
        <v>1717</v>
      </c>
      <c r="B11" s="3" t="str">
        <f>data!B11</f>
        <v>ויזמן ראובן</v>
      </c>
      <c r="C11" s="3">
        <f>data!C11</f>
        <v>56</v>
      </c>
      <c r="D11" s="3" t="str">
        <f>data!F11</f>
        <v>אזרחים</v>
      </c>
      <c r="E11" s="3" t="str">
        <f t="shared" si="1"/>
        <v>adult</v>
      </c>
      <c r="F11" s="3">
        <v>12.0</v>
      </c>
      <c r="G11" s="3" t="s">
        <v>18</v>
      </c>
      <c r="H11" s="1">
        <f t="shared" si="2"/>
        <v>2</v>
      </c>
      <c r="J11" s="5" t="s">
        <v>18</v>
      </c>
      <c r="K11" s="5" t="s">
        <v>2883</v>
      </c>
      <c r="X11" s="29">
        <v>9.0</v>
      </c>
      <c r="Y11" s="3">
        <f t="shared" si="3"/>
        <v>1</v>
      </c>
    </row>
    <row r="12">
      <c r="A12" s="3">
        <f>data!A12</f>
        <v>985</v>
      </c>
      <c r="B12" s="3" t="str">
        <f>data!B12</f>
        <v>חטיב טארק</v>
      </c>
      <c r="C12" s="3">
        <f>data!C12</f>
        <v>43</v>
      </c>
      <c r="D12" s="3" t="str">
        <f>data!F12</f>
        <v>אזרחים</v>
      </c>
      <c r="E12" s="3" t="str">
        <f t="shared" si="1"/>
        <v>adult</v>
      </c>
      <c r="F12" s="3">
        <v>12.0</v>
      </c>
      <c r="G12" s="3" t="s">
        <v>18</v>
      </c>
      <c r="H12" s="1">
        <f t="shared" si="2"/>
        <v>2</v>
      </c>
      <c r="I12" s="5" t="s">
        <v>104</v>
      </c>
      <c r="J12" s="3">
        <f>K5</f>
        <v>13</v>
      </c>
      <c r="L12" s="29" t="s">
        <v>2884</v>
      </c>
      <c r="X12" s="29">
        <v>10.0</v>
      </c>
      <c r="Y12" s="3">
        <f t="shared" si="3"/>
        <v>2</v>
      </c>
    </row>
    <row r="13">
      <c r="A13" s="3">
        <f>data!A13</f>
        <v>999</v>
      </c>
      <c r="B13" s="3" t="str">
        <f>data!B13</f>
        <v>זקוטו אבי</v>
      </c>
      <c r="C13" s="3">
        <f>data!C13</f>
        <v>53</v>
      </c>
      <c r="D13" s="3" t="str">
        <f>data!F13</f>
        <v>אזרחים</v>
      </c>
      <c r="E13" s="3" t="str">
        <f t="shared" si="1"/>
        <v>adult</v>
      </c>
      <c r="F13" s="3">
        <v>12.0</v>
      </c>
      <c r="G13" s="3" t="s">
        <v>18</v>
      </c>
      <c r="H13" s="1">
        <f t="shared" si="2"/>
        <v>2</v>
      </c>
      <c r="I13" s="5" t="s">
        <v>2885</v>
      </c>
      <c r="J13" s="3">
        <f>K7</f>
        <v>31</v>
      </c>
      <c r="L13" s="29" t="s">
        <v>2886</v>
      </c>
      <c r="X13" s="29">
        <v>11.0</v>
      </c>
      <c r="Y13" s="3">
        <f t="shared" si="3"/>
        <v>2</v>
      </c>
    </row>
    <row r="14">
      <c r="A14" s="3">
        <f>data!A14</f>
        <v>1718</v>
      </c>
      <c r="B14" s="3" t="str">
        <f>data!B14</f>
        <v>חטואל אברהם (אבי)</v>
      </c>
      <c r="C14" s="3">
        <f>data!C14</f>
        <v>52</v>
      </c>
      <c r="D14" s="3" t="str">
        <f>data!F14</f>
        <v>אזרחים</v>
      </c>
      <c r="E14" s="3" t="str">
        <f t="shared" si="1"/>
        <v>adult</v>
      </c>
      <c r="F14" s="3">
        <v>12.0</v>
      </c>
      <c r="G14" s="3" t="s">
        <v>18</v>
      </c>
      <c r="H14" s="1">
        <f t="shared" si="2"/>
        <v>2</v>
      </c>
      <c r="I14" s="5" t="s">
        <v>2887</v>
      </c>
      <c r="J14" s="3">
        <f>K4+L4+M4+N4+O4</f>
        <v>690</v>
      </c>
      <c r="K14" s="3">
        <f>P4+Q4+R4+S4+T4</f>
        <v>336</v>
      </c>
      <c r="L14" s="29" t="s">
        <v>2879</v>
      </c>
      <c r="X14" s="29">
        <v>12.0</v>
      </c>
      <c r="Y14" s="3">
        <f t="shared" si="3"/>
        <v>2</v>
      </c>
    </row>
    <row r="15">
      <c r="A15" s="3">
        <f>data!A15</f>
        <v>1608</v>
      </c>
      <c r="B15" s="3" t="str">
        <f>data!B15</f>
        <v>חייט שמעון</v>
      </c>
      <c r="C15" s="3">
        <f>data!C15</f>
        <v>29</v>
      </c>
      <c r="D15" s="3" t="str">
        <f>data!F15</f>
        <v>אזרחים</v>
      </c>
      <c r="E15" s="3" t="str">
        <f t="shared" si="1"/>
        <v>adult</v>
      </c>
      <c r="F15" s="3">
        <v>13.0</v>
      </c>
      <c r="G15" s="3" t="s">
        <v>18</v>
      </c>
      <c r="H15" s="1">
        <f t="shared" si="2"/>
        <v>2</v>
      </c>
      <c r="I15" s="5" t="s">
        <v>2888</v>
      </c>
      <c r="J15" s="3">
        <f>U6</f>
        <v>132</v>
      </c>
      <c r="L15" s="29" t="s">
        <v>2889</v>
      </c>
      <c r="X15" s="29">
        <v>13.0</v>
      </c>
      <c r="Y15" s="3">
        <f t="shared" si="3"/>
        <v>2</v>
      </c>
    </row>
    <row r="16">
      <c r="A16" s="3">
        <f>data!A16</f>
        <v>984</v>
      </c>
      <c r="B16" s="3" t="str">
        <f>data!B16</f>
        <v>חיימוב אהרון</v>
      </c>
      <c r="C16" s="3">
        <f>data!C16</f>
        <v>25</v>
      </c>
      <c r="D16" s="3" t="str">
        <f>data!F16</f>
        <v>מגן דוד אדום</v>
      </c>
      <c r="E16" s="3" t="str">
        <f t="shared" si="1"/>
        <v>adult</v>
      </c>
      <c r="F16" s="3">
        <v>13.0</v>
      </c>
      <c r="G16" s="3" t="s">
        <v>18</v>
      </c>
      <c r="H16" s="1">
        <f t="shared" si="2"/>
        <v>2</v>
      </c>
      <c r="X16" s="29">
        <v>14.0</v>
      </c>
      <c r="Y16" s="3">
        <f t="shared" si="3"/>
        <v>2</v>
      </c>
    </row>
    <row r="17">
      <c r="A17" s="3">
        <f>data!A17</f>
        <v>1030</v>
      </c>
      <c r="B17" s="3" t="str">
        <f>data!B17</f>
        <v>יאחנגילוב יפתח</v>
      </c>
      <c r="C17" s="3">
        <f>data!C17</f>
        <v>66</v>
      </c>
      <c r="D17" s="3" t="str">
        <f>data!F17</f>
        <v>אזרחים</v>
      </c>
      <c r="E17" s="3" t="str">
        <f t="shared" si="1"/>
        <v>senior</v>
      </c>
      <c r="F17" s="3">
        <v>14.0</v>
      </c>
      <c r="G17" s="3" t="s">
        <v>18</v>
      </c>
      <c r="H17" s="1">
        <f t="shared" si="2"/>
        <v>2</v>
      </c>
      <c r="J17" s="3">
        <f>SUM(J12:J15)</f>
        <v>866</v>
      </c>
      <c r="X17" s="29">
        <v>15.0</v>
      </c>
      <c r="Y17" s="3">
        <f t="shared" si="3"/>
        <v>2</v>
      </c>
    </row>
    <row r="18">
      <c r="A18" s="3">
        <f>data!A18</f>
        <v>1029</v>
      </c>
      <c r="B18" s="3" t="str">
        <f>data!B18</f>
        <v>יאחנגילוב מריה</v>
      </c>
      <c r="C18" s="3">
        <f>data!C18</f>
        <v>61</v>
      </c>
      <c r="D18" s="3" t="str">
        <f>data!F18</f>
        <v>אזרחים</v>
      </c>
      <c r="E18" s="3" t="str">
        <f t="shared" si="1"/>
        <v>adult</v>
      </c>
      <c r="F18" s="3">
        <v>14.0</v>
      </c>
      <c r="G18" s="3" t="s">
        <v>18</v>
      </c>
      <c r="H18" s="1">
        <f t="shared" si="2"/>
        <v>2</v>
      </c>
      <c r="X18" s="29">
        <v>16.0</v>
      </c>
      <c r="Y18" s="3">
        <f t="shared" si="3"/>
        <v>2</v>
      </c>
    </row>
    <row r="19">
      <c r="A19" s="3">
        <f>data!A19</f>
        <v>1487</v>
      </c>
      <c r="B19" s="3" t="str">
        <f>data!B19</f>
        <v>ידגרוב יורי</v>
      </c>
      <c r="C19" s="3">
        <f>data!C19</f>
        <v>76</v>
      </c>
      <c r="D19" s="3" t="str">
        <f>data!F19</f>
        <v>אזרחים</v>
      </c>
      <c r="E19" s="3" t="str">
        <f t="shared" si="1"/>
        <v>senior</v>
      </c>
      <c r="F19" s="3">
        <v>14.0</v>
      </c>
      <c r="G19" s="3" t="s">
        <v>18</v>
      </c>
      <c r="H19" s="1">
        <f t="shared" si="2"/>
        <v>2</v>
      </c>
      <c r="X19" s="29">
        <v>17.0</v>
      </c>
      <c r="Y19" s="3">
        <f t="shared" si="3"/>
        <v>2</v>
      </c>
    </row>
    <row r="20">
      <c r="A20" s="3">
        <f>data!A20</f>
        <v>1488</v>
      </c>
      <c r="B20" s="3" t="str">
        <f>data!B20</f>
        <v>ידגרוב רוזה</v>
      </c>
      <c r="C20" s="3">
        <f>data!C20</f>
        <v>81</v>
      </c>
      <c r="D20" s="3" t="str">
        <f>data!F20</f>
        <v>אזרחים</v>
      </c>
      <c r="E20" s="3" t="str">
        <f t="shared" si="1"/>
        <v>senior</v>
      </c>
      <c r="F20" s="3">
        <v>14.0</v>
      </c>
      <c r="G20" s="3" t="s">
        <v>18</v>
      </c>
      <c r="H20" s="1">
        <f t="shared" si="2"/>
        <v>2</v>
      </c>
      <c r="I20" s="5" t="s">
        <v>2890</v>
      </c>
      <c r="J20" s="3">
        <f>countif(C:C,"&lt;18")</f>
        <v>37</v>
      </c>
      <c r="X20" s="29">
        <v>18.0</v>
      </c>
      <c r="Y20" s="3">
        <f t="shared" si="3"/>
        <v>2</v>
      </c>
    </row>
    <row r="21">
      <c r="A21" s="3">
        <f>data!A21</f>
        <v>1001</v>
      </c>
      <c r="B21" s="3" t="str">
        <f>data!B21</f>
        <v>מלקמו עדנה</v>
      </c>
      <c r="C21" s="3">
        <f>data!C21</f>
        <v>45</v>
      </c>
      <c r="D21" s="3" t="str">
        <f>data!F21</f>
        <v>אזרחים</v>
      </c>
      <c r="E21" s="3" t="str">
        <f t="shared" si="1"/>
        <v>adult</v>
      </c>
      <c r="F21" s="3">
        <v>15.0</v>
      </c>
      <c r="G21" s="3" t="s">
        <v>18</v>
      </c>
      <c r="H21" s="1">
        <f t="shared" si="2"/>
        <v>2</v>
      </c>
      <c r="X21" s="29">
        <v>19.0</v>
      </c>
      <c r="Y21" s="3">
        <f t="shared" si="3"/>
        <v>2</v>
      </c>
    </row>
    <row r="22">
      <c r="A22" s="3">
        <f>data!A22</f>
        <v>1002</v>
      </c>
      <c r="B22" s="3" t="str">
        <f>data!B22</f>
        <v>משייב אנה</v>
      </c>
      <c r="C22" s="3">
        <f>data!C22</f>
        <v>65</v>
      </c>
      <c r="D22" s="3" t="str">
        <f>data!F22</f>
        <v>אזרחים</v>
      </c>
      <c r="E22" s="3" t="str">
        <f t="shared" si="1"/>
        <v>senior</v>
      </c>
      <c r="F22" s="3">
        <v>15.0</v>
      </c>
      <c r="G22" s="3" t="s">
        <v>18</v>
      </c>
      <c r="H22" s="1">
        <f t="shared" si="2"/>
        <v>2</v>
      </c>
      <c r="X22" s="29">
        <v>20.0</v>
      </c>
      <c r="Y22" s="3">
        <f t="shared" si="3"/>
        <v>3</v>
      </c>
    </row>
    <row r="23">
      <c r="A23" s="3">
        <f>data!A23</f>
        <v>1722</v>
      </c>
      <c r="B23" s="3" t="str">
        <f>data!B23</f>
        <v>פוליאקוב אמה</v>
      </c>
      <c r="C23" s="3">
        <f>data!C23</f>
        <v>86</v>
      </c>
      <c r="D23" s="3" t="str">
        <f>data!F23</f>
        <v>אזרחים</v>
      </c>
      <c r="E23" s="3" t="str">
        <f t="shared" si="1"/>
        <v>senior</v>
      </c>
      <c r="F23" s="3">
        <v>15.0</v>
      </c>
      <c r="G23" s="3" t="s">
        <v>18</v>
      </c>
      <c r="H23" s="1">
        <f t="shared" si="2"/>
        <v>2</v>
      </c>
      <c r="X23" s="29">
        <v>21.0</v>
      </c>
      <c r="Y23" s="3">
        <f t="shared" si="3"/>
        <v>3</v>
      </c>
    </row>
    <row r="24">
      <c r="A24" s="3">
        <f>data!A24</f>
        <v>1721</v>
      </c>
      <c r="B24" s="3" t="str">
        <f>data!B24</f>
        <v>קוסטיצין יליזבטה (ליליה)</v>
      </c>
      <c r="C24" s="3">
        <f>data!C24</f>
        <v>78</v>
      </c>
      <c r="D24" s="3" t="str">
        <f>data!F24</f>
        <v>אזרחים</v>
      </c>
      <c r="E24" s="3" t="str">
        <f t="shared" si="1"/>
        <v>senior</v>
      </c>
      <c r="F24" s="3">
        <v>15.0</v>
      </c>
      <c r="G24" s="3" t="s">
        <v>18</v>
      </c>
      <c r="H24" s="1">
        <f t="shared" si="2"/>
        <v>2</v>
      </c>
      <c r="X24" s="29">
        <v>22.0</v>
      </c>
      <c r="Y24" s="3">
        <f t="shared" si="3"/>
        <v>3</v>
      </c>
    </row>
    <row r="25">
      <c r="A25" s="3">
        <f>data!A25</f>
        <v>992</v>
      </c>
      <c r="B25" s="3" t="str">
        <f>data!B25</f>
        <v>רחמים בנימין</v>
      </c>
      <c r="C25" s="3">
        <f>data!C25</f>
        <v>52</v>
      </c>
      <c r="D25" s="3" t="str">
        <f>data!F25</f>
        <v>אזרחים</v>
      </c>
      <c r="E25" s="3" t="str">
        <f t="shared" si="1"/>
        <v>adult</v>
      </c>
      <c r="F25" s="3">
        <v>15.0</v>
      </c>
      <c r="G25" s="3" t="s">
        <v>18</v>
      </c>
      <c r="H25" s="1">
        <f t="shared" si="2"/>
        <v>2</v>
      </c>
      <c r="X25" s="29">
        <v>23.0</v>
      </c>
      <c r="Y25" s="3">
        <f t="shared" si="3"/>
        <v>3</v>
      </c>
    </row>
    <row r="26">
      <c r="A26" s="3">
        <f>data!A26</f>
        <v>1359</v>
      </c>
      <c r="B26" s="3" t="str">
        <f>data!B26</f>
        <v>אוזן אליהו (אליקו)</v>
      </c>
      <c r="C26" s="3">
        <f>data!C26</f>
        <v>40</v>
      </c>
      <c r="D26" s="3" t="str">
        <f>data!F26</f>
        <v>אזרחים</v>
      </c>
      <c r="E26" s="3" t="str">
        <f t="shared" si="1"/>
        <v>adult</v>
      </c>
      <c r="F26" s="3">
        <v>16.0</v>
      </c>
      <c r="G26" s="3" t="s">
        <v>18</v>
      </c>
      <c r="H26" s="1">
        <f t="shared" si="2"/>
        <v>2</v>
      </c>
      <c r="X26" s="29">
        <v>24.0</v>
      </c>
      <c r="Y26" s="3">
        <f t="shared" si="3"/>
        <v>3</v>
      </c>
    </row>
    <row r="27">
      <c r="A27" s="3">
        <f>data!A27</f>
        <v>1360</v>
      </c>
      <c r="B27" s="3" t="str">
        <f>data!B27</f>
        <v>אוזן אריה</v>
      </c>
      <c r="C27" s="3">
        <f>data!C27</f>
        <v>68</v>
      </c>
      <c r="D27" s="3" t="str">
        <f>data!F27</f>
        <v>אזרחים</v>
      </c>
      <c r="E27" s="3" t="str">
        <f t="shared" si="1"/>
        <v>senior</v>
      </c>
      <c r="F27" s="3">
        <v>16.0</v>
      </c>
      <c r="G27" s="3" t="s">
        <v>18</v>
      </c>
      <c r="H27" s="1">
        <f t="shared" si="2"/>
        <v>2</v>
      </c>
      <c r="X27" s="29">
        <v>25.0</v>
      </c>
      <c r="Y27" s="3">
        <f t="shared" si="3"/>
        <v>3</v>
      </c>
    </row>
    <row r="28">
      <c r="A28" s="3">
        <f>data!A28</f>
        <v>1210</v>
      </c>
      <c r="B28" s="3" t="str">
        <f>data!B28</f>
        <v>אלזיאדנא עבד אלרחמן עאטף</v>
      </c>
      <c r="C28" s="3">
        <f>data!C28</f>
        <v>29</v>
      </c>
      <c r="D28" s="3" t="str">
        <f>data!F28</f>
        <v>אזרחים</v>
      </c>
      <c r="E28" s="3" t="str">
        <f t="shared" si="1"/>
        <v>adult</v>
      </c>
      <c r="F28" s="3">
        <v>16.0</v>
      </c>
      <c r="G28" s="3" t="s">
        <v>18</v>
      </c>
      <c r="H28" s="1">
        <f t="shared" si="2"/>
        <v>2</v>
      </c>
      <c r="X28" s="29">
        <v>26.0</v>
      </c>
      <c r="Y28" s="3">
        <f t="shared" si="3"/>
        <v>3</v>
      </c>
    </row>
    <row r="29">
      <c r="A29" s="3">
        <f>data!A29</f>
        <v>1676</v>
      </c>
      <c r="B29" s="3" t="str">
        <f>data!B29</f>
        <v>אסלנוב ג'ון</v>
      </c>
      <c r="C29" s="3">
        <f>data!C29</f>
        <v>71</v>
      </c>
      <c r="D29" s="3" t="str">
        <f>data!F29</f>
        <v>אזרחים</v>
      </c>
      <c r="E29" s="3" t="str">
        <f t="shared" si="1"/>
        <v>senior</v>
      </c>
      <c r="F29" s="3">
        <v>17.0</v>
      </c>
      <c r="G29" s="3" t="s">
        <v>18</v>
      </c>
      <c r="H29" s="1">
        <f t="shared" si="2"/>
        <v>2</v>
      </c>
      <c r="M29" s="30" t="s">
        <v>2891</v>
      </c>
      <c r="X29" s="29">
        <v>27.0</v>
      </c>
      <c r="Y29" s="3">
        <f t="shared" si="3"/>
        <v>3</v>
      </c>
    </row>
    <row r="30">
      <c r="A30" s="3">
        <f>data!A30</f>
        <v>1207</v>
      </c>
      <c r="B30" s="3" t="str">
        <f>data!B30</f>
        <v>גניש בנימין (בני)</v>
      </c>
      <c r="C30" s="3">
        <f>data!C30</f>
        <v>70</v>
      </c>
      <c r="D30" s="3" t="str">
        <f>data!F30</f>
        <v>אזרחים</v>
      </c>
      <c r="E30" s="3" t="str">
        <f t="shared" si="1"/>
        <v>senior</v>
      </c>
      <c r="F30" s="3">
        <v>17.0</v>
      </c>
      <c r="G30" s="3" t="s">
        <v>18</v>
      </c>
      <c r="H30" s="1">
        <f t="shared" si="2"/>
        <v>2</v>
      </c>
      <c r="X30" s="29">
        <v>28.0</v>
      </c>
      <c r="Y30" s="3">
        <f t="shared" si="3"/>
        <v>3</v>
      </c>
    </row>
    <row r="31">
      <c r="A31" s="3">
        <f>data!A31</f>
        <v>883</v>
      </c>
      <c r="B31" s="3" t="str">
        <f>data!B31</f>
        <v>וייסברג אלינה</v>
      </c>
      <c r="C31" s="3">
        <f>data!C31</f>
        <v>17</v>
      </c>
      <c r="D31" s="3" t="str">
        <f>data!F31</f>
        <v>אזרחים</v>
      </c>
      <c r="E31" s="3" t="str">
        <f t="shared" si="1"/>
        <v>teen</v>
      </c>
      <c r="F31" s="3">
        <v>17.0</v>
      </c>
      <c r="G31" s="3" t="s">
        <v>18</v>
      </c>
      <c r="H31" s="1">
        <f t="shared" si="2"/>
        <v>2</v>
      </c>
      <c r="X31" s="29">
        <v>29.0</v>
      </c>
      <c r="Y31" s="3">
        <f t="shared" si="3"/>
        <v>3</v>
      </c>
    </row>
    <row r="32">
      <c r="A32" s="3">
        <f>data!A32</f>
        <v>1208</v>
      </c>
      <c r="B32" s="3" t="str">
        <f>data!B32</f>
        <v>חסדאי אבי</v>
      </c>
      <c r="C32" s="3">
        <f>data!C32</f>
        <v>53</v>
      </c>
      <c r="D32" s="3" t="str">
        <f>data!F32</f>
        <v>אזרחים</v>
      </c>
      <c r="E32" s="3" t="str">
        <f t="shared" si="1"/>
        <v>adult</v>
      </c>
      <c r="F32" s="3">
        <v>17.0</v>
      </c>
      <c r="G32" s="3" t="s">
        <v>18</v>
      </c>
      <c r="H32" s="1">
        <f t="shared" si="2"/>
        <v>2</v>
      </c>
      <c r="X32" s="29">
        <v>30.0</v>
      </c>
      <c r="Y32" s="3">
        <f t="shared" si="3"/>
        <v>4</v>
      </c>
    </row>
    <row r="33">
      <c r="A33" s="3">
        <f>data!A33</f>
        <v>1211</v>
      </c>
      <c r="B33" s="3" t="str">
        <f>data!B33</f>
        <v>טייב נדב יוסף חי</v>
      </c>
      <c r="C33" s="3">
        <f>data!C33</f>
        <v>17</v>
      </c>
      <c r="D33" s="3" t="str">
        <f>data!F33</f>
        <v>אזרחים</v>
      </c>
      <c r="E33" s="3" t="str">
        <f t="shared" si="1"/>
        <v>teen</v>
      </c>
      <c r="F33" s="3">
        <v>17.0</v>
      </c>
      <c r="G33" s="3" t="s">
        <v>18</v>
      </c>
      <c r="H33" s="1">
        <f t="shared" si="2"/>
        <v>2</v>
      </c>
      <c r="X33" s="29">
        <v>31.0</v>
      </c>
      <c r="Y33" s="3">
        <f t="shared" si="3"/>
        <v>4</v>
      </c>
    </row>
    <row r="34">
      <c r="A34" s="3">
        <f>data!A34</f>
        <v>1463</v>
      </c>
      <c r="B34" s="3" t="str">
        <f>data!B34</f>
        <v>ליסובוי יורי</v>
      </c>
      <c r="C34" s="3">
        <f>data!C34</f>
        <v>63</v>
      </c>
      <c r="D34" s="3" t="str">
        <f>data!F34</f>
        <v>אזרחים</v>
      </c>
      <c r="E34" s="3" t="str">
        <f t="shared" si="1"/>
        <v>adult</v>
      </c>
      <c r="F34" s="3">
        <v>17.0</v>
      </c>
      <c r="G34" s="3" t="s">
        <v>18</v>
      </c>
      <c r="H34" s="1">
        <f t="shared" si="2"/>
        <v>2</v>
      </c>
      <c r="X34" s="29">
        <v>32.0</v>
      </c>
      <c r="Y34" s="3">
        <f t="shared" si="3"/>
        <v>4</v>
      </c>
    </row>
    <row r="35">
      <c r="A35" s="3">
        <f>data!A35</f>
        <v>1462</v>
      </c>
      <c r="B35" s="3" t="str">
        <f>data!B35</f>
        <v>ליסובוי סבטלנה</v>
      </c>
      <c r="C35" s="3">
        <f>data!C35</f>
        <v>61</v>
      </c>
      <c r="D35" s="3" t="str">
        <f>data!F35</f>
        <v>אזרחים</v>
      </c>
      <c r="E35" s="3" t="str">
        <f t="shared" si="1"/>
        <v>adult</v>
      </c>
      <c r="F35" s="3">
        <v>17.0</v>
      </c>
      <c r="G35" s="3" t="s">
        <v>18</v>
      </c>
      <c r="H35" s="1">
        <f t="shared" si="2"/>
        <v>2</v>
      </c>
      <c r="X35" s="29">
        <v>33.0</v>
      </c>
      <c r="Y35" s="3">
        <f t="shared" si="3"/>
        <v>4</v>
      </c>
    </row>
    <row r="36">
      <c r="A36" s="3">
        <f>data!A36</f>
        <v>1558</v>
      </c>
      <c r="B36" s="3" t="str">
        <f>data!B36</f>
        <v>צ'בן יוליה</v>
      </c>
      <c r="C36" s="3">
        <f>data!C36</f>
        <v>24</v>
      </c>
      <c r="D36" s="3" t="str">
        <f>data!F36</f>
        <v>אזרחים</v>
      </c>
      <c r="E36" s="3" t="str">
        <f t="shared" si="1"/>
        <v>adult</v>
      </c>
      <c r="F36" s="3">
        <v>17.0</v>
      </c>
      <c r="G36" s="3" t="s">
        <v>18</v>
      </c>
      <c r="H36" s="1">
        <f t="shared" si="2"/>
        <v>2</v>
      </c>
      <c r="X36" s="29">
        <v>34.0</v>
      </c>
      <c r="Y36" s="3">
        <f t="shared" si="3"/>
        <v>4</v>
      </c>
    </row>
    <row r="37">
      <c r="A37" s="3">
        <f>data!A37</f>
        <v>1209</v>
      </c>
      <c r="B37" s="3" t="str">
        <f>data!B37</f>
        <v>קימנפלד דניל</v>
      </c>
      <c r="C37" s="3">
        <f>data!C37</f>
        <v>64</v>
      </c>
      <c r="D37" s="3" t="str">
        <f>data!F37</f>
        <v>אזרחים</v>
      </c>
      <c r="E37" s="3" t="str">
        <f t="shared" si="1"/>
        <v>adult</v>
      </c>
      <c r="F37" s="3">
        <v>17.0</v>
      </c>
      <c r="G37" s="3" t="s">
        <v>18</v>
      </c>
      <c r="H37" s="1">
        <f t="shared" si="2"/>
        <v>2</v>
      </c>
      <c r="X37" s="29">
        <v>35.0</v>
      </c>
      <c r="Y37" s="3">
        <f t="shared" si="3"/>
        <v>4</v>
      </c>
    </row>
    <row r="38">
      <c r="A38" s="3">
        <f>data!A38</f>
        <v>1492</v>
      </c>
      <c r="B38" s="3" t="str">
        <f>data!B38</f>
        <v>קרייף שחף</v>
      </c>
      <c r="C38" s="3">
        <f>data!C38</f>
        <v>17</v>
      </c>
      <c r="D38" s="3" t="str">
        <f>data!F38</f>
        <v>אזרחים</v>
      </c>
      <c r="E38" s="3" t="str">
        <f t="shared" si="1"/>
        <v>teen</v>
      </c>
      <c r="F38" s="3">
        <v>17.0</v>
      </c>
      <c r="G38" s="3" t="s">
        <v>18</v>
      </c>
      <c r="H38" s="1">
        <f t="shared" si="2"/>
        <v>2</v>
      </c>
      <c r="X38" s="29">
        <v>36.0</v>
      </c>
      <c r="Y38" s="3">
        <f t="shared" si="3"/>
        <v>4</v>
      </c>
    </row>
    <row r="39">
      <c r="A39" s="3">
        <f>data!A39</f>
        <v>507</v>
      </c>
      <c r="B39" s="3" t="str">
        <f>data!B39</f>
        <v>קרן טל</v>
      </c>
      <c r="C39" s="3">
        <f>data!C39</f>
        <v>17</v>
      </c>
      <c r="D39" s="3" t="str">
        <f>data!F39</f>
        <v>אזרחים</v>
      </c>
      <c r="E39" s="3" t="str">
        <f t="shared" si="1"/>
        <v>teen</v>
      </c>
      <c r="F39" s="3">
        <v>18.0</v>
      </c>
      <c r="G39" s="3" t="s">
        <v>18</v>
      </c>
      <c r="H39" s="1">
        <f t="shared" si="2"/>
        <v>2</v>
      </c>
      <c r="X39" s="29">
        <v>37.0</v>
      </c>
      <c r="Y39" s="3">
        <f t="shared" si="3"/>
        <v>4</v>
      </c>
    </row>
    <row r="40">
      <c r="A40" s="3">
        <f>data!A40</f>
        <v>1675</v>
      </c>
      <c r="B40" s="3" t="str">
        <f>data!B40</f>
        <v>שאולוב רוברט</v>
      </c>
      <c r="C40" s="3">
        <f>data!C40</f>
        <v>70</v>
      </c>
      <c r="D40" s="3" t="str">
        <f>data!F40</f>
        <v>אזרחים</v>
      </c>
      <c r="E40" s="3" t="str">
        <f t="shared" si="1"/>
        <v>senior</v>
      </c>
      <c r="F40" s="3">
        <v>18.0</v>
      </c>
      <c r="G40" s="3" t="s">
        <v>18</v>
      </c>
      <c r="H40" s="1">
        <f t="shared" si="2"/>
        <v>2</v>
      </c>
      <c r="X40" s="29">
        <v>38.0</v>
      </c>
      <c r="Y40" s="3">
        <f t="shared" si="3"/>
        <v>4</v>
      </c>
    </row>
    <row r="41">
      <c r="A41" s="3">
        <f>data!A41</f>
        <v>515</v>
      </c>
      <c r="B41" s="3" t="str">
        <f>data!B41</f>
        <v>תעסה אור</v>
      </c>
      <c r="C41" s="3">
        <f>data!C41</f>
        <v>17</v>
      </c>
      <c r="D41" s="3" t="str">
        <f>data!F41</f>
        <v>אזרחים</v>
      </c>
      <c r="E41" s="3" t="str">
        <f t="shared" si="1"/>
        <v>teen</v>
      </c>
      <c r="F41" s="3">
        <v>18.0</v>
      </c>
      <c r="G41" s="3" t="s">
        <v>18</v>
      </c>
      <c r="H41" s="1">
        <f t="shared" si="2"/>
        <v>2</v>
      </c>
      <c r="X41" s="29">
        <v>39.0</v>
      </c>
      <c r="Y41" s="3">
        <f t="shared" si="3"/>
        <v>4</v>
      </c>
    </row>
    <row r="42">
      <c r="A42" s="3">
        <f>data!A42</f>
        <v>1420</v>
      </c>
      <c r="B42" s="3" t="str">
        <f>data!B42</f>
        <v>אוביץ זיוה</v>
      </c>
      <c r="C42" s="3">
        <f>data!C42</f>
        <v>77</v>
      </c>
      <c r="D42" s="3" t="str">
        <f>data!F42</f>
        <v>אזרחים</v>
      </c>
      <c r="E42" s="3" t="str">
        <f t="shared" si="1"/>
        <v>senior</v>
      </c>
      <c r="F42" s="3">
        <v>18.0</v>
      </c>
      <c r="G42" s="3" t="s">
        <v>18</v>
      </c>
      <c r="H42" s="1">
        <f t="shared" si="2"/>
        <v>2</v>
      </c>
      <c r="X42" s="29">
        <v>40.0</v>
      </c>
      <c r="Y42" s="3">
        <f t="shared" si="3"/>
        <v>5</v>
      </c>
    </row>
    <row r="43">
      <c r="A43" s="3">
        <f>data!A43</f>
        <v>2001</v>
      </c>
      <c r="B43" s="3" t="str">
        <f>data!B43</f>
        <v>אוחנה עדי</v>
      </c>
      <c r="C43" s="3">
        <f>data!C43</f>
        <v>43</v>
      </c>
      <c r="D43" s="3" t="str">
        <f>data!F43</f>
        <v>אזרחים</v>
      </c>
      <c r="E43" s="3" t="str">
        <f t="shared" si="1"/>
        <v>adult</v>
      </c>
      <c r="F43" s="3">
        <v>18.0</v>
      </c>
      <c r="G43" s="3" t="s">
        <v>478</v>
      </c>
      <c r="H43" s="1">
        <f t="shared" si="2"/>
        <v>2</v>
      </c>
      <c r="X43" s="29">
        <v>41.0</v>
      </c>
      <c r="Y43" s="3">
        <f t="shared" si="3"/>
        <v>5</v>
      </c>
    </row>
    <row r="44">
      <c r="A44" s="3">
        <f>data!A44</f>
        <v>517</v>
      </c>
      <c r="B44" s="3" t="str">
        <f>data!B44</f>
        <v>בנעים חיימי (חיים)</v>
      </c>
      <c r="C44" s="3">
        <f>data!C44</f>
        <v>56</v>
      </c>
      <c r="D44" s="3" t="str">
        <f>data!F44</f>
        <v>אזרחים</v>
      </c>
      <c r="E44" s="3" t="str">
        <f t="shared" si="1"/>
        <v>adult</v>
      </c>
      <c r="F44" s="3">
        <v>18.0</v>
      </c>
      <c r="G44" s="3" t="s">
        <v>18</v>
      </c>
      <c r="H44" s="1">
        <f t="shared" si="2"/>
        <v>2</v>
      </c>
      <c r="X44" s="29">
        <v>42.0</v>
      </c>
      <c r="Y44" s="3">
        <f t="shared" si="3"/>
        <v>5</v>
      </c>
    </row>
    <row r="45">
      <c r="A45" s="3">
        <f>data!A45</f>
        <v>652</v>
      </c>
      <c r="B45" s="3" t="str">
        <f>data!B45</f>
        <v>גולדין אורן</v>
      </c>
      <c r="C45" s="3">
        <f>data!C45</f>
        <v>33</v>
      </c>
      <c r="D45" s="3" t="str">
        <f>data!F45</f>
        <v>כיתות כוננות</v>
      </c>
      <c r="E45" s="3" t="str">
        <f t="shared" si="1"/>
        <v>adult</v>
      </c>
      <c r="F45" s="3">
        <v>18.0</v>
      </c>
      <c r="G45" s="3" t="s">
        <v>18</v>
      </c>
      <c r="H45" s="1">
        <f t="shared" si="2"/>
        <v>2</v>
      </c>
      <c r="X45" s="29">
        <v>43.0</v>
      </c>
      <c r="Y45" s="3">
        <f t="shared" si="3"/>
        <v>5</v>
      </c>
    </row>
    <row r="46">
      <c r="A46" s="3">
        <f>data!A46</f>
        <v>1596</v>
      </c>
      <c r="B46" s="3" t="str">
        <f>data!B46</f>
        <v>לוגבינצ'נקו ויטלי</v>
      </c>
      <c r="C46" s="3">
        <f>data!C46</f>
        <v>34</v>
      </c>
      <c r="D46" s="3" t="str">
        <f>data!F46</f>
        <v>אזרחים</v>
      </c>
      <c r="E46" s="3" t="str">
        <f t="shared" si="1"/>
        <v>adult</v>
      </c>
      <c r="F46" s="3">
        <v>18.0</v>
      </c>
      <c r="G46" s="3" t="s">
        <v>478</v>
      </c>
      <c r="H46" s="1">
        <f t="shared" si="2"/>
        <v>2</v>
      </c>
      <c r="X46" s="29">
        <v>44.0</v>
      </c>
      <c r="Y46" s="3">
        <f t="shared" si="3"/>
        <v>5</v>
      </c>
    </row>
    <row r="47">
      <c r="A47" s="3">
        <f>data!A47</f>
        <v>1591</v>
      </c>
      <c r="B47" s="3" t="str">
        <f>data!B47</f>
        <v>משה רועי</v>
      </c>
      <c r="C47" s="3">
        <f>data!C47</f>
        <v>36</v>
      </c>
      <c r="D47" s="3" t="str">
        <f>data!F47</f>
        <v>כבאות והצלה</v>
      </c>
      <c r="E47" s="3" t="str">
        <f t="shared" si="1"/>
        <v>adult</v>
      </c>
      <c r="F47" s="3">
        <v>18.0</v>
      </c>
      <c r="G47" s="3" t="s">
        <v>478</v>
      </c>
      <c r="H47" s="1">
        <f t="shared" si="2"/>
        <v>2</v>
      </c>
      <c r="X47" s="29">
        <v>45.0</v>
      </c>
      <c r="Y47" s="3">
        <f t="shared" si="3"/>
        <v>5</v>
      </c>
    </row>
    <row r="48">
      <c r="A48" s="3">
        <f>data!A48</f>
        <v>1629</v>
      </c>
      <c r="B48" s="3" t="str">
        <f>data!B48</f>
        <v>פופוב ניר (ניקיטה)</v>
      </c>
      <c r="C48" s="3">
        <f>data!C48</f>
        <v>25</v>
      </c>
      <c r="D48" s="3" t="str">
        <f>data!F48</f>
        <v>אזרחים</v>
      </c>
      <c r="E48" s="3" t="str">
        <f t="shared" si="1"/>
        <v>adult</v>
      </c>
      <c r="F48" s="3">
        <v>18.0</v>
      </c>
      <c r="G48" s="3" t="s">
        <v>478</v>
      </c>
      <c r="H48" s="1">
        <f t="shared" si="2"/>
        <v>2</v>
      </c>
      <c r="X48" s="29">
        <v>46.0</v>
      </c>
      <c r="Y48" s="3">
        <f t="shared" si="3"/>
        <v>5</v>
      </c>
    </row>
    <row r="49">
      <c r="A49" s="3">
        <f>data!A49</f>
        <v>498</v>
      </c>
      <c r="B49" s="3" t="str">
        <f>data!B49</f>
        <v>קפשיטר איתן</v>
      </c>
      <c r="C49" s="3">
        <f>data!C49</f>
        <v>4</v>
      </c>
      <c r="D49" s="3" t="str">
        <f>data!F49</f>
        <v>אזרחים</v>
      </c>
      <c r="E49" s="3" t="str">
        <f t="shared" si="1"/>
        <v>child</v>
      </c>
      <c r="F49" s="3">
        <v>18.0</v>
      </c>
      <c r="G49" s="3" t="s">
        <v>478</v>
      </c>
      <c r="H49" s="1">
        <f t="shared" si="2"/>
        <v>2</v>
      </c>
      <c r="X49" s="29">
        <v>47.0</v>
      </c>
      <c r="Y49" s="3">
        <f t="shared" si="3"/>
        <v>5</v>
      </c>
    </row>
    <row r="50">
      <c r="A50" s="3">
        <f>data!A50</f>
        <v>500</v>
      </c>
      <c r="B50" s="3" t="str">
        <f>data!B50</f>
        <v>קפשיטר אלין</v>
      </c>
      <c r="C50" s="3">
        <f>data!C50</f>
        <v>7</v>
      </c>
      <c r="D50" s="3" t="str">
        <f>data!F50</f>
        <v>אזרחים</v>
      </c>
      <c r="E50" s="3" t="str">
        <f t="shared" si="1"/>
        <v>child</v>
      </c>
      <c r="F50" s="3">
        <v>18.0</v>
      </c>
      <c r="G50" s="3" t="s">
        <v>478</v>
      </c>
      <c r="H50" s="1">
        <f t="shared" si="2"/>
        <v>2</v>
      </c>
      <c r="X50" s="29">
        <v>48.0</v>
      </c>
      <c r="Y50" s="3">
        <f t="shared" si="3"/>
        <v>5</v>
      </c>
    </row>
    <row r="51">
      <c r="A51" s="3">
        <f>data!A51</f>
        <v>497</v>
      </c>
      <c r="B51" s="3" t="str">
        <f>data!B51</f>
        <v>קפשיטר דינה</v>
      </c>
      <c r="C51" s="3">
        <f>data!C51</f>
        <v>35</v>
      </c>
      <c r="D51" s="3" t="str">
        <f>data!F51</f>
        <v>אזרחים</v>
      </c>
      <c r="E51" s="3" t="str">
        <f t="shared" si="1"/>
        <v>adult</v>
      </c>
      <c r="F51" s="3">
        <v>18.0</v>
      </c>
      <c r="G51" s="3" t="s">
        <v>18</v>
      </c>
      <c r="H51" s="1">
        <f t="shared" si="2"/>
        <v>2</v>
      </c>
      <c r="X51" s="29">
        <v>49.0</v>
      </c>
      <c r="Y51" s="3">
        <f t="shared" si="3"/>
        <v>5</v>
      </c>
    </row>
    <row r="52">
      <c r="A52" s="3">
        <f>data!A52</f>
        <v>499</v>
      </c>
      <c r="B52" s="3" t="str">
        <f>data!B52</f>
        <v>קפשיטר יבגני (ג'ניה)</v>
      </c>
      <c r="C52" s="3">
        <f>data!C52</f>
        <v>36</v>
      </c>
      <c r="D52" s="3" t="str">
        <f>data!F52</f>
        <v>אזרחים</v>
      </c>
      <c r="E52" s="3" t="str">
        <f t="shared" si="1"/>
        <v>adult</v>
      </c>
      <c r="F52" s="3">
        <v>19.0</v>
      </c>
      <c r="G52" s="3" t="s">
        <v>18</v>
      </c>
      <c r="H52" s="1">
        <f t="shared" si="2"/>
        <v>2</v>
      </c>
      <c r="X52" s="29">
        <v>50.0</v>
      </c>
      <c r="Y52" s="3">
        <f t="shared" si="3"/>
        <v>6</v>
      </c>
    </row>
    <row r="53">
      <c r="A53" s="3">
        <f>data!A53</f>
        <v>143</v>
      </c>
      <c r="B53" s="3" t="str">
        <f>data!B53</f>
        <v>רפאלי מישקין חגית</v>
      </c>
      <c r="C53" s="3">
        <f>data!C53</f>
        <v>48</v>
      </c>
      <c r="D53" s="3" t="str">
        <f>data!F53</f>
        <v>אזרחים</v>
      </c>
      <c r="E53" s="3" t="str">
        <f t="shared" si="1"/>
        <v>adult</v>
      </c>
      <c r="F53" s="3">
        <v>19.0</v>
      </c>
      <c r="G53" s="3" t="s">
        <v>18</v>
      </c>
      <c r="H53" s="1">
        <f t="shared" si="2"/>
        <v>2</v>
      </c>
      <c r="X53" s="29">
        <v>51.0</v>
      </c>
      <c r="Y53" s="3">
        <f t="shared" si="3"/>
        <v>6</v>
      </c>
    </row>
    <row r="54">
      <c r="A54" s="3">
        <f>data!A54</f>
        <v>1370</v>
      </c>
      <c r="B54" s="3" t="str">
        <f>data!B54</f>
        <v>תורג'מן דוד (דודי)</v>
      </c>
      <c r="C54" s="3">
        <f>data!C54</f>
        <v>26</v>
      </c>
      <c r="D54" s="3" t="str">
        <f>data!F54</f>
        <v>אזרחים</v>
      </c>
      <c r="E54" s="3" t="str">
        <f t="shared" si="1"/>
        <v>adult</v>
      </c>
      <c r="F54" s="3">
        <v>19.0</v>
      </c>
      <c r="G54" s="3" t="s">
        <v>18</v>
      </c>
      <c r="H54" s="1">
        <f t="shared" si="2"/>
        <v>2</v>
      </c>
      <c r="X54" s="29">
        <v>52.0</v>
      </c>
      <c r="Y54" s="3">
        <f t="shared" si="3"/>
        <v>6</v>
      </c>
    </row>
    <row r="55">
      <c r="A55" s="3">
        <f>data!A55</f>
        <v>146</v>
      </c>
      <c r="B55" s="3" t="str">
        <f>data!B55</f>
        <v>Alacre Loreta Lori Villarin</v>
      </c>
      <c r="C55" s="3">
        <f>data!C55</f>
        <v>49</v>
      </c>
      <c r="D55" s="3" t="str">
        <f>data!F55</f>
        <v>אזרחים זרים</v>
      </c>
      <c r="E55" s="3" t="str">
        <f t="shared" si="1"/>
        <v>adult</v>
      </c>
      <c r="F55" s="3">
        <v>19.0</v>
      </c>
      <c r="G55" s="3" t="s">
        <v>478</v>
      </c>
      <c r="H55" s="1">
        <f t="shared" si="2"/>
        <v>2</v>
      </c>
      <c r="X55" s="29">
        <v>53.0</v>
      </c>
      <c r="Y55" s="3">
        <f t="shared" si="3"/>
        <v>6</v>
      </c>
    </row>
    <row r="56">
      <c r="A56" s="3">
        <f>data!A56</f>
        <v>1698</v>
      </c>
      <c r="B56" s="3" t="str">
        <f>data!B56</f>
        <v>Brema (Boma) Adam Mohammad</v>
      </c>
      <c r="C56" s="3">
        <f>data!C56</f>
        <v>47</v>
      </c>
      <c r="D56" s="3" t="str">
        <f>data!F56</f>
        <v>אזרחים זרים</v>
      </c>
      <c r="E56" s="3" t="str">
        <f t="shared" si="1"/>
        <v>adult</v>
      </c>
      <c r="F56" s="3">
        <v>19.0</v>
      </c>
      <c r="G56" s="3" t="s">
        <v>18</v>
      </c>
      <c r="H56" s="1">
        <f t="shared" si="2"/>
        <v>2</v>
      </c>
      <c r="X56" s="29">
        <v>54.0</v>
      </c>
      <c r="Y56" s="3">
        <f t="shared" si="3"/>
        <v>6</v>
      </c>
    </row>
    <row r="57">
      <c r="A57" s="3">
        <f>data!A57</f>
        <v>1396</v>
      </c>
      <c r="B57" s="3" t="str">
        <f>data!B57</f>
        <v>Cae Lee Tou</v>
      </c>
      <c r="C57" s="3">
        <f>data!C57</f>
        <v>38</v>
      </c>
      <c r="D57" s="3" t="str">
        <f>data!F57</f>
        <v>אזרחים זרים</v>
      </c>
      <c r="E57" s="3" t="str">
        <f t="shared" si="1"/>
        <v>adult</v>
      </c>
      <c r="F57" s="3">
        <v>19.0</v>
      </c>
      <c r="G57" s="3" t="s">
        <v>478</v>
      </c>
      <c r="H57" s="1">
        <f t="shared" si="2"/>
        <v>2</v>
      </c>
      <c r="X57" s="29">
        <v>55.0</v>
      </c>
      <c r="Y57" s="3">
        <f t="shared" si="3"/>
        <v>6</v>
      </c>
    </row>
    <row r="58">
      <c r="A58" s="3">
        <f>data!A58</f>
        <v>1696</v>
      </c>
      <c r="B58" s="3" t="str">
        <f>data!B58</f>
        <v>Chan Udom</v>
      </c>
      <c r="C58" s="3">
        <f>data!C58</f>
        <v>24</v>
      </c>
      <c r="D58" s="3" t="str">
        <f>data!F58</f>
        <v>אזרחים זרים</v>
      </c>
      <c r="E58" s="3" t="str">
        <f t="shared" si="1"/>
        <v>adult</v>
      </c>
      <c r="F58" s="3">
        <v>19.0</v>
      </c>
      <c r="G58" s="3" t="s">
        <v>478</v>
      </c>
      <c r="H58" s="1">
        <f t="shared" si="2"/>
        <v>2</v>
      </c>
      <c r="X58" s="29">
        <v>56.0</v>
      </c>
      <c r="Y58" s="3">
        <f t="shared" si="3"/>
        <v>6</v>
      </c>
    </row>
    <row r="59">
      <c r="A59" s="3">
        <f>data!A59</f>
        <v>1401</v>
      </c>
      <c r="B59" s="3" t="str">
        <f>data!B59</f>
        <v>Chatdamdee Charoon</v>
      </c>
      <c r="C59" s="3">
        <f>data!C59</f>
        <v>40</v>
      </c>
      <c r="D59" s="3" t="str">
        <f>data!F59</f>
        <v>אזרחים זרים</v>
      </c>
      <c r="E59" s="3" t="str">
        <f t="shared" si="1"/>
        <v>adult</v>
      </c>
      <c r="F59" s="3">
        <v>19.0</v>
      </c>
      <c r="G59" s="3" t="s">
        <v>478</v>
      </c>
      <c r="H59" s="1">
        <f t="shared" si="2"/>
        <v>2</v>
      </c>
      <c r="X59" s="29">
        <v>57.0</v>
      </c>
      <c r="Y59" s="3">
        <f t="shared" si="3"/>
        <v>6</v>
      </c>
    </row>
    <row r="60">
      <c r="A60" s="3">
        <f>data!A60</f>
        <v>1682</v>
      </c>
      <c r="B60" s="3" t="str">
        <f>data!B60</f>
        <v>Clemence Felix Mtenga</v>
      </c>
      <c r="C60" s="3">
        <f>data!C60</f>
        <v>22</v>
      </c>
      <c r="D60" s="3" t="str">
        <f>data!F60</f>
        <v>אזרחים זרים</v>
      </c>
      <c r="E60" s="3" t="str">
        <f t="shared" si="1"/>
        <v>adult</v>
      </c>
      <c r="F60" s="3">
        <v>19.0</v>
      </c>
      <c r="G60" s="3" t="s">
        <v>478</v>
      </c>
      <c r="H60" s="1">
        <f t="shared" si="2"/>
        <v>2</v>
      </c>
      <c r="X60" s="29">
        <v>58.0</v>
      </c>
      <c r="Y60" s="3">
        <f t="shared" si="3"/>
        <v>6</v>
      </c>
    </row>
    <row r="61">
      <c r="A61" s="3">
        <f>data!A61</f>
        <v>1413</v>
      </c>
      <c r="B61" s="3" t="str">
        <f>data!B61</f>
        <v>Kusaram Apichart</v>
      </c>
      <c r="C61" s="3">
        <f>data!C61</f>
        <v>29</v>
      </c>
      <c r="D61" s="3" t="str">
        <f>data!F61</f>
        <v>אזרחים זרים</v>
      </c>
      <c r="E61" s="3" t="str">
        <f t="shared" si="1"/>
        <v>adult</v>
      </c>
      <c r="F61" s="3">
        <v>19.0</v>
      </c>
      <c r="G61" s="3" t="s">
        <v>478</v>
      </c>
      <c r="H61" s="1">
        <f t="shared" si="2"/>
        <v>2</v>
      </c>
      <c r="X61" s="29">
        <v>59.0</v>
      </c>
      <c r="Y61" s="3">
        <f t="shared" si="3"/>
        <v>6</v>
      </c>
    </row>
    <row r="62">
      <c r="A62" s="3">
        <f>data!A62</f>
        <v>1409</v>
      </c>
      <c r="B62" s="3" t="str">
        <f>data!B62</f>
        <v>Kusaram Pongthep</v>
      </c>
      <c r="C62" s="3">
        <f>data!C62</f>
        <v>26</v>
      </c>
      <c r="D62" s="3" t="str">
        <f>data!F62</f>
        <v>אזרחים זרים</v>
      </c>
      <c r="E62" s="3" t="str">
        <f t="shared" si="1"/>
        <v>adult</v>
      </c>
      <c r="F62" s="3">
        <v>19.0</v>
      </c>
      <c r="G62" s="3" t="s">
        <v>478</v>
      </c>
      <c r="H62" s="1">
        <f t="shared" si="2"/>
        <v>2</v>
      </c>
      <c r="J62" s="31">
        <v>37.0</v>
      </c>
      <c r="M62" s="29">
        <v>1.0</v>
      </c>
      <c r="X62" s="29">
        <v>60.0</v>
      </c>
      <c r="Y62" s="3">
        <f t="shared" si="3"/>
        <v>7</v>
      </c>
    </row>
    <row r="63">
      <c r="A63" s="3">
        <f>data!A63</f>
        <v>1412</v>
      </c>
      <c r="B63" s="3" t="str">
        <f>data!B63</f>
        <v>Nachanׂ Pichit</v>
      </c>
      <c r="C63" s="3">
        <f>data!C63</f>
        <v>27</v>
      </c>
      <c r="D63" s="3" t="str">
        <f>data!F63</f>
        <v>אזרחים זרים</v>
      </c>
      <c r="E63" s="3" t="str">
        <f t="shared" si="1"/>
        <v>adult</v>
      </c>
      <c r="F63" s="3">
        <v>19.0</v>
      </c>
      <c r="G63" s="3" t="s">
        <v>478</v>
      </c>
      <c r="H63" s="1">
        <f t="shared" si="2"/>
        <v>2</v>
      </c>
      <c r="J63" s="31">
        <v>49.0</v>
      </c>
      <c r="M63" s="29">
        <v>2.0</v>
      </c>
      <c r="X63" s="29">
        <v>61.0</v>
      </c>
      <c r="Y63" s="3">
        <f t="shared" si="3"/>
        <v>7</v>
      </c>
    </row>
    <row r="64">
      <c r="A64" s="3">
        <f>data!A64</f>
        <v>1419</v>
      </c>
      <c r="B64" s="3" t="str">
        <f>data!B64</f>
        <v>Phetkaew Anan</v>
      </c>
      <c r="C64" s="3">
        <f>data!C64</f>
        <v>39</v>
      </c>
      <c r="D64" s="3" t="str">
        <f>data!F64</f>
        <v>אזרחים זרים</v>
      </c>
      <c r="E64" s="3" t="str">
        <f t="shared" si="1"/>
        <v>adult</v>
      </c>
      <c r="F64" s="3">
        <v>19.0</v>
      </c>
      <c r="G64" s="3" t="s">
        <v>478</v>
      </c>
      <c r="H64" s="1">
        <f t="shared" si="2"/>
        <v>2</v>
      </c>
      <c r="J64" s="31">
        <v>60.0</v>
      </c>
      <c r="M64" s="29">
        <v>3.0</v>
      </c>
      <c r="X64" s="29">
        <v>62.0</v>
      </c>
      <c r="Y64" s="3">
        <f t="shared" si="3"/>
        <v>7</v>
      </c>
    </row>
    <row r="65">
      <c r="A65" s="3">
        <f>data!A65</f>
        <v>1404</v>
      </c>
      <c r="B65" s="3" t="str">
        <f>data!B65</f>
        <v>Phiia-ia Satawat</v>
      </c>
      <c r="C65" s="3">
        <f>data!C65</f>
        <v>27</v>
      </c>
      <c r="D65" s="3" t="str">
        <f>data!F65</f>
        <v>אזרחים זרים</v>
      </c>
      <c r="E65" s="3" t="str">
        <f t="shared" si="1"/>
        <v>adult</v>
      </c>
      <c r="F65" s="3">
        <v>19.0</v>
      </c>
      <c r="G65" s="3" t="s">
        <v>478</v>
      </c>
      <c r="H65" s="1">
        <f t="shared" si="2"/>
        <v>2</v>
      </c>
      <c r="J65" s="31">
        <v>68.0</v>
      </c>
      <c r="M65" s="29">
        <v>4.0</v>
      </c>
      <c r="X65" s="29">
        <v>63.0</v>
      </c>
      <c r="Y65" s="3">
        <f t="shared" si="3"/>
        <v>7</v>
      </c>
    </row>
    <row r="66">
      <c r="A66" s="3">
        <f>data!A66</f>
        <v>1397</v>
      </c>
      <c r="B66" s="3" t="str">
        <f>data!B66</f>
        <v>Pinjai Nanthawat</v>
      </c>
      <c r="C66" s="3">
        <f>data!C66</f>
        <v>26</v>
      </c>
      <c r="D66" s="3" t="str">
        <f>data!F66</f>
        <v>אזרחים זרים</v>
      </c>
      <c r="E66" s="3" t="str">
        <f t="shared" si="1"/>
        <v>adult</v>
      </c>
      <c r="F66" s="3">
        <v>19.0</v>
      </c>
      <c r="G66" s="3" t="s">
        <v>478</v>
      </c>
      <c r="H66" s="1">
        <f t="shared" si="2"/>
        <v>2</v>
      </c>
      <c r="J66" s="31">
        <v>70.0</v>
      </c>
      <c r="M66" s="29">
        <v>5.0</v>
      </c>
      <c r="X66" s="29">
        <v>64.0</v>
      </c>
      <c r="Y66" s="3">
        <f t="shared" si="3"/>
        <v>7</v>
      </c>
    </row>
    <row r="67">
      <c r="A67" s="3">
        <f>data!A67</f>
        <v>1398</v>
      </c>
      <c r="B67" s="3" t="str">
        <f>data!B67</f>
        <v>Ritthiphon Meechai</v>
      </c>
      <c r="C67" s="3">
        <f>data!C67</f>
        <v>42</v>
      </c>
      <c r="D67" s="3" t="str">
        <f>data!F67</f>
        <v>אזרחים זרים</v>
      </c>
      <c r="E67" s="3" t="str">
        <f t="shared" si="1"/>
        <v>adult</v>
      </c>
      <c r="F67" s="3">
        <v>19.0</v>
      </c>
      <c r="G67" s="3" t="s">
        <v>478</v>
      </c>
      <c r="H67" s="1">
        <f t="shared" si="2"/>
        <v>2</v>
      </c>
      <c r="J67" s="31">
        <v>72.0</v>
      </c>
      <c r="M67" s="29">
        <v>6.0</v>
      </c>
      <c r="X67" s="29">
        <v>65.0</v>
      </c>
      <c r="Y67" s="3">
        <f t="shared" si="3"/>
        <v>7</v>
      </c>
    </row>
    <row r="68">
      <c r="A68" s="3">
        <f>data!A68</f>
        <v>1411</v>
      </c>
      <c r="B68" s="3" t="str">
        <f>data!B68</f>
        <v>Sae Wang Nitikorn</v>
      </c>
      <c r="C68" s="3">
        <f>data!C68</f>
        <v>26</v>
      </c>
      <c r="D68" s="3" t="str">
        <f>data!F68</f>
        <v>אזרחים זרים</v>
      </c>
      <c r="E68" s="3" t="str">
        <f t="shared" si="1"/>
        <v>adult</v>
      </c>
      <c r="F68" s="3">
        <v>19.0</v>
      </c>
      <c r="G68" s="3" t="s">
        <v>478</v>
      </c>
      <c r="H68" s="1">
        <f t="shared" si="2"/>
        <v>2</v>
      </c>
      <c r="J68" s="31">
        <v>120.0</v>
      </c>
      <c r="M68" s="29">
        <v>7.0</v>
      </c>
      <c r="X68" s="29">
        <v>66.0</v>
      </c>
      <c r="Y68" s="3">
        <f t="shared" si="3"/>
        <v>7</v>
      </c>
    </row>
    <row r="69">
      <c r="A69" s="3">
        <f>data!A69</f>
        <v>1415</v>
      </c>
      <c r="B69" s="3" t="str">
        <f>data!B69</f>
        <v>Surakhai Sakda</v>
      </c>
      <c r="C69" s="3">
        <f>data!C69</f>
        <v>31</v>
      </c>
      <c r="D69" s="3" t="str">
        <f>data!F69</f>
        <v>אזרחים זרים</v>
      </c>
      <c r="E69" s="3" t="str">
        <f t="shared" si="1"/>
        <v>adult</v>
      </c>
      <c r="F69" s="3">
        <v>19.0</v>
      </c>
      <c r="G69" s="3" t="s">
        <v>478</v>
      </c>
      <c r="H69" s="1">
        <f t="shared" si="2"/>
        <v>2</v>
      </c>
      <c r="J69" s="31">
        <v>121.0</v>
      </c>
      <c r="M69" s="29">
        <v>8.0</v>
      </c>
      <c r="X69" s="29">
        <v>67.0</v>
      </c>
      <c r="Y69" s="3">
        <f t="shared" si="3"/>
        <v>7</v>
      </c>
    </row>
    <row r="70">
      <c r="A70" s="3">
        <f>data!A70</f>
        <v>1399</v>
      </c>
      <c r="B70" s="3" t="str">
        <f>data!B70</f>
        <v>Tamklang Parinya</v>
      </c>
      <c r="C70" s="3">
        <f>data!C70</f>
        <v>37</v>
      </c>
      <c r="D70" s="3" t="str">
        <f>data!F70</f>
        <v>אזרחים זרים</v>
      </c>
      <c r="E70" s="3" t="str">
        <f t="shared" si="1"/>
        <v>adult</v>
      </c>
      <c r="F70" s="3">
        <v>19.0</v>
      </c>
      <c r="G70" s="3" t="s">
        <v>478</v>
      </c>
      <c r="H70" s="1">
        <f t="shared" si="2"/>
        <v>2</v>
      </c>
      <c r="J70" s="31">
        <v>147.0</v>
      </c>
      <c r="M70" s="29">
        <v>9.0</v>
      </c>
      <c r="X70" s="29">
        <v>68.0</v>
      </c>
      <c r="Y70" s="3">
        <f t="shared" si="3"/>
        <v>7</v>
      </c>
    </row>
    <row r="71">
      <c r="A71" s="3">
        <f>data!A71</f>
        <v>1414</v>
      </c>
      <c r="B71" s="3" t="str">
        <f>data!B71</f>
        <v>Thanonphim Phirun</v>
      </c>
      <c r="C71" s="3">
        <f>data!C71</f>
        <v>34</v>
      </c>
      <c r="D71" s="3" t="str">
        <f>data!F71</f>
        <v>אזרחים זרים</v>
      </c>
      <c r="E71" s="3" t="str">
        <f t="shared" si="1"/>
        <v>adult</v>
      </c>
      <c r="F71" s="3">
        <v>19.0</v>
      </c>
      <c r="G71" s="3" t="s">
        <v>478</v>
      </c>
      <c r="H71" s="1">
        <f t="shared" si="2"/>
        <v>2</v>
      </c>
      <c r="J71" s="31">
        <v>152.0</v>
      </c>
      <c r="M71" s="29">
        <v>10.0</v>
      </c>
      <c r="X71" s="29">
        <v>69.0</v>
      </c>
      <c r="Y71" s="3">
        <f t="shared" si="3"/>
        <v>7</v>
      </c>
    </row>
    <row r="72">
      <c r="A72" s="3">
        <f>data!A72</f>
        <v>1403</v>
      </c>
      <c r="B72" s="3" t="str">
        <f>data!B72</f>
        <v>Tholaeng Phithak</v>
      </c>
      <c r="C72" s="3">
        <f>data!C72</f>
        <v>54</v>
      </c>
      <c r="D72" s="3" t="str">
        <f>data!F72</f>
        <v>אזרחים זרים</v>
      </c>
      <c r="E72" s="3" t="str">
        <f t="shared" si="1"/>
        <v>adult</v>
      </c>
      <c r="F72" s="3">
        <v>19.0</v>
      </c>
      <c r="G72" s="3" t="s">
        <v>478</v>
      </c>
      <c r="H72" s="1">
        <f t="shared" si="2"/>
        <v>2</v>
      </c>
      <c r="J72" s="31">
        <v>158.0</v>
      </c>
      <c r="M72" s="29">
        <v>11.0</v>
      </c>
      <c r="X72" s="29">
        <v>70.0</v>
      </c>
      <c r="Y72" s="3">
        <f t="shared" si="3"/>
        <v>8</v>
      </c>
    </row>
    <row r="73">
      <c r="A73" s="3">
        <f>data!A73</f>
        <v>1402</v>
      </c>
      <c r="B73" s="3" t="str">
        <f>data!B73</f>
        <v>Wisetdonwai Wutthipat</v>
      </c>
      <c r="C73" s="3">
        <f>data!C73</f>
        <v>25</v>
      </c>
      <c r="D73" s="3" t="str">
        <f>data!F73</f>
        <v>אזרחים זרים</v>
      </c>
      <c r="E73" s="3" t="str">
        <f t="shared" si="1"/>
        <v>adult</v>
      </c>
      <c r="F73" s="3">
        <v>19.0</v>
      </c>
      <c r="G73" s="3" t="s">
        <v>478</v>
      </c>
      <c r="H73" s="1">
        <f t="shared" si="2"/>
        <v>2</v>
      </c>
      <c r="J73" s="31">
        <v>324.0</v>
      </c>
      <c r="M73" s="29">
        <v>12.0</v>
      </c>
      <c r="X73" s="29">
        <v>71.0</v>
      </c>
      <c r="Y73" s="3">
        <f t="shared" si="3"/>
        <v>8</v>
      </c>
    </row>
    <row r="74">
      <c r="A74" s="3">
        <f>data!A74</f>
        <v>1564</v>
      </c>
      <c r="B74" s="3" t="str">
        <f>data!B74</f>
        <v>חג'בי אליצור צוריאל</v>
      </c>
      <c r="C74" s="3">
        <f>data!C74</f>
        <v>60</v>
      </c>
      <c r="D74" s="3" t="str">
        <f>data!F74</f>
        <v>אזרחים</v>
      </c>
      <c r="E74" s="3" t="str">
        <f t="shared" si="1"/>
        <v>adult</v>
      </c>
      <c r="F74" s="3">
        <v>19.0</v>
      </c>
      <c r="G74" s="3" t="s">
        <v>478</v>
      </c>
      <c r="H74" s="1">
        <f t="shared" si="2"/>
        <v>2</v>
      </c>
      <c r="J74" s="31">
        <v>325.0</v>
      </c>
      <c r="M74" s="29">
        <v>13.0</v>
      </c>
      <c r="X74" s="29">
        <v>72.0</v>
      </c>
      <c r="Y74" s="3">
        <f t="shared" si="3"/>
        <v>8</v>
      </c>
    </row>
    <row r="75">
      <c r="A75" s="3">
        <f>data!A75</f>
        <v>1451</v>
      </c>
      <c r="B75" s="3" t="str">
        <f>data!B75</f>
        <v>חג'בי יהונתן</v>
      </c>
      <c r="C75" s="3">
        <f>data!C75</f>
        <v>18</v>
      </c>
      <c r="D75" s="3" t="str">
        <f>data!F75</f>
        <v>אזרחים</v>
      </c>
      <c r="E75" s="3" t="str">
        <f t="shared" si="1"/>
        <v>teen</v>
      </c>
      <c r="F75" s="3">
        <v>19.0</v>
      </c>
      <c r="G75" s="3" t="s">
        <v>478</v>
      </c>
      <c r="H75" s="1">
        <f t="shared" si="2"/>
        <v>2</v>
      </c>
      <c r="J75" s="31">
        <v>395.0</v>
      </c>
      <c r="M75" s="29">
        <v>14.0</v>
      </c>
      <c r="X75" s="29">
        <v>73.0</v>
      </c>
      <c r="Y75" s="3">
        <f t="shared" si="3"/>
        <v>8</v>
      </c>
    </row>
    <row r="76">
      <c r="A76" s="3">
        <f>data!A76</f>
        <v>1563</v>
      </c>
      <c r="B76" s="3" t="str">
        <f>data!B76</f>
        <v>חג'בי יזהר</v>
      </c>
      <c r="C76" s="3">
        <f>data!C76</f>
        <v>66</v>
      </c>
      <c r="D76" s="3" t="str">
        <f>data!F76</f>
        <v>אזרחים</v>
      </c>
      <c r="E76" s="3" t="str">
        <f t="shared" si="1"/>
        <v>senior</v>
      </c>
      <c r="F76" s="3">
        <v>19.0</v>
      </c>
      <c r="G76" s="3" t="s">
        <v>478</v>
      </c>
      <c r="H76" s="1">
        <f t="shared" si="2"/>
        <v>2</v>
      </c>
      <c r="J76" s="31">
        <v>406.0</v>
      </c>
      <c r="M76" s="29">
        <v>15.0</v>
      </c>
      <c r="X76" s="29">
        <v>74.0</v>
      </c>
      <c r="Y76" s="3">
        <f t="shared" si="3"/>
        <v>8</v>
      </c>
    </row>
    <row r="77">
      <c r="A77" s="3">
        <f>data!A77</f>
        <v>1362</v>
      </c>
      <c r="B77" s="3" t="str">
        <f>data!B77</f>
        <v>אבו מדיע'ם אוסאמה עלי</v>
      </c>
      <c r="C77" s="3">
        <f>data!C77</f>
        <v>28</v>
      </c>
      <c r="D77" s="3" t="str">
        <f>data!F77</f>
        <v>אזרחים</v>
      </c>
      <c r="E77" s="3" t="str">
        <f t="shared" si="1"/>
        <v>adult</v>
      </c>
      <c r="F77" s="3">
        <v>19.0</v>
      </c>
      <c r="G77" s="3" t="s">
        <v>478</v>
      </c>
      <c r="H77" s="1">
        <f t="shared" si="2"/>
        <v>2</v>
      </c>
      <c r="J77" s="31">
        <v>430.0</v>
      </c>
      <c r="M77" s="29">
        <v>16.0</v>
      </c>
      <c r="X77" s="29">
        <v>75.0</v>
      </c>
      <c r="Y77" s="3">
        <f t="shared" si="3"/>
        <v>8</v>
      </c>
    </row>
    <row r="78">
      <c r="A78" s="3">
        <f>data!A78</f>
        <v>1524</v>
      </c>
      <c r="B78" s="3" t="str">
        <f>data!B78</f>
        <v>ירון שיר</v>
      </c>
      <c r="C78" s="3">
        <f>data!C78</f>
        <v>21</v>
      </c>
      <c r="D78" s="3" t="str">
        <f>data!F78</f>
        <v>אזרחים</v>
      </c>
      <c r="E78" s="3" t="str">
        <f t="shared" si="1"/>
        <v>adult</v>
      </c>
      <c r="F78" s="3">
        <v>19.0</v>
      </c>
      <c r="G78" s="3" t="s">
        <v>478</v>
      </c>
      <c r="H78" s="1">
        <f t="shared" si="2"/>
        <v>2</v>
      </c>
      <c r="J78" s="31">
        <v>456.0</v>
      </c>
      <c r="M78" s="29">
        <v>17.0</v>
      </c>
      <c r="X78" s="29">
        <v>76.0</v>
      </c>
      <c r="Y78" s="3">
        <f t="shared" si="3"/>
        <v>8</v>
      </c>
    </row>
    <row r="79">
      <c r="A79" s="3">
        <f>data!A79</f>
        <v>1625</v>
      </c>
      <c r="B79" s="3" t="str">
        <f>data!B79</f>
        <v>לוי ציון</v>
      </c>
      <c r="C79" s="3">
        <f>data!C79</f>
        <v>72</v>
      </c>
      <c r="D79" s="3" t="str">
        <f>data!F79</f>
        <v>אזרחים</v>
      </c>
      <c r="E79" s="3" t="str">
        <f t="shared" si="1"/>
        <v>senior</v>
      </c>
      <c r="F79" s="3">
        <v>19.0</v>
      </c>
      <c r="G79" s="3" t="s">
        <v>478</v>
      </c>
      <c r="H79" s="1">
        <f t="shared" si="2"/>
        <v>2</v>
      </c>
      <c r="J79" s="31">
        <v>498.0</v>
      </c>
      <c r="M79" s="29">
        <v>18.0</v>
      </c>
      <c r="X79" s="29">
        <v>77.0</v>
      </c>
      <c r="Y79" s="3">
        <f t="shared" si="3"/>
        <v>8</v>
      </c>
    </row>
    <row r="80">
      <c r="A80" s="3">
        <f>data!A80</f>
        <v>504</v>
      </c>
      <c r="B80" s="3" t="str">
        <f>data!B80</f>
        <v>אלמגור מרינה</v>
      </c>
      <c r="C80" s="3">
        <f>data!C80</f>
        <v>76</v>
      </c>
      <c r="D80" s="3" t="str">
        <f>data!F80</f>
        <v>אזרחים</v>
      </c>
      <c r="E80" s="3" t="str">
        <f t="shared" si="1"/>
        <v>senior</v>
      </c>
      <c r="F80" s="3">
        <v>19.0</v>
      </c>
      <c r="G80" s="3" t="s">
        <v>478</v>
      </c>
      <c r="H80" s="1">
        <f t="shared" si="2"/>
        <v>2</v>
      </c>
      <c r="J80" s="31">
        <v>500.0</v>
      </c>
      <c r="M80" s="29">
        <v>19.0</v>
      </c>
      <c r="X80" s="29">
        <v>78.0</v>
      </c>
      <c r="Y80" s="3">
        <f t="shared" si="3"/>
        <v>8</v>
      </c>
    </row>
    <row r="81">
      <c r="A81" s="3">
        <f>data!A81</f>
        <v>502</v>
      </c>
      <c r="B81" s="3" t="str">
        <f>data!B81</f>
        <v>אקוני אור</v>
      </c>
      <c r="C81" s="3">
        <f>data!C81</f>
        <v>32</v>
      </c>
      <c r="D81" s="3" t="str">
        <f>data!F81</f>
        <v>אזרחים</v>
      </c>
      <c r="E81" s="3" t="str">
        <f t="shared" si="1"/>
        <v>adult</v>
      </c>
      <c r="F81" s="3">
        <v>19.0</v>
      </c>
      <c r="G81" s="3" t="s">
        <v>478</v>
      </c>
      <c r="H81" s="1">
        <f t="shared" si="2"/>
        <v>2</v>
      </c>
      <c r="J81" s="31">
        <v>507.0</v>
      </c>
      <c r="M81" s="29">
        <v>20.0</v>
      </c>
      <c r="X81" s="29">
        <v>79.0</v>
      </c>
      <c r="Y81" s="3">
        <f t="shared" si="3"/>
        <v>8</v>
      </c>
    </row>
    <row r="82">
      <c r="A82" s="3">
        <f>data!A82</f>
        <v>501</v>
      </c>
      <c r="B82" s="3" t="str">
        <f>data!B82</f>
        <v>אקוני אריה</v>
      </c>
      <c r="C82" s="3">
        <f>data!C82</f>
        <v>68</v>
      </c>
      <c r="D82" s="3" t="str">
        <f>data!F82</f>
        <v>אזרחים</v>
      </c>
      <c r="E82" s="3" t="str">
        <f t="shared" si="1"/>
        <v>senior</v>
      </c>
      <c r="F82" s="3">
        <v>19.0</v>
      </c>
      <c r="G82" s="3" t="s">
        <v>478</v>
      </c>
      <c r="H82" s="1">
        <f t="shared" si="2"/>
        <v>2</v>
      </c>
      <c r="J82" s="31">
        <v>515.0</v>
      </c>
      <c r="M82" s="29">
        <v>21.0</v>
      </c>
      <c r="X82" s="29">
        <v>80.0</v>
      </c>
      <c r="Y82" s="3">
        <f t="shared" si="3"/>
        <v>9</v>
      </c>
    </row>
    <row r="83">
      <c r="A83" s="3">
        <f>data!A83</f>
        <v>503</v>
      </c>
      <c r="B83" s="3" t="str">
        <f>data!B83</f>
        <v>אקוני ארלט (רותי)</v>
      </c>
      <c r="C83" s="3">
        <f>data!C83</f>
        <v>67</v>
      </c>
      <c r="D83" s="3" t="str">
        <f>data!F83</f>
        <v>אזרחים</v>
      </c>
      <c r="E83" s="3" t="str">
        <f t="shared" si="1"/>
        <v>senior</v>
      </c>
      <c r="F83" s="3">
        <v>19.0</v>
      </c>
      <c r="G83" s="3" t="s">
        <v>478</v>
      </c>
      <c r="H83" s="1">
        <f t="shared" si="2"/>
        <v>2</v>
      </c>
      <c r="J83" s="31">
        <v>558.0</v>
      </c>
      <c r="M83" s="29">
        <v>22.0</v>
      </c>
      <c r="X83" s="29">
        <v>81.0</v>
      </c>
      <c r="Y83" s="3">
        <f t="shared" si="3"/>
        <v>9</v>
      </c>
    </row>
    <row r="84">
      <c r="A84" s="3">
        <f>data!A84</f>
        <v>506</v>
      </c>
      <c r="B84" s="3" t="str">
        <f>data!B84</f>
        <v>ברגר נורית</v>
      </c>
      <c r="C84" s="3">
        <f>data!C84</f>
        <v>59</v>
      </c>
      <c r="D84" s="3" t="str">
        <f>data!F84</f>
        <v>אזרחים</v>
      </c>
      <c r="E84" s="3" t="str">
        <f t="shared" si="1"/>
        <v>adult</v>
      </c>
      <c r="F84" s="3">
        <v>19.0</v>
      </c>
      <c r="G84" s="3" t="s">
        <v>478</v>
      </c>
      <c r="H84" s="1">
        <f t="shared" si="2"/>
        <v>2</v>
      </c>
      <c r="J84" s="31">
        <v>617.0</v>
      </c>
      <c r="M84" s="29">
        <v>23.0</v>
      </c>
      <c r="X84" s="29">
        <v>82.0</v>
      </c>
      <c r="Y84" s="3">
        <f t="shared" si="3"/>
        <v>9</v>
      </c>
    </row>
    <row r="85">
      <c r="A85" s="3">
        <f>data!A85</f>
        <v>531</v>
      </c>
      <c r="B85" s="3" t="str">
        <f>data!B85</f>
        <v>וובק דני</v>
      </c>
      <c r="C85" s="3">
        <f>data!C85</f>
        <v>45</v>
      </c>
      <c r="D85" s="3" t="str">
        <f>data!F85</f>
        <v>אזרחים</v>
      </c>
      <c r="E85" s="3" t="str">
        <f t="shared" si="1"/>
        <v>adult</v>
      </c>
      <c r="F85" s="3">
        <v>19.0</v>
      </c>
      <c r="G85" s="3" t="s">
        <v>478</v>
      </c>
      <c r="H85" s="1">
        <f t="shared" si="2"/>
        <v>2</v>
      </c>
      <c r="J85" s="31">
        <v>619.0</v>
      </c>
      <c r="M85" s="29">
        <v>24.0</v>
      </c>
      <c r="X85" s="29">
        <v>83.0</v>
      </c>
      <c r="Y85" s="3">
        <f t="shared" si="3"/>
        <v>9</v>
      </c>
    </row>
    <row r="86">
      <c r="A86" s="3">
        <f>data!A86</f>
        <v>532</v>
      </c>
      <c r="B86" s="3" t="str">
        <f>data!B86</f>
        <v>ינון בלהה</v>
      </c>
      <c r="C86" s="3">
        <f>data!C86</f>
        <v>76</v>
      </c>
      <c r="D86" s="3" t="str">
        <f>data!F86</f>
        <v>אזרחים</v>
      </c>
      <c r="E86" s="3" t="str">
        <f t="shared" si="1"/>
        <v>senior</v>
      </c>
      <c r="F86" s="3">
        <v>19.0</v>
      </c>
      <c r="G86" s="3" t="s">
        <v>478</v>
      </c>
      <c r="H86" s="1">
        <f t="shared" si="2"/>
        <v>2</v>
      </c>
      <c r="J86" s="31">
        <v>620.0</v>
      </c>
      <c r="M86" s="29">
        <v>25.0</v>
      </c>
      <c r="X86" s="29">
        <v>84.0</v>
      </c>
      <c r="Y86" s="3">
        <f t="shared" si="3"/>
        <v>9</v>
      </c>
    </row>
    <row r="87">
      <c r="A87" s="3">
        <f>data!A87</f>
        <v>533</v>
      </c>
      <c r="B87" s="3" t="str">
        <f>data!B87</f>
        <v>ינון יעקובי</v>
      </c>
      <c r="C87" s="3">
        <f>data!C87</f>
        <v>78</v>
      </c>
      <c r="D87" s="3" t="str">
        <f>data!F87</f>
        <v>אזרחים</v>
      </c>
      <c r="E87" s="3" t="str">
        <f t="shared" si="1"/>
        <v>senior</v>
      </c>
      <c r="F87" s="3">
        <v>19.0</v>
      </c>
      <c r="G87" s="3" t="s">
        <v>478</v>
      </c>
      <c r="H87" s="1">
        <f t="shared" si="2"/>
        <v>2</v>
      </c>
      <c r="J87" s="31">
        <v>663.0</v>
      </c>
      <c r="M87" s="29">
        <v>26.0</v>
      </c>
      <c r="X87" s="29">
        <v>85.0</v>
      </c>
      <c r="Y87" s="3">
        <f t="shared" si="3"/>
        <v>9</v>
      </c>
    </row>
    <row r="88">
      <c r="A88" s="3">
        <f>data!A88</f>
        <v>510</v>
      </c>
      <c r="B88" s="3" t="str">
        <f>data!B88</f>
        <v>מולכו איילת</v>
      </c>
      <c r="C88" s="3">
        <f>data!C88</f>
        <v>54</v>
      </c>
      <c r="D88" s="3" t="str">
        <f>data!F88</f>
        <v>אזרחים</v>
      </c>
      <c r="E88" s="3" t="str">
        <f t="shared" si="1"/>
        <v>adult</v>
      </c>
      <c r="F88" s="3">
        <v>19.0</v>
      </c>
      <c r="G88" s="3" t="s">
        <v>478</v>
      </c>
      <c r="H88" s="1">
        <f t="shared" si="2"/>
        <v>2</v>
      </c>
      <c r="J88" s="31">
        <v>676.0</v>
      </c>
      <c r="M88" s="29">
        <v>27.0</v>
      </c>
      <c r="X88" s="29">
        <v>86.0</v>
      </c>
      <c r="Y88" s="3">
        <f t="shared" si="3"/>
        <v>9</v>
      </c>
    </row>
    <row r="89">
      <c r="A89" s="3">
        <f>data!A89</f>
        <v>511</v>
      </c>
      <c r="B89" s="3" t="str">
        <f>data!B89</f>
        <v>מולכו שלמה (שלומי)</v>
      </c>
      <c r="C89" s="3">
        <f>data!C89</f>
        <v>62</v>
      </c>
      <c r="D89" s="3" t="str">
        <f>data!F89</f>
        <v>אזרחים</v>
      </c>
      <c r="E89" s="3" t="str">
        <f t="shared" si="1"/>
        <v>adult</v>
      </c>
      <c r="F89" s="3">
        <v>19.0</v>
      </c>
      <c r="G89" s="3" t="s">
        <v>478</v>
      </c>
      <c r="H89" s="1">
        <f t="shared" si="2"/>
        <v>2</v>
      </c>
      <c r="J89" s="31">
        <v>825.0</v>
      </c>
      <c r="M89" s="29">
        <v>28.0</v>
      </c>
      <c r="X89" s="29">
        <v>87.0</v>
      </c>
      <c r="Y89" s="3">
        <f t="shared" si="3"/>
        <v>9</v>
      </c>
    </row>
    <row r="90">
      <c r="A90" s="3">
        <f>data!A90</f>
        <v>512</v>
      </c>
      <c r="B90" s="3" t="str">
        <f>data!B90</f>
        <v>סגל חויק</v>
      </c>
      <c r="C90" s="3">
        <f>data!C90</f>
        <v>78</v>
      </c>
      <c r="D90" s="3" t="str">
        <f>data!F90</f>
        <v>אזרחים</v>
      </c>
      <c r="E90" s="3" t="str">
        <f t="shared" si="1"/>
        <v>senior</v>
      </c>
      <c r="F90" s="3">
        <v>19.0</v>
      </c>
      <c r="G90" s="3" t="s">
        <v>1601</v>
      </c>
      <c r="H90" s="1">
        <f t="shared" si="2"/>
        <v>2</v>
      </c>
      <c r="J90" s="31">
        <v>883.0</v>
      </c>
      <c r="M90" s="29">
        <v>29.0</v>
      </c>
      <c r="X90" s="29">
        <v>88.0</v>
      </c>
      <c r="Y90" s="3">
        <f t="shared" si="3"/>
        <v>9</v>
      </c>
    </row>
    <row r="91">
      <c r="A91" s="3">
        <f>data!A91</f>
        <v>1039</v>
      </c>
      <c r="B91" s="3" t="str">
        <f>data!B91</f>
        <v>אלקבץ מוטי</v>
      </c>
      <c r="C91" s="3">
        <f>data!C91</f>
        <v>40</v>
      </c>
      <c r="D91" s="3" t="str">
        <f>data!F91</f>
        <v>אזרחים</v>
      </c>
      <c r="E91" s="3" t="str">
        <f t="shared" si="1"/>
        <v>adult</v>
      </c>
      <c r="F91" s="3">
        <v>19.0</v>
      </c>
      <c r="G91" s="3" t="s">
        <v>478</v>
      </c>
      <c r="H91" s="1">
        <f t="shared" si="2"/>
        <v>2</v>
      </c>
      <c r="J91" s="31">
        <v>921.0</v>
      </c>
      <c r="M91" s="29">
        <v>30.0</v>
      </c>
      <c r="X91" s="29">
        <v>89.0</v>
      </c>
      <c r="Y91" s="3">
        <f t="shared" si="3"/>
        <v>9</v>
      </c>
    </row>
    <row r="92">
      <c r="A92" s="3">
        <f>data!A92</f>
        <v>1036</v>
      </c>
      <c r="B92" s="3" t="str">
        <f>data!B92</f>
        <v>בן יהודה גלעד</v>
      </c>
      <c r="C92" s="3">
        <f>data!C92</f>
        <v>28</v>
      </c>
      <c r="D92" s="3" t="str">
        <f>data!F92</f>
        <v>אזרחים</v>
      </c>
      <c r="E92" s="3" t="str">
        <f t="shared" si="1"/>
        <v>adult</v>
      </c>
      <c r="F92" s="3">
        <v>19.0</v>
      </c>
      <c r="G92" s="3" t="s">
        <v>478</v>
      </c>
      <c r="H92" s="1">
        <f t="shared" si="2"/>
        <v>2</v>
      </c>
      <c r="J92" s="31">
        <v>1047.0</v>
      </c>
      <c r="M92" s="29">
        <v>31.0</v>
      </c>
      <c r="X92" s="29">
        <v>90.0</v>
      </c>
      <c r="Y92" s="3">
        <f t="shared" si="3"/>
        <v>10</v>
      </c>
    </row>
    <row r="93">
      <c r="A93" s="3">
        <f>data!A93</f>
        <v>707</v>
      </c>
      <c r="B93" s="3" t="str">
        <f>data!B93</f>
        <v>בן יהודה יובל</v>
      </c>
      <c r="C93" s="3">
        <f>data!C93</f>
        <v>26</v>
      </c>
      <c r="D93" s="3" t="str">
        <f>data!F93</f>
        <v>אזרחים</v>
      </c>
      <c r="E93" s="3" t="str">
        <f t="shared" si="1"/>
        <v>adult</v>
      </c>
      <c r="F93" s="3">
        <v>19.0</v>
      </c>
      <c r="G93" s="3" t="s">
        <v>478</v>
      </c>
      <c r="H93" s="1">
        <f t="shared" si="2"/>
        <v>2</v>
      </c>
      <c r="J93" s="31">
        <v>1059.0</v>
      </c>
      <c r="M93" s="29">
        <v>32.0</v>
      </c>
      <c r="X93" s="29">
        <v>91.0</v>
      </c>
      <c r="Y93" s="3">
        <f t="shared" si="3"/>
        <v>10</v>
      </c>
    </row>
    <row r="94">
      <c r="A94" s="3">
        <f>data!A94</f>
        <v>1040</v>
      </c>
      <c r="B94" s="3" t="str">
        <f>data!B94</f>
        <v>הדר איתי (יוסטון)</v>
      </c>
      <c r="C94" s="3">
        <f>data!C94</f>
        <v>27</v>
      </c>
      <c r="D94" s="3" t="str">
        <f>data!F94</f>
        <v>אזרחים</v>
      </c>
      <c r="E94" s="3" t="str">
        <f t="shared" si="1"/>
        <v>adult</v>
      </c>
      <c r="F94" s="3">
        <v>19.0</v>
      </c>
      <c r="G94" s="3" t="s">
        <v>478</v>
      </c>
      <c r="H94" s="1">
        <f t="shared" si="2"/>
        <v>2</v>
      </c>
      <c r="J94" s="31">
        <v>1211.0</v>
      </c>
      <c r="M94" s="29">
        <v>33.0</v>
      </c>
      <c r="X94" s="29">
        <v>92.0</v>
      </c>
      <c r="Y94" s="3">
        <f t="shared" si="3"/>
        <v>10</v>
      </c>
    </row>
    <row r="95">
      <c r="A95" s="3">
        <f>data!A95</f>
        <v>1051</v>
      </c>
      <c r="B95" s="3" t="str">
        <f>data!B95</f>
        <v>זומר דן</v>
      </c>
      <c r="C95" s="3">
        <f>data!C95</f>
        <v>27</v>
      </c>
      <c r="D95" s="3" t="str">
        <f>data!F95</f>
        <v>אזרחים</v>
      </c>
      <c r="E95" s="3" t="str">
        <f t="shared" si="1"/>
        <v>adult</v>
      </c>
      <c r="F95" s="3">
        <v>19.0</v>
      </c>
      <c r="G95" s="3" t="s">
        <v>478</v>
      </c>
      <c r="H95" s="1">
        <f t="shared" si="2"/>
        <v>2</v>
      </c>
      <c r="J95" s="31">
        <v>1373.0</v>
      </c>
      <c r="M95" s="29">
        <v>34.0</v>
      </c>
      <c r="X95" s="29">
        <v>93.0</v>
      </c>
      <c r="Y95" s="3">
        <f t="shared" si="3"/>
        <v>10</v>
      </c>
    </row>
    <row r="96">
      <c r="A96" s="3">
        <f>data!A96</f>
        <v>1044</v>
      </c>
      <c r="B96" s="3" t="str">
        <f>data!B96</f>
        <v>זעפרני נוי תפארת</v>
      </c>
      <c r="C96" s="3">
        <f>data!C96</f>
        <v>27</v>
      </c>
      <c r="D96" s="3" t="str">
        <f>data!F96</f>
        <v>אזרחים</v>
      </c>
      <c r="E96" s="3" t="str">
        <f t="shared" si="1"/>
        <v>adult</v>
      </c>
      <c r="F96" s="3">
        <v>19.0</v>
      </c>
      <c r="G96" s="3" t="s">
        <v>478</v>
      </c>
      <c r="H96" s="1">
        <f t="shared" si="2"/>
        <v>2</v>
      </c>
      <c r="J96" s="31">
        <v>1374.0</v>
      </c>
      <c r="M96" s="29">
        <v>35.0</v>
      </c>
      <c r="X96" s="29">
        <v>94.0</v>
      </c>
      <c r="Y96" s="3">
        <f t="shared" si="3"/>
        <v>10</v>
      </c>
    </row>
    <row r="97">
      <c r="A97" s="3">
        <f>data!A97</f>
        <v>1037</v>
      </c>
      <c r="B97" s="3" t="str">
        <f>data!B97</f>
        <v>כהן דניאל אשר</v>
      </c>
      <c r="C97" s="3">
        <f>data!C97</f>
        <v>32</v>
      </c>
      <c r="D97" s="3" t="str">
        <f>data!F97</f>
        <v>אזרחים</v>
      </c>
      <c r="E97" s="3" t="str">
        <f t="shared" si="1"/>
        <v>adult</v>
      </c>
      <c r="F97" s="3">
        <v>19.0</v>
      </c>
      <c r="G97" s="3" t="s">
        <v>478</v>
      </c>
      <c r="H97" s="1">
        <f t="shared" si="2"/>
        <v>2</v>
      </c>
      <c r="J97" s="31">
        <v>1375.0</v>
      </c>
      <c r="M97" s="29">
        <v>36.0</v>
      </c>
      <c r="X97" s="29">
        <v>95.0</v>
      </c>
      <c r="Y97" s="3">
        <f t="shared" si="3"/>
        <v>10</v>
      </c>
    </row>
    <row r="98">
      <c r="A98" s="3">
        <f>data!A98</f>
        <v>1043</v>
      </c>
      <c r="B98" s="3" t="str">
        <f>data!B98</f>
        <v>מעודי נוי</v>
      </c>
      <c r="C98" s="3">
        <f>data!C98</f>
        <v>29</v>
      </c>
      <c r="D98" s="3" t="str">
        <f>data!F98</f>
        <v>אזרחים</v>
      </c>
      <c r="E98" s="3" t="str">
        <f t="shared" si="1"/>
        <v>adult</v>
      </c>
      <c r="F98" s="3">
        <v>19.0</v>
      </c>
      <c r="G98" s="3" t="s">
        <v>478</v>
      </c>
      <c r="H98" s="1">
        <f t="shared" si="2"/>
        <v>2</v>
      </c>
      <c r="J98" s="31">
        <v>1376.0</v>
      </c>
      <c r="M98" s="29">
        <v>37.0</v>
      </c>
      <c r="X98" s="29">
        <v>96.0</v>
      </c>
      <c r="Y98" s="3">
        <f t="shared" si="3"/>
        <v>10</v>
      </c>
    </row>
    <row r="99">
      <c r="A99" s="3">
        <f>data!A99</f>
        <v>1041</v>
      </c>
      <c r="B99" s="3" t="str">
        <f>data!B99</f>
        <v>קדמן שחר גל</v>
      </c>
      <c r="C99" s="3">
        <f>data!C99</f>
        <v>34</v>
      </c>
      <c r="D99" s="3" t="str">
        <f>data!F99</f>
        <v>אזרחים</v>
      </c>
      <c r="E99" s="3" t="str">
        <f t="shared" si="1"/>
        <v>adult</v>
      </c>
      <c r="F99" s="3">
        <v>19.0</v>
      </c>
      <c r="G99" s="3" t="s">
        <v>478</v>
      </c>
      <c r="H99" s="1">
        <f t="shared" si="2"/>
        <v>2</v>
      </c>
      <c r="J99" s="31">
        <v>1377.0</v>
      </c>
      <c r="M99" s="29">
        <v>38.0</v>
      </c>
      <c r="X99" s="29">
        <v>97.0</v>
      </c>
      <c r="Y99" s="3">
        <f t="shared" si="3"/>
        <v>10</v>
      </c>
    </row>
    <row r="100">
      <c r="A100" s="3">
        <f>data!A100</f>
        <v>1042</v>
      </c>
      <c r="B100" s="3" t="str">
        <f>data!B100</f>
        <v>קוסובסקי זלטה</v>
      </c>
      <c r="C100" s="3">
        <f>data!C100</f>
        <v>28</v>
      </c>
      <c r="D100" s="3" t="str">
        <f>data!F100</f>
        <v>אזרחים</v>
      </c>
      <c r="E100" s="3" t="str">
        <f t="shared" si="1"/>
        <v>adult</v>
      </c>
      <c r="F100" s="3">
        <v>19.0</v>
      </c>
      <c r="G100" s="3" t="s">
        <v>478</v>
      </c>
      <c r="H100" s="1">
        <f t="shared" si="2"/>
        <v>2</v>
      </c>
      <c r="J100" s="31">
        <v>1386.0</v>
      </c>
      <c r="M100" s="29">
        <v>39.0</v>
      </c>
      <c r="X100" s="29">
        <v>98.0</v>
      </c>
      <c r="Y100" s="3">
        <f t="shared" si="3"/>
        <v>10</v>
      </c>
    </row>
    <row r="101">
      <c r="A101" s="3">
        <f>data!A101</f>
        <v>1048</v>
      </c>
      <c r="B101" s="3" t="str">
        <f>data!B101</f>
        <v>קיפר סביון חן</v>
      </c>
      <c r="C101" s="3">
        <f>data!C101</f>
        <v>31</v>
      </c>
      <c r="D101" s="3" t="str">
        <f>data!F101</f>
        <v>אזרחים</v>
      </c>
      <c r="E101" s="3" t="str">
        <f t="shared" si="1"/>
        <v>adult</v>
      </c>
      <c r="F101" s="3">
        <v>19.0</v>
      </c>
      <c r="G101" s="3" t="s">
        <v>478</v>
      </c>
      <c r="H101" s="1">
        <f t="shared" si="2"/>
        <v>2</v>
      </c>
      <c r="J101" s="31">
        <v>1428.0</v>
      </c>
      <c r="M101" s="29">
        <v>40.0</v>
      </c>
      <c r="X101" s="29">
        <v>99.0</v>
      </c>
      <c r="Y101" s="3">
        <f t="shared" si="3"/>
        <v>10</v>
      </c>
    </row>
    <row r="102">
      <c r="A102" s="3">
        <f>data!A102</f>
        <v>1046</v>
      </c>
      <c r="B102" s="3" t="str">
        <f>data!B102</f>
        <v>רביע יובל</v>
      </c>
      <c r="C102" s="3">
        <f>data!C102</f>
        <v>33</v>
      </c>
      <c r="D102" s="3" t="str">
        <f>data!F102</f>
        <v>אזרחים</v>
      </c>
      <c r="E102" s="3" t="str">
        <f t="shared" si="1"/>
        <v>adult</v>
      </c>
      <c r="F102" s="3">
        <v>19.0</v>
      </c>
      <c r="G102" s="3" t="s">
        <v>478</v>
      </c>
      <c r="H102" s="1">
        <f t="shared" si="2"/>
        <v>2</v>
      </c>
      <c r="J102" s="31">
        <v>1451.0</v>
      </c>
      <c r="M102" s="29">
        <v>41.0</v>
      </c>
      <c r="X102" s="29">
        <v>100.0</v>
      </c>
      <c r="Y102" s="3">
        <f t="shared" si="3"/>
        <v>11</v>
      </c>
    </row>
    <row r="103">
      <c r="A103" s="3">
        <f>data!A103</f>
        <v>1045</v>
      </c>
      <c r="B103" s="3" t="str">
        <f>data!B103</f>
        <v>רביע נועם</v>
      </c>
      <c r="C103" s="3">
        <f>data!C103</f>
        <v>30</v>
      </c>
      <c r="D103" s="3" t="str">
        <f>data!F103</f>
        <v>אזרחים</v>
      </c>
      <c r="E103" s="3" t="str">
        <f t="shared" si="1"/>
        <v>adult</v>
      </c>
      <c r="F103" s="3">
        <v>19.0</v>
      </c>
      <c r="G103" s="3" t="s">
        <v>478</v>
      </c>
      <c r="H103" s="1">
        <f t="shared" si="2"/>
        <v>2</v>
      </c>
      <c r="J103" s="31">
        <v>1492.0</v>
      </c>
      <c r="M103" s="29">
        <v>42.0</v>
      </c>
    </row>
    <row r="104">
      <c r="A104" s="3">
        <f>data!A104</f>
        <v>1047</v>
      </c>
      <c r="B104" s="3" t="str">
        <f>data!B104</f>
        <v>רוזנברג מתן</v>
      </c>
      <c r="C104" s="3">
        <f>data!C104</f>
        <v>17</v>
      </c>
      <c r="D104" s="3" t="str">
        <f>data!F104</f>
        <v>אזרחים</v>
      </c>
      <c r="E104" s="3" t="str">
        <f t="shared" si="1"/>
        <v>teen</v>
      </c>
      <c r="F104" s="3">
        <v>19.0</v>
      </c>
      <c r="G104" s="3" t="s">
        <v>478</v>
      </c>
      <c r="H104" s="1">
        <f t="shared" si="2"/>
        <v>2</v>
      </c>
      <c r="J104" s="31">
        <v>1542.0</v>
      </c>
      <c r="M104" s="29">
        <v>43.0</v>
      </c>
    </row>
    <row r="105">
      <c r="A105" s="3">
        <f>data!A105</f>
        <v>1049</v>
      </c>
      <c r="B105" s="3" t="str">
        <f>data!B105</f>
        <v>שפיר דור חנן</v>
      </c>
      <c r="C105" s="3">
        <f>data!C105</f>
        <v>30</v>
      </c>
      <c r="D105" s="3" t="str">
        <f>data!F105</f>
        <v>אזרחים</v>
      </c>
      <c r="E105" s="3" t="str">
        <f t="shared" si="1"/>
        <v>adult</v>
      </c>
      <c r="F105" s="3">
        <v>19.0</v>
      </c>
      <c r="G105" s="3" t="s">
        <v>478</v>
      </c>
      <c r="H105" s="1">
        <f t="shared" si="2"/>
        <v>2</v>
      </c>
      <c r="J105" s="31">
        <v>2014.0</v>
      </c>
      <c r="M105" s="29">
        <v>44.0</v>
      </c>
    </row>
    <row r="106">
      <c r="A106" s="3">
        <f>data!A106</f>
        <v>1050</v>
      </c>
      <c r="B106" s="3" t="str">
        <f>data!B106</f>
        <v>שרון (שוקרון) דודי</v>
      </c>
      <c r="C106" s="3">
        <f>data!C106</f>
        <v>47</v>
      </c>
      <c r="D106" s="3" t="str">
        <f>data!F106</f>
        <v>אזרחים</v>
      </c>
      <c r="E106" s="3" t="str">
        <f t="shared" si="1"/>
        <v>adult</v>
      </c>
      <c r="F106" s="3">
        <v>19.0</v>
      </c>
      <c r="G106" s="3" t="s">
        <v>478</v>
      </c>
      <c r="H106" s="1">
        <f t="shared" si="2"/>
        <v>2</v>
      </c>
    </row>
    <row r="107">
      <c r="A107" s="3">
        <f>data!A107</f>
        <v>912</v>
      </c>
      <c r="B107" s="3" t="str">
        <f>data!B107</f>
        <v>אבאסוב שמיל</v>
      </c>
      <c r="C107" s="3">
        <f>data!C107</f>
        <v>33</v>
      </c>
      <c r="D107" s="3" t="str">
        <f>data!F107</f>
        <v>אזרחים</v>
      </c>
      <c r="E107" s="3" t="str">
        <f t="shared" si="1"/>
        <v>adult</v>
      </c>
      <c r="F107" s="3">
        <v>19.0</v>
      </c>
      <c r="G107" s="3" t="s">
        <v>478</v>
      </c>
      <c r="H107" s="1">
        <f t="shared" si="2"/>
        <v>2</v>
      </c>
    </row>
    <row r="108">
      <c r="A108" s="3">
        <f>data!A108</f>
        <v>735</v>
      </c>
      <c r="B108" s="3" t="str">
        <f>data!B108</f>
        <v>אבדולאייב עדן</v>
      </c>
      <c r="C108" s="3">
        <f>data!C108</f>
        <v>23</v>
      </c>
      <c r="D108" s="3" t="str">
        <f>data!F108</f>
        <v>אזרחים</v>
      </c>
      <c r="E108" s="3" t="str">
        <f t="shared" si="1"/>
        <v>adult</v>
      </c>
      <c r="F108" s="3">
        <v>19.0</v>
      </c>
      <c r="G108" s="3" t="s">
        <v>478</v>
      </c>
      <c r="H108" s="1">
        <f t="shared" si="2"/>
        <v>2</v>
      </c>
    </row>
    <row r="109">
      <c r="A109" s="3">
        <f>data!A109</f>
        <v>1384</v>
      </c>
      <c r="B109" s="3" t="str">
        <f>data!B109</f>
        <v>אבו סבילה מוסא</v>
      </c>
      <c r="C109" s="3">
        <f>data!C109</f>
        <v>41</v>
      </c>
      <c r="D109" s="3" t="str">
        <f>data!F109</f>
        <v>אזרחים</v>
      </c>
      <c r="E109" s="3" t="str">
        <f t="shared" si="1"/>
        <v>adult</v>
      </c>
      <c r="F109" s="3">
        <v>19.0</v>
      </c>
      <c r="G109" s="3" t="s">
        <v>478</v>
      </c>
      <c r="H109" s="1">
        <f t="shared" si="2"/>
        <v>2</v>
      </c>
    </row>
    <row r="110">
      <c r="A110" s="3">
        <f>data!A110</f>
        <v>1432</v>
      </c>
      <c r="B110" s="3" t="str">
        <f>data!B110</f>
        <v>אבו עאמר אלרזאם סוהייב</v>
      </c>
      <c r="C110" s="3">
        <f>data!C110</f>
        <v>22</v>
      </c>
      <c r="D110" s="3" t="str">
        <f>data!F110</f>
        <v>אזרחים</v>
      </c>
      <c r="E110" s="3" t="str">
        <f t="shared" si="1"/>
        <v>adult</v>
      </c>
      <c r="F110" s="3">
        <v>19.0</v>
      </c>
      <c r="G110" s="3" t="s">
        <v>478</v>
      </c>
      <c r="H110" s="1">
        <f t="shared" si="2"/>
        <v>2</v>
      </c>
      <c r="P110" s="32">
        <v>2.0</v>
      </c>
      <c r="Q110" s="32">
        <v>1.0</v>
      </c>
      <c r="R110" s="32">
        <v>10.0</v>
      </c>
      <c r="S110" s="32">
        <v>31.0</v>
      </c>
    </row>
    <row r="111">
      <c r="A111" s="3">
        <f>data!A111</f>
        <v>1383</v>
      </c>
      <c r="B111" s="3" t="str">
        <f>data!B111</f>
        <v>אבו עסא אוסאמה</v>
      </c>
      <c r="C111" s="3">
        <f>data!C111</f>
        <v>36</v>
      </c>
      <c r="D111" s="3" t="str">
        <f>data!F111</f>
        <v>אזרחים</v>
      </c>
      <c r="E111" s="3" t="str">
        <f t="shared" si="1"/>
        <v>adult</v>
      </c>
      <c r="F111" s="3">
        <v>19.0</v>
      </c>
      <c r="G111" s="3" t="s">
        <v>18</v>
      </c>
      <c r="H111" s="1">
        <f t="shared" si="2"/>
        <v>2</v>
      </c>
      <c r="J111" s="3" t="s">
        <v>3</v>
      </c>
      <c r="K111" s="3" t="s">
        <v>4</v>
      </c>
      <c r="L111" s="3" t="s">
        <v>5</v>
      </c>
      <c r="M111" s="3" t="s">
        <v>8</v>
      </c>
      <c r="N111" s="29" t="s">
        <v>2871</v>
      </c>
      <c r="P111" s="33" t="s">
        <v>2893</v>
      </c>
      <c r="Q111" s="33" t="s">
        <v>2894</v>
      </c>
      <c r="R111" s="33" t="s">
        <v>104</v>
      </c>
      <c r="S111" s="33" t="s">
        <v>2885</v>
      </c>
    </row>
    <row r="112">
      <c r="A112" s="3">
        <f>data!A112</f>
        <v>672</v>
      </c>
      <c r="B112" s="3" t="str">
        <f>data!B112</f>
        <v>אבוחצירה אוראל</v>
      </c>
      <c r="C112" s="3">
        <f>data!C112</f>
        <v>25</v>
      </c>
      <c r="D112" s="3" t="str">
        <f>data!F112</f>
        <v>אזרחים</v>
      </c>
      <c r="E112" s="3" t="str">
        <f t="shared" si="1"/>
        <v>adult</v>
      </c>
      <c r="F112" s="3">
        <v>19.0</v>
      </c>
      <c r="G112" s="3" t="s">
        <v>478</v>
      </c>
      <c r="H112" s="1">
        <f t="shared" si="2"/>
        <v>2</v>
      </c>
      <c r="I112" s="29">
        <v>1.0</v>
      </c>
      <c r="J112" s="3">
        <v>60.0</v>
      </c>
      <c r="K112" s="3" t="s">
        <v>1235</v>
      </c>
      <c r="L112" s="3">
        <v>0.0</v>
      </c>
      <c r="M112" s="3" t="s">
        <v>18</v>
      </c>
      <c r="N112" s="3" t="s">
        <v>2880</v>
      </c>
      <c r="P112" s="34" t="str">
        <f t="shared" ref="P112:P113" si="4">concatenate(concatenate($K112, " "),$L112)</f>
        <v>כהן מילה 0</v>
      </c>
      <c r="Q112" s="34" t="str">
        <f>concatenate(concatenate($K114, " "),$L114)</f>
        <v>סימן טוב עומר 2</v>
      </c>
      <c r="R112" s="34" t="str">
        <f t="shared" ref="R112:R121" si="5">concatenate(concatenate($K115, " "),$L115)</f>
        <v>קפשיטר איתן 4</v>
      </c>
      <c r="S112" s="34" t="str">
        <f t="shared" ref="S112:S135" si="6">concatenate(concatenate($K125, " "),$L125)</f>
        <v>שרעבי יהל 13</v>
      </c>
    </row>
    <row r="113">
      <c r="A113" s="3">
        <f>data!A113</f>
        <v>890</v>
      </c>
      <c r="B113" s="3" t="str">
        <f>data!B113</f>
        <v>אביב נוי</v>
      </c>
      <c r="C113" s="3">
        <f>data!C113</f>
        <v>29</v>
      </c>
      <c r="D113" s="3" t="str">
        <f>data!F113</f>
        <v>אזרחים</v>
      </c>
      <c r="E113" s="3" t="str">
        <f t="shared" si="1"/>
        <v>adult</v>
      </c>
      <c r="F113" s="3">
        <v>19.0</v>
      </c>
      <c r="G113" s="3" t="s">
        <v>478</v>
      </c>
      <c r="H113" s="1">
        <f t="shared" si="2"/>
        <v>2</v>
      </c>
      <c r="I113" s="29">
        <v>2.0</v>
      </c>
      <c r="J113" s="3">
        <v>2014.0</v>
      </c>
      <c r="K113" s="3" t="s">
        <v>2688</v>
      </c>
      <c r="L113" s="3">
        <v>0.0</v>
      </c>
      <c r="M113" s="3" t="s">
        <v>18</v>
      </c>
      <c r="N113" s="3" t="s">
        <v>2880</v>
      </c>
      <c r="P113" s="34" t="str">
        <f t="shared" si="4"/>
        <v>אבו קרינאת נעאמה 0</v>
      </c>
      <c r="Q113" s="35"/>
      <c r="R113" s="34" t="str">
        <f t="shared" si="5"/>
        <v>סימן טוב ארבל 5</v>
      </c>
      <c r="S113" s="34" t="str">
        <f t="shared" si="6"/>
        <v>אבו סבייח מאי זוהיר 13</v>
      </c>
    </row>
    <row r="114">
      <c r="A114" s="3">
        <f>data!A114</f>
        <v>1438</v>
      </c>
      <c r="B114" s="3" t="str">
        <f>data!B114</f>
        <v>אביטן דור</v>
      </c>
      <c r="C114" s="3">
        <f>data!C114</f>
        <v>26</v>
      </c>
      <c r="D114" s="3" t="str">
        <f>data!F114</f>
        <v>אזרחים</v>
      </c>
      <c r="E114" s="3" t="str">
        <f t="shared" si="1"/>
        <v>adult</v>
      </c>
      <c r="F114" s="3">
        <v>20.0</v>
      </c>
      <c r="G114" s="3" t="s">
        <v>18</v>
      </c>
      <c r="H114" s="1">
        <f t="shared" si="2"/>
        <v>3</v>
      </c>
      <c r="I114" s="29">
        <v>3.0</v>
      </c>
      <c r="J114" s="3">
        <v>619.0</v>
      </c>
      <c r="K114" s="3" t="s">
        <v>1538</v>
      </c>
      <c r="L114" s="3">
        <v>2.0</v>
      </c>
      <c r="M114" s="3" t="s">
        <v>18</v>
      </c>
      <c r="N114" s="3" t="s">
        <v>2880</v>
      </c>
      <c r="P114" s="35"/>
      <c r="Q114" s="35"/>
      <c r="R114" s="34" t="str">
        <f t="shared" si="5"/>
        <v>סימן טוב שחר 5</v>
      </c>
      <c r="S114" s="34" t="str">
        <f t="shared" si="6"/>
        <v>אבן עידו 14</v>
      </c>
    </row>
    <row r="115">
      <c r="A115" s="3">
        <f>data!A115</f>
        <v>1421</v>
      </c>
      <c r="B115" s="3" t="str">
        <f>data!B115</f>
        <v>אביר לוטן</v>
      </c>
      <c r="C115" s="3">
        <f>data!C115</f>
        <v>24</v>
      </c>
      <c r="D115" s="3" t="str">
        <f>data!F115</f>
        <v>אזרחים</v>
      </c>
      <c r="E115" s="3" t="str">
        <f t="shared" si="1"/>
        <v>adult</v>
      </c>
      <c r="F115" s="3">
        <v>20.0</v>
      </c>
      <c r="G115" s="3" t="s">
        <v>478</v>
      </c>
      <c r="H115" s="1">
        <f t="shared" si="2"/>
        <v>3</v>
      </c>
      <c r="I115" s="29">
        <v>4.0</v>
      </c>
      <c r="J115" s="3">
        <v>498.0</v>
      </c>
      <c r="K115" s="3" t="s">
        <v>149</v>
      </c>
      <c r="L115" s="3">
        <v>4.0</v>
      </c>
      <c r="M115" s="3" t="s">
        <v>18</v>
      </c>
      <c r="N115" s="3" t="s">
        <v>2880</v>
      </c>
      <c r="P115" s="35"/>
      <c r="Q115" s="35"/>
      <c r="R115" s="34" t="str">
        <f t="shared" si="5"/>
        <v>אבו ג'מאע יזן זכריה 5</v>
      </c>
      <c r="S115" s="34" t="str">
        <f t="shared" si="6"/>
        <v>זק שגיא 14</v>
      </c>
    </row>
    <row r="116">
      <c r="A116" s="3">
        <f>data!A116</f>
        <v>1521</v>
      </c>
      <c r="B116" s="3" t="str">
        <f>data!B116</f>
        <v>אבני גיל יוסף</v>
      </c>
      <c r="C116" s="3">
        <f>data!C116</f>
        <v>26</v>
      </c>
      <c r="D116" s="3" t="str">
        <f>data!F116</f>
        <v>אזרחים</v>
      </c>
      <c r="E116" s="3" t="str">
        <f t="shared" si="1"/>
        <v>adult</v>
      </c>
      <c r="F116" s="3">
        <v>20.0</v>
      </c>
      <c r="G116" s="3" t="s">
        <v>18</v>
      </c>
      <c r="H116" s="1">
        <f t="shared" si="2"/>
        <v>3</v>
      </c>
      <c r="I116" s="29">
        <v>5.0</v>
      </c>
      <c r="J116" s="3">
        <v>617.0</v>
      </c>
      <c r="K116" s="3" t="s">
        <v>1534</v>
      </c>
      <c r="L116" s="3">
        <v>5.0</v>
      </c>
      <c r="M116" s="3" t="s">
        <v>18</v>
      </c>
      <c r="N116" s="3" t="s">
        <v>2880</v>
      </c>
      <c r="P116" s="35"/>
      <c r="Q116" s="35"/>
      <c r="R116" s="34" t="str">
        <f t="shared" si="5"/>
        <v>קפשיטר אלין 7</v>
      </c>
      <c r="S116" s="34" t="str">
        <f t="shared" si="6"/>
        <v>קוץ יפתח 14</v>
      </c>
    </row>
    <row r="117">
      <c r="A117" s="3">
        <f>data!A117</f>
        <v>1304</v>
      </c>
      <c r="B117" s="3" t="str">
        <f>data!B117</f>
        <v>אברג'יל עודד</v>
      </c>
      <c r="C117" s="3">
        <f>data!C117</f>
        <v>27</v>
      </c>
      <c r="D117" s="3" t="str">
        <f>data!F117</f>
        <v>אזרחים</v>
      </c>
      <c r="E117" s="3" t="str">
        <f t="shared" si="1"/>
        <v>adult</v>
      </c>
      <c r="F117" s="3">
        <v>20.0</v>
      </c>
      <c r="G117" s="3" t="s">
        <v>478</v>
      </c>
      <c r="H117" s="1">
        <f t="shared" si="2"/>
        <v>3</v>
      </c>
      <c r="I117" s="29">
        <v>6.0</v>
      </c>
      <c r="J117" s="3">
        <v>620.0</v>
      </c>
      <c r="K117" s="3" t="s">
        <v>1544</v>
      </c>
      <c r="L117" s="3">
        <v>5.0</v>
      </c>
      <c r="M117" s="3" t="s">
        <v>18</v>
      </c>
      <c r="N117" s="3" t="s">
        <v>2880</v>
      </c>
      <c r="P117" s="35"/>
      <c r="Q117" s="35"/>
      <c r="R117" s="34" t="str">
        <f t="shared" si="5"/>
        <v>אלקרעאן אמין עקל 9</v>
      </c>
      <c r="S117" s="34" t="str">
        <f t="shared" si="6"/>
        <v>אלקרעאן מאלק אברהים 14</v>
      </c>
    </row>
    <row r="118">
      <c r="A118" s="3">
        <f>data!A118</f>
        <v>1490</v>
      </c>
      <c r="B118" s="3" t="str">
        <f>data!B118</f>
        <v>אברהם אילן</v>
      </c>
      <c r="C118" s="3">
        <f>data!C118</f>
        <v>57</v>
      </c>
      <c r="D118" s="3" t="str">
        <f>data!F118</f>
        <v>אזרחים</v>
      </c>
      <c r="E118" s="3" t="str">
        <f t="shared" si="1"/>
        <v>adult</v>
      </c>
      <c r="F118" s="3">
        <v>20.0</v>
      </c>
      <c r="G118" s="3" t="s">
        <v>18</v>
      </c>
      <c r="H118" s="1">
        <f t="shared" si="2"/>
        <v>3</v>
      </c>
      <c r="I118" s="29">
        <v>7.0</v>
      </c>
      <c r="J118" s="3">
        <v>1373.0</v>
      </c>
      <c r="K118" s="3" t="s">
        <v>1684</v>
      </c>
      <c r="L118" s="3">
        <v>5.0</v>
      </c>
      <c r="M118" s="3" t="s">
        <v>18</v>
      </c>
      <c r="N118" s="3" t="s">
        <v>2880</v>
      </c>
      <c r="P118" s="35"/>
      <c r="Q118" s="35"/>
      <c r="R118" s="34" t="str">
        <f t="shared" si="5"/>
        <v>חצרוני הלר ליאל 12</v>
      </c>
      <c r="S118" s="34" t="str">
        <f t="shared" si="6"/>
        <v>בירה תהל 15</v>
      </c>
    </row>
    <row r="119">
      <c r="A119" s="3">
        <f>data!A119</f>
        <v>1470</v>
      </c>
      <c r="B119" s="3" t="str">
        <f>data!B119</f>
        <v>אברמוב לאור</v>
      </c>
      <c r="C119" s="3">
        <f>data!C119</f>
        <v>20</v>
      </c>
      <c r="D119" s="3" t="str">
        <f>data!F119</f>
        <v>אזרחים</v>
      </c>
      <c r="E119" s="3" t="str">
        <f t="shared" si="1"/>
        <v>adult</v>
      </c>
      <c r="F119" s="3">
        <v>20.0</v>
      </c>
      <c r="G119" s="3" t="s">
        <v>18</v>
      </c>
      <c r="H119" s="1">
        <f t="shared" si="2"/>
        <v>3</v>
      </c>
      <c r="I119" s="29">
        <v>8.0</v>
      </c>
      <c r="J119" s="3">
        <v>500.0</v>
      </c>
      <c r="K119" s="3" t="s">
        <v>152</v>
      </c>
      <c r="L119" s="3">
        <v>7.0</v>
      </c>
      <c r="M119" s="3" t="s">
        <v>18</v>
      </c>
      <c r="N119" s="3" t="s">
        <v>2880</v>
      </c>
      <c r="P119" s="35"/>
      <c r="Q119" s="35"/>
      <c r="R119" s="34" t="str">
        <f t="shared" si="5"/>
        <v>חצרוני הלר ינאי 12</v>
      </c>
      <c r="S119" s="34" t="str">
        <f t="shared" si="6"/>
        <v>בכר כרמל 15</v>
      </c>
    </row>
    <row r="120">
      <c r="A120" s="3">
        <f>data!A120</f>
        <v>1393</v>
      </c>
      <c r="B120" s="3" t="str">
        <f>data!B120</f>
        <v>אדברג אסף מרדכי</v>
      </c>
      <c r="C120" s="3">
        <f>data!C120</f>
        <v>23</v>
      </c>
      <c r="D120" s="3" t="str">
        <f>data!F120</f>
        <v>אזרחים</v>
      </c>
      <c r="E120" s="3" t="str">
        <f t="shared" si="1"/>
        <v>adult</v>
      </c>
      <c r="F120" s="3">
        <v>20.0</v>
      </c>
      <c r="G120" s="3" t="s">
        <v>18</v>
      </c>
      <c r="H120" s="1">
        <f t="shared" si="2"/>
        <v>3</v>
      </c>
      <c r="I120" s="29">
        <v>9.0</v>
      </c>
      <c r="J120" s="3">
        <v>1376.0</v>
      </c>
      <c r="K120" s="3" t="s">
        <v>1695</v>
      </c>
      <c r="L120" s="3">
        <v>9.0</v>
      </c>
      <c r="M120" s="3" t="s">
        <v>18</v>
      </c>
      <c r="N120" s="3" t="s">
        <v>2880</v>
      </c>
      <c r="P120" s="35"/>
      <c r="Q120" s="35"/>
      <c r="R120" s="34" t="str">
        <f t="shared" si="5"/>
        <v>דן נויה 12</v>
      </c>
      <c r="S120" s="34" t="str">
        <f t="shared" si="6"/>
        <v>טרשצ'נסקי ליאור 15</v>
      </c>
    </row>
    <row r="121">
      <c r="A121" s="3">
        <f>data!A121</f>
        <v>673</v>
      </c>
      <c r="B121" s="3" t="str">
        <f>data!B121</f>
        <v>אדם מפל</v>
      </c>
      <c r="C121" s="3">
        <f>data!C121</f>
        <v>27</v>
      </c>
      <c r="D121" s="3" t="str">
        <f>data!F121</f>
        <v>אזרחים</v>
      </c>
      <c r="E121" s="3" t="str">
        <f t="shared" si="1"/>
        <v>adult</v>
      </c>
      <c r="F121" s="3">
        <v>20.0</v>
      </c>
      <c r="G121" s="3" t="s">
        <v>478</v>
      </c>
      <c r="H121" s="1">
        <f t="shared" si="2"/>
        <v>3</v>
      </c>
      <c r="I121" s="29">
        <v>10.0</v>
      </c>
      <c r="J121" s="3">
        <v>158.0</v>
      </c>
      <c r="K121" s="3" t="s">
        <v>1223</v>
      </c>
      <c r="L121" s="3">
        <v>12.0</v>
      </c>
      <c r="M121" s="3" t="s">
        <v>18</v>
      </c>
      <c r="N121" s="3" t="s">
        <v>2880</v>
      </c>
      <c r="P121" s="35"/>
      <c r="Q121" s="35"/>
      <c r="R121" s="34" t="str">
        <f t="shared" si="5"/>
        <v>מסקאלצ'י רפאל מאיר 12</v>
      </c>
      <c r="S121" s="34" t="str">
        <f t="shared" si="6"/>
        <v>אלקרעאן ג'וואד אברהים 15</v>
      </c>
    </row>
    <row r="122">
      <c r="A122" s="3">
        <f>data!A122</f>
        <v>674</v>
      </c>
      <c r="B122" s="3" t="str">
        <f>data!B122</f>
        <v>אדר גילי</v>
      </c>
      <c r="C122" s="3">
        <f>data!C122</f>
        <v>24</v>
      </c>
      <c r="D122" s="3" t="str">
        <f>data!F122</f>
        <v>אזרחים</v>
      </c>
      <c r="E122" s="3" t="str">
        <f t="shared" si="1"/>
        <v>adult</v>
      </c>
      <c r="F122" s="3">
        <v>20.0</v>
      </c>
      <c r="G122" s="3" t="s">
        <v>478</v>
      </c>
      <c r="H122" s="1">
        <f t="shared" si="2"/>
        <v>3</v>
      </c>
      <c r="I122" s="29">
        <v>11.0</v>
      </c>
      <c r="J122" s="3">
        <v>152.0</v>
      </c>
      <c r="K122" s="3" t="s">
        <v>1424</v>
      </c>
      <c r="L122" s="3">
        <v>12.0</v>
      </c>
      <c r="M122" s="3" t="s">
        <v>18</v>
      </c>
      <c r="N122" s="3" t="s">
        <v>2880</v>
      </c>
      <c r="P122" s="35"/>
      <c r="Q122" s="35"/>
      <c r="R122" s="34"/>
      <c r="S122" s="34" t="str">
        <f t="shared" si="6"/>
        <v>אלקרעאן מחמד ד'יב 15</v>
      </c>
    </row>
    <row r="123">
      <c r="A123" s="3">
        <f>data!A123</f>
        <v>817</v>
      </c>
      <c r="B123" s="3" t="str">
        <f>data!B123</f>
        <v>אוחיון עדן ליז</v>
      </c>
      <c r="C123" s="3">
        <f>data!C123</f>
        <v>24</v>
      </c>
      <c r="D123" s="3" t="str">
        <f>data!F123</f>
        <v>אזרחים</v>
      </c>
      <c r="E123" s="3" t="str">
        <f t="shared" si="1"/>
        <v>adult</v>
      </c>
      <c r="F123" s="3">
        <v>20.0</v>
      </c>
      <c r="G123" s="3" t="s">
        <v>478</v>
      </c>
      <c r="H123" s="1">
        <f t="shared" si="2"/>
        <v>3</v>
      </c>
      <c r="I123" s="29">
        <v>12.0</v>
      </c>
      <c r="J123" s="3">
        <v>558.0</v>
      </c>
      <c r="K123" s="3" t="s">
        <v>1514</v>
      </c>
      <c r="L123" s="3">
        <v>12.0</v>
      </c>
      <c r="M123" s="3" t="s">
        <v>18</v>
      </c>
      <c r="N123" s="3" t="s">
        <v>2880</v>
      </c>
      <c r="P123" s="35"/>
      <c r="Q123" s="35"/>
      <c r="R123" s="34"/>
      <c r="S123" s="34" t="str">
        <f t="shared" si="6"/>
        <v>אבן אלון 16</v>
      </c>
    </row>
    <row r="124">
      <c r="A124" s="3">
        <f>data!A124</f>
        <v>816</v>
      </c>
      <c r="B124" s="3" t="str">
        <f>data!B124</f>
        <v>אוחנה דניאל</v>
      </c>
      <c r="C124" s="3">
        <f>data!C124</f>
        <v>24</v>
      </c>
      <c r="D124" s="3" t="str">
        <f>data!F124</f>
        <v>אזרחים</v>
      </c>
      <c r="E124" s="3" t="str">
        <f t="shared" si="1"/>
        <v>adult</v>
      </c>
      <c r="F124" s="3">
        <v>20.0</v>
      </c>
      <c r="G124" s="3" t="s">
        <v>478</v>
      </c>
      <c r="H124" s="1">
        <f t="shared" si="2"/>
        <v>3</v>
      </c>
      <c r="I124" s="29">
        <v>13.0</v>
      </c>
      <c r="J124" s="3">
        <v>1542.0</v>
      </c>
      <c r="K124" s="3" t="s">
        <v>1718</v>
      </c>
      <c r="L124" s="3">
        <v>12.0</v>
      </c>
      <c r="M124" s="3" t="s">
        <v>18</v>
      </c>
      <c r="N124" s="3" t="s">
        <v>2880</v>
      </c>
      <c r="P124" s="35"/>
      <c r="Q124" s="35"/>
      <c r="R124" s="35"/>
      <c r="S124" s="34" t="str">
        <f t="shared" si="6"/>
        <v>שרעבי נויה 16</v>
      </c>
    </row>
    <row r="125">
      <c r="A125" s="3">
        <f>data!A125</f>
        <v>820</v>
      </c>
      <c r="B125" s="3" t="str">
        <f>data!B125</f>
        <v>אורי בן</v>
      </c>
      <c r="C125" s="3">
        <f>data!C125</f>
        <v>31</v>
      </c>
      <c r="D125" s="3" t="str">
        <f>data!F125</f>
        <v>אזרחים</v>
      </c>
      <c r="E125" s="3" t="str">
        <f t="shared" si="1"/>
        <v>adult</v>
      </c>
      <c r="F125" s="3">
        <v>20.0</v>
      </c>
      <c r="G125" s="3" t="s">
        <v>18</v>
      </c>
      <c r="H125" s="1">
        <f t="shared" si="2"/>
        <v>3</v>
      </c>
      <c r="I125" s="29">
        <v>14.0</v>
      </c>
      <c r="J125" s="3">
        <v>121.0</v>
      </c>
      <c r="K125" s="3" t="s">
        <v>1307</v>
      </c>
      <c r="L125" s="3">
        <v>13.0</v>
      </c>
      <c r="M125" s="3" t="s">
        <v>18</v>
      </c>
      <c r="N125" s="3" t="s">
        <v>2882</v>
      </c>
      <c r="P125" s="35"/>
      <c r="Q125" s="35"/>
      <c r="R125" s="35"/>
      <c r="S125" s="34" t="str">
        <f t="shared" si="6"/>
        <v>קוץ יונתן 16</v>
      </c>
    </row>
    <row r="126">
      <c r="A126" s="3">
        <f>data!A126</f>
        <v>819</v>
      </c>
      <c r="B126" s="3" t="str">
        <f>data!B126</f>
        <v>אורן אביאל</v>
      </c>
      <c r="C126" s="3">
        <f>data!C126</f>
        <v>28</v>
      </c>
      <c r="D126" s="3" t="str">
        <f>data!F126</f>
        <v>אזרחים</v>
      </c>
      <c r="E126" s="3" t="str">
        <f t="shared" si="1"/>
        <v>adult</v>
      </c>
      <c r="F126" s="3">
        <v>20.0</v>
      </c>
      <c r="G126" s="3" t="s">
        <v>478</v>
      </c>
      <c r="H126" s="1">
        <f t="shared" si="2"/>
        <v>3</v>
      </c>
      <c r="I126" s="29">
        <v>15.0</v>
      </c>
      <c r="J126" s="3">
        <v>1386.0</v>
      </c>
      <c r="K126" s="3" t="s">
        <v>1689</v>
      </c>
      <c r="L126" s="3">
        <v>13.0</v>
      </c>
      <c r="M126" s="3" t="s">
        <v>18</v>
      </c>
      <c r="N126" s="3" t="s">
        <v>2882</v>
      </c>
      <c r="P126" s="35"/>
      <c r="Q126" s="35"/>
      <c r="R126" s="35"/>
      <c r="S126" s="34" t="str">
        <f t="shared" si="6"/>
        <v>וייסברג אלינה 17</v>
      </c>
    </row>
    <row r="127">
      <c r="A127" s="3">
        <f>data!A127</f>
        <v>891</v>
      </c>
      <c r="B127" s="3" t="str">
        <f>data!B127</f>
        <v>אזולאי גמליאל גבי גבריאל</v>
      </c>
      <c r="C127" s="3">
        <f>data!C127</f>
        <v>44</v>
      </c>
      <c r="D127" s="3" t="str">
        <f>data!F127</f>
        <v>אזרחים</v>
      </c>
      <c r="E127" s="3" t="str">
        <f t="shared" si="1"/>
        <v>adult</v>
      </c>
      <c r="F127" s="3">
        <v>20.0</v>
      </c>
      <c r="G127" s="3" t="s">
        <v>478</v>
      </c>
      <c r="H127" s="1">
        <f t="shared" si="2"/>
        <v>3</v>
      </c>
      <c r="I127" s="29">
        <v>16.0</v>
      </c>
      <c r="J127" s="3">
        <v>70.0</v>
      </c>
      <c r="K127" s="3" t="s">
        <v>1147</v>
      </c>
      <c r="L127" s="3">
        <v>14.0</v>
      </c>
      <c r="M127" s="3" t="s">
        <v>18</v>
      </c>
      <c r="N127" s="3" t="s">
        <v>2882</v>
      </c>
      <c r="P127" s="35"/>
      <c r="Q127" s="35"/>
      <c r="R127" s="35"/>
      <c r="S127" s="34" t="str">
        <f t="shared" si="6"/>
        <v>טייב נדב יוסף חי 17</v>
      </c>
    </row>
    <row r="128">
      <c r="A128" s="3">
        <f>data!A128</f>
        <v>690</v>
      </c>
      <c r="B128" s="3" t="str">
        <f>data!B128</f>
        <v>אזולאי יוחאי</v>
      </c>
      <c r="C128" s="3">
        <f>data!C128</f>
        <v>28</v>
      </c>
      <c r="D128" s="3" t="str">
        <f>data!F128</f>
        <v>אזרחים</v>
      </c>
      <c r="E128" s="3" t="str">
        <f t="shared" si="1"/>
        <v>adult</v>
      </c>
      <c r="F128" s="3">
        <v>20.0</v>
      </c>
      <c r="G128" s="3" t="s">
        <v>478</v>
      </c>
      <c r="H128" s="1">
        <f t="shared" si="2"/>
        <v>3</v>
      </c>
      <c r="I128" s="29">
        <v>17.0</v>
      </c>
      <c r="J128" s="3">
        <v>395.0</v>
      </c>
      <c r="K128" s="3" t="s">
        <v>1352</v>
      </c>
      <c r="L128" s="3">
        <v>14.0</v>
      </c>
      <c r="M128" s="3" t="s">
        <v>18</v>
      </c>
      <c r="N128" s="3" t="s">
        <v>2882</v>
      </c>
      <c r="P128" s="35"/>
      <c r="Q128" s="35"/>
      <c r="R128" s="35"/>
      <c r="S128" s="34" t="str">
        <f t="shared" si="6"/>
        <v>קרייף שחף 17</v>
      </c>
    </row>
    <row r="129">
      <c r="A129" s="3">
        <f>data!A129</f>
        <v>689</v>
      </c>
      <c r="B129" s="3" t="str">
        <f>data!B129</f>
        <v>אזולאי יונתן חי</v>
      </c>
      <c r="C129" s="3">
        <f>data!C129</f>
        <v>25</v>
      </c>
      <c r="D129" s="3" t="str">
        <f>data!F129</f>
        <v>אזרחים</v>
      </c>
      <c r="E129" s="3" t="str">
        <f t="shared" si="1"/>
        <v>adult</v>
      </c>
      <c r="F129" s="3">
        <v>20.0</v>
      </c>
      <c r="G129" s="3" t="s">
        <v>478</v>
      </c>
      <c r="H129" s="1">
        <f t="shared" si="2"/>
        <v>3</v>
      </c>
      <c r="I129" s="29">
        <v>18.0</v>
      </c>
      <c r="J129" s="3">
        <v>324.0</v>
      </c>
      <c r="K129" s="3" t="s">
        <v>1453</v>
      </c>
      <c r="L129" s="3">
        <v>14.0</v>
      </c>
      <c r="M129" s="3" t="s">
        <v>18</v>
      </c>
      <c r="N129" s="3" t="s">
        <v>2882</v>
      </c>
      <c r="P129" s="35"/>
      <c r="Q129" s="35"/>
      <c r="R129" s="35"/>
      <c r="S129" s="34" t="str">
        <f t="shared" si="6"/>
        <v>קרן טל 17</v>
      </c>
    </row>
    <row r="130">
      <c r="A130" s="3">
        <f>data!A130</f>
        <v>1519</v>
      </c>
      <c r="B130" s="3" t="str">
        <f>data!B130</f>
        <v>אחרק עמרי</v>
      </c>
      <c r="C130" s="3">
        <f>data!C130</f>
        <v>26</v>
      </c>
      <c r="D130" s="3" t="str">
        <f>data!F130</f>
        <v>אזרחים</v>
      </c>
      <c r="E130" s="3" t="str">
        <f t="shared" si="1"/>
        <v>adult</v>
      </c>
      <c r="F130" s="3">
        <v>20.0</v>
      </c>
      <c r="G130" s="3" t="s">
        <v>478</v>
      </c>
      <c r="H130" s="1">
        <f t="shared" si="2"/>
        <v>3</v>
      </c>
      <c r="I130" s="29">
        <v>19.0</v>
      </c>
      <c r="J130" s="3">
        <v>1374.0</v>
      </c>
      <c r="K130" s="3" t="s">
        <v>1700</v>
      </c>
      <c r="L130" s="3">
        <v>14.0</v>
      </c>
      <c r="M130" s="3" t="s">
        <v>18</v>
      </c>
      <c r="N130" s="3" t="s">
        <v>2882</v>
      </c>
      <c r="P130" s="35"/>
      <c r="Q130" s="35"/>
      <c r="R130" s="35"/>
      <c r="S130" s="34" t="str">
        <f t="shared" si="6"/>
        <v>תעסה אור 17</v>
      </c>
    </row>
    <row r="131">
      <c r="A131" s="3">
        <f>data!A131</f>
        <v>686</v>
      </c>
      <c r="B131" s="3" t="str">
        <f>data!B131</f>
        <v>אטון אופק</v>
      </c>
      <c r="C131" s="3">
        <f>data!C131</f>
        <v>24</v>
      </c>
      <c r="D131" s="3" t="str">
        <f>data!F131</f>
        <v>אזרחים</v>
      </c>
      <c r="E131" s="3" t="str">
        <f t="shared" si="1"/>
        <v>adult</v>
      </c>
      <c r="F131" s="3">
        <v>20.0</v>
      </c>
      <c r="G131" s="3" t="s">
        <v>478</v>
      </c>
      <c r="H131" s="1">
        <f t="shared" si="2"/>
        <v>3</v>
      </c>
      <c r="I131" s="29">
        <v>20.0</v>
      </c>
      <c r="J131" s="3">
        <v>49.0</v>
      </c>
      <c r="K131" s="3" t="s">
        <v>1167</v>
      </c>
      <c r="L131" s="3">
        <v>15.0</v>
      </c>
      <c r="M131" s="3" t="s">
        <v>18</v>
      </c>
      <c r="N131" s="3" t="s">
        <v>2882</v>
      </c>
      <c r="P131" s="35"/>
      <c r="Q131" s="35"/>
      <c r="R131" s="35"/>
      <c r="S131" s="34" t="str">
        <f t="shared" si="6"/>
        <v>רוזנברג מתן 17</v>
      </c>
    </row>
    <row r="132">
      <c r="A132" s="3">
        <f>data!A132</f>
        <v>733</v>
      </c>
      <c r="B132" s="3" t="str">
        <f>data!B132</f>
        <v>אטיאס דורין</v>
      </c>
      <c r="C132" s="3">
        <f>data!C132</f>
        <v>23</v>
      </c>
      <c r="D132" s="3" t="str">
        <f>data!F132</f>
        <v>אזרחים</v>
      </c>
      <c r="E132" s="3" t="str">
        <f t="shared" si="1"/>
        <v>adult</v>
      </c>
      <c r="F132" s="3">
        <v>20.0</v>
      </c>
      <c r="G132" s="3" t="s">
        <v>478</v>
      </c>
      <c r="H132" s="1">
        <f t="shared" si="2"/>
        <v>3</v>
      </c>
      <c r="I132" s="29">
        <v>21.0</v>
      </c>
      <c r="J132" s="3">
        <v>37.0</v>
      </c>
      <c r="K132" s="3" t="s">
        <v>1173</v>
      </c>
      <c r="L132" s="3">
        <v>15.0</v>
      </c>
      <c r="M132" s="3" t="s">
        <v>18</v>
      </c>
      <c r="N132" s="3" t="s">
        <v>2882</v>
      </c>
      <c r="P132" s="35"/>
      <c r="Q132" s="35"/>
      <c r="R132" s="35"/>
      <c r="S132" s="34" t="str">
        <f t="shared" si="6"/>
        <v>פרץ רות הודיה 17</v>
      </c>
    </row>
    <row r="133">
      <c r="A133" s="3">
        <f>data!A133</f>
        <v>738</v>
      </c>
      <c r="B133" s="3" t="str">
        <f>data!B133</f>
        <v>איטח ליאל</v>
      </c>
      <c r="C133" s="3">
        <f>data!C133</f>
        <v>22</v>
      </c>
      <c r="D133" s="3" t="str">
        <f>data!F133</f>
        <v>אזרחים</v>
      </c>
      <c r="E133" s="3" t="str">
        <f t="shared" si="1"/>
        <v>adult</v>
      </c>
      <c r="F133" s="3">
        <v>20.0</v>
      </c>
      <c r="G133" s="3" t="s">
        <v>478</v>
      </c>
      <c r="H133" s="1">
        <f t="shared" si="2"/>
        <v>3</v>
      </c>
      <c r="I133" s="29">
        <v>22.0</v>
      </c>
      <c r="J133" s="3">
        <v>147.0</v>
      </c>
      <c r="K133" s="3" t="s">
        <v>1227</v>
      </c>
      <c r="L133" s="3">
        <v>15.0</v>
      </c>
      <c r="M133" s="3" t="s">
        <v>18</v>
      </c>
      <c r="N133" s="3" t="s">
        <v>2882</v>
      </c>
      <c r="P133" s="35"/>
      <c r="Q133" s="35"/>
      <c r="R133" s="35"/>
      <c r="S133" s="34" t="str">
        <f t="shared" si="6"/>
        <v>ערבה אליעז תומר 17</v>
      </c>
    </row>
    <row r="134">
      <c r="A134" s="3">
        <f>data!A134</f>
        <v>739</v>
      </c>
      <c r="B134" s="3" t="str">
        <f>data!B134</f>
        <v>איטח סיגל</v>
      </c>
      <c r="C134" s="3">
        <f>data!C134</f>
        <v>27</v>
      </c>
      <c r="D134" s="3" t="str">
        <f>data!F134</f>
        <v>אזרחים</v>
      </c>
      <c r="E134" s="3" t="str">
        <f t="shared" si="1"/>
        <v>adult</v>
      </c>
      <c r="F134" s="3">
        <v>20.0</v>
      </c>
      <c r="G134" s="3" t="s">
        <v>478</v>
      </c>
      <c r="H134" s="1">
        <f t="shared" si="2"/>
        <v>3</v>
      </c>
      <c r="I134" s="29">
        <v>23.0</v>
      </c>
      <c r="J134" s="3">
        <v>1375.0</v>
      </c>
      <c r="K134" s="3" t="s">
        <v>1698</v>
      </c>
      <c r="L134" s="3">
        <v>15.0</v>
      </c>
      <c r="M134" s="3" t="s">
        <v>18</v>
      </c>
      <c r="N134" s="3" t="s">
        <v>2882</v>
      </c>
      <c r="P134" s="35"/>
      <c r="Q134" s="35"/>
      <c r="R134" s="35"/>
      <c r="S134" s="34" t="str">
        <f t="shared" si="6"/>
        <v>מאיר מור 17</v>
      </c>
    </row>
    <row r="135">
      <c r="A135" s="3">
        <f>data!A135</f>
        <v>687</v>
      </c>
      <c r="B135" s="3" t="str">
        <f>data!B135</f>
        <v>איילון שירה</v>
      </c>
      <c r="C135" s="3">
        <f>data!C135</f>
        <v>23</v>
      </c>
      <c r="D135" s="3" t="str">
        <f>data!F135</f>
        <v>אזרחים</v>
      </c>
      <c r="E135" s="3" t="str">
        <f t="shared" si="1"/>
        <v>adult</v>
      </c>
      <c r="F135" s="3">
        <v>20.0</v>
      </c>
      <c r="G135" s="3" t="s">
        <v>478</v>
      </c>
      <c r="H135" s="1">
        <f t="shared" si="2"/>
        <v>3</v>
      </c>
      <c r="I135" s="29">
        <v>24.0</v>
      </c>
      <c r="J135" s="3">
        <v>1377.0</v>
      </c>
      <c r="K135" s="3" t="s">
        <v>1702</v>
      </c>
      <c r="L135" s="3">
        <v>15.0</v>
      </c>
      <c r="M135" s="3" t="s">
        <v>18</v>
      </c>
      <c r="N135" s="3" t="s">
        <v>2882</v>
      </c>
      <c r="P135" s="35"/>
      <c r="Q135" s="35"/>
      <c r="R135" s="35"/>
      <c r="S135" s="34" t="str">
        <f t="shared" si="6"/>
        <v>גבאי עמית 17</v>
      </c>
    </row>
    <row r="136">
      <c r="A136" s="3">
        <f>data!A136</f>
        <v>776</v>
      </c>
      <c r="B136" s="3" t="str">
        <f>data!B136</f>
        <v>אילוז אליה אליהו</v>
      </c>
      <c r="C136" s="3">
        <f>data!C136</f>
        <v>27</v>
      </c>
      <c r="D136" s="3" t="str">
        <f>data!F136</f>
        <v>אזרחים</v>
      </c>
      <c r="E136" s="3" t="str">
        <f t="shared" si="1"/>
        <v>adult</v>
      </c>
      <c r="F136" s="3">
        <v>20.0</v>
      </c>
      <c r="G136" s="3" t="s">
        <v>478</v>
      </c>
      <c r="H136" s="1">
        <f t="shared" si="2"/>
        <v>3</v>
      </c>
      <c r="I136" s="29">
        <v>25.0</v>
      </c>
      <c r="J136" s="3">
        <v>68.0</v>
      </c>
      <c r="K136" s="3" t="s">
        <v>1143</v>
      </c>
      <c r="L136" s="3">
        <v>16.0</v>
      </c>
      <c r="M136" s="3" t="s">
        <v>18</v>
      </c>
      <c r="N136" s="3" t="s">
        <v>2882</v>
      </c>
      <c r="P136" s="35"/>
      <c r="Q136" s="35"/>
      <c r="R136" s="35"/>
      <c r="S136" s="34" t="str">
        <f t="shared" ref="S136:S141" si="7">concatenate(concatenate($K156, " "),$L156)</f>
        <v>קוץ רותם 18</v>
      </c>
    </row>
    <row r="137">
      <c r="A137" s="3">
        <f>data!A137</f>
        <v>1575</v>
      </c>
      <c r="B137" s="3" t="str">
        <f>data!B137</f>
        <v>אילייב אדם</v>
      </c>
      <c r="C137" s="3">
        <f>data!C137</f>
        <v>22</v>
      </c>
      <c r="D137" s="3" t="str">
        <f>data!F137</f>
        <v>אזרחים</v>
      </c>
      <c r="E137" s="3" t="str">
        <f t="shared" si="1"/>
        <v>adult</v>
      </c>
      <c r="F137" s="3">
        <v>20.0</v>
      </c>
      <c r="G137" s="3" t="s">
        <v>478</v>
      </c>
      <c r="H137" s="1">
        <f t="shared" si="2"/>
        <v>3</v>
      </c>
      <c r="I137" s="29">
        <v>26.0</v>
      </c>
      <c r="J137" s="3">
        <v>120.0</v>
      </c>
      <c r="K137" s="3" t="s">
        <v>1311</v>
      </c>
      <c r="L137" s="3">
        <v>16.0</v>
      </c>
      <c r="M137" s="3" t="s">
        <v>18</v>
      </c>
      <c r="N137" s="3" t="s">
        <v>2882</v>
      </c>
      <c r="P137" s="35"/>
      <c r="Q137" s="35"/>
      <c r="R137" s="35"/>
      <c r="S137" s="34" t="str">
        <f t="shared" si="7"/>
        <v>כהן הדר מרים 18</v>
      </c>
    </row>
    <row r="138">
      <c r="A138" s="3">
        <f>data!A138</f>
        <v>383</v>
      </c>
      <c r="B138" s="3" t="str">
        <f>data!B138</f>
        <v>איירמנדי סיזר איוון</v>
      </c>
      <c r="C138" s="3">
        <f>data!C138</f>
        <v>46</v>
      </c>
      <c r="D138" s="3" t="str">
        <f>data!F138</f>
        <v>אזרחים</v>
      </c>
      <c r="E138" s="3" t="str">
        <f t="shared" si="1"/>
        <v>adult</v>
      </c>
      <c r="F138" s="3">
        <v>20.0</v>
      </c>
      <c r="G138" s="3" t="s">
        <v>478</v>
      </c>
      <c r="H138" s="1">
        <f t="shared" si="2"/>
        <v>3</v>
      </c>
      <c r="I138" s="29">
        <v>27.0</v>
      </c>
      <c r="J138" s="3">
        <v>325.0</v>
      </c>
      <c r="K138" s="3" t="s">
        <v>1451</v>
      </c>
      <c r="L138" s="3">
        <v>16.0</v>
      </c>
      <c r="M138" s="3" t="s">
        <v>18</v>
      </c>
      <c r="N138" s="3" t="s">
        <v>2882</v>
      </c>
      <c r="P138" s="35"/>
      <c r="Q138" s="35"/>
      <c r="R138" s="35"/>
      <c r="S138" s="34" t="str">
        <f t="shared" si="7"/>
        <v>עמר שירת ים 18</v>
      </c>
    </row>
    <row r="139">
      <c r="A139" s="3">
        <f>data!A139</f>
        <v>743</v>
      </c>
      <c r="B139" s="3" t="str">
        <f>data!B139</f>
        <v>אליהו יהונתן</v>
      </c>
      <c r="C139" s="3">
        <f>data!C139</f>
        <v>21</v>
      </c>
      <c r="D139" s="3" t="str">
        <f>data!F139</f>
        <v>אזרחים</v>
      </c>
      <c r="E139" s="3" t="str">
        <f t="shared" si="1"/>
        <v>adult</v>
      </c>
      <c r="F139" s="3">
        <v>20.0</v>
      </c>
      <c r="G139" s="3" t="s">
        <v>478</v>
      </c>
      <c r="H139" s="1">
        <f t="shared" si="2"/>
        <v>3</v>
      </c>
      <c r="I139" s="29">
        <v>28.0</v>
      </c>
      <c r="J139" s="3">
        <v>883.0</v>
      </c>
      <c r="K139" s="3" t="s">
        <v>94</v>
      </c>
      <c r="L139" s="3">
        <v>17.0</v>
      </c>
      <c r="M139" s="3" t="s">
        <v>18</v>
      </c>
      <c r="N139" s="3" t="s">
        <v>2882</v>
      </c>
      <c r="P139" s="35"/>
      <c r="Q139" s="35"/>
      <c r="R139" s="35"/>
      <c r="S139" s="34" t="str">
        <f t="shared" si="7"/>
        <v>דוידיאן אופיר 18</v>
      </c>
    </row>
    <row r="140">
      <c r="A140" s="3">
        <f>data!A140</f>
        <v>1595</v>
      </c>
      <c r="B140" s="3" t="str">
        <f>data!B140</f>
        <v>אלפסי שלמה אליהו</v>
      </c>
      <c r="C140" s="3">
        <f>data!C140</f>
        <v>52</v>
      </c>
      <c r="D140" s="3" t="str">
        <f>data!F140</f>
        <v>אזרחים</v>
      </c>
      <c r="E140" s="3" t="str">
        <f t="shared" si="1"/>
        <v>adult</v>
      </c>
      <c r="F140" s="3">
        <v>20.0</v>
      </c>
      <c r="G140" s="3" t="s">
        <v>478</v>
      </c>
      <c r="H140" s="1">
        <f t="shared" si="2"/>
        <v>3</v>
      </c>
      <c r="I140" s="29">
        <v>29.0</v>
      </c>
      <c r="J140" s="3">
        <v>1211.0</v>
      </c>
      <c r="K140" s="3" t="s">
        <v>102</v>
      </c>
      <c r="L140" s="3">
        <v>17.0</v>
      </c>
      <c r="M140" s="3" t="s">
        <v>18</v>
      </c>
      <c r="N140" s="3" t="s">
        <v>2882</v>
      </c>
      <c r="P140" s="35"/>
      <c r="Q140" s="35"/>
      <c r="R140" s="35"/>
      <c r="S140" s="34" t="str">
        <f t="shared" si="7"/>
        <v>נגרי נריה אהרון 18</v>
      </c>
    </row>
    <row r="141">
      <c r="A141" s="3">
        <f>data!A141</f>
        <v>1381</v>
      </c>
      <c r="B141" s="3" t="str">
        <f>data!B141</f>
        <v>אלפראחין ח'אלד</v>
      </c>
      <c r="C141" s="3">
        <f>data!C141</f>
        <v>50</v>
      </c>
      <c r="D141" s="3" t="str">
        <f>data!F141</f>
        <v>אזרחים</v>
      </c>
      <c r="E141" s="3" t="str">
        <f t="shared" si="1"/>
        <v>adult</v>
      </c>
      <c r="F141" s="3">
        <v>20.0</v>
      </c>
      <c r="G141" s="3" t="s">
        <v>478</v>
      </c>
      <c r="H141" s="1">
        <f t="shared" si="2"/>
        <v>3</v>
      </c>
      <c r="I141" s="29">
        <v>30.0</v>
      </c>
      <c r="J141" s="3">
        <v>1492.0</v>
      </c>
      <c r="K141" s="3" t="s">
        <v>114</v>
      </c>
      <c r="L141" s="3">
        <v>17.0</v>
      </c>
      <c r="M141" s="3" t="s">
        <v>18</v>
      </c>
      <c r="N141" s="3" t="s">
        <v>2882</v>
      </c>
      <c r="P141" s="35"/>
      <c r="Q141" s="35"/>
      <c r="R141" s="35"/>
      <c r="S141" s="34" t="str">
        <f t="shared" si="7"/>
        <v>עזר עילי 18</v>
      </c>
    </row>
    <row r="142">
      <c r="A142" s="3">
        <f>data!A142</f>
        <v>745</v>
      </c>
      <c r="B142" s="3" t="str">
        <f>data!B142</f>
        <v>אלקיים לוי עינב</v>
      </c>
      <c r="C142" s="3">
        <f>data!C142</f>
        <v>32</v>
      </c>
      <c r="D142" s="3" t="str">
        <f>data!F142</f>
        <v>אזרחים</v>
      </c>
      <c r="E142" s="3" t="str">
        <f t="shared" si="1"/>
        <v>adult</v>
      </c>
      <c r="F142" s="3">
        <v>20.0</v>
      </c>
      <c r="G142" s="3" t="s">
        <v>478</v>
      </c>
      <c r="H142" s="1">
        <f t="shared" si="2"/>
        <v>3</v>
      </c>
      <c r="I142" s="29">
        <v>31.0</v>
      </c>
      <c r="J142" s="3">
        <v>507.0</v>
      </c>
      <c r="K142" s="3" t="s">
        <v>116</v>
      </c>
      <c r="L142" s="3">
        <v>17.0</v>
      </c>
      <c r="M142" s="3" t="s">
        <v>18</v>
      </c>
      <c r="N142" s="3" t="s">
        <v>2882</v>
      </c>
      <c r="P142" s="35"/>
      <c r="Q142" s="35"/>
      <c r="R142" s="35"/>
      <c r="S142" s="34" t="str">
        <f>concatenate(concatenate($K149, " "),$L149)</f>
        <v>חג'בי יהונתן 18</v>
      </c>
    </row>
    <row r="143">
      <c r="A143" s="3">
        <f>data!A143</f>
        <v>1380</v>
      </c>
      <c r="B143" s="3" t="str">
        <f>data!B143</f>
        <v>נסאסרה עבד אלכרים</v>
      </c>
      <c r="C143" s="3">
        <f>data!C143</f>
        <v>50</v>
      </c>
      <c r="D143" s="3" t="str">
        <f>data!F143</f>
        <v>אזרחים</v>
      </c>
      <c r="E143" s="3" t="str">
        <f t="shared" si="1"/>
        <v>adult</v>
      </c>
      <c r="F143" s="3">
        <v>20.0</v>
      </c>
      <c r="G143" s="3" t="s">
        <v>478</v>
      </c>
      <c r="H143" s="1">
        <f t="shared" si="2"/>
        <v>3</v>
      </c>
      <c r="I143" s="29">
        <v>32.0</v>
      </c>
      <c r="J143" s="3">
        <v>515.0</v>
      </c>
      <c r="K143" s="3" t="s">
        <v>121</v>
      </c>
      <c r="L143" s="3">
        <v>17.0</v>
      </c>
      <c r="M143" s="3" t="s">
        <v>18</v>
      </c>
      <c r="N143" s="3" t="s">
        <v>2882</v>
      </c>
    </row>
    <row r="144">
      <c r="A144" s="3">
        <f>data!A144</f>
        <v>1616</v>
      </c>
      <c r="B144" s="3" t="str">
        <f>data!B144</f>
        <v>אלשיך שלמה (שלומי) אליהו</v>
      </c>
      <c r="C144" s="3">
        <f>data!C144</f>
        <v>28</v>
      </c>
      <c r="D144" s="3" t="str">
        <f>data!F144</f>
        <v>אזרחים</v>
      </c>
      <c r="E144" s="3" t="str">
        <f t="shared" si="1"/>
        <v>adult</v>
      </c>
      <c r="F144" s="3">
        <v>20.0</v>
      </c>
      <c r="G144" s="3" t="s">
        <v>478</v>
      </c>
      <c r="H144" s="1">
        <f t="shared" si="2"/>
        <v>3</v>
      </c>
      <c r="I144" s="29">
        <v>33.0</v>
      </c>
      <c r="J144" s="3">
        <v>1047.0</v>
      </c>
      <c r="K144" s="3" t="s">
        <v>280</v>
      </c>
      <c r="L144" s="3">
        <v>17.0</v>
      </c>
      <c r="M144" s="3" t="s">
        <v>18</v>
      </c>
      <c r="N144" s="3" t="s">
        <v>2882</v>
      </c>
    </row>
    <row r="145">
      <c r="A145" s="3">
        <f>data!A145</f>
        <v>676</v>
      </c>
      <c r="B145" s="3" t="str">
        <f>data!B145</f>
        <v>אמין שני</v>
      </c>
      <c r="C145" s="3">
        <f>data!C145</f>
        <v>18</v>
      </c>
      <c r="D145" s="3" t="str">
        <f>data!F145</f>
        <v>אזרחים</v>
      </c>
      <c r="E145" s="3" t="str">
        <f t="shared" si="1"/>
        <v>teen</v>
      </c>
      <c r="F145" s="3">
        <v>20.0</v>
      </c>
      <c r="G145" s="3" t="s">
        <v>478</v>
      </c>
      <c r="H145" s="1">
        <f t="shared" si="2"/>
        <v>3</v>
      </c>
      <c r="I145" s="29">
        <v>34.0</v>
      </c>
      <c r="J145" s="3">
        <v>825.0</v>
      </c>
      <c r="K145" s="3" t="s">
        <v>1002</v>
      </c>
      <c r="L145" s="3">
        <v>17.0</v>
      </c>
      <c r="M145" s="3" t="s">
        <v>18</v>
      </c>
      <c r="N145" s="3" t="s">
        <v>2882</v>
      </c>
    </row>
    <row r="146">
      <c r="A146" s="3">
        <f>data!A146</f>
        <v>747</v>
      </c>
      <c r="B146" s="3" t="str">
        <f>data!B146</f>
        <v>אנגלנדר נועה</v>
      </c>
      <c r="C146" s="3">
        <f>data!C146</f>
        <v>23</v>
      </c>
      <c r="D146" s="3" t="str">
        <f>data!F146</f>
        <v>אזרחים</v>
      </c>
      <c r="E146" s="3" t="str">
        <f t="shared" si="1"/>
        <v>adult</v>
      </c>
      <c r="F146" s="3">
        <v>20.0</v>
      </c>
      <c r="G146" s="3" t="s">
        <v>478</v>
      </c>
      <c r="H146" s="1">
        <f t="shared" si="2"/>
        <v>3</v>
      </c>
      <c r="I146" s="29">
        <v>35.0</v>
      </c>
      <c r="J146" s="3">
        <v>406.0</v>
      </c>
      <c r="K146" s="3" t="s">
        <v>1496</v>
      </c>
      <c r="L146" s="3">
        <v>17.0</v>
      </c>
      <c r="M146" s="3" t="s">
        <v>18</v>
      </c>
      <c r="N146" s="3" t="s">
        <v>2882</v>
      </c>
    </row>
    <row r="147">
      <c r="A147" s="3">
        <f>data!A147</f>
        <v>684</v>
      </c>
      <c r="B147" s="3" t="str">
        <f>data!B147</f>
        <v>אסולין ליאור</v>
      </c>
      <c r="C147" s="3">
        <f>data!C147</f>
        <v>44</v>
      </c>
      <c r="D147" s="3" t="str">
        <f>data!F147</f>
        <v>אזרחים</v>
      </c>
      <c r="E147" s="3" t="str">
        <f t="shared" si="1"/>
        <v>adult</v>
      </c>
      <c r="F147" s="3">
        <v>20.0</v>
      </c>
      <c r="G147" s="3" t="s">
        <v>478</v>
      </c>
      <c r="H147" s="1">
        <f t="shared" si="2"/>
        <v>3</v>
      </c>
      <c r="I147" s="29">
        <v>36.0</v>
      </c>
      <c r="J147" s="3">
        <v>663.0</v>
      </c>
      <c r="K147" s="3" t="s">
        <v>1568</v>
      </c>
      <c r="L147" s="3">
        <v>17.0</v>
      </c>
      <c r="M147" s="3" t="s">
        <v>18</v>
      </c>
      <c r="N147" s="3" t="s">
        <v>2882</v>
      </c>
    </row>
    <row r="148">
      <c r="A148" s="3">
        <f>data!A148</f>
        <v>685</v>
      </c>
      <c r="B148" s="3" t="str">
        <f>data!B148</f>
        <v>אסולין לירז</v>
      </c>
      <c r="C148" s="3">
        <f>data!C148</f>
        <v>37</v>
      </c>
      <c r="D148" s="3" t="str">
        <f>data!F148</f>
        <v>אזרחים</v>
      </c>
      <c r="E148" s="3" t="str">
        <f t="shared" si="1"/>
        <v>adult</v>
      </c>
      <c r="F148" s="3">
        <v>20.0</v>
      </c>
      <c r="G148" s="3" t="s">
        <v>478</v>
      </c>
      <c r="H148" s="1">
        <f t="shared" si="2"/>
        <v>3</v>
      </c>
      <c r="I148" s="29">
        <v>37.0</v>
      </c>
      <c r="J148" s="3">
        <v>1059.0</v>
      </c>
      <c r="K148" s="3" t="s">
        <v>1603</v>
      </c>
      <c r="L148" s="3">
        <v>17.0</v>
      </c>
      <c r="M148" s="3" t="s">
        <v>18</v>
      </c>
      <c r="N148" s="3" t="s">
        <v>2882</v>
      </c>
    </row>
    <row r="149">
      <c r="A149" s="3">
        <f>data!A149</f>
        <v>682</v>
      </c>
      <c r="B149" s="3" t="str">
        <f>data!B149</f>
        <v>אסייג ליאב</v>
      </c>
      <c r="C149" s="3">
        <f>data!C149</f>
        <v>24</v>
      </c>
      <c r="D149" s="3" t="str">
        <f>data!F149</f>
        <v>אזרחים</v>
      </c>
      <c r="E149" s="3" t="str">
        <f t="shared" si="1"/>
        <v>adult</v>
      </c>
      <c r="F149" s="3">
        <v>20.0</v>
      </c>
      <c r="G149" s="3" t="s">
        <v>478</v>
      </c>
      <c r="H149" s="1">
        <f t="shared" si="2"/>
        <v>3</v>
      </c>
      <c r="I149" s="29">
        <v>38.0</v>
      </c>
      <c r="J149" s="3">
        <v>1451.0</v>
      </c>
      <c r="K149" s="3" t="s">
        <v>205</v>
      </c>
      <c r="L149" s="3">
        <v>18.0</v>
      </c>
      <c r="M149" s="3" t="s">
        <v>18</v>
      </c>
      <c r="N149" s="3" t="s">
        <v>2882</v>
      </c>
    </row>
    <row r="150">
      <c r="A150" s="3">
        <f>data!A150</f>
        <v>1478</v>
      </c>
      <c r="B150" s="3" t="str">
        <f>data!B150</f>
        <v>אפרים ירין משה</v>
      </c>
      <c r="C150" s="3">
        <f>data!C150</f>
        <v>24</v>
      </c>
      <c r="D150" s="3" t="str">
        <f>data!F150</f>
        <v>אזרחים</v>
      </c>
      <c r="E150" s="3" t="str">
        <f t="shared" si="1"/>
        <v>adult</v>
      </c>
      <c r="F150" s="3">
        <v>20.0</v>
      </c>
      <c r="G150" s="3" t="s">
        <v>478</v>
      </c>
      <c r="H150" s="1">
        <f t="shared" si="2"/>
        <v>3</v>
      </c>
      <c r="I150" s="29">
        <v>39.0</v>
      </c>
      <c r="J150" s="3">
        <v>676.0</v>
      </c>
      <c r="K150" s="3" t="s">
        <v>402</v>
      </c>
      <c r="L150" s="3">
        <v>18.0</v>
      </c>
      <c r="M150" s="3" t="s">
        <v>18</v>
      </c>
      <c r="N150" s="3" t="s">
        <v>2882</v>
      </c>
    </row>
    <row r="151">
      <c r="A151" s="3">
        <f>data!A151</f>
        <v>1433</v>
      </c>
      <c r="B151" s="3" t="str">
        <f>data!B151</f>
        <v>אפרים נעם ליאל</v>
      </c>
      <c r="C151" s="3">
        <f>data!C151</f>
        <v>24</v>
      </c>
      <c r="D151" s="3" t="str">
        <f>data!F151</f>
        <v>אזרחים</v>
      </c>
      <c r="E151" s="3" t="str">
        <f t="shared" si="1"/>
        <v>adult</v>
      </c>
      <c r="F151" s="3">
        <v>20.0</v>
      </c>
      <c r="G151" s="3" t="s">
        <v>478</v>
      </c>
      <c r="H151" s="1">
        <f t="shared" si="2"/>
        <v>3</v>
      </c>
      <c r="I151" s="29">
        <v>40.0</v>
      </c>
      <c r="J151" s="3">
        <v>1428.0</v>
      </c>
      <c r="K151" s="3" t="s">
        <v>567</v>
      </c>
      <c r="L151" s="3">
        <v>18.0</v>
      </c>
      <c r="M151" s="3" t="s">
        <v>18</v>
      </c>
      <c r="N151" s="3" t="s">
        <v>2882</v>
      </c>
    </row>
    <row r="152">
      <c r="A152" s="3">
        <f>data!A152</f>
        <v>740</v>
      </c>
      <c r="B152" s="3" t="str">
        <f>data!B152</f>
        <v>אקשטיין מתן</v>
      </c>
      <c r="C152" s="3">
        <f>data!C152</f>
        <v>23</v>
      </c>
      <c r="D152" s="3" t="str">
        <f>data!F152</f>
        <v>אזרחים</v>
      </c>
      <c r="E152" s="3" t="str">
        <f t="shared" si="1"/>
        <v>adult</v>
      </c>
      <c r="F152" s="3">
        <v>20.0</v>
      </c>
      <c r="G152" s="3" t="s">
        <v>478</v>
      </c>
      <c r="H152" s="1">
        <f t="shared" si="2"/>
        <v>3</v>
      </c>
      <c r="I152" s="29">
        <v>41.0</v>
      </c>
      <c r="J152" s="3">
        <v>72.0</v>
      </c>
      <c r="K152" s="3" t="s">
        <v>1278</v>
      </c>
      <c r="L152" s="3">
        <v>18.0</v>
      </c>
      <c r="M152" s="3" t="s">
        <v>18</v>
      </c>
      <c r="N152" s="3" t="s">
        <v>2882</v>
      </c>
    </row>
    <row r="153">
      <c r="A153" s="3">
        <f>data!A153</f>
        <v>679</v>
      </c>
      <c r="B153" s="3" t="str">
        <f>data!B153</f>
        <v>ארד אורי</v>
      </c>
      <c r="C153" s="3">
        <f>data!C153</f>
        <v>22</v>
      </c>
      <c r="D153" s="3" t="str">
        <f>data!F153</f>
        <v>אזרחים</v>
      </c>
      <c r="E153" s="3" t="str">
        <f t="shared" si="1"/>
        <v>adult</v>
      </c>
      <c r="F153" s="3">
        <v>20.0</v>
      </c>
      <c r="G153" s="3" t="s">
        <v>478</v>
      </c>
      <c r="H153" s="1">
        <f t="shared" si="2"/>
        <v>3</v>
      </c>
      <c r="I153" s="29">
        <v>42.0</v>
      </c>
      <c r="J153" s="3">
        <v>456.0</v>
      </c>
      <c r="K153" s="3" t="s">
        <v>1487</v>
      </c>
      <c r="L153" s="3">
        <v>18.0</v>
      </c>
      <c r="M153" s="3" t="s">
        <v>18</v>
      </c>
      <c r="N153" s="3" t="s">
        <v>2882</v>
      </c>
    </row>
    <row r="154">
      <c r="A154" s="3">
        <f>data!A154</f>
        <v>678</v>
      </c>
      <c r="B154" s="3" t="str">
        <f>data!B154</f>
        <v>ארד נבו</v>
      </c>
      <c r="C154" s="3">
        <f>data!C154</f>
        <v>25</v>
      </c>
      <c r="D154" s="3" t="str">
        <f>data!F154</f>
        <v>אזרחים</v>
      </c>
      <c r="E154" s="3" t="str">
        <f t="shared" si="1"/>
        <v>adult</v>
      </c>
      <c r="F154" s="3">
        <v>20.0</v>
      </c>
      <c r="G154" s="3" t="s">
        <v>478</v>
      </c>
      <c r="H154" s="1">
        <f t="shared" si="2"/>
        <v>3</v>
      </c>
      <c r="I154" s="29">
        <v>43.0</v>
      </c>
      <c r="J154" s="3">
        <v>430.0</v>
      </c>
      <c r="K154" s="3" t="s">
        <v>1494</v>
      </c>
      <c r="L154" s="3">
        <v>18.0</v>
      </c>
      <c r="M154" s="3" t="s">
        <v>18</v>
      </c>
      <c r="N154" s="3" t="s">
        <v>2882</v>
      </c>
    </row>
    <row r="155">
      <c r="A155" s="3">
        <f>data!A155</f>
        <v>681</v>
      </c>
      <c r="B155" s="3" t="str">
        <f>data!B155</f>
        <v>אריאל דן</v>
      </c>
      <c r="C155" s="3">
        <f>data!C155</f>
        <v>23</v>
      </c>
      <c r="D155" s="3" t="str">
        <f>data!F155</f>
        <v>אזרחים</v>
      </c>
      <c r="E155" s="3" t="str">
        <f t="shared" si="1"/>
        <v>adult</v>
      </c>
      <c r="F155" s="3">
        <v>20.0</v>
      </c>
      <c r="G155" s="3" t="s">
        <v>478</v>
      </c>
      <c r="H155" s="1">
        <f t="shared" si="2"/>
        <v>3</v>
      </c>
      <c r="I155" s="29">
        <v>44.0</v>
      </c>
      <c r="J155" s="3">
        <v>921.0</v>
      </c>
      <c r="K155" s="3" t="s">
        <v>2327</v>
      </c>
      <c r="L155" s="3">
        <v>18.0</v>
      </c>
      <c r="M155" s="3" t="s">
        <v>18</v>
      </c>
      <c r="N155" s="3" t="s">
        <v>2882</v>
      </c>
    </row>
    <row r="156">
      <c r="A156" s="3">
        <f>data!A156</f>
        <v>1536</v>
      </c>
      <c r="B156" s="3" t="str">
        <f>data!B156</f>
        <v>ארנין איילת</v>
      </c>
      <c r="C156" s="3">
        <f>data!C156</f>
        <v>22</v>
      </c>
      <c r="D156" s="3" t="str">
        <f>data!F156</f>
        <v>אזרחים</v>
      </c>
      <c r="E156" s="3" t="str">
        <f t="shared" si="1"/>
        <v>adult</v>
      </c>
      <c r="F156" s="3">
        <v>20.0</v>
      </c>
      <c r="G156" s="3" t="s">
        <v>478</v>
      </c>
      <c r="H156" s="1">
        <f t="shared" si="2"/>
        <v>3</v>
      </c>
      <c r="J156" s="3">
        <v>323.0</v>
      </c>
      <c r="K156" s="3" t="s">
        <v>1457</v>
      </c>
      <c r="L156" s="3">
        <v>18.0</v>
      </c>
      <c r="M156" s="3" t="s">
        <v>478</v>
      </c>
      <c r="N156" s="3" t="s">
        <v>2879</v>
      </c>
    </row>
    <row r="157">
      <c r="A157" s="3">
        <f>data!A157</f>
        <v>683</v>
      </c>
      <c r="B157" s="3" t="str">
        <f>data!B157</f>
        <v>אשואן סהר</v>
      </c>
      <c r="C157" s="3">
        <f>data!C157</f>
        <v>22</v>
      </c>
      <c r="D157" s="3" t="str">
        <f>data!F157</f>
        <v>אזרחים</v>
      </c>
      <c r="E157" s="3" t="str">
        <f t="shared" si="1"/>
        <v>adult</v>
      </c>
      <c r="F157" s="3">
        <v>20.0</v>
      </c>
      <c r="G157" s="3" t="s">
        <v>478</v>
      </c>
      <c r="H157" s="1">
        <f t="shared" si="2"/>
        <v>3</v>
      </c>
      <c r="J157" s="3">
        <v>472.0</v>
      </c>
      <c r="K157" s="3" t="s">
        <v>2071</v>
      </c>
      <c r="L157" s="3">
        <v>18.0</v>
      </c>
      <c r="M157" s="3" t="s">
        <v>478</v>
      </c>
      <c r="N157" s="3" t="s">
        <v>2879</v>
      </c>
    </row>
    <row r="158">
      <c r="A158" s="3">
        <f>data!A158</f>
        <v>1504</v>
      </c>
      <c r="B158" s="3" t="str">
        <f>data!B158</f>
        <v>בהט דרור</v>
      </c>
      <c r="C158" s="3">
        <f>data!C158</f>
        <v>30</v>
      </c>
      <c r="D158" s="3" t="str">
        <f>data!F158</f>
        <v>אזרחים</v>
      </c>
      <c r="E158" s="3" t="str">
        <f t="shared" si="1"/>
        <v>adult</v>
      </c>
      <c r="F158" s="3">
        <v>20.0</v>
      </c>
      <c r="G158" s="3" t="s">
        <v>478</v>
      </c>
      <c r="H158" s="1">
        <f t="shared" si="2"/>
        <v>3</v>
      </c>
      <c r="J158" s="3">
        <v>461.0</v>
      </c>
      <c r="K158" s="3" t="s">
        <v>2091</v>
      </c>
      <c r="L158" s="3">
        <v>18.0</v>
      </c>
      <c r="M158" s="3" t="s">
        <v>478</v>
      </c>
      <c r="N158" s="3" t="s">
        <v>2879</v>
      </c>
    </row>
    <row r="159">
      <c r="A159" s="3">
        <f>data!A159</f>
        <v>715</v>
      </c>
      <c r="B159" s="3" t="str">
        <f>data!B159</f>
        <v>בובטס בן איון אורטל</v>
      </c>
      <c r="C159" s="3">
        <f>data!C159</f>
        <v>24</v>
      </c>
      <c r="D159" s="3" t="str">
        <f>data!F159</f>
        <v>אזרחים</v>
      </c>
      <c r="E159" s="3" t="str">
        <f t="shared" si="1"/>
        <v>adult</v>
      </c>
      <c r="F159" s="3">
        <v>20.0</v>
      </c>
      <c r="G159" s="3" t="s">
        <v>478</v>
      </c>
      <c r="H159" s="1">
        <f t="shared" si="2"/>
        <v>3</v>
      </c>
      <c r="J159" s="3">
        <v>220.0</v>
      </c>
      <c r="K159" s="3" t="s">
        <v>2155</v>
      </c>
      <c r="L159" s="3">
        <v>18.0</v>
      </c>
      <c r="M159" s="3" t="s">
        <v>478</v>
      </c>
      <c r="N159" s="3" t="s">
        <v>2879</v>
      </c>
    </row>
    <row r="160">
      <c r="A160" s="3">
        <f>data!A160</f>
        <v>1485</v>
      </c>
      <c r="B160" s="3" t="str">
        <f>data!B160</f>
        <v>בולדס דורון</v>
      </c>
      <c r="C160" s="3">
        <f>data!C160</f>
        <v>34</v>
      </c>
      <c r="D160" s="3" t="str">
        <f>data!F160</f>
        <v>אזרחים</v>
      </c>
      <c r="E160" s="3" t="str">
        <f t="shared" si="1"/>
        <v>adult</v>
      </c>
      <c r="F160" s="3">
        <v>20.0</v>
      </c>
      <c r="G160" s="3" t="s">
        <v>478</v>
      </c>
      <c r="H160" s="1">
        <f t="shared" si="2"/>
        <v>3</v>
      </c>
      <c r="J160" s="3">
        <v>210.0</v>
      </c>
      <c r="K160" s="3" t="s">
        <v>2207</v>
      </c>
      <c r="L160" s="3">
        <v>18.0</v>
      </c>
      <c r="M160" s="3" t="s">
        <v>478</v>
      </c>
      <c r="N160" s="3" t="s">
        <v>2879</v>
      </c>
    </row>
    <row r="161">
      <c r="A161" s="3">
        <f>data!A161</f>
        <v>1499</v>
      </c>
      <c r="B161" s="3" t="str">
        <f>data!B161</f>
        <v>בונגרט סופיה</v>
      </c>
      <c r="C161" s="3">
        <f>data!C161</f>
        <v>21</v>
      </c>
      <c r="D161" s="3" t="str">
        <f>data!F161</f>
        <v>אזרחים</v>
      </c>
      <c r="E161" s="3" t="str">
        <f t="shared" si="1"/>
        <v>adult</v>
      </c>
      <c r="F161" s="3">
        <v>20.0</v>
      </c>
      <c r="G161" s="3" t="s">
        <v>478</v>
      </c>
      <c r="H161" s="1">
        <f t="shared" si="2"/>
        <v>3</v>
      </c>
      <c r="J161" s="3">
        <v>1077.0</v>
      </c>
      <c r="K161" s="3" t="s">
        <v>2257</v>
      </c>
      <c r="L161" s="3">
        <v>18.0</v>
      </c>
      <c r="M161" s="3" t="s">
        <v>478</v>
      </c>
      <c r="N161" s="3" t="s">
        <v>2879</v>
      </c>
    </row>
    <row r="162">
      <c r="A162" s="3">
        <f>data!A162</f>
        <v>717</v>
      </c>
      <c r="B162" s="3" t="str">
        <f>data!B162</f>
        <v>בוסקילה ירדן</v>
      </c>
      <c r="C162" s="3">
        <f>data!C162</f>
        <v>25</v>
      </c>
      <c r="D162" s="3" t="str">
        <f>data!F162</f>
        <v>אזרחים</v>
      </c>
      <c r="E162" s="3" t="str">
        <f t="shared" si="1"/>
        <v>adult</v>
      </c>
      <c r="F162" s="3">
        <v>20.0</v>
      </c>
      <c r="G162" s="3" t="s">
        <v>478</v>
      </c>
      <c r="H162" s="1">
        <f t="shared" si="2"/>
        <v>3</v>
      </c>
    </row>
    <row r="163">
      <c r="A163" s="3">
        <f>data!A163</f>
        <v>713</v>
      </c>
      <c r="B163" s="3" t="str">
        <f>data!B163</f>
        <v>בועזיז מורלי נטע</v>
      </c>
      <c r="C163" s="3">
        <f>data!C163</f>
        <v>40</v>
      </c>
      <c r="D163" s="3" t="str">
        <f>data!F163</f>
        <v>אזרחים</v>
      </c>
      <c r="E163" s="3" t="str">
        <f t="shared" si="1"/>
        <v>adult</v>
      </c>
      <c r="F163" s="3">
        <v>20.0</v>
      </c>
      <c r="G163" s="3" t="s">
        <v>478</v>
      </c>
      <c r="H163" s="1">
        <f t="shared" si="2"/>
        <v>3</v>
      </c>
    </row>
    <row r="164">
      <c r="A164" s="3">
        <f>data!A164</f>
        <v>915</v>
      </c>
      <c r="B164" s="3" t="str">
        <f>data!B164</f>
        <v>בוקובזה רז</v>
      </c>
      <c r="C164" s="3">
        <f>data!C164</f>
        <v>23</v>
      </c>
      <c r="D164" s="3" t="str">
        <f>data!F164</f>
        <v>אזרחים</v>
      </c>
      <c r="E164" s="3" t="str">
        <f t="shared" si="1"/>
        <v>adult</v>
      </c>
      <c r="F164" s="3">
        <v>20.0</v>
      </c>
      <c r="G164" s="3" t="s">
        <v>478</v>
      </c>
      <c r="H164" s="1">
        <f t="shared" si="2"/>
        <v>3</v>
      </c>
    </row>
    <row r="165">
      <c r="A165" s="3">
        <f>data!A165</f>
        <v>1389</v>
      </c>
      <c r="B165" s="3" t="str">
        <f>data!B165</f>
        <v>בור גלאון ליעם</v>
      </c>
      <c r="C165" s="3">
        <f>data!C165</f>
        <v>26</v>
      </c>
      <c r="D165" s="3" t="str">
        <f>data!F165</f>
        <v>אזרחים</v>
      </c>
      <c r="E165" s="3" t="str">
        <f t="shared" si="1"/>
        <v>adult</v>
      </c>
      <c r="F165" s="3">
        <v>20.0</v>
      </c>
      <c r="G165" s="3" t="s">
        <v>478</v>
      </c>
      <c r="H165" s="1">
        <f t="shared" si="2"/>
        <v>3</v>
      </c>
    </row>
    <row r="166">
      <c r="A166" s="3">
        <f>data!A166</f>
        <v>1436</v>
      </c>
      <c r="B166" s="3" t="str">
        <f>data!B166</f>
        <v>בורשטיין מטיאס (הרנן)</v>
      </c>
      <c r="C166" s="3">
        <f>data!C166</f>
        <v>41</v>
      </c>
      <c r="D166" s="3" t="str">
        <f>data!F166</f>
        <v>אזרחים</v>
      </c>
      <c r="E166" s="3" t="str">
        <f t="shared" si="1"/>
        <v>adult</v>
      </c>
      <c r="F166" s="3">
        <v>20.0</v>
      </c>
      <c r="G166" s="3" t="s">
        <v>478</v>
      </c>
      <c r="H166" s="1">
        <f t="shared" si="2"/>
        <v>3</v>
      </c>
    </row>
    <row r="167">
      <c r="A167" s="3">
        <f>data!A167</f>
        <v>1435</v>
      </c>
      <c r="B167" s="3" t="str">
        <f>data!B167</f>
        <v>בורשטיין עינב (חן)</v>
      </c>
      <c r="C167" s="3">
        <f>data!C167</f>
        <v>39</v>
      </c>
      <c r="D167" s="3" t="str">
        <f>data!F167</f>
        <v>אזרחים</v>
      </c>
      <c r="E167" s="3" t="str">
        <f t="shared" si="1"/>
        <v>adult</v>
      </c>
      <c r="F167" s="3">
        <v>20.0</v>
      </c>
      <c r="G167" s="3" t="s">
        <v>478</v>
      </c>
      <c r="H167" s="1">
        <f t="shared" si="2"/>
        <v>3</v>
      </c>
    </row>
    <row r="168">
      <c r="A168" s="3">
        <f>data!A168</f>
        <v>711</v>
      </c>
      <c r="B168" s="3" t="str">
        <f>data!B168</f>
        <v>ביטון בניהו</v>
      </c>
      <c r="C168" s="3">
        <f>data!C168</f>
        <v>23</v>
      </c>
      <c r="D168" s="3" t="str">
        <f>data!F168</f>
        <v>אזרחים</v>
      </c>
      <c r="E168" s="3" t="str">
        <f t="shared" si="1"/>
        <v>adult</v>
      </c>
      <c r="F168" s="3">
        <v>20.0</v>
      </c>
      <c r="G168" s="3" t="s">
        <v>478</v>
      </c>
      <c r="H168" s="1">
        <f t="shared" si="2"/>
        <v>3</v>
      </c>
    </row>
    <row r="169">
      <c r="A169" s="3">
        <f>data!A169</f>
        <v>1526</v>
      </c>
      <c r="B169" s="3" t="str">
        <f>data!B169</f>
        <v>ביטון מאיה</v>
      </c>
      <c r="C169" s="3">
        <f>data!C169</f>
        <v>23</v>
      </c>
      <c r="D169" s="3" t="str">
        <f>data!F169</f>
        <v>אזרחים</v>
      </c>
      <c r="E169" s="3" t="str">
        <f t="shared" si="1"/>
        <v>adult</v>
      </c>
      <c r="F169" s="3">
        <v>20.0</v>
      </c>
      <c r="G169" s="3" t="s">
        <v>478</v>
      </c>
      <c r="H169" s="1">
        <f t="shared" si="2"/>
        <v>3</v>
      </c>
    </row>
    <row r="170">
      <c r="A170" s="3">
        <f>data!A170</f>
        <v>913</v>
      </c>
      <c r="B170" s="3" t="str">
        <f>data!B170</f>
        <v>ביטון מרדכי בן אריאל</v>
      </c>
      <c r="C170" s="3">
        <f>data!C170</f>
        <v>22</v>
      </c>
      <c r="D170" s="3" t="str">
        <f>data!F170</f>
        <v>אזרחים</v>
      </c>
      <c r="E170" s="3" t="str">
        <f t="shared" si="1"/>
        <v>adult</v>
      </c>
      <c r="F170" s="3">
        <v>20.0</v>
      </c>
      <c r="G170" s="3" t="s">
        <v>478</v>
      </c>
      <c r="H170" s="1">
        <f t="shared" si="2"/>
        <v>3</v>
      </c>
    </row>
    <row r="171">
      <c r="A171" s="3">
        <f>data!A171</f>
        <v>712</v>
      </c>
      <c r="B171" s="3" t="str">
        <f>data!B171</f>
        <v>ביטון נדב</v>
      </c>
      <c r="C171" s="3">
        <f>data!C171</f>
        <v>20</v>
      </c>
      <c r="D171" s="3" t="str">
        <f>data!F171</f>
        <v>צה"ל</v>
      </c>
      <c r="E171" s="3" t="str">
        <f t="shared" si="1"/>
        <v>adult</v>
      </c>
      <c r="F171" s="3">
        <v>20.0</v>
      </c>
      <c r="G171" s="3" t="s">
        <v>478</v>
      </c>
      <c r="H171" s="1">
        <f t="shared" si="2"/>
        <v>3</v>
      </c>
    </row>
    <row r="172">
      <c r="A172" s="3">
        <f>data!A172</f>
        <v>701</v>
      </c>
      <c r="B172" s="3" t="str">
        <f>data!B172</f>
        <v>ביילין אורון</v>
      </c>
      <c r="C172" s="3">
        <f>data!C172</f>
        <v>24</v>
      </c>
      <c r="D172" s="3" t="str">
        <f>data!F172</f>
        <v>אזרחים</v>
      </c>
      <c r="E172" s="3" t="str">
        <f t="shared" si="1"/>
        <v>adult</v>
      </c>
      <c r="F172" s="3">
        <v>20.0</v>
      </c>
      <c r="G172" s="3" t="s">
        <v>478</v>
      </c>
      <c r="H172" s="1">
        <f t="shared" si="2"/>
        <v>3</v>
      </c>
    </row>
    <row r="173">
      <c r="A173" s="3">
        <f>data!A173</f>
        <v>1339</v>
      </c>
      <c r="B173" s="3" t="str">
        <f>data!B173</f>
        <v>ביילין בן צבי שגיב</v>
      </c>
      <c r="C173" s="3">
        <f>data!C173</f>
        <v>24</v>
      </c>
      <c r="D173" s="3" t="str">
        <f>data!F173</f>
        <v>אזרחים</v>
      </c>
      <c r="E173" s="3" t="str">
        <f t="shared" si="1"/>
        <v>adult</v>
      </c>
      <c r="F173" s="3">
        <v>20.0</v>
      </c>
      <c r="G173" s="3" t="s">
        <v>478</v>
      </c>
      <c r="H173" s="1">
        <f t="shared" si="2"/>
        <v>3</v>
      </c>
    </row>
    <row r="174">
      <c r="A174" s="3">
        <f>data!A174</f>
        <v>710</v>
      </c>
      <c r="B174" s="3" t="str">
        <f>data!B174</f>
        <v>ביכר נעומי</v>
      </c>
      <c r="C174" s="3">
        <f>data!C174</f>
        <v>19</v>
      </c>
      <c r="D174" s="3" t="str">
        <f>data!F174</f>
        <v>אזרחים</v>
      </c>
      <c r="E174" s="3" t="str">
        <f t="shared" si="1"/>
        <v>adult</v>
      </c>
      <c r="F174" s="3">
        <v>20.0</v>
      </c>
      <c r="G174" s="3" t="s">
        <v>478</v>
      </c>
      <c r="H174" s="1">
        <f t="shared" si="2"/>
        <v>3</v>
      </c>
    </row>
    <row r="175">
      <c r="A175" s="3">
        <f>data!A175</f>
        <v>1583</v>
      </c>
      <c r="B175" s="3" t="str">
        <f>data!B175</f>
        <v>בילמס ספיר</v>
      </c>
      <c r="C175" s="3">
        <f>data!C175</f>
        <v>24</v>
      </c>
      <c r="D175" s="3" t="str">
        <f>data!F175</f>
        <v>אזרחים</v>
      </c>
      <c r="E175" s="3" t="str">
        <f t="shared" si="1"/>
        <v>adult</v>
      </c>
      <c r="F175" s="3">
        <v>20.0</v>
      </c>
      <c r="G175" s="3" t="s">
        <v>478</v>
      </c>
      <c r="H175" s="1">
        <f t="shared" si="2"/>
        <v>3</v>
      </c>
    </row>
    <row r="176">
      <c r="A176" s="3">
        <f>data!A176</f>
        <v>691</v>
      </c>
      <c r="B176" s="3" t="str">
        <f>data!B176</f>
        <v>בכר יהודה</v>
      </c>
      <c r="C176" s="3">
        <f>data!C176</f>
        <v>24</v>
      </c>
      <c r="D176" s="3" t="str">
        <f>data!F176</f>
        <v>אזרחים</v>
      </c>
      <c r="E176" s="3" t="str">
        <f t="shared" si="1"/>
        <v>adult</v>
      </c>
      <c r="F176" s="3">
        <v>20.0</v>
      </c>
      <c r="G176" s="3" t="s">
        <v>478</v>
      </c>
      <c r="H176" s="1">
        <f t="shared" si="2"/>
        <v>3</v>
      </c>
    </row>
    <row r="177">
      <c r="A177" s="3">
        <f>data!A177</f>
        <v>886</v>
      </c>
      <c r="B177" s="3" t="str">
        <f>data!B177</f>
        <v>בן אבי חן</v>
      </c>
      <c r="C177" s="3">
        <f>data!C177</f>
        <v>21</v>
      </c>
      <c r="D177" s="3" t="str">
        <f>data!F177</f>
        <v>אזרחים</v>
      </c>
      <c r="E177" s="3" t="str">
        <f t="shared" si="1"/>
        <v>adult</v>
      </c>
      <c r="F177" s="3">
        <v>20.0</v>
      </c>
      <c r="G177" s="3" t="s">
        <v>478</v>
      </c>
      <c r="H177" s="1">
        <f t="shared" si="2"/>
        <v>3</v>
      </c>
    </row>
    <row r="178">
      <c r="A178" s="3">
        <f>data!A178</f>
        <v>922</v>
      </c>
      <c r="B178" s="3" t="str">
        <f>data!B178</f>
        <v>בן אבידה עמית (יהודה)</v>
      </c>
      <c r="C178" s="3">
        <f>data!C178</f>
        <v>19</v>
      </c>
      <c r="D178" s="3" t="str">
        <f>data!F178</f>
        <v>אזרחים</v>
      </c>
      <c r="E178" s="3" t="str">
        <f t="shared" si="1"/>
        <v>adult</v>
      </c>
      <c r="F178" s="3">
        <v>20.0</v>
      </c>
      <c r="G178" s="3" t="s">
        <v>478</v>
      </c>
      <c r="H178" s="1">
        <f t="shared" si="2"/>
        <v>3</v>
      </c>
    </row>
    <row r="179">
      <c r="A179" s="3">
        <f>data!A179</f>
        <v>703</v>
      </c>
      <c r="B179" s="3" t="str">
        <f>data!B179</f>
        <v>בן דוד נגר סלין רחל</v>
      </c>
      <c r="C179" s="3">
        <f>data!C179</f>
        <v>32</v>
      </c>
      <c r="D179" s="3" t="str">
        <f>data!F179</f>
        <v>אזרחים</v>
      </c>
      <c r="E179" s="3" t="str">
        <f t="shared" si="1"/>
        <v>adult</v>
      </c>
      <c r="F179" s="3">
        <v>20.0</v>
      </c>
      <c r="G179" s="3" t="s">
        <v>478</v>
      </c>
      <c r="H179" s="1">
        <f t="shared" si="2"/>
        <v>3</v>
      </c>
    </row>
    <row r="180">
      <c r="A180" s="3">
        <f>data!A180</f>
        <v>1531</v>
      </c>
      <c r="B180" s="3" t="str">
        <f>data!B180</f>
        <v>בן זינו עידו</v>
      </c>
      <c r="C180" s="3">
        <f>data!C180</f>
        <v>26</v>
      </c>
      <c r="D180" s="3" t="str">
        <f>data!F180</f>
        <v>אזרחים</v>
      </c>
      <c r="E180" s="3" t="str">
        <f t="shared" si="1"/>
        <v>adult</v>
      </c>
      <c r="F180" s="3">
        <v>20.0</v>
      </c>
      <c r="G180" s="3" t="s">
        <v>478</v>
      </c>
      <c r="H180" s="1">
        <f t="shared" si="2"/>
        <v>3</v>
      </c>
    </row>
    <row r="181">
      <c r="A181" s="3">
        <f>data!A181</f>
        <v>1590</v>
      </c>
      <c r="B181" s="3" t="str">
        <f>data!B181</f>
        <v>בן זכריה יוחאי</v>
      </c>
      <c r="C181" s="3">
        <f>data!C181</f>
        <v>23</v>
      </c>
      <c r="D181" s="3" t="str">
        <f>data!F181</f>
        <v>אזרחים</v>
      </c>
      <c r="E181" s="3" t="str">
        <f t="shared" si="1"/>
        <v>adult</v>
      </c>
      <c r="F181" s="3">
        <v>20.0</v>
      </c>
      <c r="G181" s="3" t="s">
        <v>478</v>
      </c>
      <c r="H181" s="1">
        <f t="shared" si="2"/>
        <v>3</v>
      </c>
    </row>
    <row r="182">
      <c r="A182" s="3">
        <f>data!A182</f>
        <v>1522</v>
      </c>
      <c r="B182" s="3" t="str">
        <f>data!B182</f>
        <v>בן חמו אור חיים</v>
      </c>
      <c r="C182" s="3">
        <f>data!C182</f>
        <v>19</v>
      </c>
      <c r="D182" s="3" t="str">
        <f>data!F182</f>
        <v>אזרחים</v>
      </c>
      <c r="E182" s="3" t="str">
        <f t="shared" si="1"/>
        <v>adult</v>
      </c>
      <c r="F182" s="3">
        <v>20.0</v>
      </c>
      <c r="G182" s="3" t="s">
        <v>478</v>
      </c>
      <c r="H182" s="1">
        <f t="shared" si="2"/>
        <v>3</v>
      </c>
    </row>
    <row r="183">
      <c r="A183" s="3">
        <f>data!A183</f>
        <v>704</v>
      </c>
      <c r="B183" s="3" t="str">
        <f>data!B183</f>
        <v>בן חמו דן</v>
      </c>
      <c r="C183" s="3">
        <f>data!C183</f>
        <v>26</v>
      </c>
      <c r="D183" s="3" t="str">
        <f>data!F183</f>
        <v>אזרחים</v>
      </c>
      <c r="E183" s="3" t="str">
        <f t="shared" si="1"/>
        <v>adult</v>
      </c>
      <c r="F183" s="3">
        <v>20.0</v>
      </c>
      <c r="G183" s="3" t="s">
        <v>478</v>
      </c>
      <c r="H183" s="1">
        <f t="shared" si="2"/>
        <v>3</v>
      </c>
    </row>
    <row r="184">
      <c r="A184" s="3">
        <f>data!A184</f>
        <v>1557</v>
      </c>
      <c r="B184" s="3" t="str">
        <f>data!B184</f>
        <v>בן נעים שחר</v>
      </c>
      <c r="C184" s="3">
        <f>data!C184</f>
        <v>42</v>
      </c>
      <c r="D184" s="3" t="str">
        <f>data!F184</f>
        <v>אזרחים</v>
      </c>
      <c r="E184" s="3" t="str">
        <f t="shared" si="1"/>
        <v>adult</v>
      </c>
      <c r="F184" s="3">
        <v>20.0</v>
      </c>
      <c r="G184" s="3" t="s">
        <v>478</v>
      </c>
      <c r="H184" s="1">
        <f t="shared" si="2"/>
        <v>3</v>
      </c>
    </row>
    <row r="185">
      <c r="A185" s="3">
        <f>data!A185</f>
        <v>706</v>
      </c>
      <c r="B185" s="3" t="str">
        <f>data!B185</f>
        <v>בן סניור דניאל</v>
      </c>
      <c r="C185" s="3">
        <f>data!C185</f>
        <v>34</v>
      </c>
      <c r="D185" s="3" t="str">
        <f>data!F185</f>
        <v>אזרחים</v>
      </c>
      <c r="E185" s="3" t="str">
        <f t="shared" si="1"/>
        <v>adult</v>
      </c>
      <c r="F185" s="3">
        <v>20.0</v>
      </c>
      <c r="G185" s="3" t="s">
        <v>478</v>
      </c>
      <c r="H185" s="1">
        <f t="shared" si="2"/>
        <v>3</v>
      </c>
    </row>
    <row r="186">
      <c r="A186" s="3">
        <f>data!A186</f>
        <v>702</v>
      </c>
      <c r="B186" s="3" t="str">
        <f>data!B186</f>
        <v>בן עמי שני</v>
      </c>
      <c r="C186" s="3">
        <f>data!C186</f>
        <v>27</v>
      </c>
      <c r="D186" s="3" t="str">
        <f>data!F186</f>
        <v>אזרחים</v>
      </c>
      <c r="E186" s="3" t="str">
        <f t="shared" si="1"/>
        <v>adult</v>
      </c>
      <c r="F186" s="3">
        <v>20.0</v>
      </c>
      <c r="G186" s="3" t="s">
        <v>478</v>
      </c>
      <c r="H186" s="1">
        <f t="shared" si="2"/>
        <v>3</v>
      </c>
    </row>
    <row r="187">
      <c r="A187" s="3">
        <f>data!A187</f>
        <v>1082</v>
      </c>
      <c r="B187" s="3" t="str">
        <f>data!B187</f>
        <v>בן פורת אליסף</v>
      </c>
      <c r="C187" s="3">
        <f>data!C187</f>
        <v>21</v>
      </c>
      <c r="D187" s="3" t="str">
        <f>data!F187</f>
        <v>צה"ל</v>
      </c>
      <c r="E187" s="3" t="str">
        <f t="shared" si="1"/>
        <v>adult</v>
      </c>
      <c r="F187" s="3">
        <v>20.0</v>
      </c>
      <c r="G187" s="3" t="s">
        <v>478</v>
      </c>
      <c r="H187" s="1">
        <f t="shared" si="2"/>
        <v>3</v>
      </c>
    </row>
    <row r="188">
      <c r="A188" s="3">
        <f>data!A188</f>
        <v>705</v>
      </c>
      <c r="B188" s="3" t="str">
        <f>data!B188</f>
        <v>בן רובי עדן</v>
      </c>
      <c r="C188" s="3">
        <f>data!C188</f>
        <v>23</v>
      </c>
      <c r="D188" s="3" t="str">
        <f>data!F188</f>
        <v>אזרחים</v>
      </c>
      <c r="E188" s="3" t="str">
        <f t="shared" si="1"/>
        <v>adult</v>
      </c>
      <c r="F188" s="3">
        <v>20.0</v>
      </c>
      <c r="G188" s="3" t="s">
        <v>478</v>
      </c>
      <c r="H188" s="1">
        <f t="shared" si="2"/>
        <v>3</v>
      </c>
    </row>
    <row r="189">
      <c r="A189" s="3">
        <f>data!A189</f>
        <v>1446</v>
      </c>
      <c r="B189" s="3" t="str">
        <f>data!B189</f>
        <v>בנג'ו איתי</v>
      </c>
      <c r="C189" s="3">
        <f>data!C189</f>
        <v>30</v>
      </c>
      <c r="D189" s="3" t="str">
        <f>data!F189</f>
        <v>אזרחים</v>
      </c>
      <c r="E189" s="3" t="str">
        <f t="shared" si="1"/>
        <v>adult</v>
      </c>
      <c r="F189" s="3">
        <v>21.0</v>
      </c>
      <c r="G189" s="3" t="s">
        <v>18</v>
      </c>
      <c r="H189" s="1">
        <f t="shared" si="2"/>
        <v>3</v>
      </c>
    </row>
    <row r="190">
      <c r="A190" s="3">
        <f>data!A190</f>
        <v>692</v>
      </c>
      <c r="B190" s="3" t="str">
        <f>data!B190</f>
        <v>בר דין נהוראי</v>
      </c>
      <c r="C190" s="3">
        <f>data!C190</f>
        <v>27</v>
      </c>
      <c r="D190" s="3" t="str">
        <f>data!F190</f>
        <v>אזרחים</v>
      </c>
      <c r="E190" s="3" t="str">
        <f t="shared" si="1"/>
        <v>adult</v>
      </c>
      <c r="F190" s="3">
        <v>21.0</v>
      </c>
      <c r="G190" s="3" t="s">
        <v>18</v>
      </c>
      <c r="H190" s="1">
        <f t="shared" si="2"/>
        <v>3</v>
      </c>
    </row>
    <row r="191">
      <c r="A191" s="3">
        <f>data!A191</f>
        <v>693</v>
      </c>
      <c r="B191" s="3" t="str">
        <f>data!B191</f>
        <v>בר שהם</v>
      </c>
      <c r="C191" s="3">
        <f>data!C191</f>
        <v>21</v>
      </c>
      <c r="D191" s="3" t="str">
        <f>data!F191</f>
        <v>צה"ל</v>
      </c>
      <c r="E191" s="3" t="str">
        <f t="shared" si="1"/>
        <v>adult</v>
      </c>
      <c r="F191" s="3">
        <v>21.0</v>
      </c>
      <c r="G191" s="3" t="s">
        <v>18</v>
      </c>
      <c r="H191" s="1">
        <f t="shared" si="2"/>
        <v>3</v>
      </c>
    </row>
    <row r="192">
      <c r="A192" s="3">
        <f>data!A192</f>
        <v>695</v>
      </c>
      <c r="B192" s="3" t="str">
        <f>data!B192</f>
        <v>בראון יובל</v>
      </c>
      <c r="C192" s="3">
        <f>data!C192</f>
        <v>25</v>
      </c>
      <c r="D192" s="3" t="str">
        <f>data!F192</f>
        <v>אזרחים</v>
      </c>
      <c r="E192" s="3" t="str">
        <f t="shared" si="1"/>
        <v>adult</v>
      </c>
      <c r="F192" s="3">
        <v>21.0</v>
      </c>
      <c r="G192" s="3" t="s">
        <v>18</v>
      </c>
      <c r="H192" s="1">
        <f t="shared" si="2"/>
        <v>3</v>
      </c>
    </row>
    <row r="193">
      <c r="A193" s="3">
        <f>data!A193</f>
        <v>1617</v>
      </c>
      <c r="B193" s="3" t="str">
        <f>data!B193</f>
        <v>בראל גבריאל ישי</v>
      </c>
      <c r="C193" s="3">
        <f>data!C193</f>
        <v>22</v>
      </c>
      <c r="D193" s="3" t="str">
        <f>data!F193</f>
        <v>אזרחים</v>
      </c>
      <c r="E193" s="3" t="str">
        <f t="shared" si="1"/>
        <v>adult</v>
      </c>
      <c r="F193" s="3">
        <v>21.0</v>
      </c>
      <c r="G193" s="3" t="s">
        <v>478</v>
      </c>
      <c r="H193" s="1">
        <f t="shared" si="2"/>
        <v>3</v>
      </c>
    </row>
    <row r="194">
      <c r="A194" s="3">
        <f>data!A194</f>
        <v>1303</v>
      </c>
      <c r="B194" s="3" t="str">
        <f>data!B194</f>
        <v>ברגמן אלדד (אנג'ל)</v>
      </c>
      <c r="C194" s="3">
        <f>data!C194</f>
        <v>26</v>
      </c>
      <c r="D194" s="3" t="str">
        <f>data!F194</f>
        <v>אזרחים</v>
      </c>
      <c r="E194" s="3" t="str">
        <f t="shared" si="1"/>
        <v>adult</v>
      </c>
      <c r="F194" s="3">
        <v>21.0</v>
      </c>
      <c r="G194" s="3" t="s">
        <v>478</v>
      </c>
      <c r="H194" s="1">
        <f t="shared" si="2"/>
        <v>3</v>
      </c>
    </row>
    <row r="195">
      <c r="A195" s="3">
        <f>data!A195</f>
        <v>698</v>
      </c>
      <c r="B195" s="3" t="str">
        <f>data!B195</f>
        <v>ברדה לירון</v>
      </c>
      <c r="C195" s="3">
        <f>data!C195</f>
        <v>27</v>
      </c>
      <c r="D195" s="3" t="str">
        <f>data!F195</f>
        <v>אזרחים</v>
      </c>
      <c r="E195" s="3" t="str">
        <f t="shared" si="1"/>
        <v>adult</v>
      </c>
      <c r="F195" s="3">
        <v>21.0</v>
      </c>
      <c r="G195" s="3" t="s">
        <v>18</v>
      </c>
      <c r="H195" s="1">
        <f t="shared" si="2"/>
        <v>3</v>
      </c>
    </row>
    <row r="196">
      <c r="A196" s="3">
        <f>data!A196</f>
        <v>1390</v>
      </c>
      <c r="B196" s="3" t="str">
        <f>data!B196</f>
        <v>ברזני סתיו</v>
      </c>
      <c r="C196" s="3">
        <f>data!C196</f>
        <v>22</v>
      </c>
      <c r="D196" s="3" t="str">
        <f>data!F196</f>
        <v>אזרחים</v>
      </c>
      <c r="E196" s="3" t="str">
        <f t="shared" si="1"/>
        <v>adult</v>
      </c>
      <c r="F196" s="3">
        <v>21.0</v>
      </c>
      <c r="G196" s="3" t="s">
        <v>18</v>
      </c>
      <c r="H196" s="1">
        <f t="shared" si="2"/>
        <v>3</v>
      </c>
    </row>
    <row r="197">
      <c r="A197" s="3">
        <f>data!A197</f>
        <v>700</v>
      </c>
      <c r="B197" s="3" t="str">
        <f>data!B197</f>
        <v>ברטיק (קליין) טל</v>
      </c>
      <c r="C197" s="3">
        <f>data!C197</f>
        <v>48</v>
      </c>
      <c r="D197" s="3" t="str">
        <f>data!F197</f>
        <v>אזרחים</v>
      </c>
      <c r="E197" s="3" t="str">
        <f t="shared" si="1"/>
        <v>adult</v>
      </c>
      <c r="F197" s="3">
        <v>21.0</v>
      </c>
      <c r="G197" s="3" t="s">
        <v>18</v>
      </c>
      <c r="H197" s="1">
        <f t="shared" si="2"/>
        <v>3</v>
      </c>
    </row>
    <row r="198">
      <c r="A198" s="3">
        <f>data!A198</f>
        <v>699</v>
      </c>
      <c r="B198" s="3" t="str">
        <f>data!B198</f>
        <v>ברטל נדב</v>
      </c>
      <c r="C198" s="3">
        <f>data!C198</f>
        <v>23</v>
      </c>
      <c r="D198" s="3" t="str">
        <f>data!F198</f>
        <v>אזרחים</v>
      </c>
      <c r="E198" s="3" t="str">
        <f t="shared" si="1"/>
        <v>adult</v>
      </c>
      <c r="F198" s="3">
        <v>21.0</v>
      </c>
      <c r="G198" s="3" t="s">
        <v>18</v>
      </c>
      <c r="H198" s="1">
        <f t="shared" si="2"/>
        <v>3</v>
      </c>
    </row>
    <row r="199">
      <c r="A199" s="3">
        <f>data!A199</f>
        <v>1422</v>
      </c>
      <c r="B199" s="3" t="str">
        <f>data!B199</f>
        <v>אליהו ברנט רומי</v>
      </c>
      <c r="C199" s="3">
        <f>data!C199</f>
        <v>38</v>
      </c>
      <c r="D199" s="3" t="str">
        <f>data!F199</f>
        <v>אזרחים</v>
      </c>
      <c r="E199" s="3" t="str">
        <f t="shared" si="1"/>
        <v>adult</v>
      </c>
      <c r="F199" s="3">
        <v>21.0</v>
      </c>
      <c r="G199" s="3" t="s">
        <v>18</v>
      </c>
      <c r="H199" s="1">
        <f t="shared" si="2"/>
        <v>3</v>
      </c>
    </row>
    <row r="200">
      <c r="A200" s="3">
        <f>data!A200</f>
        <v>1517</v>
      </c>
      <c r="B200" s="3" t="str">
        <f>data!B200</f>
        <v>ברנשטיין אליהו יעקב</v>
      </c>
      <c r="C200" s="3">
        <f>data!C200</f>
        <v>20</v>
      </c>
      <c r="D200" s="3" t="str">
        <f>data!F200</f>
        <v>אזרחים</v>
      </c>
      <c r="E200" s="3" t="str">
        <f t="shared" si="1"/>
        <v>adult</v>
      </c>
      <c r="F200" s="3">
        <v>21.0</v>
      </c>
      <c r="G200" s="3" t="s">
        <v>18</v>
      </c>
      <c r="H200" s="1">
        <f t="shared" si="2"/>
        <v>3</v>
      </c>
    </row>
    <row r="201">
      <c r="A201" s="3">
        <f>data!A201</f>
        <v>709</v>
      </c>
      <c r="B201" s="3" t="str">
        <f>data!B201</f>
        <v>ברנשטיין בן</v>
      </c>
      <c r="C201" s="3">
        <f>data!C201</f>
        <v>23</v>
      </c>
      <c r="D201" s="3" t="str">
        <f>data!F201</f>
        <v>אזרחים</v>
      </c>
      <c r="E201" s="3" t="str">
        <f t="shared" si="1"/>
        <v>adult</v>
      </c>
      <c r="F201" s="3">
        <v>21.0</v>
      </c>
      <c r="G201" s="3" t="s">
        <v>18</v>
      </c>
      <c r="H201" s="1">
        <f t="shared" si="2"/>
        <v>3</v>
      </c>
    </row>
    <row r="202">
      <c r="A202" s="3">
        <f>data!A202</f>
        <v>1550</v>
      </c>
      <c r="B202" s="3" t="str">
        <f>data!B202</f>
        <v>ברסלבסקי דניאל (דני)</v>
      </c>
      <c r="C202" s="3">
        <f>data!C202</f>
        <v>32</v>
      </c>
      <c r="D202" s="3" t="str">
        <f>data!F202</f>
        <v>אזרחים</v>
      </c>
      <c r="E202" s="3" t="str">
        <f t="shared" si="1"/>
        <v>adult</v>
      </c>
      <c r="F202" s="3">
        <v>21.0</v>
      </c>
      <c r="G202" s="3" t="s">
        <v>18</v>
      </c>
      <c r="H202" s="1">
        <f t="shared" si="2"/>
        <v>3</v>
      </c>
    </row>
    <row r="203">
      <c r="A203" s="3">
        <f>data!A203</f>
        <v>697</v>
      </c>
      <c r="B203" s="3" t="str">
        <f>data!B203</f>
        <v>ברעם עילי</v>
      </c>
      <c r="C203" s="3">
        <f>data!C203</f>
        <v>27</v>
      </c>
      <c r="D203" s="3" t="str">
        <f>data!F203</f>
        <v>אזרחים</v>
      </c>
      <c r="E203" s="3" t="str">
        <f t="shared" si="1"/>
        <v>adult</v>
      </c>
      <c r="F203" s="3">
        <v>21.0</v>
      </c>
      <c r="G203" s="3" t="s">
        <v>18</v>
      </c>
      <c r="H203" s="1">
        <f t="shared" si="2"/>
        <v>3</v>
      </c>
    </row>
    <row r="204">
      <c r="A204" s="3">
        <f>data!A204</f>
        <v>755</v>
      </c>
      <c r="B204" s="3" t="str">
        <f>data!B204</f>
        <v>ג'ורג'י שיר חנה</v>
      </c>
      <c r="C204" s="3">
        <f>data!C204</f>
        <v>22</v>
      </c>
      <c r="D204" s="3" t="str">
        <f>data!F204</f>
        <v>אזרחים</v>
      </c>
      <c r="E204" s="3" t="str">
        <f t="shared" si="1"/>
        <v>adult</v>
      </c>
      <c r="F204" s="3">
        <v>21.0</v>
      </c>
      <c r="G204" s="3" t="s">
        <v>478</v>
      </c>
      <c r="H204" s="1">
        <f t="shared" si="2"/>
        <v>3</v>
      </c>
    </row>
    <row r="205">
      <c r="A205" s="3">
        <f>data!A205</f>
        <v>1428</v>
      </c>
      <c r="B205" s="3" t="str">
        <f>data!B205</f>
        <v>ג'רפי ליאל</v>
      </c>
      <c r="C205" s="3">
        <f>data!C205</f>
        <v>18</v>
      </c>
      <c r="D205" s="3" t="str">
        <f>data!F205</f>
        <v>אזרחים</v>
      </c>
      <c r="E205" s="3" t="str">
        <f t="shared" si="1"/>
        <v>teen</v>
      </c>
      <c r="F205" s="3">
        <v>21.0</v>
      </c>
      <c r="G205" s="3" t="s">
        <v>18</v>
      </c>
      <c r="H205" s="1">
        <f t="shared" si="2"/>
        <v>3</v>
      </c>
    </row>
    <row r="206">
      <c r="A206" s="3">
        <f>data!A206</f>
        <v>751</v>
      </c>
      <c r="B206" s="3" t="str">
        <f>data!B206</f>
        <v>גבאי שני</v>
      </c>
      <c r="C206" s="3">
        <f>data!C206</f>
        <v>25</v>
      </c>
      <c r="D206" s="3" t="str">
        <f>data!F206</f>
        <v>אזרחים</v>
      </c>
      <c r="E206" s="3" t="str">
        <f t="shared" si="1"/>
        <v>adult</v>
      </c>
      <c r="F206" s="3">
        <v>21.0</v>
      </c>
      <c r="G206" s="3" t="s">
        <v>18</v>
      </c>
      <c r="H206" s="1">
        <f t="shared" si="2"/>
        <v>3</v>
      </c>
    </row>
    <row r="207">
      <c r="A207" s="3">
        <f>data!A207</f>
        <v>766</v>
      </c>
      <c r="B207" s="3" t="str">
        <f>data!B207</f>
        <v>גוטמן תמר</v>
      </c>
      <c r="C207" s="3">
        <f>data!C207</f>
        <v>27</v>
      </c>
      <c r="D207" s="3" t="str">
        <f>data!F207</f>
        <v>אזרחים</v>
      </c>
      <c r="E207" s="3" t="str">
        <f t="shared" si="1"/>
        <v>adult</v>
      </c>
      <c r="F207" s="3">
        <v>21.0</v>
      </c>
      <c r="G207" s="3" t="s">
        <v>18</v>
      </c>
      <c r="H207" s="1">
        <f t="shared" si="2"/>
        <v>3</v>
      </c>
    </row>
    <row r="208">
      <c r="A208" s="3">
        <f>data!A208</f>
        <v>759</v>
      </c>
      <c r="B208" s="3" t="str">
        <f>data!B208</f>
        <v>גולדנברג ניצן</v>
      </c>
      <c r="C208" s="3">
        <f>data!C208</f>
        <v>28</v>
      </c>
      <c r="D208" s="3" t="str">
        <f>data!F208</f>
        <v>אזרחים</v>
      </c>
      <c r="E208" s="3" t="str">
        <f t="shared" si="1"/>
        <v>adult</v>
      </c>
      <c r="F208" s="3">
        <v>21.0</v>
      </c>
      <c r="G208" s="3" t="s">
        <v>18</v>
      </c>
      <c r="H208" s="1">
        <f t="shared" si="2"/>
        <v>3</v>
      </c>
    </row>
    <row r="209">
      <c r="A209" s="3">
        <f>data!A209</f>
        <v>760</v>
      </c>
      <c r="B209" s="3" t="str">
        <f>data!B209</f>
        <v>גולדנברג תמר</v>
      </c>
      <c r="C209" s="3">
        <f>data!C209</f>
        <v>24</v>
      </c>
      <c r="D209" s="3" t="str">
        <f>data!F209</f>
        <v>אזרחים</v>
      </c>
      <c r="E209" s="3" t="str">
        <f t="shared" si="1"/>
        <v>adult</v>
      </c>
      <c r="F209" s="3">
        <v>21.0</v>
      </c>
      <c r="G209" s="3" t="s">
        <v>18</v>
      </c>
      <c r="H209" s="1">
        <f t="shared" si="2"/>
        <v>3</v>
      </c>
    </row>
    <row r="210">
      <c r="A210" s="3">
        <f>data!A210</f>
        <v>761</v>
      </c>
      <c r="B210" s="3" t="str">
        <f>data!B210</f>
        <v>גולטמן דניאל</v>
      </c>
      <c r="C210" s="3">
        <f>data!C210</f>
        <v>24</v>
      </c>
      <c r="D210" s="3" t="str">
        <f>data!F210</f>
        <v>אזרחים</v>
      </c>
      <c r="E210" s="3" t="str">
        <f t="shared" si="1"/>
        <v>adult</v>
      </c>
      <c r="F210" s="3">
        <v>21.0</v>
      </c>
      <c r="G210" s="3" t="s">
        <v>478</v>
      </c>
      <c r="H210" s="1">
        <f t="shared" si="2"/>
        <v>3</v>
      </c>
    </row>
    <row r="211">
      <c r="A211" s="3">
        <f>data!A211</f>
        <v>1445</v>
      </c>
      <c r="B211" s="3" t="str">
        <f>data!B211</f>
        <v>גוסק מרגריטה</v>
      </c>
      <c r="C211" s="3">
        <f>data!C211</f>
        <v>21</v>
      </c>
      <c r="D211" s="3" t="str">
        <f>data!F211</f>
        <v>אזרחים</v>
      </c>
      <c r="E211" s="3" t="str">
        <f t="shared" si="1"/>
        <v>adult</v>
      </c>
      <c r="F211" s="3">
        <v>21.0</v>
      </c>
      <c r="G211" s="3" t="s">
        <v>478</v>
      </c>
      <c r="H211" s="1">
        <f t="shared" si="2"/>
        <v>3</v>
      </c>
    </row>
    <row r="212">
      <c r="A212" s="3">
        <f>data!A212</f>
        <v>882</v>
      </c>
      <c r="B212" s="3" t="str">
        <f>data!B212</f>
        <v>גורביץ' (וסילקובסקי) ליליה</v>
      </c>
      <c r="C212" s="3">
        <f>data!C212</f>
        <v>38</v>
      </c>
      <c r="D212" s="3" t="str">
        <f>data!F212</f>
        <v>אזרחים</v>
      </c>
      <c r="E212" s="3" t="str">
        <f t="shared" si="1"/>
        <v>adult</v>
      </c>
      <c r="F212" s="3">
        <v>21.0</v>
      </c>
      <c r="G212" s="3" t="s">
        <v>478</v>
      </c>
      <c r="H212" s="1">
        <f t="shared" si="2"/>
        <v>3</v>
      </c>
    </row>
    <row r="213">
      <c r="A213" s="3">
        <f>data!A213</f>
        <v>1618</v>
      </c>
      <c r="B213" s="3" t="str">
        <f>data!B213</f>
        <v>גורדני שרון</v>
      </c>
      <c r="C213" s="3">
        <f>data!C213</f>
        <v>25</v>
      </c>
      <c r="D213" s="3" t="str">
        <f>data!F213</f>
        <v>אזרחים</v>
      </c>
      <c r="E213" s="3" t="str">
        <f t="shared" si="1"/>
        <v>adult</v>
      </c>
      <c r="F213" s="3">
        <v>21.0</v>
      </c>
      <c r="G213" s="3" t="s">
        <v>478</v>
      </c>
      <c r="H213" s="1">
        <f t="shared" si="2"/>
        <v>3</v>
      </c>
    </row>
    <row r="214">
      <c r="A214" s="3">
        <f>data!A214</f>
        <v>1503</v>
      </c>
      <c r="B214" s="3" t="str">
        <f>data!B214</f>
        <v>גוריונוב אנטון</v>
      </c>
      <c r="C214" s="3">
        <f>data!C214</f>
        <v>37</v>
      </c>
      <c r="D214" s="3" t="str">
        <f>data!F214</f>
        <v>אזרחים</v>
      </c>
      <c r="E214" s="3" t="str">
        <f t="shared" si="1"/>
        <v>adult</v>
      </c>
      <c r="F214" s="3">
        <v>21.0</v>
      </c>
      <c r="G214" s="3" t="s">
        <v>478</v>
      </c>
      <c r="H214" s="1">
        <f t="shared" si="2"/>
        <v>3</v>
      </c>
    </row>
    <row r="215">
      <c r="A215" s="3">
        <f>data!A215</f>
        <v>763</v>
      </c>
      <c r="B215" s="3" t="str">
        <f>data!B215</f>
        <v>גורלוב ויקטוריה</v>
      </c>
      <c r="C215" s="3">
        <f>data!C215</f>
        <v>23</v>
      </c>
      <c r="D215" s="3" t="str">
        <f>data!F215</f>
        <v>אזרחים</v>
      </c>
      <c r="E215" s="3" t="str">
        <f t="shared" si="1"/>
        <v>adult</v>
      </c>
      <c r="F215" s="3">
        <v>21.0</v>
      </c>
      <c r="G215" s="3" t="s">
        <v>478</v>
      </c>
      <c r="H215" s="1">
        <f t="shared" si="2"/>
        <v>3</v>
      </c>
    </row>
    <row r="216">
      <c r="A216" s="3">
        <f>data!A216</f>
        <v>764</v>
      </c>
      <c r="B216" s="3" t="str">
        <f>data!B216</f>
        <v>גז עדן</v>
      </c>
      <c r="C216" s="3">
        <f>data!C216</f>
        <v>31</v>
      </c>
      <c r="D216" s="3" t="str">
        <f>data!F216</f>
        <v>אזרחים</v>
      </c>
      <c r="E216" s="3" t="str">
        <f t="shared" si="1"/>
        <v>adult</v>
      </c>
      <c r="F216" s="3">
        <v>21.0</v>
      </c>
      <c r="G216" s="3" t="s">
        <v>478</v>
      </c>
      <c r="H216" s="1">
        <f t="shared" si="2"/>
        <v>3</v>
      </c>
    </row>
    <row r="217">
      <c r="A217" s="3">
        <f>data!A217</f>
        <v>1391</v>
      </c>
      <c r="B217" s="3" t="str">
        <f>data!B217</f>
        <v>גטה סתיו</v>
      </c>
      <c r="C217" s="3">
        <f>data!C217</f>
        <v>30</v>
      </c>
      <c r="D217" s="3" t="str">
        <f>data!F217</f>
        <v>אזרחים</v>
      </c>
      <c r="E217" s="3" t="str">
        <f t="shared" si="1"/>
        <v>adult</v>
      </c>
      <c r="F217" s="3">
        <v>21.0</v>
      </c>
      <c r="G217" s="3" t="s">
        <v>478</v>
      </c>
      <c r="H217" s="1">
        <f t="shared" si="2"/>
        <v>3</v>
      </c>
    </row>
    <row r="218">
      <c r="A218" s="3">
        <f>data!A218</f>
        <v>757</v>
      </c>
      <c r="B218" s="3" t="str">
        <f>data!B218</f>
        <v>גילר ירוסלב (סלבה)</v>
      </c>
      <c r="C218" s="3">
        <f>data!C218</f>
        <v>28</v>
      </c>
      <c r="D218" s="3" t="str">
        <f>data!F218</f>
        <v>אזרחים</v>
      </c>
      <c r="E218" s="3" t="str">
        <f t="shared" si="1"/>
        <v>adult</v>
      </c>
      <c r="F218" s="3">
        <v>21.0</v>
      </c>
      <c r="G218" s="3" t="s">
        <v>478</v>
      </c>
      <c r="H218" s="1">
        <f t="shared" si="2"/>
        <v>3</v>
      </c>
    </row>
    <row r="219">
      <c r="A219" s="3">
        <f>data!A219</f>
        <v>758</v>
      </c>
      <c r="B219" s="3" t="str">
        <f>data!B219</f>
        <v>גינדי שחר</v>
      </c>
      <c r="C219" s="3">
        <f>data!C219</f>
        <v>25</v>
      </c>
      <c r="D219" s="3" t="str">
        <f>data!F219</f>
        <v>אזרחים</v>
      </c>
      <c r="E219" s="3" t="str">
        <f t="shared" si="1"/>
        <v>adult</v>
      </c>
      <c r="F219" s="3">
        <v>21.0</v>
      </c>
      <c r="G219" s="3" t="s">
        <v>478</v>
      </c>
      <c r="H219" s="1">
        <f t="shared" si="2"/>
        <v>3</v>
      </c>
    </row>
    <row r="220">
      <c r="A220" s="3">
        <f>data!A220</f>
        <v>1568</v>
      </c>
      <c r="B220" s="3" t="str">
        <f>data!B220</f>
        <v>גל שלו</v>
      </c>
      <c r="C220" s="3">
        <f>data!C220</f>
        <v>25</v>
      </c>
      <c r="D220" s="3" t="str">
        <f>data!F220</f>
        <v>אזרחים</v>
      </c>
      <c r="E220" s="3" t="str">
        <f t="shared" si="1"/>
        <v>adult</v>
      </c>
      <c r="F220" s="3">
        <v>21.0</v>
      </c>
      <c r="G220" s="3" t="s">
        <v>478</v>
      </c>
      <c r="H220" s="1">
        <f t="shared" si="2"/>
        <v>3</v>
      </c>
    </row>
    <row r="221">
      <c r="A221" s="3">
        <f>data!A221</f>
        <v>752</v>
      </c>
      <c r="B221" s="3" t="str">
        <f>data!B221</f>
        <v>גנדלין איזבלה</v>
      </c>
      <c r="C221" s="3">
        <f>data!C221</f>
        <v>27</v>
      </c>
      <c r="D221" s="3" t="str">
        <f>data!F221</f>
        <v>אזרחים</v>
      </c>
      <c r="E221" s="3" t="str">
        <f t="shared" si="1"/>
        <v>adult</v>
      </c>
      <c r="F221" s="3">
        <v>21.0</v>
      </c>
      <c r="G221" s="3" t="s">
        <v>478</v>
      </c>
      <c r="H221" s="1">
        <f t="shared" si="2"/>
        <v>3</v>
      </c>
    </row>
    <row r="222">
      <c r="A222" s="3">
        <f>data!A222</f>
        <v>754</v>
      </c>
      <c r="B222" s="3" t="str">
        <f>data!B222</f>
        <v>גנוט אביה</v>
      </c>
      <c r="C222" s="3">
        <f>data!C222</f>
        <v>22</v>
      </c>
      <c r="D222" s="3" t="str">
        <f>data!F222</f>
        <v>אזרחים</v>
      </c>
      <c r="E222" s="3" t="str">
        <f t="shared" si="1"/>
        <v>adult</v>
      </c>
      <c r="F222" s="3">
        <v>21.0</v>
      </c>
      <c r="G222" s="3" t="s">
        <v>478</v>
      </c>
      <c r="H222" s="1">
        <f t="shared" si="2"/>
        <v>3</v>
      </c>
    </row>
    <row r="223">
      <c r="A223" s="3">
        <f>data!A223</f>
        <v>753</v>
      </c>
      <c r="B223" s="3" t="str">
        <f>data!B223</f>
        <v>גנון שירן</v>
      </c>
      <c r="C223" s="3">
        <f>data!C223</f>
        <v>38</v>
      </c>
      <c r="D223" s="3" t="str">
        <f>data!F223</f>
        <v>אזרחים</v>
      </c>
      <c r="E223" s="3" t="str">
        <f t="shared" si="1"/>
        <v>adult</v>
      </c>
      <c r="F223" s="3">
        <v>21.0</v>
      </c>
      <c r="G223" s="3" t="s">
        <v>478</v>
      </c>
      <c r="H223" s="1">
        <f t="shared" si="2"/>
        <v>3</v>
      </c>
    </row>
    <row r="224">
      <c r="A224" s="3">
        <f>data!A224</f>
        <v>1440</v>
      </c>
      <c r="B224" s="3" t="str">
        <f>data!B224</f>
        <v>גניס יוסף (ספי)</v>
      </c>
      <c r="C224" s="3">
        <f>data!C224</f>
        <v>30</v>
      </c>
      <c r="D224" s="3" t="str">
        <f>data!F224</f>
        <v>אזרחים</v>
      </c>
      <c r="E224" s="3" t="str">
        <f t="shared" si="1"/>
        <v>adult</v>
      </c>
      <c r="F224" s="3">
        <v>21.0</v>
      </c>
      <c r="G224" s="3" t="s">
        <v>478</v>
      </c>
      <c r="H224" s="1">
        <f t="shared" si="2"/>
        <v>3</v>
      </c>
    </row>
    <row r="225">
      <c r="A225" s="3">
        <f>data!A225</f>
        <v>1392</v>
      </c>
      <c r="B225" s="3" t="str">
        <f>data!B225</f>
        <v>גרציאני מאור</v>
      </c>
      <c r="C225" s="3">
        <f>data!C225</f>
        <v>22</v>
      </c>
      <c r="D225" s="3" t="str">
        <f>data!F225</f>
        <v>אזרחים</v>
      </c>
      <c r="E225" s="3" t="str">
        <f t="shared" si="1"/>
        <v>adult</v>
      </c>
      <c r="F225" s="3">
        <v>21.0</v>
      </c>
      <c r="G225" s="3" t="s">
        <v>478</v>
      </c>
      <c r="H225" s="1">
        <f t="shared" si="2"/>
        <v>3</v>
      </c>
    </row>
    <row r="226">
      <c r="A226" s="3">
        <f>data!A226</f>
        <v>1314</v>
      </c>
      <c r="B226" s="3" t="str">
        <f>data!B226</f>
        <v>גרקוביץ' דפנה</v>
      </c>
      <c r="C226" s="3">
        <f>data!C226</f>
        <v>47</v>
      </c>
      <c r="D226" s="3" t="str">
        <f>data!F226</f>
        <v>אזרחים</v>
      </c>
      <c r="E226" s="3" t="str">
        <f t="shared" si="1"/>
        <v>adult</v>
      </c>
      <c r="F226" s="3">
        <v>21.0</v>
      </c>
      <c r="G226" s="3" t="s">
        <v>478</v>
      </c>
      <c r="H226" s="1">
        <f t="shared" si="2"/>
        <v>3</v>
      </c>
    </row>
    <row r="227">
      <c r="A227" s="3">
        <f>data!A227</f>
        <v>1547</v>
      </c>
      <c r="B227" s="3" t="str">
        <f>data!B227</f>
        <v>דב רחל (רייצ'ל)</v>
      </c>
      <c r="C227" s="3">
        <f>data!C227</f>
        <v>25</v>
      </c>
      <c r="D227" s="3" t="str">
        <f>data!F227</f>
        <v>אזרחים</v>
      </c>
      <c r="E227" s="3" t="str">
        <f t="shared" si="1"/>
        <v>adult</v>
      </c>
      <c r="F227" s="3">
        <v>21.0</v>
      </c>
      <c r="G227" s="3" t="s">
        <v>478</v>
      </c>
      <c r="H227" s="1">
        <f t="shared" si="2"/>
        <v>3</v>
      </c>
    </row>
    <row r="228">
      <c r="A228" s="3">
        <f>data!A228</f>
        <v>885</v>
      </c>
      <c r="B228" s="3" t="str">
        <f>data!B228</f>
        <v>דדון אבי</v>
      </c>
      <c r="C228" s="3">
        <f>data!C228</f>
        <v>44</v>
      </c>
      <c r="D228" s="3" t="str">
        <f>data!F228</f>
        <v>אזרחים</v>
      </c>
      <c r="E228" s="3" t="str">
        <f t="shared" si="1"/>
        <v>adult</v>
      </c>
      <c r="F228" s="3">
        <v>21.0</v>
      </c>
      <c r="G228" s="3" t="s">
        <v>478</v>
      </c>
      <c r="H228" s="1">
        <f t="shared" si="2"/>
        <v>3</v>
      </c>
    </row>
    <row r="229">
      <c r="A229" s="3">
        <f>data!A229</f>
        <v>723</v>
      </c>
      <c r="B229" s="3" t="str">
        <f>data!B229</f>
        <v>דהן יצחק איציק</v>
      </c>
      <c r="C229" s="3">
        <f>data!C229</f>
        <v>48</v>
      </c>
      <c r="D229" s="3" t="str">
        <f>data!F229</f>
        <v>אזרחים</v>
      </c>
      <c r="E229" s="3" t="str">
        <f t="shared" si="1"/>
        <v>adult</v>
      </c>
      <c r="F229" s="3">
        <v>21.0</v>
      </c>
      <c r="G229" s="3" t="s">
        <v>478</v>
      </c>
      <c r="H229" s="1">
        <f t="shared" si="2"/>
        <v>3</v>
      </c>
    </row>
    <row r="230">
      <c r="A230" s="3">
        <f>data!A230</f>
        <v>728</v>
      </c>
      <c r="B230" s="3" t="str">
        <f>data!B230</f>
        <v>דוד הודיה</v>
      </c>
      <c r="C230" s="3">
        <f>data!C230</f>
        <v>27</v>
      </c>
      <c r="D230" s="3" t="str">
        <f>data!F230</f>
        <v>אזרחים</v>
      </c>
      <c r="E230" s="3" t="str">
        <f t="shared" si="1"/>
        <v>adult</v>
      </c>
      <c r="F230" s="3">
        <v>21.0</v>
      </c>
      <c r="G230" s="3" t="s">
        <v>478</v>
      </c>
      <c r="H230" s="1">
        <f t="shared" si="2"/>
        <v>3</v>
      </c>
    </row>
    <row r="231">
      <c r="A231" s="3">
        <f>data!A231</f>
        <v>1534</v>
      </c>
      <c r="B231" s="3" t="str">
        <f>data!B231</f>
        <v>דוד עמית יצחק</v>
      </c>
      <c r="C231" s="3">
        <f>data!C231</f>
        <v>24</v>
      </c>
      <c r="D231" s="3" t="str">
        <f>data!F231</f>
        <v>אזרחים</v>
      </c>
      <c r="E231" s="3" t="str">
        <f t="shared" si="1"/>
        <v>adult</v>
      </c>
      <c r="F231" s="3">
        <v>21.0</v>
      </c>
      <c r="G231" s="3" t="s">
        <v>478</v>
      </c>
      <c r="H231" s="1">
        <f t="shared" si="2"/>
        <v>3</v>
      </c>
    </row>
    <row r="232">
      <c r="A232" s="3">
        <f>data!A232</f>
        <v>729</v>
      </c>
      <c r="B232" s="3" t="str">
        <f>data!B232</f>
        <v>דוד תאיר</v>
      </c>
      <c r="C232" s="3">
        <f>data!C232</f>
        <v>24</v>
      </c>
      <c r="D232" s="3" t="str">
        <f>data!F232</f>
        <v>אזרחים</v>
      </c>
      <c r="E232" s="3" t="str">
        <f t="shared" si="1"/>
        <v>adult</v>
      </c>
      <c r="F232" s="3">
        <v>21.0</v>
      </c>
      <c r="G232" s="3" t="s">
        <v>478</v>
      </c>
      <c r="H232" s="1">
        <f t="shared" si="2"/>
        <v>3</v>
      </c>
    </row>
    <row r="233">
      <c r="A233" s="3">
        <f>data!A233</f>
        <v>1549</v>
      </c>
      <c r="B233" s="3" t="str">
        <f>data!B233</f>
        <v>דוידוב קרינה אלה</v>
      </c>
      <c r="C233" s="3">
        <f>data!C233</f>
        <v>30</v>
      </c>
      <c r="D233" s="3" t="str">
        <f>data!F233</f>
        <v>אזרחים</v>
      </c>
      <c r="E233" s="3" t="str">
        <f t="shared" si="1"/>
        <v>adult</v>
      </c>
      <c r="F233" s="3">
        <v>21.0</v>
      </c>
      <c r="G233" s="3" t="s">
        <v>478</v>
      </c>
      <c r="H233" s="1">
        <f t="shared" si="2"/>
        <v>3</v>
      </c>
    </row>
    <row r="234">
      <c r="A234" s="3">
        <f>data!A234</f>
        <v>730</v>
      </c>
      <c r="B234" s="3" t="str">
        <f>data!B234</f>
        <v>דוידי ברק</v>
      </c>
      <c r="C234" s="3">
        <f>data!C234</f>
        <v>28</v>
      </c>
      <c r="D234" s="3" t="str">
        <f>data!F234</f>
        <v>אזרחים</v>
      </c>
      <c r="E234" s="3" t="str">
        <f t="shared" si="1"/>
        <v>adult</v>
      </c>
      <c r="F234" s="3">
        <v>21.0</v>
      </c>
      <c r="G234" s="3" t="s">
        <v>478</v>
      </c>
      <c r="H234" s="1">
        <f t="shared" si="2"/>
        <v>3</v>
      </c>
    </row>
    <row r="235">
      <c r="A235" s="3">
        <f>data!A235</f>
        <v>731</v>
      </c>
      <c r="B235" s="3" t="str">
        <f>data!B235</f>
        <v>דויטשוילי שון</v>
      </c>
      <c r="C235" s="3">
        <f>data!C235</f>
        <v>25</v>
      </c>
      <c r="D235" s="3" t="str">
        <f>data!F235</f>
        <v>אזרחים</v>
      </c>
      <c r="E235" s="3" t="str">
        <f t="shared" si="1"/>
        <v>adult</v>
      </c>
      <c r="F235" s="3">
        <v>21.0</v>
      </c>
      <c r="G235" s="3" t="s">
        <v>478</v>
      </c>
      <c r="H235" s="1">
        <f t="shared" si="2"/>
        <v>3</v>
      </c>
    </row>
    <row r="236">
      <c r="A236" s="3">
        <f>data!A236</f>
        <v>1299</v>
      </c>
      <c r="B236" s="3" t="str">
        <f>data!B236</f>
        <v>דור עידן</v>
      </c>
      <c r="C236" s="3">
        <f>data!C236</f>
        <v>25</v>
      </c>
      <c r="D236" s="3" t="str">
        <f>data!F236</f>
        <v>אזרחים</v>
      </c>
      <c r="E236" s="3" t="str">
        <f t="shared" si="1"/>
        <v>adult</v>
      </c>
      <c r="F236" s="3">
        <v>21.0</v>
      </c>
      <c r="G236" s="3" t="s">
        <v>478</v>
      </c>
      <c r="H236" s="1">
        <f t="shared" si="2"/>
        <v>3</v>
      </c>
    </row>
    <row r="237">
      <c r="A237" s="3">
        <f>data!A237</f>
        <v>1619</v>
      </c>
      <c r="B237" s="3" t="str">
        <f>data!B237</f>
        <v>דייטשמן רונן</v>
      </c>
      <c r="C237" s="3">
        <f>data!C237</f>
        <v>49</v>
      </c>
      <c r="D237" s="3" t="str">
        <f>data!F237</f>
        <v>אזרחים</v>
      </c>
      <c r="E237" s="3" t="str">
        <f t="shared" si="1"/>
        <v>adult</v>
      </c>
      <c r="F237" s="3">
        <v>21.0</v>
      </c>
      <c r="G237" s="3" t="s">
        <v>478</v>
      </c>
      <c r="H237" s="1">
        <f t="shared" si="2"/>
        <v>3</v>
      </c>
    </row>
    <row r="238">
      <c r="A238" s="3">
        <f>data!A238</f>
        <v>1457</v>
      </c>
      <c r="B238" s="3" t="str">
        <f>data!B238</f>
        <v>דמרי דן</v>
      </c>
      <c r="C238" s="3">
        <f>data!C238</f>
        <v>21</v>
      </c>
      <c r="D238" s="3" t="str">
        <f>data!F238</f>
        <v>אזרחים</v>
      </c>
      <c r="E238" s="3" t="str">
        <f t="shared" si="1"/>
        <v>adult</v>
      </c>
      <c r="F238" s="3">
        <v>21.0</v>
      </c>
      <c r="G238" s="3" t="s">
        <v>478</v>
      </c>
      <c r="H238" s="1">
        <f t="shared" si="2"/>
        <v>3</v>
      </c>
    </row>
    <row r="239">
      <c r="A239" s="3">
        <f>data!A239</f>
        <v>724</v>
      </c>
      <c r="B239" s="3" t="str">
        <f>data!B239</f>
        <v>דמתי קים</v>
      </c>
      <c r="C239" s="3">
        <f>data!C239</f>
        <v>22</v>
      </c>
      <c r="D239" s="3" t="str">
        <f>data!F239</f>
        <v>אזרחים</v>
      </c>
      <c r="E239" s="3" t="str">
        <f t="shared" si="1"/>
        <v>adult</v>
      </c>
      <c r="F239" s="3">
        <v>21.0</v>
      </c>
      <c r="G239" s="3" t="s">
        <v>478</v>
      </c>
      <c r="H239" s="1">
        <f t="shared" si="2"/>
        <v>3</v>
      </c>
    </row>
    <row r="240">
      <c r="A240" s="3">
        <f>data!A240</f>
        <v>725</v>
      </c>
      <c r="B240" s="3" t="str">
        <f>data!B240</f>
        <v>דנגורי גל</v>
      </c>
      <c r="C240" s="3">
        <f>data!C240</f>
        <v>23</v>
      </c>
      <c r="D240" s="3" t="str">
        <f>data!F240</f>
        <v>אזרחים</v>
      </c>
      <c r="E240" s="3" t="str">
        <f t="shared" si="1"/>
        <v>adult</v>
      </c>
      <c r="F240" s="3">
        <v>21.0</v>
      </c>
      <c r="G240" s="3" t="s">
        <v>478</v>
      </c>
      <c r="H240" s="1">
        <f t="shared" si="2"/>
        <v>3</v>
      </c>
    </row>
    <row r="241">
      <c r="A241" s="3">
        <f>data!A241</f>
        <v>727</v>
      </c>
      <c r="B241" s="3" t="str">
        <f>data!B241</f>
        <v>דפני לין</v>
      </c>
      <c r="C241" s="3">
        <f>data!C241</f>
        <v>22</v>
      </c>
      <c r="D241" s="3" t="str">
        <f>data!F241</f>
        <v>אזרחים</v>
      </c>
      <c r="E241" s="3" t="str">
        <f t="shared" si="1"/>
        <v>adult</v>
      </c>
      <c r="F241" s="3">
        <v>21.0</v>
      </c>
      <c r="G241" s="3" t="s">
        <v>478</v>
      </c>
      <c r="H241" s="1">
        <f t="shared" si="2"/>
        <v>3</v>
      </c>
    </row>
    <row r="242">
      <c r="A242" s="3">
        <f>data!A242</f>
        <v>902</v>
      </c>
      <c r="B242" s="3" t="str">
        <f>data!B242</f>
        <v>הירש (אוזן) שרון</v>
      </c>
      <c r="C242" s="3">
        <f>data!C242</f>
        <v>46</v>
      </c>
      <c r="D242" s="3" t="str">
        <f>data!F242</f>
        <v>אזרחים</v>
      </c>
      <c r="E242" s="3" t="str">
        <f t="shared" si="1"/>
        <v>adult</v>
      </c>
      <c r="F242" s="3">
        <v>21.0</v>
      </c>
      <c r="G242" s="3" t="s">
        <v>478</v>
      </c>
      <c r="H242" s="1">
        <f t="shared" si="2"/>
        <v>3</v>
      </c>
    </row>
    <row r="243">
      <c r="A243" s="3">
        <f>data!A243</f>
        <v>769</v>
      </c>
      <c r="B243" s="3" t="str">
        <f>data!B243</f>
        <v>הלוי אביעד</v>
      </c>
      <c r="C243" s="3">
        <f>data!C243</f>
        <v>29</v>
      </c>
      <c r="D243" s="3" t="str">
        <f>data!F243</f>
        <v>אזרחים</v>
      </c>
      <c r="E243" s="3" t="str">
        <f t="shared" si="1"/>
        <v>adult</v>
      </c>
      <c r="F243" s="3">
        <v>21.0</v>
      </c>
      <c r="G243" s="3" t="s">
        <v>478</v>
      </c>
      <c r="H243" s="1">
        <f t="shared" si="2"/>
        <v>3</v>
      </c>
    </row>
    <row r="244">
      <c r="A244" s="3">
        <f>data!A244</f>
        <v>1424</v>
      </c>
      <c r="B244" s="3" t="str">
        <f>data!B244</f>
        <v>הרמן עידן</v>
      </c>
      <c r="C244" s="3">
        <f>data!C244</f>
        <v>26</v>
      </c>
      <c r="D244" s="3" t="str">
        <f>data!F244</f>
        <v>אזרחים</v>
      </c>
      <c r="E244" s="3" t="str">
        <f t="shared" si="1"/>
        <v>adult</v>
      </c>
      <c r="F244" s="3">
        <v>21.0</v>
      </c>
      <c r="G244" s="3" t="s">
        <v>478</v>
      </c>
      <c r="H244" s="1">
        <f t="shared" si="2"/>
        <v>3</v>
      </c>
    </row>
    <row r="245">
      <c r="A245" s="3">
        <f>data!A245</f>
        <v>896</v>
      </c>
      <c r="B245" s="3" t="str">
        <f>data!B245</f>
        <v>הרמתי עידן</v>
      </c>
      <c r="C245" s="3">
        <f>data!C245</f>
        <v>22</v>
      </c>
      <c r="D245" s="3" t="str">
        <f>data!F245</f>
        <v>אזרחים</v>
      </c>
      <c r="E245" s="3" t="str">
        <f t="shared" si="1"/>
        <v>adult</v>
      </c>
      <c r="F245" s="3">
        <v>21.0</v>
      </c>
      <c r="G245" s="3" t="s">
        <v>478</v>
      </c>
      <c r="H245" s="1">
        <f t="shared" si="2"/>
        <v>3</v>
      </c>
    </row>
    <row r="246">
      <c r="A246" s="3">
        <f>data!A246</f>
        <v>1358</v>
      </c>
      <c r="B246" s="3" t="str">
        <f>data!B246</f>
        <v>ואקנין פרמוטר לימור</v>
      </c>
      <c r="C246" s="3">
        <f>data!C246</f>
        <v>49</v>
      </c>
      <c r="D246" s="3" t="str">
        <f>data!F246</f>
        <v>אזרחים</v>
      </c>
      <c r="E246" s="3" t="str">
        <f t="shared" si="1"/>
        <v>adult</v>
      </c>
      <c r="F246" s="3">
        <v>21.0</v>
      </c>
      <c r="G246" s="3" t="s">
        <v>478</v>
      </c>
      <c r="H246" s="1">
        <f t="shared" si="2"/>
        <v>3</v>
      </c>
    </row>
    <row r="247">
      <c r="A247" s="3">
        <f>data!A247</f>
        <v>951</v>
      </c>
      <c r="B247" s="3" t="str">
        <f>data!B247</f>
        <v>ודעי דניאל מאיר</v>
      </c>
      <c r="C247" s="3">
        <f>data!C247</f>
        <v>26</v>
      </c>
      <c r="D247" s="3" t="str">
        <f>data!F247</f>
        <v>אזרחים</v>
      </c>
      <c r="E247" s="3" t="str">
        <f t="shared" si="1"/>
        <v>adult</v>
      </c>
      <c r="F247" s="3">
        <v>21.0</v>
      </c>
      <c r="G247" s="3" t="s">
        <v>478</v>
      </c>
      <c r="H247" s="1">
        <f t="shared" si="2"/>
        <v>3</v>
      </c>
    </row>
    <row r="248">
      <c r="A248" s="3">
        <f>data!A248</f>
        <v>892</v>
      </c>
      <c r="B248" s="3" t="str">
        <f>data!B248</f>
        <v>והדי משה</v>
      </c>
      <c r="C248" s="3">
        <f>data!C248</f>
        <v>37</v>
      </c>
      <c r="D248" s="3" t="str">
        <f>data!F248</f>
        <v>אזרחים</v>
      </c>
      <c r="E248" s="3" t="str">
        <f t="shared" si="1"/>
        <v>adult</v>
      </c>
      <c r="F248" s="3">
        <v>21.0</v>
      </c>
      <c r="G248" s="3" t="s">
        <v>478</v>
      </c>
      <c r="H248" s="1">
        <f t="shared" si="2"/>
        <v>3</v>
      </c>
    </row>
    <row r="249">
      <c r="A249" s="3">
        <f>data!A249</f>
        <v>959</v>
      </c>
      <c r="B249" s="3" t="str">
        <f>data!B249</f>
        <v>וולדמן דניאל</v>
      </c>
      <c r="C249" s="3">
        <f>data!C249</f>
        <v>24</v>
      </c>
      <c r="D249" s="3" t="str">
        <f>data!F249</f>
        <v>אזרחים</v>
      </c>
      <c r="E249" s="3" t="str">
        <f t="shared" si="1"/>
        <v>adult</v>
      </c>
      <c r="F249" s="3">
        <v>21.0</v>
      </c>
      <c r="G249" s="3" t="s">
        <v>478</v>
      </c>
      <c r="H249" s="1">
        <f t="shared" si="2"/>
        <v>3</v>
      </c>
    </row>
    <row r="250">
      <c r="A250" s="3">
        <f>data!A250</f>
        <v>958</v>
      </c>
      <c r="B250" s="3" t="str">
        <f>data!B250</f>
        <v>ויגדרגאוז (דובז'נקו) סיימון</v>
      </c>
      <c r="C250" s="3">
        <f>data!C250</f>
        <v>21</v>
      </c>
      <c r="D250" s="3" t="str">
        <f>data!F250</f>
        <v>אזרחים</v>
      </c>
      <c r="E250" s="3" t="str">
        <f t="shared" si="1"/>
        <v>adult</v>
      </c>
      <c r="F250" s="3">
        <v>21.0</v>
      </c>
      <c r="G250" s="3" t="s">
        <v>478</v>
      </c>
      <c r="H250" s="1">
        <f t="shared" si="2"/>
        <v>3</v>
      </c>
    </row>
    <row r="251">
      <c r="A251" s="3">
        <f>data!A251</f>
        <v>1493</v>
      </c>
      <c r="B251" s="3" t="str">
        <f>data!B251</f>
        <v>ויינברג רון</v>
      </c>
      <c r="C251" s="3">
        <f>data!C251</f>
        <v>24</v>
      </c>
      <c r="D251" s="3" t="str">
        <f>data!F251</f>
        <v>אזרחים</v>
      </c>
      <c r="E251" s="3" t="str">
        <f t="shared" si="1"/>
        <v>adult</v>
      </c>
      <c r="F251" s="3">
        <v>21.0</v>
      </c>
      <c r="G251" s="3" t="s">
        <v>478</v>
      </c>
      <c r="H251" s="1">
        <f t="shared" si="2"/>
        <v>3</v>
      </c>
    </row>
    <row r="252">
      <c r="A252" s="3">
        <f>data!A252</f>
        <v>1507</v>
      </c>
      <c r="B252" s="3" t="str">
        <f>data!B252</f>
        <v>ויינשטיין ליאל</v>
      </c>
      <c r="C252" s="3">
        <f>data!C252</f>
        <v>19</v>
      </c>
      <c r="D252" s="3" t="str">
        <f>data!F252</f>
        <v>צה"ל</v>
      </c>
      <c r="E252" s="3" t="str">
        <f t="shared" si="1"/>
        <v>adult</v>
      </c>
      <c r="F252" s="3">
        <v>21.0</v>
      </c>
      <c r="G252" s="3" t="s">
        <v>478</v>
      </c>
      <c r="H252" s="1">
        <f t="shared" si="2"/>
        <v>3</v>
      </c>
    </row>
    <row r="253">
      <c r="A253" s="3">
        <f>data!A253</f>
        <v>954</v>
      </c>
      <c r="B253" s="3" t="str">
        <f>data!B253</f>
        <v>ולאנו פונטס ברונה</v>
      </c>
      <c r="C253" s="3">
        <f>data!C253</f>
        <v>24</v>
      </c>
      <c r="D253" s="3" t="str">
        <f>data!F253</f>
        <v>אזרחים</v>
      </c>
      <c r="E253" s="3" t="str">
        <f t="shared" si="1"/>
        <v>adult</v>
      </c>
      <c r="F253" s="3">
        <v>21.0</v>
      </c>
      <c r="G253" s="3" t="s">
        <v>478</v>
      </c>
      <c r="H253" s="1">
        <f t="shared" si="2"/>
        <v>3</v>
      </c>
    </row>
    <row r="254">
      <c r="A254" s="3">
        <f>data!A254</f>
        <v>953</v>
      </c>
      <c r="B254" s="3" t="str">
        <f>data!B254</f>
        <v>וקנין אושר</v>
      </c>
      <c r="C254" s="3">
        <f>data!C254</f>
        <v>35</v>
      </c>
      <c r="D254" s="3" t="str">
        <f>data!F254</f>
        <v>אזרחים</v>
      </c>
      <c r="E254" s="3" t="str">
        <f t="shared" si="1"/>
        <v>adult</v>
      </c>
      <c r="F254" s="3">
        <v>21.0</v>
      </c>
      <c r="G254" s="3" t="s">
        <v>478</v>
      </c>
      <c r="H254" s="1">
        <f t="shared" si="2"/>
        <v>3</v>
      </c>
    </row>
    <row r="255">
      <c r="A255" s="3">
        <f>data!A255</f>
        <v>952</v>
      </c>
      <c r="B255" s="3" t="str">
        <f>data!B255</f>
        <v>וקנין מיכאל</v>
      </c>
      <c r="C255" s="3">
        <f>data!C255</f>
        <v>35</v>
      </c>
      <c r="D255" s="3" t="str">
        <f>data!F255</f>
        <v>אזרחים</v>
      </c>
      <c r="E255" s="3" t="str">
        <f t="shared" si="1"/>
        <v>adult</v>
      </c>
      <c r="F255" s="3">
        <v>21.0</v>
      </c>
      <c r="G255" s="3" t="s">
        <v>18</v>
      </c>
      <c r="H255" s="1">
        <f t="shared" si="2"/>
        <v>3</v>
      </c>
    </row>
    <row r="256">
      <c r="A256" s="3">
        <f>data!A256</f>
        <v>960</v>
      </c>
      <c r="B256" s="3" t="str">
        <f>data!B256</f>
        <v>ורבר אלון</v>
      </c>
      <c r="C256" s="3">
        <f>data!C256</f>
        <v>26</v>
      </c>
      <c r="D256" s="3" t="str">
        <f>data!F256</f>
        <v>אזרחים</v>
      </c>
      <c r="E256" s="3" t="str">
        <f t="shared" si="1"/>
        <v>adult</v>
      </c>
      <c r="F256" s="3">
        <v>21.0</v>
      </c>
      <c r="G256" s="3" t="s">
        <v>169</v>
      </c>
      <c r="H256" s="1">
        <f t="shared" si="2"/>
        <v>3</v>
      </c>
    </row>
    <row r="257">
      <c r="A257" s="3">
        <f>data!A257</f>
        <v>955</v>
      </c>
      <c r="B257" s="3" t="str">
        <f>data!B257</f>
        <v>ורדי לורי</v>
      </c>
      <c r="C257" s="3">
        <f>data!C257</f>
        <v>24</v>
      </c>
      <c r="D257" s="3" t="str">
        <f>data!F257</f>
        <v>אזרחים</v>
      </c>
      <c r="E257" s="3" t="str">
        <f t="shared" si="1"/>
        <v>adult</v>
      </c>
      <c r="F257" s="3">
        <v>21.0</v>
      </c>
      <c r="G257" s="3" t="s">
        <v>478</v>
      </c>
      <c r="H257" s="1">
        <f t="shared" si="2"/>
        <v>3</v>
      </c>
    </row>
    <row r="258">
      <c r="A258" s="3">
        <f>data!A258</f>
        <v>957</v>
      </c>
      <c r="B258" s="3" t="str">
        <f>data!B258</f>
        <v>ורניקוב קרין</v>
      </c>
      <c r="C258" s="3">
        <f>data!C258</f>
        <v>22</v>
      </c>
      <c r="D258" s="3" t="str">
        <f>data!F258</f>
        <v>אזרחים</v>
      </c>
      <c r="E258" s="3" t="str">
        <f t="shared" si="1"/>
        <v>adult</v>
      </c>
      <c r="F258" s="3">
        <v>21.0</v>
      </c>
      <c r="G258" s="3" t="s">
        <v>478</v>
      </c>
      <c r="H258" s="1">
        <f t="shared" si="2"/>
        <v>3</v>
      </c>
    </row>
    <row r="259">
      <c r="A259" s="3">
        <f>data!A259</f>
        <v>779</v>
      </c>
      <c r="B259" s="3" t="str">
        <f>data!B259</f>
        <v>ז'ורנו קארין</v>
      </c>
      <c r="C259" s="3">
        <f>data!C259</f>
        <v>24</v>
      </c>
      <c r="D259" s="3" t="str">
        <f>data!F259</f>
        <v>אזרחים</v>
      </c>
      <c r="E259" s="3" t="str">
        <f t="shared" si="1"/>
        <v>adult</v>
      </c>
      <c r="F259" s="3">
        <v>21.0</v>
      </c>
      <c r="G259" s="3" t="s">
        <v>478</v>
      </c>
      <c r="H259" s="1">
        <f t="shared" si="2"/>
        <v>3</v>
      </c>
    </row>
    <row r="260">
      <c r="A260" s="3">
        <f>data!A260</f>
        <v>1486</v>
      </c>
      <c r="B260" s="3" t="str">
        <f>data!B260</f>
        <v>זגדון רינת הודיה</v>
      </c>
      <c r="C260" s="3">
        <f>data!C260</f>
        <v>23</v>
      </c>
      <c r="D260" s="3" t="str">
        <f>data!F260</f>
        <v>אזרחים</v>
      </c>
      <c r="E260" s="3" t="str">
        <f t="shared" si="1"/>
        <v>adult</v>
      </c>
      <c r="F260" s="3">
        <v>22.0</v>
      </c>
      <c r="G260" s="3" t="s">
        <v>169</v>
      </c>
      <c r="H260" s="1">
        <f t="shared" si="2"/>
        <v>3</v>
      </c>
    </row>
    <row r="261">
      <c r="A261" s="3">
        <f>data!A261</f>
        <v>1621</v>
      </c>
      <c r="B261" s="3" t="str">
        <f>data!B261</f>
        <v>זוארמן מוטי (מרדכי)</v>
      </c>
      <c r="C261" s="3">
        <f>data!C261</f>
        <v>74</v>
      </c>
      <c r="D261" s="3" t="str">
        <f>data!F261</f>
        <v>אזרחים</v>
      </c>
      <c r="E261" s="3" t="str">
        <f t="shared" si="1"/>
        <v>senior</v>
      </c>
      <c r="F261" s="3">
        <v>22.0</v>
      </c>
      <c r="G261" s="3" t="s">
        <v>18</v>
      </c>
      <c r="H261" s="1">
        <f t="shared" si="2"/>
        <v>3</v>
      </c>
    </row>
    <row r="262">
      <c r="A262" s="3">
        <f>data!A262</f>
        <v>970</v>
      </c>
      <c r="B262" s="3" t="str">
        <f>data!B262</f>
        <v>זהר בר</v>
      </c>
      <c r="C262" s="3">
        <f>data!C262</f>
        <v>23</v>
      </c>
      <c r="D262" s="3" t="str">
        <f>data!F262</f>
        <v>אזרחים</v>
      </c>
      <c r="E262" s="3" t="str">
        <f t="shared" si="1"/>
        <v>adult</v>
      </c>
      <c r="F262" s="3">
        <v>22.0</v>
      </c>
      <c r="G262" s="3" t="s">
        <v>18</v>
      </c>
      <c r="H262" s="1">
        <f t="shared" si="2"/>
        <v>3</v>
      </c>
    </row>
    <row r="263">
      <c r="A263" s="3">
        <f>data!A263</f>
        <v>1622</v>
      </c>
      <c r="B263" s="3" t="str">
        <f>data!B263</f>
        <v>זיו אור</v>
      </c>
      <c r="C263" s="3">
        <f>data!C263</f>
        <v>24</v>
      </c>
      <c r="D263" s="3" t="str">
        <f>data!F263</f>
        <v>אזרחים</v>
      </c>
      <c r="E263" s="3" t="str">
        <f t="shared" si="1"/>
        <v>adult</v>
      </c>
      <c r="F263" s="3">
        <v>22.0</v>
      </c>
      <c r="G263" s="3" t="s">
        <v>18</v>
      </c>
      <c r="H263" s="1">
        <f t="shared" si="2"/>
        <v>3</v>
      </c>
    </row>
    <row r="264">
      <c r="A264" s="3">
        <f>data!A264</f>
        <v>852</v>
      </c>
      <c r="B264" s="3" t="str">
        <f>data!B264</f>
        <v>זיידמן יונתן (ג'וני)</v>
      </c>
      <c r="C264" s="3">
        <f>data!C264</f>
        <v>26</v>
      </c>
      <c r="D264" s="3" t="str">
        <f>data!F264</f>
        <v>אזרחים</v>
      </c>
      <c r="E264" s="3" t="str">
        <f t="shared" si="1"/>
        <v>adult</v>
      </c>
      <c r="F264" s="3">
        <v>22.0</v>
      </c>
      <c r="G264" s="3" t="s">
        <v>18</v>
      </c>
      <c r="H264" s="1">
        <f t="shared" si="2"/>
        <v>3</v>
      </c>
    </row>
    <row r="265">
      <c r="A265" s="3">
        <f>data!A265</f>
        <v>1426</v>
      </c>
      <c r="B265" s="3" t="str">
        <f>data!B265</f>
        <v>זנדר נועה</v>
      </c>
      <c r="C265" s="3">
        <f>data!C265</f>
        <v>22</v>
      </c>
      <c r="D265" s="3" t="str">
        <f>data!F265</f>
        <v>אזרחים</v>
      </c>
      <c r="E265" s="3" t="str">
        <f t="shared" si="1"/>
        <v>adult</v>
      </c>
      <c r="F265" s="3">
        <v>22.0</v>
      </c>
      <c r="G265" s="3" t="s">
        <v>18</v>
      </c>
      <c r="H265" s="1">
        <f t="shared" si="2"/>
        <v>3</v>
      </c>
    </row>
    <row r="266">
      <c r="A266" s="3">
        <f>data!A266</f>
        <v>901</v>
      </c>
      <c r="B266" s="3" t="str">
        <f>data!B266</f>
        <v>זנטי מתן</v>
      </c>
      <c r="C266" s="3">
        <f>data!C266</f>
        <v>23</v>
      </c>
      <c r="D266" s="3" t="str">
        <f>data!F266</f>
        <v>אזרחים</v>
      </c>
      <c r="E266" s="3" t="str">
        <f t="shared" si="1"/>
        <v>adult</v>
      </c>
      <c r="F266" s="3">
        <v>22.0</v>
      </c>
      <c r="G266" s="3" t="s">
        <v>18</v>
      </c>
      <c r="H266" s="1">
        <f t="shared" si="2"/>
        <v>3</v>
      </c>
    </row>
    <row r="267">
      <c r="A267" s="3">
        <f>data!A267</f>
        <v>967</v>
      </c>
      <c r="B267" s="3" t="str">
        <f>data!B267</f>
        <v>זפרני איתי</v>
      </c>
      <c r="C267" s="3">
        <f>data!C267</f>
        <v>35</v>
      </c>
      <c r="D267" s="3" t="str">
        <f>data!F267</f>
        <v>אזרחים</v>
      </c>
      <c r="E267" s="3" t="str">
        <f t="shared" si="1"/>
        <v>adult</v>
      </c>
      <c r="F267" s="3">
        <v>22.0</v>
      </c>
      <c r="G267" s="3" t="s">
        <v>18</v>
      </c>
      <c r="H267" s="1">
        <f t="shared" si="2"/>
        <v>3</v>
      </c>
    </row>
    <row r="268">
      <c r="A268" s="3">
        <f>data!A268</f>
        <v>919</v>
      </c>
      <c r="B268" s="3" t="str">
        <f>data!B268</f>
        <v>חבני שקד</v>
      </c>
      <c r="C268" s="3">
        <f>data!C268</f>
        <v>22</v>
      </c>
      <c r="D268" s="3" t="str">
        <f>data!F268</f>
        <v>אזרחים</v>
      </c>
      <c r="E268" s="3" t="str">
        <f t="shared" si="1"/>
        <v>adult</v>
      </c>
      <c r="F268" s="3">
        <v>22.0</v>
      </c>
      <c r="G268" s="3" t="s">
        <v>18</v>
      </c>
      <c r="H268" s="1">
        <f t="shared" si="2"/>
        <v>3</v>
      </c>
    </row>
    <row r="269">
      <c r="A269" s="3">
        <f>data!A269</f>
        <v>768</v>
      </c>
      <c r="B269" s="3" t="str">
        <f>data!B269</f>
        <v>חג'בי זיו</v>
      </c>
      <c r="C269" s="3">
        <f>data!C269</f>
        <v>29</v>
      </c>
      <c r="D269" s="3" t="str">
        <f>data!F269</f>
        <v>אזרחים</v>
      </c>
      <c r="E269" s="3" t="str">
        <f t="shared" si="1"/>
        <v>adult</v>
      </c>
      <c r="F269" s="3">
        <v>22.0</v>
      </c>
      <c r="G269" s="3" t="s">
        <v>18</v>
      </c>
      <c r="H269" s="1">
        <f t="shared" si="2"/>
        <v>3</v>
      </c>
    </row>
    <row r="270">
      <c r="A270" s="3">
        <f>data!A270</f>
        <v>1453</v>
      </c>
      <c r="B270" s="3" t="str">
        <f>data!B270</f>
        <v>חדד אטיאס ליאור</v>
      </c>
      <c r="C270" s="3">
        <f>data!C270</f>
        <v>36</v>
      </c>
      <c r="D270" s="3" t="str">
        <f>data!F270</f>
        <v>אזרחים</v>
      </c>
      <c r="E270" s="3" t="str">
        <f t="shared" si="1"/>
        <v>adult</v>
      </c>
      <c r="F270" s="3">
        <v>22.0</v>
      </c>
      <c r="G270" s="3" t="s">
        <v>18</v>
      </c>
      <c r="H270" s="1">
        <f t="shared" si="2"/>
        <v>3</v>
      </c>
    </row>
    <row r="271">
      <c r="A271" s="3">
        <f>data!A271</f>
        <v>718</v>
      </c>
      <c r="B271" s="3" t="str">
        <f>data!B271</f>
        <v>חיאל גידי</v>
      </c>
      <c r="C271" s="3">
        <f>data!C271</f>
        <v>24</v>
      </c>
      <c r="D271" s="3" t="str">
        <f>data!F271</f>
        <v>אזרחים</v>
      </c>
      <c r="E271" s="3" t="str">
        <f t="shared" si="1"/>
        <v>adult</v>
      </c>
      <c r="F271" s="3">
        <v>22.0</v>
      </c>
      <c r="G271" s="3" t="s">
        <v>18</v>
      </c>
      <c r="H271" s="1">
        <f t="shared" si="2"/>
        <v>3</v>
      </c>
    </row>
    <row r="272">
      <c r="A272" s="3">
        <f>data!A272</f>
        <v>719</v>
      </c>
      <c r="B272" s="3" t="str">
        <f>data!B272</f>
        <v>חיאל נועה</v>
      </c>
      <c r="C272" s="3">
        <f>data!C272</f>
        <v>27</v>
      </c>
      <c r="D272" s="3" t="str">
        <f>data!F272</f>
        <v>אזרחים</v>
      </c>
      <c r="E272" s="3" t="str">
        <f t="shared" si="1"/>
        <v>adult</v>
      </c>
      <c r="F272" s="3">
        <v>22.0</v>
      </c>
      <c r="G272" s="3" t="s">
        <v>18</v>
      </c>
      <c r="H272" s="1">
        <f t="shared" si="2"/>
        <v>3</v>
      </c>
    </row>
    <row r="273">
      <c r="A273" s="3">
        <f>data!A273</f>
        <v>1728</v>
      </c>
      <c r="B273" s="3" t="str">
        <f>data!B273</f>
        <v>חיים מאיה</v>
      </c>
      <c r="C273" s="3">
        <f>data!C273</f>
        <v>22</v>
      </c>
      <c r="D273" s="3" t="str">
        <f>data!F273</f>
        <v>אזרחים</v>
      </c>
      <c r="E273" s="3" t="str">
        <f t="shared" si="1"/>
        <v>adult</v>
      </c>
      <c r="F273" s="3">
        <v>22.0</v>
      </c>
      <c r="G273" s="3" t="s">
        <v>18</v>
      </c>
      <c r="H273" s="1">
        <f t="shared" si="2"/>
        <v>3</v>
      </c>
    </row>
    <row r="274">
      <c r="A274" s="3">
        <f>data!A274</f>
        <v>770</v>
      </c>
      <c r="B274" s="3" t="str">
        <f>data!B274</f>
        <v>חליפה גאיה</v>
      </c>
      <c r="C274" s="3">
        <f>data!C274</f>
        <v>24</v>
      </c>
      <c r="D274" s="3" t="str">
        <f>data!F274</f>
        <v>אזרחים</v>
      </c>
      <c r="E274" s="3" t="str">
        <f t="shared" si="1"/>
        <v>adult</v>
      </c>
      <c r="F274" s="3">
        <v>22.0</v>
      </c>
      <c r="G274" s="3" t="s">
        <v>18</v>
      </c>
      <c r="H274" s="1">
        <f t="shared" si="2"/>
        <v>3</v>
      </c>
    </row>
    <row r="275">
      <c r="A275" s="3">
        <f>data!A275</f>
        <v>1456</v>
      </c>
      <c r="B275" s="3" t="str">
        <f>data!B275</f>
        <v>חמוי אלה</v>
      </c>
      <c r="C275" s="3">
        <f>data!C275</f>
        <v>26</v>
      </c>
      <c r="D275" s="3" t="str">
        <f>data!F275</f>
        <v>אזרחים</v>
      </c>
      <c r="E275" s="3" t="str">
        <f t="shared" si="1"/>
        <v>adult</v>
      </c>
      <c r="F275" s="3">
        <v>22.0</v>
      </c>
      <c r="G275" s="3" t="s">
        <v>18</v>
      </c>
      <c r="H275" s="1">
        <f t="shared" si="2"/>
        <v>3</v>
      </c>
    </row>
    <row r="276">
      <c r="A276" s="3">
        <f>data!A276</f>
        <v>708</v>
      </c>
      <c r="B276" s="3" t="str">
        <f>data!B276</f>
        <v>חסיד בן בנציון</v>
      </c>
      <c r="C276" s="3">
        <f>data!C276</f>
        <v>23</v>
      </c>
      <c r="D276" s="3" t="str">
        <f>data!F276</f>
        <v>אזרחים</v>
      </c>
      <c r="E276" s="3" t="str">
        <f t="shared" si="1"/>
        <v>adult</v>
      </c>
      <c r="F276" s="3">
        <v>22.0</v>
      </c>
      <c r="G276" s="3" t="s">
        <v>18</v>
      </c>
      <c r="H276" s="1">
        <f t="shared" si="2"/>
        <v>3</v>
      </c>
    </row>
    <row r="277">
      <c r="A277" s="3">
        <f>data!A277</f>
        <v>1302</v>
      </c>
      <c r="B277" s="3" t="str">
        <f>data!B277</f>
        <v>חפץ אריה אריק</v>
      </c>
      <c r="C277" s="3">
        <f>data!C277</f>
        <v>28</v>
      </c>
      <c r="D277" s="3" t="str">
        <f>data!F277</f>
        <v>אזרחים</v>
      </c>
      <c r="E277" s="3" t="str">
        <f t="shared" si="1"/>
        <v>adult</v>
      </c>
      <c r="F277" s="3">
        <v>22.0</v>
      </c>
      <c r="G277" s="3" t="s">
        <v>18</v>
      </c>
      <c r="H277" s="1">
        <f t="shared" si="2"/>
        <v>3</v>
      </c>
    </row>
    <row r="278">
      <c r="A278" s="3">
        <f>data!A278</f>
        <v>875</v>
      </c>
      <c r="B278" s="3" t="str">
        <f>data!B278</f>
        <v>טבגן גולדמן קטרינה (קטיה)</v>
      </c>
      <c r="C278" s="3">
        <f>data!C278</f>
        <v>26</v>
      </c>
      <c r="D278" s="3" t="str">
        <f>data!F278</f>
        <v>אזרחים</v>
      </c>
      <c r="E278" s="3" t="str">
        <f t="shared" si="1"/>
        <v>adult</v>
      </c>
      <c r="F278" s="3">
        <v>22.0</v>
      </c>
      <c r="G278" s="3" t="s">
        <v>18</v>
      </c>
      <c r="H278" s="1">
        <f t="shared" si="2"/>
        <v>3</v>
      </c>
    </row>
    <row r="279">
      <c r="A279" s="3">
        <f>data!A279</f>
        <v>873</v>
      </c>
      <c r="B279" s="3" t="str">
        <f>data!B279</f>
        <v>טמם אדיר</v>
      </c>
      <c r="C279" s="3">
        <f>data!C279</f>
        <v>40</v>
      </c>
      <c r="D279" s="3" t="str">
        <f>data!F279</f>
        <v>אזרחים</v>
      </c>
      <c r="E279" s="3" t="str">
        <f t="shared" si="1"/>
        <v>adult</v>
      </c>
      <c r="F279" s="3">
        <v>22.0</v>
      </c>
      <c r="G279" s="3" t="s">
        <v>18</v>
      </c>
      <c r="H279" s="1">
        <f t="shared" si="2"/>
        <v>3</v>
      </c>
    </row>
    <row r="280">
      <c r="A280" s="3">
        <f>data!A280</f>
        <v>906</v>
      </c>
      <c r="B280" s="3" t="str">
        <f>data!B280</f>
        <v>טקאץ' ליאור</v>
      </c>
      <c r="C280" s="3">
        <f>data!C280</f>
        <v>26</v>
      </c>
      <c r="D280" s="3" t="str">
        <f>data!F280</f>
        <v>אזרחים</v>
      </c>
      <c r="E280" s="3" t="str">
        <f t="shared" si="1"/>
        <v>adult</v>
      </c>
      <c r="F280" s="3">
        <v>22.0</v>
      </c>
      <c r="G280" s="3" t="s">
        <v>18</v>
      </c>
      <c r="H280" s="1">
        <f t="shared" si="2"/>
        <v>3</v>
      </c>
    </row>
    <row r="281">
      <c r="A281" s="3">
        <f>data!A281</f>
        <v>1553</v>
      </c>
      <c r="B281" s="3" t="str">
        <f>data!B281</f>
        <v>טרבלסי מור</v>
      </c>
      <c r="C281" s="3">
        <f>data!C281</f>
        <v>27</v>
      </c>
      <c r="D281" s="3" t="str">
        <f>data!F281</f>
        <v>אזרחים</v>
      </c>
      <c r="E281" s="3" t="str">
        <f t="shared" si="1"/>
        <v>adult</v>
      </c>
      <c r="F281" s="3">
        <v>22.0</v>
      </c>
      <c r="G281" s="3" t="s">
        <v>18</v>
      </c>
      <c r="H281" s="1">
        <f t="shared" si="2"/>
        <v>3</v>
      </c>
    </row>
    <row r="282">
      <c r="A282" s="3">
        <f>data!A282</f>
        <v>966</v>
      </c>
      <c r="B282" s="3" t="str">
        <f>data!B282</f>
        <v>יהודאי רון</v>
      </c>
      <c r="C282" s="3">
        <f>data!C282</f>
        <v>24</v>
      </c>
      <c r="D282" s="3" t="str">
        <f>data!F282</f>
        <v>אזרחים</v>
      </c>
      <c r="E282" s="3" t="str">
        <f t="shared" si="1"/>
        <v>adult</v>
      </c>
      <c r="F282" s="3">
        <v>22.0</v>
      </c>
      <c r="G282" s="3" t="s">
        <v>18</v>
      </c>
      <c r="H282" s="1">
        <f t="shared" si="2"/>
        <v>3</v>
      </c>
    </row>
    <row r="283">
      <c r="A283" s="3">
        <f>data!A283</f>
        <v>1529</v>
      </c>
      <c r="B283" s="3" t="str">
        <f>data!B283</f>
        <v>יעקב אילן משה</v>
      </c>
      <c r="C283" s="3">
        <f>data!C283</f>
        <v>29</v>
      </c>
      <c r="D283" s="3" t="str">
        <f>data!F283</f>
        <v>אזרחים</v>
      </c>
      <c r="E283" s="3" t="str">
        <f t="shared" si="1"/>
        <v>adult</v>
      </c>
      <c r="F283" s="3">
        <v>22.0</v>
      </c>
      <c r="G283" s="3" t="s">
        <v>18</v>
      </c>
      <c r="H283" s="1">
        <f t="shared" si="2"/>
        <v>3</v>
      </c>
    </row>
    <row r="284">
      <c r="A284" s="3">
        <f>data!A284</f>
        <v>962</v>
      </c>
      <c r="B284" s="3" t="str">
        <f>data!B284</f>
        <v>יעקב שהם</v>
      </c>
      <c r="C284" s="3">
        <f>data!C284</f>
        <v>28</v>
      </c>
      <c r="D284" s="3" t="str">
        <f>data!F284</f>
        <v>אזרחים</v>
      </c>
      <c r="E284" s="3" t="str">
        <f t="shared" si="1"/>
        <v>adult</v>
      </c>
      <c r="F284" s="3">
        <v>22.0</v>
      </c>
      <c r="G284" s="3" t="s">
        <v>18</v>
      </c>
      <c r="H284" s="1">
        <f t="shared" si="2"/>
        <v>3</v>
      </c>
    </row>
    <row r="285">
      <c r="A285" s="3">
        <f>data!A285</f>
        <v>1423</v>
      </c>
      <c r="B285" s="3" t="str">
        <f>data!B285</f>
        <v>יעקב שובל</v>
      </c>
      <c r="C285" s="3">
        <f>data!C285</f>
        <v>27</v>
      </c>
      <c r="D285" s="3" t="str">
        <f>data!F285</f>
        <v>אזרחים</v>
      </c>
      <c r="E285" s="3" t="str">
        <f t="shared" si="1"/>
        <v>adult</v>
      </c>
      <c r="F285" s="3">
        <v>22.0</v>
      </c>
      <c r="G285" s="3" t="s">
        <v>18</v>
      </c>
      <c r="H285" s="1">
        <f t="shared" si="2"/>
        <v>3</v>
      </c>
    </row>
    <row r="286">
      <c r="A286" s="3">
        <f>data!A286</f>
        <v>1427</v>
      </c>
      <c r="B286" s="3" t="str">
        <f>data!B286</f>
        <v>יעקב שנהב</v>
      </c>
      <c r="C286" s="3">
        <f>data!C286</f>
        <v>26</v>
      </c>
      <c r="D286" s="3" t="str">
        <f>data!F286</f>
        <v>אזרחים</v>
      </c>
      <c r="E286" s="3" t="str">
        <f t="shared" si="1"/>
        <v>adult</v>
      </c>
      <c r="F286" s="3">
        <v>22.0</v>
      </c>
      <c r="G286" s="3" t="s">
        <v>18</v>
      </c>
      <c r="H286" s="1">
        <f t="shared" si="2"/>
        <v>3</v>
      </c>
    </row>
    <row r="287">
      <c r="A287" s="3">
        <f>data!A287</f>
        <v>961</v>
      </c>
      <c r="B287" s="3" t="str">
        <f>data!B287</f>
        <v>יעקובוב סאן אמנון</v>
      </c>
      <c r="C287" s="3">
        <f>data!C287</f>
        <v>22</v>
      </c>
      <c r="D287" s="3" t="str">
        <f>data!F287</f>
        <v>אזרחים</v>
      </c>
      <c r="E287" s="3" t="str">
        <f t="shared" si="1"/>
        <v>adult</v>
      </c>
      <c r="F287" s="3">
        <v>22.0</v>
      </c>
      <c r="G287" s="3" t="s">
        <v>18</v>
      </c>
      <c r="H287" s="1">
        <f t="shared" si="2"/>
        <v>3</v>
      </c>
    </row>
    <row r="288">
      <c r="A288" s="3">
        <f>data!A288</f>
        <v>777</v>
      </c>
      <c r="B288" s="3" t="str">
        <f>data!B288</f>
        <v>יצחקי מאי</v>
      </c>
      <c r="C288" s="3">
        <f>data!C288</f>
        <v>25</v>
      </c>
      <c r="D288" s="3" t="str">
        <f>data!F288</f>
        <v>אזרחים</v>
      </c>
      <c r="E288" s="3" t="str">
        <f t="shared" si="1"/>
        <v>adult</v>
      </c>
      <c r="F288" s="3">
        <v>22.0</v>
      </c>
      <c r="G288" s="3" t="s">
        <v>18</v>
      </c>
      <c r="H288" s="1">
        <f t="shared" si="2"/>
        <v>3</v>
      </c>
    </row>
    <row r="289">
      <c r="A289" s="3">
        <f>data!A289</f>
        <v>874</v>
      </c>
      <c r="B289" s="3" t="str">
        <f>data!B289</f>
        <v>ישמרני (טמם) שירז שירן</v>
      </c>
      <c r="C289" s="3">
        <f>data!C289</f>
        <v>38</v>
      </c>
      <c r="D289" s="3" t="str">
        <f>data!F289</f>
        <v>אזרחים</v>
      </c>
      <c r="E289" s="3" t="str">
        <f t="shared" si="1"/>
        <v>adult</v>
      </c>
      <c r="F289" s="3">
        <v>22.0</v>
      </c>
      <c r="G289" s="3" t="s">
        <v>18</v>
      </c>
      <c r="H289" s="1">
        <f t="shared" si="2"/>
        <v>3</v>
      </c>
    </row>
    <row r="290">
      <c r="A290" s="3">
        <f>data!A290</f>
        <v>1572</v>
      </c>
      <c r="B290" s="3" t="str">
        <f>data!B290</f>
        <v>כהן אברהם נריה</v>
      </c>
      <c r="C290" s="3">
        <f>data!C290</f>
        <v>20</v>
      </c>
      <c r="D290" s="3" t="str">
        <f>data!F290</f>
        <v>צה"ל</v>
      </c>
      <c r="E290" s="3" t="str">
        <f t="shared" si="1"/>
        <v>adult</v>
      </c>
      <c r="F290" s="3">
        <v>22.0</v>
      </c>
      <c r="G290" s="3" t="s">
        <v>478</v>
      </c>
      <c r="H290" s="1">
        <f t="shared" si="2"/>
        <v>3</v>
      </c>
    </row>
    <row r="291">
      <c r="A291" s="3">
        <f>data!A291</f>
        <v>917</v>
      </c>
      <c r="B291" s="3" t="str">
        <f>data!B291</f>
        <v>כהן בן בנימין</v>
      </c>
      <c r="C291" s="3">
        <f>data!C291</f>
        <v>27</v>
      </c>
      <c r="D291" s="3" t="str">
        <f>data!F291</f>
        <v>אזרחים</v>
      </c>
      <c r="E291" s="3" t="str">
        <f t="shared" si="1"/>
        <v>adult</v>
      </c>
      <c r="F291" s="3">
        <v>22.0</v>
      </c>
      <c r="G291" s="3" t="s">
        <v>18</v>
      </c>
      <c r="H291" s="1">
        <f t="shared" si="2"/>
        <v>3</v>
      </c>
    </row>
    <row r="292">
      <c r="A292" s="3">
        <f>data!A292</f>
        <v>721</v>
      </c>
      <c r="B292" s="3" t="str">
        <f>data!B292</f>
        <v>כהן דניאל</v>
      </c>
      <c r="C292" s="3">
        <f>data!C292</f>
        <v>23</v>
      </c>
      <c r="D292" s="3" t="str">
        <f>data!F292</f>
        <v>אזרחים</v>
      </c>
      <c r="E292" s="3" t="str">
        <f t="shared" si="1"/>
        <v>adult</v>
      </c>
      <c r="F292" s="3">
        <v>22.0</v>
      </c>
      <c r="G292" s="3" t="s">
        <v>18</v>
      </c>
      <c r="H292" s="1">
        <f t="shared" si="2"/>
        <v>3</v>
      </c>
    </row>
    <row r="293">
      <c r="A293" s="3">
        <f>data!A293</f>
        <v>903</v>
      </c>
      <c r="B293" s="3" t="str">
        <f>data!B293</f>
        <v>כהן מגורי ליבי</v>
      </c>
      <c r="C293" s="3">
        <f>data!C293</f>
        <v>22</v>
      </c>
      <c r="D293" s="3" t="str">
        <f>data!F293</f>
        <v>אזרחים</v>
      </c>
      <c r="E293" s="3" t="str">
        <f t="shared" si="1"/>
        <v>adult</v>
      </c>
      <c r="F293" s="3">
        <v>22.0</v>
      </c>
      <c r="G293" s="3" t="s">
        <v>18</v>
      </c>
      <c r="H293" s="1">
        <f t="shared" si="2"/>
        <v>3</v>
      </c>
    </row>
    <row r="294">
      <c r="A294" s="3">
        <f>data!A294</f>
        <v>1483</v>
      </c>
      <c r="B294" s="3" t="str">
        <f>data!B294</f>
        <v>כהן מור</v>
      </c>
      <c r="C294" s="3">
        <f>data!C294</f>
        <v>24</v>
      </c>
      <c r="D294" s="3" t="str">
        <f>data!F294</f>
        <v>אזרחים</v>
      </c>
      <c r="E294" s="3" t="str">
        <f t="shared" si="1"/>
        <v>adult</v>
      </c>
      <c r="F294" s="3">
        <v>22.0</v>
      </c>
      <c r="G294" s="3" t="s">
        <v>18</v>
      </c>
      <c r="H294" s="1">
        <f t="shared" si="2"/>
        <v>3</v>
      </c>
    </row>
    <row r="295">
      <c r="A295" s="3">
        <f>data!A295</f>
        <v>1730</v>
      </c>
      <c r="B295" s="3" t="str">
        <f>data!B295</f>
        <v>כהן עמית חיים</v>
      </c>
      <c r="C295" s="3">
        <f>data!C295</f>
        <v>24</v>
      </c>
      <c r="D295" s="3" t="str">
        <f>data!F295</f>
        <v>אזרחים</v>
      </c>
      <c r="E295" s="3" t="str">
        <f t="shared" si="1"/>
        <v>adult</v>
      </c>
      <c r="F295" s="3">
        <v>22.0</v>
      </c>
      <c r="G295" s="3" t="s">
        <v>18</v>
      </c>
      <c r="H295" s="1">
        <f t="shared" si="2"/>
        <v>3</v>
      </c>
    </row>
    <row r="296">
      <c r="A296" s="3">
        <f>data!A296</f>
        <v>508</v>
      </c>
      <c r="B296" s="3" t="str">
        <f>data!B296</f>
        <v>כפיר גלעד</v>
      </c>
      <c r="C296" s="3">
        <f>data!C296</f>
        <v>48</v>
      </c>
      <c r="D296" s="3" t="str">
        <f>data!F296</f>
        <v>אזרחים</v>
      </c>
      <c r="E296" s="3" t="str">
        <f t="shared" si="1"/>
        <v>adult</v>
      </c>
      <c r="F296" s="3">
        <v>22.0</v>
      </c>
      <c r="G296" s="3" t="s">
        <v>18</v>
      </c>
      <c r="H296" s="1">
        <f t="shared" si="2"/>
        <v>3</v>
      </c>
    </row>
    <row r="297">
      <c r="A297" s="3">
        <f>data!A297</f>
        <v>1624</v>
      </c>
      <c r="B297" s="3" t="str">
        <f>data!B297</f>
        <v>כץ טל</v>
      </c>
      <c r="C297" s="3">
        <f>data!C297</f>
        <v>37</v>
      </c>
      <c r="D297" s="3" t="str">
        <f>data!F297</f>
        <v>אזרחים</v>
      </c>
      <c r="E297" s="3" t="str">
        <f t="shared" si="1"/>
        <v>adult</v>
      </c>
      <c r="F297" s="3">
        <v>22.0</v>
      </c>
      <c r="G297" s="3" t="s">
        <v>18</v>
      </c>
      <c r="H297" s="1">
        <f t="shared" si="2"/>
        <v>3</v>
      </c>
    </row>
    <row r="298">
      <c r="A298" s="3">
        <f>data!A298</f>
        <v>1520</v>
      </c>
      <c r="B298" s="3" t="str">
        <f>data!B298</f>
        <v>לביא עומרי יעקב</v>
      </c>
      <c r="C298" s="3">
        <f>data!C298</f>
        <v>25</v>
      </c>
      <c r="D298" s="3" t="str">
        <f>data!F298</f>
        <v>אזרחים</v>
      </c>
      <c r="E298" s="3" t="str">
        <f t="shared" si="1"/>
        <v>adult</v>
      </c>
      <c r="F298" s="3">
        <v>22.0</v>
      </c>
      <c r="G298" s="3" t="s">
        <v>56</v>
      </c>
      <c r="H298" s="1">
        <f t="shared" si="2"/>
        <v>3</v>
      </c>
    </row>
    <row r="299">
      <c r="A299" s="3">
        <f>data!A299</f>
        <v>788</v>
      </c>
      <c r="B299" s="3" t="str">
        <f>data!B299</f>
        <v>להב עמית</v>
      </c>
      <c r="C299" s="3">
        <f>data!C299</f>
        <v>23</v>
      </c>
      <c r="D299" s="3" t="str">
        <f>data!F299</f>
        <v>אזרחים</v>
      </c>
      <c r="E299" s="3" t="str">
        <f t="shared" si="1"/>
        <v>adult</v>
      </c>
      <c r="F299" s="3">
        <v>22.0</v>
      </c>
      <c r="G299" s="3" t="s">
        <v>18</v>
      </c>
      <c r="H299" s="1">
        <f t="shared" si="2"/>
        <v>3</v>
      </c>
    </row>
    <row r="300">
      <c r="A300" s="3">
        <f>data!A300</f>
        <v>791</v>
      </c>
      <c r="B300" s="3" t="str">
        <f>data!B300</f>
        <v>לוי גיא גבריאל</v>
      </c>
      <c r="C300" s="3">
        <f>data!C300</f>
        <v>24</v>
      </c>
      <c r="D300" s="3" t="str">
        <f>data!F300</f>
        <v>אזרחים</v>
      </c>
      <c r="E300" s="3" t="str">
        <f t="shared" si="1"/>
        <v>adult</v>
      </c>
      <c r="F300" s="3">
        <v>22.0</v>
      </c>
      <c r="G300" s="3" t="s">
        <v>169</v>
      </c>
      <c r="H300" s="1">
        <f t="shared" si="2"/>
        <v>3</v>
      </c>
    </row>
    <row r="301">
      <c r="A301" s="3">
        <f>data!A301</f>
        <v>792</v>
      </c>
      <c r="B301" s="3" t="str">
        <f>data!B301</f>
        <v>לוי יצחק</v>
      </c>
      <c r="C301" s="3">
        <f>data!C301</f>
        <v>27</v>
      </c>
      <c r="D301" s="3" t="str">
        <f>data!F301</f>
        <v>אזרחים</v>
      </c>
      <c r="E301" s="3" t="str">
        <f t="shared" si="1"/>
        <v>adult</v>
      </c>
      <c r="F301" s="3">
        <v>22.0</v>
      </c>
      <c r="G301" s="3" t="s">
        <v>169</v>
      </c>
      <c r="H301" s="1">
        <f t="shared" si="2"/>
        <v>3</v>
      </c>
    </row>
    <row r="302">
      <c r="A302" s="3">
        <f>data!A302</f>
        <v>1301</v>
      </c>
      <c r="B302" s="3" t="str">
        <f>data!B302</f>
        <v>לוי ליבנת</v>
      </c>
      <c r="C302" s="3">
        <f>data!C302</f>
        <v>27</v>
      </c>
      <c r="D302" s="3" t="str">
        <f>data!F302</f>
        <v>אזרחים</v>
      </c>
      <c r="E302" s="3" t="str">
        <f t="shared" si="1"/>
        <v>adult</v>
      </c>
      <c r="F302" s="3">
        <v>22.0</v>
      </c>
      <c r="G302" s="3" t="s">
        <v>169</v>
      </c>
      <c r="H302" s="1">
        <f t="shared" si="2"/>
        <v>3</v>
      </c>
    </row>
    <row r="303">
      <c r="A303" s="3">
        <f>data!A303</f>
        <v>793</v>
      </c>
      <c r="B303" s="3" t="str">
        <f>data!B303</f>
        <v>לוי לידור יוסף</v>
      </c>
      <c r="C303" s="3">
        <f>data!C303</f>
        <v>28</v>
      </c>
      <c r="D303" s="3" t="str">
        <f>data!F303</f>
        <v>אזרחים</v>
      </c>
      <c r="E303" s="3" t="str">
        <f t="shared" si="1"/>
        <v>adult</v>
      </c>
      <c r="F303" s="3">
        <v>22.0</v>
      </c>
      <c r="G303" s="3" t="s">
        <v>478</v>
      </c>
      <c r="H303" s="1">
        <f t="shared" si="2"/>
        <v>3</v>
      </c>
    </row>
    <row r="304">
      <c r="A304" s="3">
        <f>data!A304</f>
        <v>794</v>
      </c>
      <c r="B304" s="3" t="str">
        <f>data!B304</f>
        <v>לוי נאור</v>
      </c>
      <c r="C304" s="3">
        <f>data!C304</f>
        <v>24</v>
      </c>
      <c r="D304" s="3" t="str">
        <f>data!F304</f>
        <v>אזרחים</v>
      </c>
      <c r="E304" s="3" t="str">
        <f t="shared" si="1"/>
        <v>adult</v>
      </c>
      <c r="F304" s="3">
        <v>22.0</v>
      </c>
      <c r="G304" s="3" t="s">
        <v>478</v>
      </c>
      <c r="H304" s="1">
        <f t="shared" si="2"/>
        <v>3</v>
      </c>
    </row>
    <row r="305">
      <c r="A305" s="3">
        <f>data!A305</f>
        <v>795</v>
      </c>
      <c r="B305" s="3" t="str">
        <f>data!B305</f>
        <v>לוי ניסים (מעיין)</v>
      </c>
      <c r="C305" s="3">
        <f>data!C305</f>
        <v>30</v>
      </c>
      <c r="D305" s="3" t="str">
        <f>data!F305</f>
        <v>אזרחים</v>
      </c>
      <c r="E305" s="3" t="str">
        <f t="shared" si="1"/>
        <v>adult</v>
      </c>
      <c r="F305" s="3">
        <v>22.0</v>
      </c>
      <c r="G305" s="3" t="s">
        <v>478</v>
      </c>
      <c r="H305" s="1">
        <f t="shared" si="2"/>
        <v>3</v>
      </c>
    </row>
    <row r="306">
      <c r="A306" s="3">
        <f>data!A306</f>
        <v>797</v>
      </c>
      <c r="B306" s="3" t="str">
        <f>data!B306</f>
        <v>לוי סיגל</v>
      </c>
      <c r="C306" s="3">
        <f>data!C306</f>
        <v>31</v>
      </c>
      <c r="D306" s="3" t="str">
        <f>data!F306</f>
        <v>אזרחים</v>
      </c>
      <c r="E306" s="3" t="str">
        <f t="shared" si="1"/>
        <v>adult</v>
      </c>
      <c r="F306" s="3">
        <v>22.0</v>
      </c>
      <c r="G306" s="3" t="s">
        <v>478</v>
      </c>
      <c r="H306" s="1">
        <f t="shared" si="2"/>
        <v>3</v>
      </c>
    </row>
    <row r="307">
      <c r="A307" s="3">
        <f>data!A307</f>
        <v>905</v>
      </c>
      <c r="B307" s="3" t="str">
        <f>data!B307</f>
        <v>לוי עמית</v>
      </c>
      <c r="C307" s="3">
        <f>data!C307</f>
        <v>22</v>
      </c>
      <c r="D307" s="3" t="str">
        <f>data!F307</f>
        <v>אזרחים</v>
      </c>
      <c r="E307" s="3" t="str">
        <f t="shared" si="1"/>
        <v>adult</v>
      </c>
      <c r="F307" s="3">
        <v>22.0</v>
      </c>
      <c r="G307" s="3" t="s">
        <v>478</v>
      </c>
      <c r="H307" s="1">
        <f t="shared" si="2"/>
        <v>3</v>
      </c>
    </row>
    <row r="308">
      <c r="A308" s="3">
        <f>data!A308</f>
        <v>911</v>
      </c>
      <c r="B308" s="3" t="str">
        <f>data!B308</f>
        <v>לוי רותם רחל</v>
      </c>
      <c r="C308" s="3">
        <f>data!C308</f>
        <v>22</v>
      </c>
      <c r="D308" s="3" t="str">
        <f>data!F308</f>
        <v>אזרחים</v>
      </c>
      <c r="E308" s="3" t="str">
        <f t="shared" si="1"/>
        <v>adult</v>
      </c>
      <c r="F308" s="3">
        <v>22.0</v>
      </c>
      <c r="G308" s="3" t="s">
        <v>478</v>
      </c>
      <c r="H308" s="1">
        <f t="shared" si="2"/>
        <v>3</v>
      </c>
    </row>
    <row r="309">
      <c r="A309" s="3">
        <f>data!A309</f>
        <v>790</v>
      </c>
      <c r="B309" s="3" t="str">
        <f>data!B309</f>
        <v>לוין אליסיה</v>
      </c>
      <c r="C309" s="3">
        <f>data!C309</f>
        <v>34</v>
      </c>
      <c r="D309" s="3" t="str">
        <f>data!F309</f>
        <v>אזרחים</v>
      </c>
      <c r="E309" s="3" t="str">
        <f t="shared" si="1"/>
        <v>adult</v>
      </c>
      <c r="F309" s="3">
        <v>22.0</v>
      </c>
      <c r="G309" s="3" t="s">
        <v>478</v>
      </c>
      <c r="H309" s="1">
        <f t="shared" si="2"/>
        <v>3</v>
      </c>
    </row>
    <row r="310">
      <c r="A310" s="3">
        <f>data!A310</f>
        <v>1505</v>
      </c>
      <c r="B310" s="3" t="str">
        <f>data!B310</f>
        <v>ליאור מתן מרדכי</v>
      </c>
      <c r="C310" s="3">
        <f>data!C310</f>
        <v>35</v>
      </c>
      <c r="D310" s="3" t="str">
        <f>data!F310</f>
        <v>אזרחים</v>
      </c>
      <c r="E310" s="3" t="str">
        <f t="shared" si="1"/>
        <v>adult</v>
      </c>
      <c r="F310" s="3">
        <v>22.0</v>
      </c>
      <c r="G310" s="3" t="s">
        <v>478</v>
      </c>
      <c r="H310" s="1">
        <f t="shared" si="2"/>
        <v>3</v>
      </c>
    </row>
    <row r="311">
      <c r="A311" s="3">
        <f>data!A311</f>
        <v>838</v>
      </c>
      <c r="B311" s="3" t="str">
        <f>data!B311</f>
        <v>ליטמן אוריה ריקרדו</v>
      </c>
      <c r="C311" s="3">
        <f>data!C311</f>
        <v>26</v>
      </c>
      <c r="D311" s="3" t="str">
        <f>data!F311</f>
        <v>אזרחים</v>
      </c>
      <c r="E311" s="3" t="str">
        <f t="shared" si="1"/>
        <v>adult</v>
      </c>
      <c r="F311" s="3">
        <v>22.0</v>
      </c>
      <c r="G311" s="3" t="s">
        <v>478</v>
      </c>
      <c r="H311" s="1">
        <f t="shared" si="2"/>
        <v>3</v>
      </c>
    </row>
    <row r="312">
      <c r="A312" s="3">
        <f>data!A312</f>
        <v>800</v>
      </c>
      <c r="B312" s="3" t="str">
        <f>data!B312</f>
        <v>ליסמן אניטה</v>
      </c>
      <c r="C312" s="3">
        <f>data!C312</f>
        <v>25</v>
      </c>
      <c r="D312" s="3" t="str">
        <f>data!F312</f>
        <v>אזרחים</v>
      </c>
      <c r="E312" s="3" t="str">
        <f t="shared" si="1"/>
        <v>adult</v>
      </c>
      <c r="F312" s="3">
        <v>22.0</v>
      </c>
      <c r="G312" s="3" t="s">
        <v>478</v>
      </c>
      <c r="H312" s="1">
        <f t="shared" si="2"/>
        <v>3</v>
      </c>
    </row>
    <row r="313">
      <c r="A313" s="3">
        <f>data!A313</f>
        <v>895</v>
      </c>
      <c r="B313" s="3" t="str">
        <f>data!B313</f>
        <v>ליסצ'וב דוד</v>
      </c>
      <c r="C313" s="3">
        <f>data!C313</f>
        <v>35</v>
      </c>
      <c r="D313" s="3" t="str">
        <f>data!F313</f>
        <v>אזרחים</v>
      </c>
      <c r="E313" s="3" t="str">
        <f t="shared" si="1"/>
        <v>adult</v>
      </c>
      <c r="F313" s="3">
        <v>22.0</v>
      </c>
      <c r="G313" s="3" t="s">
        <v>1601</v>
      </c>
      <c r="H313" s="1">
        <f t="shared" si="2"/>
        <v>3</v>
      </c>
    </row>
    <row r="314">
      <c r="A314" s="3">
        <f>data!A314</f>
        <v>799</v>
      </c>
      <c r="B314" s="3" t="str">
        <f>data!B314</f>
        <v>ליפובסקי אילן</v>
      </c>
      <c r="C314" s="3">
        <f>data!C314</f>
        <v>30</v>
      </c>
      <c r="D314" s="3" t="str">
        <f>data!F314</f>
        <v>אזרחים</v>
      </c>
      <c r="E314" s="3" t="str">
        <f t="shared" si="1"/>
        <v>adult</v>
      </c>
      <c r="F314" s="3">
        <v>22.0</v>
      </c>
      <c r="G314" s="3" t="s">
        <v>478</v>
      </c>
      <c r="H314" s="1">
        <f t="shared" si="2"/>
        <v>3</v>
      </c>
    </row>
    <row r="315">
      <c r="A315" s="3">
        <f>data!A315</f>
        <v>732</v>
      </c>
      <c r="B315" s="3" t="str">
        <f>data!B315</f>
        <v>למאי דידנקו יוליה</v>
      </c>
      <c r="C315" s="3">
        <f>data!C315</f>
        <v>29</v>
      </c>
      <c r="D315" s="3" t="str">
        <f>data!F315</f>
        <v>אזרחים</v>
      </c>
      <c r="E315" s="3" t="str">
        <f t="shared" si="1"/>
        <v>adult</v>
      </c>
      <c r="F315" s="3">
        <v>22.0</v>
      </c>
      <c r="G315" s="3" t="s">
        <v>478</v>
      </c>
      <c r="H315" s="1">
        <f t="shared" si="2"/>
        <v>3</v>
      </c>
    </row>
    <row r="316">
      <c r="A316" s="3">
        <f>data!A316</f>
        <v>789</v>
      </c>
      <c r="B316" s="3" t="str">
        <f>data!B316</f>
        <v>לפידות תפארת</v>
      </c>
      <c r="C316" s="3">
        <f>data!C316</f>
        <v>23</v>
      </c>
      <c r="D316" s="3" t="str">
        <f>data!F316</f>
        <v>אזרחים</v>
      </c>
      <c r="E316" s="3" t="str">
        <f t="shared" si="1"/>
        <v>adult</v>
      </c>
      <c r="F316" s="3">
        <v>22.0</v>
      </c>
      <c r="G316" s="3" t="s">
        <v>478</v>
      </c>
      <c r="H316" s="1">
        <f t="shared" si="2"/>
        <v>3</v>
      </c>
    </row>
    <row r="317">
      <c r="A317" s="3">
        <f>data!A317</f>
        <v>1592</v>
      </c>
      <c r="B317" s="3" t="str">
        <f>data!B317</f>
        <v>מגנזי עמית</v>
      </c>
      <c r="C317" s="3">
        <f>data!C317</f>
        <v>23</v>
      </c>
      <c r="D317" s="3" t="str">
        <f>data!F317</f>
        <v>אזרחים</v>
      </c>
      <c r="E317" s="3" t="str">
        <f t="shared" si="1"/>
        <v>adult</v>
      </c>
      <c r="F317" s="3">
        <v>22.0</v>
      </c>
      <c r="G317" s="3" t="s">
        <v>478</v>
      </c>
      <c r="H317" s="1">
        <f t="shared" si="2"/>
        <v>3</v>
      </c>
    </row>
    <row r="318">
      <c r="A318" s="3">
        <f>data!A318</f>
        <v>1626</v>
      </c>
      <c r="B318" s="3" t="str">
        <f>data!B318</f>
        <v>מדמון ניר</v>
      </c>
      <c r="C318" s="3">
        <f>data!C318</f>
        <v>23</v>
      </c>
      <c r="D318" s="3" t="str">
        <f>data!F318</f>
        <v>אזרחים</v>
      </c>
      <c r="E318" s="3" t="str">
        <f t="shared" si="1"/>
        <v>adult</v>
      </c>
      <c r="F318" s="3">
        <v>22.0</v>
      </c>
      <c r="G318" s="3" t="s">
        <v>478</v>
      </c>
      <c r="H318" s="1">
        <f t="shared" si="2"/>
        <v>3</v>
      </c>
    </row>
    <row r="319">
      <c r="A319" s="3">
        <f>data!A319</f>
        <v>802</v>
      </c>
      <c r="B319" s="3" t="str">
        <f>data!B319</f>
        <v>מדמוני שליו</v>
      </c>
      <c r="C319" s="3">
        <f>data!C319</f>
        <v>24</v>
      </c>
      <c r="D319" s="3" t="str">
        <f>data!F319</f>
        <v>אזרחים</v>
      </c>
      <c r="E319" s="3" t="str">
        <f t="shared" si="1"/>
        <v>adult</v>
      </c>
      <c r="F319" s="3">
        <v>22.0</v>
      </c>
      <c r="G319" s="3" t="s">
        <v>478</v>
      </c>
      <c r="H319" s="1">
        <f t="shared" si="2"/>
        <v>3</v>
      </c>
    </row>
    <row r="320">
      <c r="A320" s="3">
        <f>data!A320</f>
        <v>1388</v>
      </c>
      <c r="B320" s="3" t="str">
        <f>data!B320</f>
        <v>מדר שחק יוסף</v>
      </c>
      <c r="C320" s="3">
        <f>data!C320</f>
        <v>26</v>
      </c>
      <c r="D320" s="3" t="str">
        <f>data!F320</f>
        <v>אזרחים</v>
      </c>
      <c r="E320" s="3" t="str">
        <f t="shared" si="1"/>
        <v>adult</v>
      </c>
      <c r="F320" s="3">
        <v>22.0</v>
      </c>
      <c r="G320" s="3" t="s">
        <v>478</v>
      </c>
      <c r="H320" s="1">
        <f t="shared" si="2"/>
        <v>3</v>
      </c>
    </row>
    <row r="321">
      <c r="A321" s="3">
        <f>data!A321</f>
        <v>1506</v>
      </c>
      <c r="B321" s="3" t="str">
        <f>data!B321</f>
        <v>מועלם נעמה</v>
      </c>
      <c r="C321" s="3">
        <f>data!C321</f>
        <v>28</v>
      </c>
      <c r="D321" s="3" t="str">
        <f>data!F321</f>
        <v>אזרחים</v>
      </c>
      <c r="E321" s="3" t="str">
        <f t="shared" si="1"/>
        <v>adult</v>
      </c>
      <c r="F321" s="3">
        <v>22.0</v>
      </c>
      <c r="G321" s="3" t="s">
        <v>478</v>
      </c>
      <c r="H321" s="1">
        <f t="shared" si="2"/>
        <v>3</v>
      </c>
    </row>
    <row r="322">
      <c r="A322" s="3">
        <f>data!A322</f>
        <v>855</v>
      </c>
      <c r="B322" s="3" t="str">
        <f>data!B322</f>
        <v>מוצפי שי שלום אליאור</v>
      </c>
      <c r="C322" s="3">
        <f>data!C322</f>
        <v>37</v>
      </c>
      <c r="D322" s="3" t="str">
        <f>data!F322</f>
        <v>אזרחים</v>
      </c>
      <c r="E322" s="3" t="str">
        <f t="shared" si="1"/>
        <v>adult</v>
      </c>
      <c r="F322" s="3">
        <v>22.0</v>
      </c>
      <c r="G322" s="3" t="s">
        <v>478</v>
      </c>
      <c r="H322" s="1">
        <f t="shared" si="2"/>
        <v>3</v>
      </c>
    </row>
    <row r="323">
      <c r="A323" s="3">
        <f>data!A323</f>
        <v>1527</v>
      </c>
      <c r="B323" s="3" t="str">
        <f>data!B323</f>
        <v>מזרחי אלירן</v>
      </c>
      <c r="C323" s="3">
        <f>data!C323</f>
        <v>24</v>
      </c>
      <c r="D323" s="3" t="str">
        <f>data!F323</f>
        <v>אזרחים</v>
      </c>
      <c r="E323" s="3" t="str">
        <f t="shared" si="1"/>
        <v>adult</v>
      </c>
      <c r="F323" s="3">
        <v>23.0</v>
      </c>
      <c r="G323" s="3" t="s">
        <v>18</v>
      </c>
      <c r="H323" s="1">
        <f t="shared" si="2"/>
        <v>3</v>
      </c>
    </row>
    <row r="324">
      <c r="A324" s="3">
        <f>data!A324</f>
        <v>1627</v>
      </c>
      <c r="B324" s="3" t="str">
        <f>data!B324</f>
        <v>מזרחי בן מנשה</v>
      </c>
      <c r="C324" s="3">
        <f>data!C324</f>
        <v>22</v>
      </c>
      <c r="D324" s="3" t="str">
        <f>data!F324</f>
        <v>אזרחים</v>
      </c>
      <c r="E324" s="3" t="str">
        <f t="shared" si="1"/>
        <v>adult</v>
      </c>
      <c r="F324" s="3">
        <v>23.0</v>
      </c>
      <c r="G324" s="3" t="s">
        <v>18</v>
      </c>
      <c r="H324" s="1">
        <f t="shared" si="2"/>
        <v>3</v>
      </c>
    </row>
    <row r="325">
      <c r="A325" s="3">
        <f>data!A325</f>
        <v>1454</v>
      </c>
      <c r="B325" s="3" t="str">
        <f>data!B325</f>
        <v>מזרחי רז</v>
      </c>
      <c r="C325" s="3">
        <f>data!C325</f>
        <v>22</v>
      </c>
      <c r="D325" s="3" t="str">
        <f>data!F325</f>
        <v>אזרחים</v>
      </c>
      <c r="E325" s="3" t="str">
        <f t="shared" si="1"/>
        <v>adult</v>
      </c>
      <c r="F325" s="3">
        <v>23.0</v>
      </c>
      <c r="G325" s="3" t="s">
        <v>18</v>
      </c>
      <c r="H325" s="1">
        <f t="shared" si="2"/>
        <v>3</v>
      </c>
    </row>
    <row r="326">
      <c r="A326" s="3">
        <f>data!A326</f>
        <v>889</v>
      </c>
      <c r="B326" s="3" t="str">
        <f>data!B326</f>
        <v>מייזל עדי רבקה</v>
      </c>
      <c r="C326" s="3">
        <f>data!C326</f>
        <v>21</v>
      </c>
      <c r="D326" s="3" t="str">
        <f>data!F326</f>
        <v>אזרחים</v>
      </c>
      <c r="E326" s="3" t="str">
        <f t="shared" si="1"/>
        <v>adult</v>
      </c>
      <c r="F326" s="3">
        <v>23.0</v>
      </c>
      <c r="G326" s="3" t="s">
        <v>18</v>
      </c>
      <c r="H326" s="1">
        <f t="shared" si="2"/>
        <v>3</v>
      </c>
    </row>
    <row r="327">
      <c r="A327" s="3">
        <f>data!A327</f>
        <v>803</v>
      </c>
      <c r="B327" s="3" t="str">
        <f>data!B327</f>
        <v>מימון ליאור</v>
      </c>
      <c r="C327" s="3">
        <f>data!C327</f>
        <v>22</v>
      </c>
      <c r="D327" s="3" t="str">
        <f>data!F327</f>
        <v>אזרחים</v>
      </c>
      <c r="E327" s="3" t="str">
        <f t="shared" si="1"/>
        <v>adult</v>
      </c>
      <c r="F327" s="3">
        <v>23.0</v>
      </c>
      <c r="G327" s="3" t="s">
        <v>18</v>
      </c>
      <c r="H327" s="1">
        <f t="shared" si="2"/>
        <v>3</v>
      </c>
    </row>
    <row r="328">
      <c r="A328" s="3">
        <f>data!A328</f>
        <v>1502</v>
      </c>
      <c r="B328" s="3" t="str">
        <f>data!B328</f>
        <v>מליחי אמיתי</v>
      </c>
      <c r="C328" s="3">
        <f>data!C328</f>
        <v>20</v>
      </c>
      <c r="D328" s="3" t="str">
        <f>data!F328</f>
        <v>אזרחים</v>
      </c>
      <c r="E328" s="3" t="str">
        <f t="shared" si="1"/>
        <v>adult</v>
      </c>
      <c r="F328" s="3">
        <v>23.0</v>
      </c>
      <c r="G328" s="3" t="s">
        <v>18</v>
      </c>
      <c r="H328" s="1">
        <f t="shared" si="2"/>
        <v>3</v>
      </c>
    </row>
    <row r="329">
      <c r="A329" s="3">
        <f>data!A329</f>
        <v>804</v>
      </c>
      <c r="B329" s="3" t="str">
        <f>data!B329</f>
        <v>מלכה דור</v>
      </c>
      <c r="C329" s="3">
        <f>data!C329</f>
        <v>29</v>
      </c>
      <c r="D329" s="3" t="str">
        <f>data!F329</f>
        <v>אזרחים</v>
      </c>
      <c r="E329" s="3" t="str">
        <f t="shared" si="1"/>
        <v>adult</v>
      </c>
      <c r="F329" s="3">
        <v>23.0</v>
      </c>
      <c r="G329" s="3" t="s">
        <v>18</v>
      </c>
      <c r="H329" s="1">
        <f t="shared" si="2"/>
        <v>3</v>
      </c>
    </row>
    <row r="330">
      <c r="A330" s="3">
        <f>data!A330</f>
        <v>805</v>
      </c>
      <c r="B330" s="3" t="str">
        <f>data!B330</f>
        <v>מנצור שחר</v>
      </c>
      <c r="C330" s="3">
        <f>data!C330</f>
        <v>28</v>
      </c>
      <c r="D330" s="3" t="str">
        <f>data!F330</f>
        <v>אזרחים</v>
      </c>
      <c r="E330" s="3" t="str">
        <f t="shared" si="1"/>
        <v>adult</v>
      </c>
      <c r="F330" s="3">
        <v>23.0</v>
      </c>
      <c r="G330" s="3" t="s">
        <v>18</v>
      </c>
      <c r="H330" s="1">
        <f t="shared" si="2"/>
        <v>3</v>
      </c>
    </row>
    <row r="331">
      <c r="A331" s="3">
        <f>data!A331</f>
        <v>806</v>
      </c>
      <c r="B331" s="3" t="str">
        <f>data!B331</f>
        <v>מנצורי נורל</v>
      </c>
      <c r="C331" s="3">
        <f>data!C331</f>
        <v>25</v>
      </c>
      <c r="D331" s="3" t="str">
        <f>data!F331</f>
        <v>אזרחים</v>
      </c>
      <c r="E331" s="3" t="str">
        <f t="shared" si="1"/>
        <v>adult</v>
      </c>
      <c r="F331" s="3">
        <v>23.0</v>
      </c>
      <c r="G331" s="3" t="s">
        <v>18</v>
      </c>
      <c r="H331" s="1">
        <f t="shared" si="2"/>
        <v>3</v>
      </c>
    </row>
    <row r="332">
      <c r="A332" s="3">
        <f>data!A332</f>
        <v>807</v>
      </c>
      <c r="B332" s="3" t="str">
        <f>data!B332</f>
        <v>מנצורי רויה</v>
      </c>
      <c r="C332" s="3">
        <f>data!C332</f>
        <v>22</v>
      </c>
      <c r="D332" s="3" t="str">
        <f>data!F332</f>
        <v>אזרחים</v>
      </c>
      <c r="E332" s="3" t="str">
        <f t="shared" si="1"/>
        <v>adult</v>
      </c>
      <c r="F332" s="3">
        <v>23.0</v>
      </c>
      <c r="G332" s="3" t="s">
        <v>18</v>
      </c>
      <c r="H332" s="1">
        <f t="shared" si="2"/>
        <v>3</v>
      </c>
    </row>
    <row r="333">
      <c r="A333" s="3">
        <f>data!A333</f>
        <v>677</v>
      </c>
      <c r="B333" s="3" t="str">
        <f>data!B333</f>
        <v>מסיאס מונטנו אנטוניו יניב</v>
      </c>
      <c r="C333" s="3">
        <f>data!C333</f>
        <v>28</v>
      </c>
      <c r="D333" s="3" t="str">
        <f>data!F333</f>
        <v>אזרחים</v>
      </c>
      <c r="E333" s="3" t="str">
        <f t="shared" si="1"/>
        <v>adult</v>
      </c>
      <c r="F333" s="3">
        <v>23.0</v>
      </c>
      <c r="G333" s="3" t="s">
        <v>18</v>
      </c>
      <c r="H333" s="1">
        <f t="shared" si="2"/>
        <v>3</v>
      </c>
    </row>
    <row r="334">
      <c r="A334" s="3">
        <f>data!A334</f>
        <v>1476</v>
      </c>
      <c r="B334" s="3" t="str">
        <f>data!B334</f>
        <v>מסיקה אדיר</v>
      </c>
      <c r="C334" s="3">
        <f>data!C334</f>
        <v>23</v>
      </c>
      <c r="D334" s="3" t="str">
        <f>data!F334</f>
        <v>אזרחים</v>
      </c>
      <c r="E334" s="3" t="str">
        <f t="shared" si="1"/>
        <v>adult</v>
      </c>
      <c r="F334" s="3">
        <v>23.0</v>
      </c>
      <c r="G334" s="3" t="s">
        <v>18</v>
      </c>
      <c r="H334" s="1">
        <f t="shared" si="2"/>
        <v>3</v>
      </c>
    </row>
    <row r="335">
      <c r="A335" s="3">
        <f>data!A335</f>
        <v>1552</v>
      </c>
      <c r="B335" s="3" t="str">
        <f>data!B335</f>
        <v>מקרצ'נקו סטיבן</v>
      </c>
      <c r="C335" s="3">
        <f>data!C335</f>
        <v>24</v>
      </c>
      <c r="D335" s="3" t="str">
        <f>data!F335</f>
        <v>אזרחים</v>
      </c>
      <c r="E335" s="3" t="str">
        <f t="shared" si="1"/>
        <v>adult</v>
      </c>
      <c r="F335" s="3">
        <v>23.0</v>
      </c>
      <c r="G335" s="3" t="s">
        <v>18</v>
      </c>
      <c r="H335" s="1">
        <f t="shared" si="2"/>
        <v>3</v>
      </c>
    </row>
    <row r="336">
      <c r="A336" s="3">
        <f>data!A336</f>
        <v>1548</v>
      </c>
      <c r="B336" s="3" t="str">
        <f>data!B336</f>
        <v>מרגלית עדי</v>
      </c>
      <c r="C336" s="3">
        <f>data!C336</f>
        <v>24</v>
      </c>
      <c r="D336" s="3" t="str">
        <f>data!F336</f>
        <v>אזרחים</v>
      </c>
      <c r="E336" s="3" t="str">
        <f t="shared" si="1"/>
        <v>adult</v>
      </c>
      <c r="F336" s="3">
        <v>23.0</v>
      </c>
      <c r="G336" s="3" t="s">
        <v>18</v>
      </c>
      <c r="H336" s="1">
        <f t="shared" si="2"/>
        <v>3</v>
      </c>
    </row>
    <row r="337">
      <c r="A337" s="3">
        <f>data!A337</f>
        <v>1356</v>
      </c>
      <c r="B337" s="3" t="str">
        <f>data!B337</f>
        <v>משה עדן דוד</v>
      </c>
      <c r="C337" s="3">
        <f>data!C337</f>
        <v>27</v>
      </c>
      <c r="D337" s="3" t="str">
        <f>data!F337</f>
        <v>אזרחים</v>
      </c>
      <c r="E337" s="3" t="str">
        <f t="shared" si="1"/>
        <v>adult</v>
      </c>
      <c r="F337" s="3">
        <v>23.0</v>
      </c>
      <c r="G337" s="3" t="s">
        <v>18</v>
      </c>
      <c r="H337" s="1">
        <f t="shared" si="2"/>
        <v>3</v>
      </c>
    </row>
    <row r="338">
      <c r="A338" s="3">
        <f>data!A338</f>
        <v>963</v>
      </c>
      <c r="B338" s="3" t="str">
        <f>data!B338</f>
        <v>נאמן דוד יאיר שלום</v>
      </c>
      <c r="C338" s="3">
        <f>data!C338</f>
        <v>25</v>
      </c>
      <c r="D338" s="3" t="str">
        <f>data!F338</f>
        <v>אזרחים</v>
      </c>
      <c r="E338" s="3" t="str">
        <f t="shared" si="1"/>
        <v>adult</v>
      </c>
      <c r="F338" s="3">
        <v>23.0</v>
      </c>
      <c r="G338" s="3" t="s">
        <v>18</v>
      </c>
      <c r="H338" s="1">
        <f t="shared" si="2"/>
        <v>3</v>
      </c>
    </row>
    <row r="339">
      <c r="A339" s="3">
        <f>data!A339</f>
        <v>1441</v>
      </c>
      <c r="B339" s="3" t="str">
        <f>data!B339</f>
        <v>נבון גל</v>
      </c>
      <c r="C339" s="3">
        <f>data!C339</f>
        <v>30</v>
      </c>
      <c r="D339" s="3" t="str">
        <f>data!F339</f>
        <v>אזרחים</v>
      </c>
      <c r="E339" s="3" t="str">
        <f t="shared" si="1"/>
        <v>adult</v>
      </c>
      <c r="F339" s="3">
        <v>23.0</v>
      </c>
      <c r="G339" s="3" t="s">
        <v>18</v>
      </c>
      <c r="H339" s="1">
        <f t="shared" si="2"/>
        <v>3</v>
      </c>
    </row>
    <row r="340">
      <c r="A340" s="3">
        <f>data!A340</f>
        <v>900</v>
      </c>
      <c r="B340" s="3" t="str">
        <f>data!B340</f>
        <v>נזרוב אילקין</v>
      </c>
      <c r="C340" s="3">
        <f>data!C340</f>
        <v>29</v>
      </c>
      <c r="D340" s="3" t="str">
        <f>data!F340</f>
        <v>אזרחים</v>
      </c>
      <c r="E340" s="3" t="str">
        <f t="shared" si="1"/>
        <v>adult</v>
      </c>
      <c r="F340" s="3">
        <v>23.0</v>
      </c>
      <c r="G340" s="3" t="s">
        <v>18</v>
      </c>
      <c r="H340" s="1">
        <f t="shared" si="2"/>
        <v>3</v>
      </c>
    </row>
    <row r="341">
      <c r="A341" s="3">
        <f>data!A341</f>
        <v>887</v>
      </c>
      <c r="B341" s="3" t="str">
        <f>data!B341</f>
        <v>נחום דור</v>
      </c>
      <c r="C341" s="3">
        <f>data!C341</f>
        <v>24</v>
      </c>
      <c r="D341" s="3" t="str">
        <f>data!F341</f>
        <v>אזרחים</v>
      </c>
      <c r="E341" s="3" t="str">
        <f t="shared" si="1"/>
        <v>adult</v>
      </c>
      <c r="F341" s="3">
        <v>23.0</v>
      </c>
      <c r="G341" s="3" t="s">
        <v>18</v>
      </c>
      <c r="H341" s="1">
        <f t="shared" si="2"/>
        <v>3</v>
      </c>
    </row>
    <row r="342">
      <c r="A342" s="3">
        <f>data!A342</f>
        <v>813</v>
      </c>
      <c r="B342" s="3" t="str">
        <f>data!B342</f>
        <v>נידג'לסקי גלזר חנני</v>
      </c>
      <c r="C342" s="3">
        <f>data!C342</f>
        <v>23</v>
      </c>
      <c r="D342" s="3" t="str">
        <f>data!F342</f>
        <v>אזרחים</v>
      </c>
      <c r="E342" s="3" t="str">
        <f t="shared" si="1"/>
        <v>adult</v>
      </c>
      <c r="F342" s="3">
        <v>23.0</v>
      </c>
      <c r="G342" s="3" t="s">
        <v>18</v>
      </c>
      <c r="H342" s="1">
        <f t="shared" si="2"/>
        <v>3</v>
      </c>
    </row>
    <row r="343">
      <c r="A343" s="3">
        <f>data!A343</f>
        <v>1471</v>
      </c>
      <c r="B343" s="3" t="str">
        <f>data!B343</f>
        <v>ניימן רותם</v>
      </c>
      <c r="C343" s="3">
        <f>data!C343</f>
        <v>25</v>
      </c>
      <c r="D343" s="3" t="str">
        <f>data!F343</f>
        <v>אזרחים</v>
      </c>
      <c r="E343" s="3" t="str">
        <f t="shared" si="1"/>
        <v>adult</v>
      </c>
      <c r="F343" s="3">
        <v>23.0</v>
      </c>
      <c r="G343" s="3" t="s">
        <v>18</v>
      </c>
      <c r="H343" s="1">
        <f t="shared" si="2"/>
        <v>3</v>
      </c>
    </row>
    <row r="344">
      <c r="A344" s="3">
        <f>data!A344</f>
        <v>815</v>
      </c>
      <c r="B344" s="3" t="str">
        <f>data!B344</f>
        <v>ניסימבוים (כרמלי) ג'ני</v>
      </c>
      <c r="C344" s="3">
        <f>data!C344</f>
        <v>32</v>
      </c>
      <c r="D344" s="3" t="str">
        <f>data!F344</f>
        <v>אזרחים</v>
      </c>
      <c r="E344" s="3" t="str">
        <f t="shared" si="1"/>
        <v>adult</v>
      </c>
      <c r="F344" s="3">
        <v>23.0</v>
      </c>
      <c r="G344" s="3" t="s">
        <v>18</v>
      </c>
      <c r="H344" s="1">
        <f t="shared" si="2"/>
        <v>3</v>
      </c>
    </row>
    <row r="345">
      <c r="A345" s="3">
        <f>data!A345</f>
        <v>814</v>
      </c>
      <c r="B345" s="3" t="str">
        <f>data!B345</f>
        <v>ניסן לירז</v>
      </c>
      <c r="C345" s="3">
        <f>data!C345</f>
        <v>20</v>
      </c>
      <c r="D345" s="3" t="str">
        <f>data!F345</f>
        <v>אזרחים</v>
      </c>
      <c r="E345" s="3" t="str">
        <f t="shared" si="1"/>
        <v>adult</v>
      </c>
      <c r="F345" s="3">
        <v>23.0</v>
      </c>
      <c r="G345" s="3" t="s">
        <v>18</v>
      </c>
      <c r="H345" s="1">
        <f t="shared" si="2"/>
        <v>3</v>
      </c>
    </row>
    <row r="346">
      <c r="A346" s="3">
        <f>data!A346</f>
        <v>812</v>
      </c>
      <c r="B346" s="3" t="str">
        <f>data!B346</f>
        <v>נעים מאי</v>
      </c>
      <c r="C346" s="3">
        <f>data!C346</f>
        <v>24</v>
      </c>
      <c r="D346" s="3" t="str">
        <f>data!F346</f>
        <v>אזרחים</v>
      </c>
      <c r="E346" s="3" t="str">
        <f t="shared" si="1"/>
        <v>adult</v>
      </c>
      <c r="F346" s="3">
        <v>23.0</v>
      </c>
      <c r="G346" s="3" t="s">
        <v>18</v>
      </c>
      <c r="H346" s="1">
        <f t="shared" si="2"/>
        <v>3</v>
      </c>
    </row>
    <row r="347">
      <c r="A347" s="3">
        <f>data!A347</f>
        <v>811</v>
      </c>
      <c r="B347" s="3" t="str">
        <f>data!B347</f>
        <v>נפתלי עדן</v>
      </c>
      <c r="C347" s="3">
        <f>data!C347</f>
        <v>23</v>
      </c>
      <c r="D347" s="3" t="str">
        <f>data!F347</f>
        <v>אזרחים</v>
      </c>
      <c r="E347" s="3" t="str">
        <f t="shared" si="1"/>
        <v>adult</v>
      </c>
      <c r="F347" s="3">
        <v>23.0</v>
      </c>
      <c r="G347" s="3" t="s">
        <v>18</v>
      </c>
      <c r="H347" s="1">
        <f t="shared" si="2"/>
        <v>3</v>
      </c>
    </row>
    <row r="348">
      <c r="A348" s="3">
        <f>data!A348</f>
        <v>918</v>
      </c>
      <c r="B348" s="3" t="str">
        <f>data!B348</f>
        <v>נקמולי בר ליאור (ברלי)</v>
      </c>
      <c r="C348" s="3">
        <f>data!C348</f>
        <v>27</v>
      </c>
      <c r="D348" s="3" t="str">
        <f>data!F348</f>
        <v>אזרחים</v>
      </c>
      <c r="E348" s="3" t="str">
        <f t="shared" si="1"/>
        <v>adult</v>
      </c>
      <c r="F348" s="3">
        <v>23.0</v>
      </c>
      <c r="G348" s="3" t="s">
        <v>18</v>
      </c>
      <c r="H348" s="1">
        <f t="shared" si="2"/>
        <v>3</v>
      </c>
    </row>
    <row r="349">
      <c r="A349" s="3">
        <f>data!A349</f>
        <v>871</v>
      </c>
      <c r="B349" s="3" t="str">
        <f>data!B349</f>
        <v>סבידיה שלומי</v>
      </c>
      <c r="C349" s="3">
        <f>data!C349</f>
        <v>37</v>
      </c>
      <c r="D349" s="3" t="str">
        <f>data!F349</f>
        <v>אזרחים</v>
      </c>
      <c r="E349" s="3" t="str">
        <f t="shared" si="1"/>
        <v>adult</v>
      </c>
      <c r="F349" s="3">
        <v>23.0</v>
      </c>
      <c r="G349" s="3" t="s">
        <v>18</v>
      </c>
      <c r="H349" s="1">
        <f t="shared" si="2"/>
        <v>3</v>
      </c>
    </row>
    <row r="350">
      <c r="A350" s="3">
        <f>data!A350</f>
        <v>872</v>
      </c>
      <c r="B350" s="3" t="str">
        <f>data!B350</f>
        <v>סוויסה מוריה אור</v>
      </c>
      <c r="C350" s="3">
        <f>data!C350</f>
        <v>23</v>
      </c>
      <c r="D350" s="3" t="str">
        <f>data!F350</f>
        <v>אזרחים</v>
      </c>
      <c r="E350" s="3" t="str">
        <f t="shared" si="1"/>
        <v>adult</v>
      </c>
      <c r="F350" s="3">
        <v>23.0</v>
      </c>
      <c r="G350" s="3" t="s">
        <v>18</v>
      </c>
      <c r="H350" s="1">
        <f t="shared" si="2"/>
        <v>3</v>
      </c>
    </row>
    <row r="351">
      <c r="A351" s="3">
        <f>data!A351</f>
        <v>897</v>
      </c>
      <c r="B351" s="3" t="str">
        <f>data!B351</f>
        <v>סולומון הילי</v>
      </c>
      <c r="C351" s="3">
        <f>data!C351</f>
        <v>27</v>
      </c>
      <c r="D351" s="3" t="str">
        <f>data!F351</f>
        <v>אזרחים</v>
      </c>
      <c r="E351" s="3" t="str">
        <f t="shared" si="1"/>
        <v>adult</v>
      </c>
      <c r="F351" s="3">
        <v>23.0</v>
      </c>
      <c r="G351" s="3" t="s">
        <v>18</v>
      </c>
      <c r="H351" s="1">
        <f t="shared" si="2"/>
        <v>3</v>
      </c>
    </row>
    <row r="352">
      <c r="A352" s="3">
        <f>data!A352</f>
        <v>1523</v>
      </c>
      <c r="B352" s="3" t="str">
        <f>data!B352</f>
        <v>סטלזר מנדס קרלה</v>
      </c>
      <c r="C352" s="3">
        <f>data!C352</f>
        <v>42</v>
      </c>
      <c r="D352" s="3" t="str">
        <f>data!F352</f>
        <v>אזרחים</v>
      </c>
      <c r="E352" s="3" t="str">
        <f t="shared" si="1"/>
        <v>adult</v>
      </c>
      <c r="F352" s="3">
        <v>23.0</v>
      </c>
      <c r="G352" s="3" t="s">
        <v>18</v>
      </c>
      <c r="H352" s="1">
        <f t="shared" si="2"/>
        <v>3</v>
      </c>
    </row>
    <row r="353">
      <c r="A353" s="3">
        <f>data!A353</f>
        <v>870</v>
      </c>
      <c r="B353" s="3" t="str">
        <f>data!B353</f>
        <v>סטרוסטה תומר</v>
      </c>
      <c r="C353" s="3">
        <f>data!C353</f>
        <v>23</v>
      </c>
      <c r="D353" s="3" t="str">
        <f>data!F353</f>
        <v>אזרחים</v>
      </c>
      <c r="E353" s="3" t="str">
        <f t="shared" si="1"/>
        <v>adult</v>
      </c>
      <c r="F353" s="3">
        <v>23.0</v>
      </c>
      <c r="G353" s="3" t="s">
        <v>18</v>
      </c>
      <c r="H353" s="1">
        <f t="shared" si="2"/>
        <v>3</v>
      </c>
    </row>
    <row r="354">
      <c r="A354" s="3">
        <f>data!A354</f>
        <v>2003</v>
      </c>
      <c r="B354" s="3" t="str">
        <f>data!B354</f>
        <v>סלומון יעקב</v>
      </c>
      <c r="C354" s="3">
        <f>data!C354</f>
        <v>60</v>
      </c>
      <c r="D354" s="3" t="str">
        <f>data!F354</f>
        <v>אזרחים</v>
      </c>
      <c r="E354" s="3" t="str">
        <f t="shared" si="1"/>
        <v>adult</v>
      </c>
      <c r="F354" s="3">
        <v>23.0</v>
      </c>
      <c r="G354" s="3" t="s">
        <v>18</v>
      </c>
      <c r="H354" s="1">
        <f t="shared" si="2"/>
        <v>3</v>
      </c>
    </row>
    <row r="355">
      <c r="A355" s="3">
        <f>data!A355</f>
        <v>1533</v>
      </c>
      <c r="B355" s="3" t="str">
        <f>data!B355</f>
        <v>סלע רם</v>
      </c>
      <c r="C355" s="3">
        <f>data!C355</f>
        <v>33</v>
      </c>
      <c r="D355" s="3" t="str">
        <f>data!F355</f>
        <v>אזרחים</v>
      </c>
      <c r="E355" s="3" t="str">
        <f t="shared" si="1"/>
        <v>adult</v>
      </c>
      <c r="F355" s="3">
        <v>23.0</v>
      </c>
      <c r="G355" s="3" t="s">
        <v>18</v>
      </c>
      <c r="H355" s="1">
        <f t="shared" si="2"/>
        <v>3</v>
      </c>
    </row>
    <row r="356">
      <c r="A356" s="3">
        <f>data!A356</f>
        <v>909</v>
      </c>
      <c r="B356" s="3" t="str">
        <f>data!B356</f>
        <v>סמואלוב אלעזר</v>
      </c>
      <c r="C356" s="3">
        <f>data!C356</f>
        <v>21</v>
      </c>
      <c r="D356" s="3" t="str">
        <f>data!F356</f>
        <v>אזרחים</v>
      </c>
      <c r="E356" s="3" t="str">
        <f t="shared" si="1"/>
        <v>adult</v>
      </c>
      <c r="F356" s="3">
        <v>23.0</v>
      </c>
      <c r="G356" s="3" t="s">
        <v>18</v>
      </c>
      <c r="H356" s="1">
        <f t="shared" si="2"/>
        <v>3</v>
      </c>
    </row>
    <row r="357">
      <c r="A357" s="3">
        <f>data!A357</f>
        <v>845</v>
      </c>
      <c r="B357" s="3" t="str">
        <f>data!B357</f>
        <v>סמוילוב אלכסנדר</v>
      </c>
      <c r="C357" s="3">
        <f>data!C357</f>
        <v>28</v>
      </c>
      <c r="D357" s="3" t="str">
        <f>data!F357</f>
        <v>אזרחים</v>
      </c>
      <c r="E357" s="3" t="str">
        <f t="shared" si="1"/>
        <v>adult</v>
      </c>
      <c r="F357" s="3">
        <v>23.0</v>
      </c>
      <c r="G357" s="3" t="s">
        <v>18</v>
      </c>
      <c r="H357" s="1">
        <f t="shared" si="2"/>
        <v>3</v>
      </c>
    </row>
    <row r="358">
      <c r="A358" s="3">
        <f>data!A358</f>
        <v>844</v>
      </c>
      <c r="B358" s="3" t="str">
        <f>data!B358</f>
        <v>סמט תמר</v>
      </c>
      <c r="C358" s="3">
        <f>data!C358</f>
        <v>20</v>
      </c>
      <c r="D358" s="3" t="str">
        <f>data!F358</f>
        <v>אזרחים</v>
      </c>
      <c r="E358" s="3" t="str">
        <f t="shared" si="1"/>
        <v>adult</v>
      </c>
      <c r="F358" s="3">
        <v>23.0</v>
      </c>
      <c r="G358" s="3" t="s">
        <v>18</v>
      </c>
      <c r="H358" s="1">
        <f t="shared" si="2"/>
        <v>3</v>
      </c>
    </row>
    <row r="359">
      <c r="A359" s="3">
        <f>data!A359</f>
        <v>971</v>
      </c>
      <c r="B359" s="3" t="str">
        <f>data!B359</f>
        <v>סעידי צור</v>
      </c>
      <c r="C359" s="3">
        <f>data!C359</f>
        <v>29</v>
      </c>
      <c r="D359" s="3" t="str">
        <f>data!F359</f>
        <v>אזרחים</v>
      </c>
      <c r="E359" s="3" t="str">
        <f t="shared" si="1"/>
        <v>adult</v>
      </c>
      <c r="F359" s="3">
        <v>23.0</v>
      </c>
      <c r="G359" s="3" t="s">
        <v>18</v>
      </c>
      <c r="H359" s="1">
        <f t="shared" si="2"/>
        <v>3</v>
      </c>
    </row>
    <row r="360">
      <c r="A360" s="3">
        <f>data!A360</f>
        <v>920</v>
      </c>
      <c r="B360" s="3" t="str">
        <f>data!B360</f>
        <v>סעידיאן משה (מושיקו)</v>
      </c>
      <c r="C360" s="3">
        <f>data!C360</f>
        <v>26</v>
      </c>
      <c r="D360" s="3" t="str">
        <f>data!F360</f>
        <v>אזרחים</v>
      </c>
      <c r="E360" s="3" t="str">
        <f t="shared" si="1"/>
        <v>adult</v>
      </c>
      <c r="F360" s="3">
        <v>23.0</v>
      </c>
      <c r="G360" s="3" t="s">
        <v>18</v>
      </c>
      <c r="H360" s="1">
        <f t="shared" si="2"/>
        <v>3</v>
      </c>
    </row>
    <row r="361">
      <c r="A361" s="3">
        <f>data!A361</f>
        <v>846</v>
      </c>
      <c r="B361" s="3" t="str">
        <f>data!B361</f>
        <v>סרודי יניב</v>
      </c>
      <c r="C361" s="3">
        <f>data!C361</f>
        <v>26</v>
      </c>
      <c r="D361" s="3" t="str">
        <f>data!F361</f>
        <v>אזרחים</v>
      </c>
      <c r="E361" s="3" t="str">
        <f t="shared" si="1"/>
        <v>adult</v>
      </c>
      <c r="F361" s="3">
        <v>23.0</v>
      </c>
      <c r="G361" s="3" t="s">
        <v>18</v>
      </c>
      <c r="H361" s="1">
        <f t="shared" si="2"/>
        <v>3</v>
      </c>
    </row>
    <row r="362">
      <c r="A362" s="3">
        <f>data!A362</f>
        <v>670</v>
      </c>
      <c r="B362" s="3" t="str">
        <f>data!B362</f>
        <v>עבדוש גל</v>
      </c>
      <c r="C362" s="3">
        <f>data!C362</f>
        <v>34</v>
      </c>
      <c r="D362" s="3" t="str">
        <f>data!F362</f>
        <v>אזרחים</v>
      </c>
      <c r="E362" s="3" t="str">
        <f t="shared" si="1"/>
        <v>adult</v>
      </c>
      <c r="F362" s="3">
        <v>23.0</v>
      </c>
      <c r="G362" s="3" t="s">
        <v>18</v>
      </c>
      <c r="H362" s="1">
        <f t="shared" si="2"/>
        <v>3</v>
      </c>
    </row>
    <row r="363">
      <c r="A363" s="3">
        <f>data!A363</f>
        <v>671</v>
      </c>
      <c r="B363" s="3" t="str">
        <f>data!B363</f>
        <v>עבדוש נאג'י</v>
      </c>
      <c r="C363" s="3">
        <f>data!C363</f>
        <v>35</v>
      </c>
      <c r="D363" s="3" t="str">
        <f>data!F363</f>
        <v>אזרחים</v>
      </c>
      <c r="E363" s="3" t="str">
        <f t="shared" si="1"/>
        <v>adult</v>
      </c>
      <c r="F363" s="3">
        <v>23.0</v>
      </c>
      <c r="G363" s="3" t="s">
        <v>18</v>
      </c>
      <c r="H363" s="1">
        <f t="shared" si="2"/>
        <v>3</v>
      </c>
    </row>
    <row r="364">
      <c r="A364" s="3">
        <f>data!A364</f>
        <v>736</v>
      </c>
      <c r="B364" s="3" t="str">
        <f>data!B364</f>
        <v>עדרי עידן</v>
      </c>
      <c r="C364" s="3">
        <f>data!C364</f>
        <v>36</v>
      </c>
      <c r="D364" s="3" t="str">
        <f>data!F364</f>
        <v>אזרחים</v>
      </c>
      <c r="E364" s="3" t="str">
        <f t="shared" si="1"/>
        <v>adult</v>
      </c>
      <c r="F364" s="3">
        <v>23.0</v>
      </c>
      <c r="G364" s="3" t="s">
        <v>18</v>
      </c>
      <c r="H364" s="1">
        <f t="shared" si="2"/>
        <v>3</v>
      </c>
    </row>
    <row r="365">
      <c r="A365" s="3">
        <f>data!A365</f>
        <v>1309</v>
      </c>
      <c r="B365" s="3" t="str">
        <f>data!B365</f>
        <v>עודי עופר</v>
      </c>
      <c r="C365" s="3">
        <f>data!C365</f>
        <v>41</v>
      </c>
      <c r="D365" s="3" t="str">
        <f>data!F365</f>
        <v>אזרחים</v>
      </c>
      <c r="E365" s="3" t="str">
        <f t="shared" si="1"/>
        <v>adult</v>
      </c>
      <c r="F365" s="3">
        <v>23.0</v>
      </c>
      <c r="G365" s="3" t="s">
        <v>18</v>
      </c>
      <c r="H365" s="1">
        <f t="shared" si="2"/>
        <v>3</v>
      </c>
    </row>
    <row r="366">
      <c r="A366" s="3">
        <f>data!A366</f>
        <v>688</v>
      </c>
      <c r="B366" s="3" t="str">
        <f>data!B366</f>
        <v>עזר גיא</v>
      </c>
      <c r="C366" s="3">
        <f>data!C366</f>
        <v>23</v>
      </c>
      <c r="D366" s="3" t="str">
        <f>data!F366</f>
        <v>אזרחים</v>
      </c>
      <c r="E366" s="3" t="str">
        <f t="shared" si="1"/>
        <v>adult</v>
      </c>
      <c r="F366" s="3">
        <v>23.0</v>
      </c>
      <c r="G366" s="3" t="s">
        <v>18</v>
      </c>
      <c r="H366" s="1">
        <f t="shared" si="2"/>
        <v>3</v>
      </c>
    </row>
    <row r="367">
      <c r="A367" s="3">
        <f>data!A367</f>
        <v>1628</v>
      </c>
      <c r="B367" s="3" t="str">
        <f>data!B367</f>
        <v>עזרא עוז משה</v>
      </c>
      <c r="C367" s="3">
        <f>data!C367</f>
        <v>23</v>
      </c>
      <c r="D367" s="3" t="str">
        <f>data!F367</f>
        <v>אזרחים</v>
      </c>
      <c r="E367" s="3" t="str">
        <f t="shared" si="1"/>
        <v>adult</v>
      </c>
      <c r="F367" s="3">
        <v>23.0</v>
      </c>
      <c r="G367" s="3" t="s">
        <v>18</v>
      </c>
      <c r="H367" s="1">
        <f t="shared" si="2"/>
        <v>3</v>
      </c>
    </row>
    <row r="368">
      <c r="A368" s="3">
        <f>data!A368</f>
        <v>908</v>
      </c>
      <c r="B368" s="3" t="str">
        <f>data!B368</f>
        <v>עטון ליאור</v>
      </c>
      <c r="C368" s="3">
        <f>data!C368</f>
        <v>25</v>
      </c>
      <c r="D368" s="3" t="str">
        <f>data!F368</f>
        <v>אזרחים</v>
      </c>
      <c r="E368" s="3" t="str">
        <f t="shared" si="1"/>
        <v>adult</v>
      </c>
      <c r="F368" s="3">
        <v>23.0</v>
      </c>
      <c r="G368" s="3" t="s">
        <v>18</v>
      </c>
      <c r="H368" s="1">
        <f t="shared" si="2"/>
        <v>3</v>
      </c>
    </row>
    <row r="369">
      <c r="A369" s="3">
        <f>data!A369</f>
        <v>675</v>
      </c>
      <c r="B369" s="3" t="str">
        <f>data!B369</f>
        <v>עמר חנן (חנניה)</v>
      </c>
      <c r="C369" s="3">
        <f>data!C369</f>
        <v>37</v>
      </c>
      <c r="D369" s="3" t="str">
        <f>data!F369</f>
        <v>אזרחים</v>
      </c>
      <c r="E369" s="3" t="str">
        <f t="shared" si="1"/>
        <v>adult</v>
      </c>
      <c r="F369" s="3">
        <v>23.0</v>
      </c>
      <c r="G369" s="3" t="s">
        <v>169</v>
      </c>
      <c r="H369" s="1">
        <f t="shared" si="2"/>
        <v>3</v>
      </c>
    </row>
    <row r="370">
      <c r="A370" s="3">
        <f>data!A370</f>
        <v>1577</v>
      </c>
      <c r="B370" s="3" t="str">
        <f>data!B370</f>
        <v>עמר מרסדס אוריה</v>
      </c>
      <c r="C370" s="3">
        <f>data!C370</f>
        <v>33</v>
      </c>
      <c r="D370" s="3" t="str">
        <f>data!F370</f>
        <v>אזרחים</v>
      </c>
      <c r="E370" s="3" t="str">
        <f t="shared" si="1"/>
        <v>adult</v>
      </c>
      <c r="F370" s="3">
        <v>23.0</v>
      </c>
      <c r="G370" s="3" t="s">
        <v>18</v>
      </c>
      <c r="H370" s="1">
        <f t="shared" si="2"/>
        <v>3</v>
      </c>
    </row>
    <row r="371">
      <c r="A371" s="3">
        <f>data!A371</f>
        <v>822</v>
      </c>
      <c r="B371" s="3" t="str">
        <f>data!B371</f>
        <v>פאר יועד</v>
      </c>
      <c r="C371" s="3">
        <f>data!C371</f>
        <v>21</v>
      </c>
      <c r="D371" s="3" t="str">
        <f>data!F371</f>
        <v>אזרחים</v>
      </c>
      <c r="E371" s="3" t="str">
        <f t="shared" si="1"/>
        <v>adult</v>
      </c>
      <c r="F371" s="3">
        <v>23.0</v>
      </c>
      <c r="G371" s="3" t="s">
        <v>18</v>
      </c>
      <c r="H371" s="1">
        <f t="shared" si="2"/>
        <v>3</v>
      </c>
    </row>
    <row r="372">
      <c r="A372" s="3">
        <f>data!A372</f>
        <v>808</v>
      </c>
      <c r="B372" s="3" t="str">
        <f>data!B372</f>
        <v>פודר מאיה</v>
      </c>
      <c r="C372" s="3">
        <f>data!C372</f>
        <v>25</v>
      </c>
      <c r="D372" s="3" t="str">
        <f>data!F372</f>
        <v>אזרחים</v>
      </c>
      <c r="E372" s="3" t="str">
        <f t="shared" si="1"/>
        <v>adult</v>
      </c>
      <c r="F372" s="3">
        <v>23.0</v>
      </c>
      <c r="G372" s="3" t="s">
        <v>18</v>
      </c>
      <c r="H372" s="1">
        <f t="shared" si="2"/>
        <v>3</v>
      </c>
    </row>
    <row r="373">
      <c r="A373" s="3">
        <f>data!A373</f>
        <v>1305</v>
      </c>
      <c r="B373" s="3" t="str">
        <f>data!B373</f>
        <v>פולבנוב רוני</v>
      </c>
      <c r="C373" s="3">
        <f>data!C373</f>
        <v>23</v>
      </c>
      <c r="D373" s="3" t="str">
        <f>data!F373</f>
        <v>אזרחים</v>
      </c>
      <c r="E373" s="3" t="str">
        <f t="shared" si="1"/>
        <v>adult</v>
      </c>
      <c r="F373" s="3">
        <v>23.0</v>
      </c>
      <c r="G373" s="3" t="s">
        <v>18</v>
      </c>
      <c r="H373" s="1">
        <f t="shared" si="2"/>
        <v>3</v>
      </c>
    </row>
    <row r="374">
      <c r="A374" s="3">
        <f>data!A374</f>
        <v>828</v>
      </c>
      <c r="B374" s="3" t="str">
        <f>data!B374</f>
        <v>פוסטל יבגני</v>
      </c>
      <c r="C374" s="3">
        <f>data!C374</f>
        <v>25</v>
      </c>
      <c r="D374" s="3" t="str">
        <f>data!F374</f>
        <v>אזרחים</v>
      </c>
      <c r="E374" s="3" t="str">
        <f t="shared" si="1"/>
        <v>adult</v>
      </c>
      <c r="F374" s="3">
        <v>23.0</v>
      </c>
      <c r="G374" s="3" t="s">
        <v>478</v>
      </c>
      <c r="H374" s="1">
        <f t="shared" si="2"/>
        <v>3</v>
      </c>
    </row>
    <row r="375">
      <c r="A375" s="3">
        <f>data!A375</f>
        <v>749</v>
      </c>
      <c r="B375" s="3" t="str">
        <f>data!B375</f>
        <v>פורטי ניר</v>
      </c>
      <c r="C375" s="3">
        <f>data!C375</f>
        <v>30</v>
      </c>
      <c r="D375" s="3" t="str">
        <f>data!F375</f>
        <v>אזרחים</v>
      </c>
      <c r="E375" s="3" t="str">
        <f t="shared" si="1"/>
        <v>adult</v>
      </c>
      <c r="F375" s="3">
        <v>23.0</v>
      </c>
      <c r="G375" s="3" t="s">
        <v>478</v>
      </c>
      <c r="H375" s="1">
        <f t="shared" si="2"/>
        <v>3</v>
      </c>
    </row>
    <row r="376">
      <c r="A376" s="3">
        <f>data!A376</f>
        <v>1323</v>
      </c>
      <c r="B376" s="3" t="str">
        <f>data!B376</f>
        <v>פטרובסקי רוני</v>
      </c>
      <c r="C376" s="3">
        <f>data!C376</f>
        <v>24</v>
      </c>
      <c r="D376" s="3" t="str">
        <f>data!F376</f>
        <v>אזרחים</v>
      </c>
      <c r="E376" s="3" t="str">
        <f t="shared" si="1"/>
        <v>adult</v>
      </c>
      <c r="F376" s="3">
        <v>23.0</v>
      </c>
      <c r="G376" s="3" t="s">
        <v>478</v>
      </c>
      <c r="H376" s="1">
        <f t="shared" si="2"/>
        <v>3</v>
      </c>
    </row>
    <row r="377">
      <c r="A377" s="3">
        <f>data!A377</f>
        <v>826</v>
      </c>
      <c r="B377" s="3" t="str">
        <f>data!B377</f>
        <v>פטרנקו דניאלה (דנה)</v>
      </c>
      <c r="C377" s="3">
        <f>data!C377</f>
        <v>23</v>
      </c>
      <c r="D377" s="3" t="str">
        <f>data!F377</f>
        <v>אזרחים</v>
      </c>
      <c r="E377" s="3" t="str">
        <f t="shared" si="1"/>
        <v>adult</v>
      </c>
      <c r="F377" s="3">
        <v>23.0</v>
      </c>
      <c r="G377" s="3" t="s">
        <v>478</v>
      </c>
      <c r="H377" s="1">
        <f t="shared" si="2"/>
        <v>3</v>
      </c>
    </row>
    <row r="378">
      <c r="A378" s="3">
        <f>data!A378</f>
        <v>748</v>
      </c>
      <c r="B378" s="3" t="str">
        <f>data!B378</f>
        <v>פישמן בן</v>
      </c>
      <c r="C378" s="3">
        <f>data!C378</f>
        <v>21</v>
      </c>
      <c r="D378" s="3" t="str">
        <f>data!F378</f>
        <v>אזרחים</v>
      </c>
      <c r="E378" s="3" t="str">
        <f t="shared" si="1"/>
        <v>adult</v>
      </c>
      <c r="F378" s="3">
        <v>23.0</v>
      </c>
      <c r="G378" s="3" t="s">
        <v>478</v>
      </c>
      <c r="H378" s="1">
        <f t="shared" si="2"/>
        <v>3</v>
      </c>
    </row>
    <row r="379">
      <c r="A379" s="3">
        <f>data!A379</f>
        <v>827</v>
      </c>
      <c r="B379" s="3" t="str">
        <f>data!B379</f>
        <v>פלחטי אלינה</v>
      </c>
      <c r="C379" s="3">
        <f>data!C379</f>
        <v>21</v>
      </c>
      <c r="D379" s="3" t="str">
        <f>data!F379</f>
        <v>אזרחים</v>
      </c>
      <c r="E379" s="3" t="str">
        <f t="shared" si="1"/>
        <v>adult</v>
      </c>
      <c r="F379" s="3">
        <v>23.0</v>
      </c>
      <c r="G379" s="3" t="s">
        <v>1601</v>
      </c>
      <c r="H379" s="1">
        <f t="shared" si="2"/>
        <v>3</v>
      </c>
    </row>
    <row r="380">
      <c r="A380" s="3">
        <f>data!A380</f>
        <v>1631</v>
      </c>
      <c r="B380" s="3" t="str">
        <f>data!B380</f>
        <v>פסו אוראל</v>
      </c>
      <c r="C380" s="3">
        <f>data!C380</f>
        <v>26</v>
      </c>
      <c r="D380" s="3" t="str">
        <f>data!F380</f>
        <v>אזרחים</v>
      </c>
      <c r="E380" s="3" t="str">
        <f t="shared" si="1"/>
        <v>adult</v>
      </c>
      <c r="F380" s="3">
        <v>23.0</v>
      </c>
      <c r="G380" s="3" t="s">
        <v>478</v>
      </c>
      <c r="H380" s="1">
        <f t="shared" si="2"/>
        <v>3</v>
      </c>
    </row>
    <row r="381">
      <c r="A381" s="3">
        <f>data!A381</f>
        <v>1455</v>
      </c>
      <c r="B381" s="3" t="str">
        <f>data!B381</f>
        <v>פרג' נועה</v>
      </c>
      <c r="C381" s="3">
        <f>data!C381</f>
        <v>22</v>
      </c>
      <c r="D381" s="3" t="str">
        <f>data!F381</f>
        <v>אזרחים</v>
      </c>
      <c r="E381" s="3" t="str">
        <f t="shared" si="1"/>
        <v>adult</v>
      </c>
      <c r="F381" s="3">
        <v>23.0</v>
      </c>
      <c r="G381" s="3" t="s">
        <v>478</v>
      </c>
      <c r="H381" s="1">
        <f t="shared" si="2"/>
        <v>3</v>
      </c>
    </row>
    <row r="382">
      <c r="A382" s="3">
        <f>data!A382</f>
        <v>821</v>
      </c>
      <c r="B382" s="3" t="str">
        <f>data!B382</f>
        <v>פריטיקה קארינה</v>
      </c>
      <c r="C382" s="3">
        <f>data!C382</f>
        <v>23</v>
      </c>
      <c r="D382" s="3" t="str">
        <f>data!F382</f>
        <v>אזרחים</v>
      </c>
      <c r="E382" s="3" t="str">
        <f t="shared" si="1"/>
        <v>adult</v>
      </c>
      <c r="F382" s="3">
        <v>23.0</v>
      </c>
      <c r="G382" s="3" t="s">
        <v>478</v>
      </c>
      <c r="H382" s="1">
        <f t="shared" si="2"/>
        <v>3</v>
      </c>
    </row>
    <row r="383">
      <c r="A383" s="3">
        <f>data!A383</f>
        <v>1430</v>
      </c>
      <c r="B383" s="3" t="str">
        <f>data!B383</f>
        <v>פרינץ הדר</v>
      </c>
      <c r="C383" s="3">
        <f>data!C383</f>
        <v>21</v>
      </c>
      <c r="D383" s="3" t="str">
        <f>data!F383</f>
        <v>אזרחים</v>
      </c>
      <c r="E383" s="3" t="str">
        <f t="shared" si="1"/>
        <v>adult</v>
      </c>
      <c r="F383" s="3">
        <v>23.0</v>
      </c>
      <c r="G383" s="3" t="s">
        <v>478</v>
      </c>
      <c r="H383" s="1">
        <f t="shared" si="2"/>
        <v>3</v>
      </c>
    </row>
    <row r="384">
      <c r="A384" s="3">
        <f>data!A384</f>
        <v>750</v>
      </c>
      <c r="B384" s="3" t="str">
        <f>data!B384</f>
        <v>פרנקל זיו</v>
      </c>
      <c r="C384" s="3">
        <f>data!C384</f>
        <v>22</v>
      </c>
      <c r="D384" s="3" t="str">
        <f>data!F384</f>
        <v>אזרחים</v>
      </c>
      <c r="E384" s="3" t="str">
        <f t="shared" si="1"/>
        <v>adult</v>
      </c>
      <c r="F384" s="3">
        <v>23.0</v>
      </c>
      <c r="G384" s="3" t="s">
        <v>56</v>
      </c>
      <c r="H384" s="1">
        <f t="shared" si="2"/>
        <v>3</v>
      </c>
    </row>
    <row r="385">
      <c r="A385" s="3">
        <f>data!A385</f>
        <v>823</v>
      </c>
      <c r="B385" s="3" t="str">
        <f>data!B385</f>
        <v>פרץ אריק (אריה)</v>
      </c>
      <c r="C385" s="3">
        <f>data!C385</f>
        <v>58</v>
      </c>
      <c r="D385" s="3" t="str">
        <f>data!F385</f>
        <v>אזרחים</v>
      </c>
      <c r="E385" s="3" t="str">
        <f t="shared" si="1"/>
        <v>adult</v>
      </c>
      <c r="F385" s="3">
        <v>23.0</v>
      </c>
      <c r="G385" s="3" t="s">
        <v>1429</v>
      </c>
      <c r="H385" s="1">
        <f t="shared" si="2"/>
        <v>3</v>
      </c>
    </row>
    <row r="386">
      <c r="A386" s="3">
        <f>data!A386</f>
        <v>824</v>
      </c>
      <c r="B386" s="3" t="str">
        <f>data!B386</f>
        <v>פרץ עידו</v>
      </c>
      <c r="C386" s="3">
        <f>data!C386</f>
        <v>23</v>
      </c>
      <c r="D386" s="3" t="str">
        <f>data!F386</f>
        <v>אזרחים</v>
      </c>
      <c r="E386" s="3" t="str">
        <f t="shared" si="1"/>
        <v>adult</v>
      </c>
      <c r="F386" s="3">
        <v>23.0</v>
      </c>
      <c r="G386" s="3" t="s">
        <v>478</v>
      </c>
      <c r="H386" s="1">
        <f t="shared" si="2"/>
        <v>3</v>
      </c>
    </row>
    <row r="387">
      <c r="A387" s="3">
        <f>data!A387</f>
        <v>825</v>
      </c>
      <c r="B387" s="3" t="str">
        <f>data!B387</f>
        <v>פרץ רות הודיה</v>
      </c>
      <c r="C387" s="3">
        <f>data!C387</f>
        <v>17</v>
      </c>
      <c r="D387" s="3" t="str">
        <f>data!F387</f>
        <v>אזרחים</v>
      </c>
      <c r="E387" s="3" t="str">
        <f t="shared" si="1"/>
        <v>teen</v>
      </c>
      <c r="F387" s="3">
        <v>23.0</v>
      </c>
      <c r="G387" s="3" t="s">
        <v>1601</v>
      </c>
      <c r="H387" s="1">
        <f t="shared" si="2"/>
        <v>3</v>
      </c>
    </row>
    <row r="388">
      <c r="A388" s="3">
        <f>data!A388</f>
        <v>1570</v>
      </c>
      <c r="B388" s="3" t="str">
        <f>data!B388</f>
        <v>צפתי חי חיים</v>
      </c>
      <c r="C388" s="3">
        <f>data!C388</f>
        <v>26</v>
      </c>
      <c r="D388" s="3" t="str">
        <f>data!F388</f>
        <v>אזרחים</v>
      </c>
      <c r="E388" s="3" t="str">
        <f t="shared" si="1"/>
        <v>adult</v>
      </c>
      <c r="F388" s="3">
        <v>23.0</v>
      </c>
      <c r="G388" s="3" t="s">
        <v>478</v>
      </c>
      <c r="H388" s="1">
        <f t="shared" si="2"/>
        <v>3</v>
      </c>
    </row>
    <row r="389">
      <c r="A389" s="3">
        <f>data!A389</f>
        <v>29</v>
      </c>
      <c r="B389" s="3" t="str">
        <f>data!B389</f>
        <v>צרפתי אופיר</v>
      </c>
      <c r="C389" s="3">
        <f>data!C389</f>
        <v>27</v>
      </c>
      <c r="D389" s="3" t="str">
        <f>data!F389</f>
        <v>אזרחים</v>
      </c>
      <c r="E389" s="3" t="str">
        <f t="shared" si="1"/>
        <v>adult</v>
      </c>
      <c r="F389" s="3">
        <v>23.0</v>
      </c>
      <c r="G389" s="3" t="s">
        <v>478</v>
      </c>
      <c r="H389" s="1">
        <f t="shared" si="2"/>
        <v>3</v>
      </c>
    </row>
    <row r="390">
      <c r="A390" s="3">
        <f>data!A390</f>
        <v>1296</v>
      </c>
      <c r="B390" s="3" t="str">
        <f>data!B390</f>
        <v>צרפתי רון</v>
      </c>
      <c r="C390" s="3">
        <f>data!C390</f>
        <v>22</v>
      </c>
      <c r="D390" s="3" t="str">
        <f>data!F390</f>
        <v>צה"ל</v>
      </c>
      <c r="E390" s="3" t="str">
        <f t="shared" si="1"/>
        <v>adult</v>
      </c>
      <c r="F390" s="3">
        <v>23.0</v>
      </c>
      <c r="G390" s="3" t="s">
        <v>478</v>
      </c>
      <c r="H390" s="1">
        <f t="shared" si="2"/>
        <v>3</v>
      </c>
    </row>
    <row r="391">
      <c r="A391" s="3">
        <f>data!A391</f>
        <v>784</v>
      </c>
      <c r="B391" s="3" t="str">
        <f>data!B391</f>
        <v>קונדרוב אירית</v>
      </c>
      <c r="C391" s="3">
        <f>data!C391</f>
        <v>27</v>
      </c>
      <c r="D391" s="3" t="str">
        <f>data!F391</f>
        <v>אזרחים</v>
      </c>
      <c r="E391" s="3" t="str">
        <f t="shared" si="1"/>
        <v>adult</v>
      </c>
      <c r="F391" s="3">
        <v>23.0</v>
      </c>
      <c r="G391" s="3" t="s">
        <v>18</v>
      </c>
      <c r="H391" s="1">
        <f t="shared" si="2"/>
        <v>3</v>
      </c>
    </row>
    <row r="392">
      <c r="A392" s="3">
        <f>data!A392</f>
        <v>787</v>
      </c>
      <c r="B392" s="3" t="str">
        <f>data!B392</f>
        <v>קופרווסר שני</v>
      </c>
      <c r="C392" s="3">
        <f>data!C392</f>
        <v>28</v>
      </c>
      <c r="D392" s="3" t="str">
        <f>data!F392</f>
        <v>אזרחים</v>
      </c>
      <c r="E392" s="3" t="str">
        <f t="shared" si="1"/>
        <v>adult</v>
      </c>
      <c r="F392" s="3">
        <v>23.0</v>
      </c>
      <c r="G392" s="3" t="s">
        <v>18</v>
      </c>
      <c r="H392" s="1">
        <f t="shared" si="2"/>
        <v>3</v>
      </c>
    </row>
    <row r="393">
      <c r="A393" s="3">
        <f>data!A393</f>
        <v>1535</v>
      </c>
      <c r="B393" s="3" t="str">
        <f>data!B393</f>
        <v>קיז'נר שגב ישראל</v>
      </c>
      <c r="C393" s="3">
        <f>data!C393</f>
        <v>22</v>
      </c>
      <c r="D393" s="3" t="str">
        <f>data!F393</f>
        <v>אזרחים</v>
      </c>
      <c r="E393" s="3" t="str">
        <f t="shared" si="1"/>
        <v>adult</v>
      </c>
      <c r="F393" s="3">
        <v>24.0</v>
      </c>
      <c r="G393" s="3" t="s">
        <v>18</v>
      </c>
      <c r="H393" s="1">
        <f t="shared" si="2"/>
        <v>3</v>
      </c>
    </row>
    <row r="394">
      <c r="A394" s="3">
        <f>data!A394</f>
        <v>1537</v>
      </c>
      <c r="B394" s="3" t="str">
        <f>data!B394</f>
        <v>קיילין הילה</v>
      </c>
      <c r="C394" s="3">
        <f>data!C394</f>
        <v>41</v>
      </c>
      <c r="D394" s="3" t="str">
        <f>data!F394</f>
        <v>אזרחים</v>
      </c>
      <c r="E394" s="3" t="str">
        <f t="shared" si="1"/>
        <v>adult</v>
      </c>
      <c r="F394" s="3">
        <v>24.0</v>
      </c>
      <c r="G394" s="3" t="s">
        <v>169</v>
      </c>
      <c r="H394" s="1">
        <f t="shared" si="2"/>
        <v>3</v>
      </c>
    </row>
    <row r="395">
      <c r="A395" s="3">
        <f>data!A395</f>
        <v>782</v>
      </c>
      <c r="B395" s="3" t="str">
        <f>data!B395</f>
        <v>קינן לינור</v>
      </c>
      <c r="C395" s="3">
        <f>data!C395</f>
        <v>23</v>
      </c>
      <c r="D395" s="3" t="str">
        <f>data!F395</f>
        <v>אזרחים</v>
      </c>
      <c r="E395" s="3" t="str">
        <f t="shared" si="1"/>
        <v>adult</v>
      </c>
      <c r="F395" s="3">
        <v>24.0</v>
      </c>
      <c r="G395" s="3" t="s">
        <v>18</v>
      </c>
      <c r="H395" s="1">
        <f t="shared" si="2"/>
        <v>3</v>
      </c>
    </row>
    <row r="396">
      <c r="A396" s="3">
        <f>data!A396</f>
        <v>1300</v>
      </c>
      <c r="B396" s="3" t="str">
        <f>data!B396</f>
        <v>קליכמן מעין</v>
      </c>
      <c r="C396" s="3">
        <f>data!C396</f>
        <v>22</v>
      </c>
      <c r="D396" s="3" t="str">
        <f>data!F396</f>
        <v>אזרחים</v>
      </c>
      <c r="E396" s="3" t="str">
        <f t="shared" si="1"/>
        <v>adult</v>
      </c>
      <c r="F396" s="3">
        <v>24.0</v>
      </c>
      <c r="G396" s="3" t="s">
        <v>18</v>
      </c>
      <c r="H396" s="1">
        <f t="shared" si="2"/>
        <v>3</v>
      </c>
    </row>
    <row r="397">
      <c r="A397" s="3">
        <f>data!A397</f>
        <v>1429</v>
      </c>
      <c r="B397" s="3" t="str">
        <f>data!B397</f>
        <v>קמחי אופק</v>
      </c>
      <c r="C397" s="3">
        <f>data!C397</f>
        <v>23</v>
      </c>
      <c r="D397" s="3" t="str">
        <f>data!F397</f>
        <v>אזרחים</v>
      </c>
      <c r="E397" s="3" t="str">
        <f t="shared" si="1"/>
        <v>adult</v>
      </c>
      <c r="F397" s="3">
        <v>24.0</v>
      </c>
      <c r="G397" s="3" t="s">
        <v>18</v>
      </c>
      <c r="H397" s="1">
        <f t="shared" si="2"/>
        <v>3</v>
      </c>
    </row>
    <row r="398">
      <c r="A398" s="3">
        <f>data!A398</f>
        <v>1067</v>
      </c>
      <c r="B398" s="3" t="str">
        <f>data!B398</f>
        <v>קמחי סתיו</v>
      </c>
      <c r="C398" s="3">
        <f>data!C398</f>
        <v>35</v>
      </c>
      <c r="D398" s="3" t="str">
        <f>data!F398</f>
        <v>אזרחים</v>
      </c>
      <c r="E398" s="3" t="str">
        <f t="shared" si="1"/>
        <v>adult</v>
      </c>
      <c r="F398" s="3">
        <v>24.0</v>
      </c>
      <c r="G398" s="3" t="s">
        <v>18</v>
      </c>
      <c r="H398" s="1">
        <f t="shared" si="2"/>
        <v>3</v>
      </c>
    </row>
    <row r="399">
      <c r="A399" s="3">
        <f>data!A399</f>
        <v>783</v>
      </c>
      <c r="B399" s="3" t="str">
        <f>data!B399</f>
        <v>קן דרור יהונתן (מאיר)</v>
      </c>
      <c r="C399" s="3">
        <f>data!C399</f>
        <v>28</v>
      </c>
      <c r="D399" s="3" t="str">
        <f>data!F399</f>
        <v>אזרחים</v>
      </c>
      <c r="E399" s="3" t="str">
        <f t="shared" si="1"/>
        <v>adult</v>
      </c>
      <c r="F399" s="3">
        <v>24.0</v>
      </c>
      <c r="G399" s="3" t="s">
        <v>18</v>
      </c>
      <c r="H399" s="1">
        <f t="shared" si="2"/>
        <v>3</v>
      </c>
    </row>
    <row r="400">
      <c r="A400" s="3">
        <f>data!A400</f>
        <v>1140</v>
      </c>
      <c r="B400" s="3" t="str">
        <f>data!B400</f>
        <v>קסבצ'וק דניאל</v>
      </c>
      <c r="C400" s="3">
        <f>data!C400</f>
        <v>21</v>
      </c>
      <c r="D400" s="3" t="str">
        <f>data!F400</f>
        <v>צה"ל</v>
      </c>
      <c r="E400" s="3" t="str">
        <f t="shared" si="1"/>
        <v>adult</v>
      </c>
      <c r="F400" s="3">
        <v>24.0</v>
      </c>
      <c r="G400" s="3" t="s">
        <v>18</v>
      </c>
      <c r="H400" s="1">
        <f t="shared" si="2"/>
        <v>3</v>
      </c>
    </row>
    <row r="401">
      <c r="A401" s="3">
        <f>data!A401</f>
        <v>781</v>
      </c>
      <c r="B401" s="3" t="str">
        <f>data!B401</f>
        <v>קסרוטי כלפה קשת</v>
      </c>
      <c r="C401" s="3">
        <f>data!C401</f>
        <v>21</v>
      </c>
      <c r="D401" s="3" t="str">
        <f>data!F401</f>
        <v>אזרחים</v>
      </c>
      <c r="E401" s="3" t="str">
        <f t="shared" si="1"/>
        <v>adult</v>
      </c>
      <c r="F401" s="3">
        <v>24.0</v>
      </c>
      <c r="G401" s="3" t="s">
        <v>18</v>
      </c>
      <c r="H401" s="1">
        <f t="shared" si="2"/>
        <v>3</v>
      </c>
    </row>
    <row r="402">
      <c r="A402" s="3">
        <f>data!A402</f>
        <v>832</v>
      </c>
      <c r="B402" s="3" t="str">
        <f>data!B402</f>
        <v>רביב מוריה</v>
      </c>
      <c r="C402" s="3">
        <f>data!C402</f>
        <v>23</v>
      </c>
      <c r="D402" s="3" t="str">
        <f>data!F402</f>
        <v>אזרחים</v>
      </c>
      <c r="E402" s="3" t="str">
        <f t="shared" si="1"/>
        <v>adult</v>
      </c>
      <c r="F402" s="3">
        <v>24.0</v>
      </c>
      <c r="G402" s="3" t="s">
        <v>18</v>
      </c>
      <c r="H402" s="1">
        <f t="shared" si="2"/>
        <v>3</v>
      </c>
    </row>
    <row r="403">
      <c r="A403" s="3">
        <f>data!A403</f>
        <v>837</v>
      </c>
      <c r="B403" s="3" t="str">
        <f>data!B403</f>
        <v>רביע אופק</v>
      </c>
      <c r="C403" s="3">
        <f>data!C403</f>
        <v>23</v>
      </c>
      <c r="D403" s="3" t="str">
        <f>data!F403</f>
        <v>אזרחים</v>
      </c>
      <c r="E403" s="3" t="str">
        <f t="shared" si="1"/>
        <v>adult</v>
      </c>
      <c r="F403" s="3">
        <v>24.0</v>
      </c>
      <c r="G403" s="3" t="s">
        <v>18</v>
      </c>
      <c r="H403" s="1">
        <f t="shared" si="2"/>
        <v>3</v>
      </c>
    </row>
    <row r="404">
      <c r="A404" s="3">
        <f>data!A404</f>
        <v>836</v>
      </c>
      <c r="B404" s="3" t="str">
        <f>data!B404</f>
        <v>רגב שי</v>
      </c>
      <c r="C404" s="3">
        <f>data!C404</f>
        <v>25</v>
      </c>
      <c r="D404" s="3" t="str">
        <f>data!F404</f>
        <v>אזרחים</v>
      </c>
      <c r="E404" s="3" t="str">
        <f t="shared" si="1"/>
        <v>adult</v>
      </c>
      <c r="F404" s="3">
        <v>24.0</v>
      </c>
      <c r="G404" s="3" t="s">
        <v>18</v>
      </c>
      <c r="H404" s="1">
        <f t="shared" si="2"/>
        <v>3</v>
      </c>
    </row>
    <row r="405">
      <c r="A405" s="3">
        <f>data!A405</f>
        <v>840</v>
      </c>
      <c r="B405" s="3" t="str">
        <f>data!B405</f>
        <v>רואימי מיכל</v>
      </c>
      <c r="C405" s="3">
        <f>data!C405</f>
        <v>22</v>
      </c>
      <c r="D405" s="3" t="str">
        <f>data!F405</f>
        <v>אזרחים</v>
      </c>
      <c r="E405" s="3" t="str">
        <f t="shared" si="1"/>
        <v>adult</v>
      </c>
      <c r="F405" s="3">
        <v>24.0</v>
      </c>
      <c r="G405" s="3" t="s">
        <v>18</v>
      </c>
      <c r="H405" s="1">
        <f t="shared" si="2"/>
        <v>3</v>
      </c>
    </row>
    <row r="406">
      <c r="A406" s="3">
        <f>data!A406</f>
        <v>778</v>
      </c>
      <c r="B406" s="3" t="str">
        <f>data!B406</f>
        <v>רוביו ורגס איבון עדן פטריסיה</v>
      </c>
      <c r="C406" s="3">
        <f>data!C406</f>
        <v>26</v>
      </c>
      <c r="D406" s="3" t="str">
        <f>data!F406</f>
        <v>אזרחים</v>
      </c>
      <c r="E406" s="3" t="str">
        <f t="shared" si="1"/>
        <v>adult</v>
      </c>
      <c r="F406" s="3">
        <v>24.0</v>
      </c>
      <c r="G406" s="3" t="s">
        <v>18</v>
      </c>
      <c r="H406" s="1">
        <f t="shared" si="2"/>
        <v>3</v>
      </c>
    </row>
    <row r="407">
      <c r="A407" s="3">
        <f>data!A407</f>
        <v>843</v>
      </c>
      <c r="B407" s="3" t="str">
        <f>data!B407</f>
        <v>רוזמן יעל</v>
      </c>
      <c r="C407" s="3">
        <f>data!C407</f>
        <v>26</v>
      </c>
      <c r="D407" s="3" t="str">
        <f>data!F407</f>
        <v>אזרחים</v>
      </c>
      <c r="E407" s="3" t="str">
        <f t="shared" si="1"/>
        <v>adult</v>
      </c>
      <c r="F407" s="3">
        <v>24.0</v>
      </c>
      <c r="G407" s="3" t="s">
        <v>18</v>
      </c>
      <c r="H407" s="1">
        <f t="shared" si="2"/>
        <v>3</v>
      </c>
    </row>
    <row r="408">
      <c r="A408" s="3">
        <f>data!A408</f>
        <v>841</v>
      </c>
      <c r="B408" s="3" t="str">
        <f>data!B408</f>
        <v>רום יהונתן</v>
      </c>
      <c r="C408" s="3">
        <f>data!C408</f>
        <v>23</v>
      </c>
      <c r="D408" s="3" t="str">
        <f>data!F408</f>
        <v>אזרחים</v>
      </c>
      <c r="E408" s="3" t="str">
        <f t="shared" si="1"/>
        <v>adult</v>
      </c>
      <c r="F408" s="3">
        <v>24.0</v>
      </c>
      <c r="G408" s="3" t="s">
        <v>18</v>
      </c>
      <c r="H408" s="1">
        <f t="shared" si="2"/>
        <v>3</v>
      </c>
    </row>
    <row r="409">
      <c r="A409" s="3">
        <f>data!A409</f>
        <v>842</v>
      </c>
      <c r="B409" s="3" t="str">
        <f>data!B409</f>
        <v>רומשקין אולגה נעמי</v>
      </c>
      <c r="C409" s="3">
        <f>data!C409</f>
        <v>28</v>
      </c>
      <c r="D409" s="3" t="str">
        <f>data!F409</f>
        <v>אזרחים</v>
      </c>
      <c r="E409" s="3" t="str">
        <f t="shared" si="1"/>
        <v>adult</v>
      </c>
      <c r="F409" s="3">
        <v>24.0</v>
      </c>
      <c r="G409" s="3" t="s">
        <v>18</v>
      </c>
      <c r="H409" s="1">
        <f t="shared" si="2"/>
        <v>3</v>
      </c>
    </row>
    <row r="410">
      <c r="A410" s="3">
        <f>data!A410</f>
        <v>830</v>
      </c>
      <c r="B410" s="3" t="str">
        <f>data!B410</f>
        <v>רחום ניצן</v>
      </c>
      <c r="C410" s="3">
        <f>data!C410</f>
        <v>28</v>
      </c>
      <c r="D410" s="3" t="str">
        <f>data!F410</f>
        <v>אזרחים</v>
      </c>
      <c r="E410" s="3" t="str">
        <f t="shared" si="1"/>
        <v>adult</v>
      </c>
      <c r="F410" s="3">
        <v>24.0</v>
      </c>
      <c r="G410" s="3" t="s">
        <v>18</v>
      </c>
      <c r="H410" s="1">
        <f t="shared" si="2"/>
        <v>3</v>
      </c>
    </row>
    <row r="411">
      <c r="A411" s="3">
        <f>data!A411</f>
        <v>1530</v>
      </c>
      <c r="B411" s="3" t="str">
        <f>data!B411</f>
        <v>רחמים אביאל שלום</v>
      </c>
      <c r="C411" s="3">
        <f>data!C411</f>
        <v>27</v>
      </c>
      <c r="D411" s="3" t="str">
        <f>data!F411</f>
        <v>אזרחים</v>
      </c>
      <c r="E411" s="3" t="str">
        <f t="shared" si="1"/>
        <v>adult</v>
      </c>
      <c r="F411" s="3">
        <v>24.0</v>
      </c>
      <c r="G411" s="3" t="s">
        <v>18</v>
      </c>
      <c r="H411" s="1">
        <f t="shared" si="2"/>
        <v>3</v>
      </c>
    </row>
    <row r="412">
      <c r="A412" s="3">
        <f>data!A412</f>
        <v>829</v>
      </c>
      <c r="B412" s="3" t="str">
        <f>data!B412</f>
        <v>רחמים דביר</v>
      </c>
      <c r="C412" s="3">
        <f>data!C412</f>
        <v>23</v>
      </c>
      <c r="D412" s="3" t="str">
        <f>data!F412</f>
        <v>אזרחים</v>
      </c>
      <c r="E412" s="3" t="str">
        <f t="shared" si="1"/>
        <v>adult</v>
      </c>
      <c r="F412" s="3">
        <v>24.0</v>
      </c>
      <c r="G412" s="3" t="s">
        <v>18</v>
      </c>
      <c r="H412" s="1">
        <f t="shared" si="2"/>
        <v>3</v>
      </c>
    </row>
    <row r="413">
      <c r="A413" s="3">
        <f>data!A413</f>
        <v>1593</v>
      </c>
      <c r="B413" s="3" t="str">
        <f>data!B413</f>
        <v>רפאל (רפאי) אלי</v>
      </c>
      <c r="C413" s="3">
        <f>data!C413</f>
        <v>42</v>
      </c>
      <c r="D413" s="3" t="str">
        <f>data!F413</f>
        <v>אזרחים</v>
      </c>
      <c r="E413" s="3" t="str">
        <f t="shared" si="1"/>
        <v>adult</v>
      </c>
      <c r="F413" s="3">
        <v>24.0</v>
      </c>
      <c r="G413" s="3" t="s">
        <v>18</v>
      </c>
      <c r="H413" s="1">
        <f t="shared" si="2"/>
        <v>3</v>
      </c>
    </row>
    <row r="414">
      <c r="A414" s="3">
        <f>data!A414</f>
        <v>833</v>
      </c>
      <c r="B414" s="3" t="str">
        <f>data!B414</f>
        <v>רפאי שרון</v>
      </c>
      <c r="C414" s="3">
        <f>data!C414</f>
        <v>28</v>
      </c>
      <c r="D414" s="3" t="str">
        <f>data!F414</f>
        <v>אזרחים</v>
      </c>
      <c r="E414" s="3" t="str">
        <f t="shared" si="1"/>
        <v>adult</v>
      </c>
      <c r="F414" s="3">
        <v>24.0</v>
      </c>
      <c r="G414" s="3" t="s">
        <v>18</v>
      </c>
      <c r="H414" s="1">
        <f t="shared" si="2"/>
        <v>3</v>
      </c>
    </row>
    <row r="415">
      <c r="A415" s="3">
        <f>data!A415</f>
        <v>858</v>
      </c>
      <c r="B415" s="3" t="str">
        <f>data!B415</f>
        <v>שאמץ איליה</v>
      </c>
      <c r="C415" s="3">
        <f>data!C415</f>
        <v>35</v>
      </c>
      <c r="D415" s="3" t="str">
        <f>data!F415</f>
        <v>אזרחים</v>
      </c>
      <c r="E415" s="3" t="str">
        <f t="shared" si="1"/>
        <v>adult</v>
      </c>
      <c r="F415" s="3">
        <v>24.0</v>
      </c>
      <c r="G415" s="3" t="s">
        <v>18</v>
      </c>
      <c r="H415" s="1">
        <f t="shared" si="2"/>
        <v>3</v>
      </c>
    </row>
    <row r="416">
      <c r="A416" s="3">
        <f>data!A416</f>
        <v>867</v>
      </c>
      <c r="B416" s="3" t="str">
        <f>data!B416</f>
        <v>שגב שושן</v>
      </c>
      <c r="C416" s="3">
        <f>data!C416</f>
        <v>28</v>
      </c>
      <c r="D416" s="3" t="str">
        <f>data!F416</f>
        <v>אזרחים</v>
      </c>
      <c r="E416" s="3" t="str">
        <f t="shared" si="1"/>
        <v>adult</v>
      </c>
      <c r="F416" s="3">
        <v>24.0</v>
      </c>
      <c r="G416" s="3" t="s">
        <v>18</v>
      </c>
      <c r="H416" s="1">
        <f t="shared" si="2"/>
        <v>3</v>
      </c>
    </row>
    <row r="417">
      <c r="A417" s="3">
        <f>data!A417</f>
        <v>851</v>
      </c>
      <c r="B417" s="3" t="str">
        <f>data!B417</f>
        <v>שגב תומר</v>
      </c>
      <c r="C417" s="3">
        <f>data!C417</f>
        <v>30</v>
      </c>
      <c r="D417" s="3" t="str">
        <f>data!F417</f>
        <v>אזרחים</v>
      </c>
      <c r="E417" s="3" t="str">
        <f t="shared" si="1"/>
        <v>adult</v>
      </c>
      <c r="F417" s="3">
        <v>24.0</v>
      </c>
      <c r="G417" s="3" t="s">
        <v>18</v>
      </c>
      <c r="H417" s="1">
        <f t="shared" si="2"/>
        <v>3</v>
      </c>
    </row>
    <row r="418">
      <c r="A418" s="3">
        <f>data!A418</f>
        <v>1431</v>
      </c>
      <c r="B418" s="3" t="str">
        <f>data!B418</f>
        <v>שהרבני סיון</v>
      </c>
      <c r="C418" s="3">
        <f>data!C418</f>
        <v>21</v>
      </c>
      <c r="D418" s="3" t="str">
        <f>data!F418</f>
        <v>אזרחים</v>
      </c>
      <c r="E418" s="3" t="str">
        <f t="shared" si="1"/>
        <v>adult</v>
      </c>
      <c r="F418" s="3">
        <v>24.0</v>
      </c>
      <c r="G418" s="3" t="s">
        <v>18</v>
      </c>
      <c r="H418" s="1">
        <f t="shared" si="2"/>
        <v>3</v>
      </c>
    </row>
    <row r="419">
      <c r="A419" s="3">
        <f>data!A419</f>
        <v>868</v>
      </c>
      <c r="B419" s="3" t="str">
        <f>data!B419</f>
        <v>שובה משה</v>
      </c>
      <c r="C419" s="3">
        <f>data!C419</f>
        <v>33</v>
      </c>
      <c r="D419" s="3" t="str">
        <f>data!F419</f>
        <v>אזרחים</v>
      </c>
      <c r="E419" s="3" t="str">
        <f t="shared" si="1"/>
        <v>adult</v>
      </c>
      <c r="F419" s="3">
        <v>24.0</v>
      </c>
      <c r="G419" s="3" t="s">
        <v>18</v>
      </c>
      <c r="H419" s="1">
        <f t="shared" si="2"/>
        <v>3</v>
      </c>
    </row>
    <row r="420">
      <c r="A420" s="3">
        <f>data!A420</f>
        <v>850</v>
      </c>
      <c r="B420" s="3" t="str">
        <f>data!B420</f>
        <v>שוורצמן קארין</v>
      </c>
      <c r="C420" s="3">
        <f>data!C420</f>
        <v>20</v>
      </c>
      <c r="D420" s="3" t="str">
        <f>data!F420</f>
        <v>צה"ל</v>
      </c>
      <c r="E420" s="3" t="str">
        <f t="shared" si="1"/>
        <v>adult</v>
      </c>
      <c r="F420" s="3">
        <v>24.0</v>
      </c>
      <c r="G420" s="3" t="s">
        <v>18</v>
      </c>
      <c r="H420" s="1">
        <f t="shared" si="2"/>
        <v>3</v>
      </c>
    </row>
    <row r="421">
      <c r="A421" s="3">
        <f>data!A421</f>
        <v>124</v>
      </c>
      <c r="B421" s="3" t="str">
        <f>data!B421</f>
        <v>שופן זיו</v>
      </c>
      <c r="C421" s="3">
        <f>data!C421</f>
        <v>56</v>
      </c>
      <c r="D421" s="3" t="str">
        <f>data!F421</f>
        <v>אזרחים</v>
      </c>
      <c r="E421" s="3" t="str">
        <f t="shared" si="1"/>
        <v>adult</v>
      </c>
      <c r="F421" s="3">
        <v>24.0</v>
      </c>
      <c r="G421" s="3" t="s">
        <v>18</v>
      </c>
      <c r="H421" s="1">
        <f t="shared" si="2"/>
        <v>3</v>
      </c>
    </row>
    <row r="422">
      <c r="A422" s="3">
        <f>data!A422</f>
        <v>863</v>
      </c>
      <c r="B422" s="3" t="str">
        <f>data!B422</f>
        <v>שטרית רוני</v>
      </c>
      <c r="C422" s="3">
        <f>data!C422</f>
        <v>24</v>
      </c>
      <c r="D422" s="3" t="str">
        <f>data!F422</f>
        <v>אזרחים</v>
      </c>
      <c r="E422" s="3" t="str">
        <f t="shared" si="1"/>
        <v>adult</v>
      </c>
      <c r="F422" s="3">
        <v>24.0</v>
      </c>
      <c r="G422" s="3" t="s">
        <v>18</v>
      </c>
      <c r="H422" s="1">
        <f t="shared" si="2"/>
        <v>3</v>
      </c>
    </row>
    <row r="423">
      <c r="A423" s="3">
        <f>data!A423</f>
        <v>853</v>
      </c>
      <c r="B423" s="3" t="str">
        <f>data!B423</f>
        <v>שי נעם</v>
      </c>
      <c r="C423" s="3">
        <f>data!C423</f>
        <v>26</v>
      </c>
      <c r="D423" s="3" t="str">
        <f>data!F423</f>
        <v>אזרחים</v>
      </c>
      <c r="E423" s="3" t="str">
        <f t="shared" si="1"/>
        <v>adult</v>
      </c>
      <c r="F423" s="3">
        <v>24.0</v>
      </c>
      <c r="G423" s="3" t="s">
        <v>18</v>
      </c>
      <c r="H423" s="1">
        <f t="shared" si="2"/>
        <v>3</v>
      </c>
    </row>
    <row r="424">
      <c r="A424" s="3">
        <f>data!A424</f>
        <v>860</v>
      </c>
      <c r="B424" s="3" t="str">
        <f>data!B424</f>
        <v>שיינקרמן דניאל</v>
      </c>
      <c r="C424" s="3">
        <f>data!C424</f>
        <v>25</v>
      </c>
      <c r="D424" s="3" t="str">
        <f>data!F424</f>
        <v>אזרחים</v>
      </c>
      <c r="E424" s="3" t="str">
        <f t="shared" si="1"/>
        <v>adult</v>
      </c>
      <c r="F424" s="3">
        <v>24.0</v>
      </c>
      <c r="G424" s="3" t="s">
        <v>18</v>
      </c>
      <c r="H424" s="1">
        <f t="shared" si="2"/>
        <v>3</v>
      </c>
    </row>
    <row r="425">
      <c r="A425" s="3">
        <f>data!A425</f>
        <v>849</v>
      </c>
      <c r="B425" s="3" t="str">
        <f>data!B425</f>
        <v>שינדל מארק</v>
      </c>
      <c r="C425" s="3">
        <f>data!C425</f>
        <v>23</v>
      </c>
      <c r="D425" s="3" t="str">
        <f>data!F425</f>
        <v>אזרחים</v>
      </c>
      <c r="E425" s="3" t="str">
        <f t="shared" si="1"/>
        <v>adult</v>
      </c>
      <c r="F425" s="3">
        <v>24.0</v>
      </c>
      <c r="G425" s="3" t="s">
        <v>18</v>
      </c>
      <c r="H425" s="1">
        <f t="shared" si="2"/>
        <v>3</v>
      </c>
    </row>
    <row r="426">
      <c r="A426" s="3">
        <f>data!A426</f>
        <v>1480</v>
      </c>
      <c r="B426" s="3" t="str">
        <f>data!B426</f>
        <v>שכטר בר</v>
      </c>
      <c r="C426" s="3">
        <f>data!C426</f>
        <v>32</v>
      </c>
      <c r="D426" s="3" t="str">
        <f>data!F426</f>
        <v>אזרחים</v>
      </c>
      <c r="E426" s="3" t="str">
        <f t="shared" si="1"/>
        <v>adult</v>
      </c>
      <c r="F426" s="3">
        <v>24.0</v>
      </c>
      <c r="G426" s="3" t="s">
        <v>18</v>
      </c>
      <c r="H426" s="1">
        <f t="shared" si="2"/>
        <v>3</v>
      </c>
    </row>
    <row r="427">
      <c r="A427" s="3">
        <f>data!A427</f>
        <v>854</v>
      </c>
      <c r="B427" s="3" t="str">
        <f>data!B427</f>
        <v>שלו שי</v>
      </c>
      <c r="C427" s="3">
        <f>data!C427</f>
        <v>50</v>
      </c>
      <c r="D427" s="3" t="str">
        <f>data!F427</f>
        <v>אזרחים</v>
      </c>
      <c r="E427" s="3" t="str">
        <f t="shared" si="1"/>
        <v>adult</v>
      </c>
      <c r="F427" s="3">
        <v>24.0</v>
      </c>
      <c r="G427" s="3" t="s">
        <v>18</v>
      </c>
      <c r="H427" s="1">
        <f t="shared" si="2"/>
        <v>3</v>
      </c>
    </row>
    <row r="428">
      <c r="A428" s="3">
        <f>data!A428</f>
        <v>857</v>
      </c>
      <c r="B428" s="3" t="str">
        <f>data!B428</f>
        <v>שלום נעם</v>
      </c>
      <c r="C428" s="3">
        <f>data!C428</f>
        <v>25</v>
      </c>
      <c r="D428" s="3" t="str">
        <f>data!F428</f>
        <v>אזרחים</v>
      </c>
      <c r="E428" s="3" t="str">
        <f t="shared" si="1"/>
        <v>adult</v>
      </c>
      <c r="F428" s="3">
        <v>24.0</v>
      </c>
      <c r="G428" s="3" t="s">
        <v>18</v>
      </c>
      <c r="H428" s="1">
        <f t="shared" si="2"/>
        <v>3</v>
      </c>
    </row>
    <row r="429">
      <c r="A429" s="3">
        <f>data!A429</f>
        <v>1528</v>
      </c>
      <c r="B429" s="3" t="str">
        <f>data!B429</f>
        <v>שלום רם</v>
      </c>
      <c r="C429" s="3">
        <f>data!C429</f>
        <v>25</v>
      </c>
      <c r="D429" s="3" t="str">
        <f>data!F429</f>
        <v>אזרחים</v>
      </c>
      <c r="E429" s="3" t="str">
        <f t="shared" si="1"/>
        <v>adult</v>
      </c>
      <c r="F429" s="3">
        <v>24.0</v>
      </c>
      <c r="G429" s="3" t="s">
        <v>18</v>
      </c>
      <c r="H429" s="1">
        <f t="shared" si="2"/>
        <v>3</v>
      </c>
    </row>
    <row r="430">
      <c r="A430" s="3">
        <f>data!A430</f>
        <v>864</v>
      </c>
      <c r="B430" s="3" t="str">
        <f>data!B430</f>
        <v>שלזינגר אסף</v>
      </c>
      <c r="C430" s="3">
        <f>data!C430</f>
        <v>57</v>
      </c>
      <c r="D430" s="3" t="str">
        <f>data!F430</f>
        <v>מגן דוד אדום</v>
      </c>
      <c r="E430" s="3" t="str">
        <f t="shared" si="1"/>
        <v>adult</v>
      </c>
      <c r="F430" s="3">
        <v>24.0</v>
      </c>
      <c r="G430" s="3" t="s">
        <v>18</v>
      </c>
      <c r="H430" s="1">
        <f t="shared" si="2"/>
        <v>3</v>
      </c>
    </row>
    <row r="431">
      <c r="A431" s="3">
        <f>data!A431</f>
        <v>861</v>
      </c>
      <c r="B431" s="3" t="str">
        <f>data!B431</f>
        <v>שם טוב עינבר</v>
      </c>
      <c r="C431" s="3">
        <f>data!C431</f>
        <v>22</v>
      </c>
      <c r="D431" s="3" t="str">
        <f>data!F431</f>
        <v>אזרחים</v>
      </c>
      <c r="E431" s="3" t="str">
        <f t="shared" si="1"/>
        <v>adult</v>
      </c>
      <c r="F431" s="3">
        <v>24.0</v>
      </c>
      <c r="G431" s="3" t="s">
        <v>18</v>
      </c>
      <c r="H431" s="1">
        <f t="shared" si="2"/>
        <v>3</v>
      </c>
    </row>
    <row r="432">
      <c r="A432" s="3">
        <f>data!A432</f>
        <v>865</v>
      </c>
      <c r="B432" s="3" t="str">
        <f>data!B432</f>
        <v>שמוניס הראל שרונה</v>
      </c>
      <c r="C432" s="3">
        <f>data!C432</f>
        <v>40</v>
      </c>
      <c r="D432" s="3" t="str">
        <f>data!F432</f>
        <v>אזרחים</v>
      </c>
      <c r="E432" s="3" t="str">
        <f t="shared" si="1"/>
        <v>adult</v>
      </c>
      <c r="F432" s="3">
        <v>24.0</v>
      </c>
      <c r="G432" s="3" t="s">
        <v>18</v>
      </c>
      <c r="H432" s="1">
        <f t="shared" si="2"/>
        <v>3</v>
      </c>
    </row>
    <row r="433">
      <c r="A433" s="3">
        <f>data!A433</f>
        <v>862</v>
      </c>
      <c r="B433" s="3" t="str">
        <f>data!B433</f>
        <v>שמעוני בנימין (בן)</v>
      </c>
      <c r="C433" s="3">
        <f>data!C433</f>
        <v>31</v>
      </c>
      <c r="D433" s="3" t="str">
        <f>data!F433</f>
        <v>אזרחים</v>
      </c>
      <c r="E433" s="3" t="str">
        <f t="shared" si="1"/>
        <v>adult</v>
      </c>
      <c r="F433" s="3">
        <v>24.0</v>
      </c>
      <c r="G433" s="3" t="s">
        <v>18</v>
      </c>
      <c r="H433" s="1">
        <f t="shared" si="2"/>
        <v>3</v>
      </c>
    </row>
    <row r="434">
      <c r="A434" s="3">
        <f>data!A434</f>
        <v>907</v>
      </c>
      <c r="B434" s="3" t="str">
        <f>data!B434</f>
        <v>שמר רון</v>
      </c>
      <c r="C434" s="3">
        <f>data!C434</f>
        <v>23</v>
      </c>
      <c r="D434" s="3" t="str">
        <f>data!F434</f>
        <v>אזרחים</v>
      </c>
      <c r="E434" s="3" t="str">
        <f t="shared" si="1"/>
        <v>adult</v>
      </c>
      <c r="F434" s="3">
        <v>24.0</v>
      </c>
      <c r="G434" s="3" t="s">
        <v>169</v>
      </c>
      <c r="H434" s="1">
        <f t="shared" si="2"/>
        <v>3</v>
      </c>
    </row>
    <row r="435">
      <c r="A435" s="3">
        <f>data!A435</f>
        <v>869</v>
      </c>
      <c r="B435" s="3" t="str">
        <f>data!B435</f>
        <v>שניר איתן רפאל</v>
      </c>
      <c r="C435" s="3">
        <f>data!C435</f>
        <v>21</v>
      </c>
      <c r="D435" s="3" t="str">
        <f>data!F435</f>
        <v>אזרחים</v>
      </c>
      <c r="E435" s="3" t="str">
        <f t="shared" si="1"/>
        <v>adult</v>
      </c>
      <c r="F435" s="3">
        <v>24.0</v>
      </c>
      <c r="G435" s="3" t="s">
        <v>18</v>
      </c>
      <c r="H435" s="1">
        <f t="shared" si="2"/>
        <v>3</v>
      </c>
    </row>
    <row r="436">
      <c r="A436" s="3">
        <f>data!A436</f>
        <v>859</v>
      </c>
      <c r="B436" s="3" t="str">
        <f>data!B436</f>
        <v>שפירא זיו פפה</v>
      </c>
      <c r="C436" s="3">
        <f>data!C436</f>
        <v>26</v>
      </c>
      <c r="D436" s="3" t="str">
        <f>data!F436</f>
        <v>אזרחים</v>
      </c>
      <c r="E436" s="3" t="str">
        <f t="shared" si="1"/>
        <v>adult</v>
      </c>
      <c r="F436" s="3">
        <v>24.0</v>
      </c>
      <c r="G436" s="3" t="s">
        <v>169</v>
      </c>
      <c r="H436" s="1">
        <f t="shared" si="2"/>
        <v>3</v>
      </c>
    </row>
    <row r="437">
      <c r="A437" s="3">
        <f>data!A437</f>
        <v>123</v>
      </c>
      <c r="B437" s="3" t="str">
        <f>data!B437</f>
        <v>שפר רן</v>
      </c>
      <c r="C437" s="3">
        <f>data!C437</f>
        <v>48</v>
      </c>
      <c r="D437" s="3" t="str">
        <f>data!F437</f>
        <v>אזרחים</v>
      </c>
      <c r="E437" s="3" t="str">
        <f t="shared" si="1"/>
        <v>adult</v>
      </c>
      <c r="F437" s="3">
        <v>24.0</v>
      </c>
      <c r="G437" s="3" t="s">
        <v>169</v>
      </c>
      <c r="H437" s="1">
        <f t="shared" si="2"/>
        <v>3</v>
      </c>
    </row>
    <row r="438">
      <c r="A438" s="3">
        <f>data!A438</f>
        <v>866</v>
      </c>
      <c r="B438" s="3" t="str">
        <f>data!B438</f>
        <v>שרם ליאם</v>
      </c>
      <c r="C438" s="3">
        <f>data!C438</f>
        <v>25</v>
      </c>
      <c r="D438" s="3" t="str">
        <f>data!F438</f>
        <v>אזרחים</v>
      </c>
      <c r="E438" s="3" t="str">
        <f t="shared" si="1"/>
        <v>adult</v>
      </c>
      <c r="F438" s="3">
        <v>24.0</v>
      </c>
      <c r="G438" s="3" t="s">
        <v>169</v>
      </c>
      <c r="H438" s="1">
        <f t="shared" si="2"/>
        <v>3</v>
      </c>
    </row>
    <row r="439">
      <c r="A439" s="3">
        <f>data!A439</f>
        <v>1332</v>
      </c>
      <c r="B439" s="3" t="str">
        <f>data!B439</f>
        <v>תאר דור</v>
      </c>
      <c r="C439" s="3">
        <f>data!C439</f>
        <v>27</v>
      </c>
      <c r="D439" s="3" t="str">
        <f>data!F439</f>
        <v>אזרחים</v>
      </c>
      <c r="E439" s="3" t="str">
        <f t="shared" si="1"/>
        <v>adult</v>
      </c>
      <c r="F439" s="3">
        <v>24.0</v>
      </c>
      <c r="G439" s="3" t="s">
        <v>169</v>
      </c>
      <c r="H439" s="1">
        <f t="shared" si="2"/>
        <v>3</v>
      </c>
    </row>
    <row r="440">
      <c r="A440" s="3">
        <f>data!A440</f>
        <v>879</v>
      </c>
      <c r="B440" s="3" t="str">
        <f>data!B440</f>
        <v>תומר בר</v>
      </c>
      <c r="C440" s="3">
        <f>data!C440</f>
        <v>25</v>
      </c>
      <c r="D440" s="3" t="str">
        <f>data!F440</f>
        <v>אזרחים</v>
      </c>
      <c r="E440" s="3" t="str">
        <f t="shared" si="1"/>
        <v>adult</v>
      </c>
      <c r="F440" s="3">
        <v>24.0</v>
      </c>
      <c r="G440" s="3" t="s">
        <v>478</v>
      </c>
      <c r="H440" s="1">
        <f t="shared" si="2"/>
        <v>3</v>
      </c>
    </row>
    <row r="441">
      <c r="A441" s="3">
        <f>data!A441</f>
        <v>880</v>
      </c>
      <c r="B441" s="3" t="str">
        <f>data!B441</f>
        <v>תורג'מן אבידן</v>
      </c>
      <c r="C441" s="3">
        <f>data!C441</f>
        <v>26</v>
      </c>
      <c r="D441" s="3" t="str">
        <f>data!F441</f>
        <v>אזרחים</v>
      </c>
      <c r="E441" s="3" t="str">
        <f t="shared" si="1"/>
        <v>adult</v>
      </c>
      <c r="F441" s="3">
        <v>24.0</v>
      </c>
      <c r="G441" s="3" t="s">
        <v>1429</v>
      </c>
      <c r="H441" s="1">
        <f t="shared" si="2"/>
        <v>3</v>
      </c>
    </row>
    <row r="442">
      <c r="A442" s="3">
        <f>data!A442</f>
        <v>1509</v>
      </c>
      <c r="B442" s="3" t="str">
        <f>data!B442</f>
        <v>תורג'מן שהם ליה</v>
      </c>
      <c r="C442" s="3">
        <f>data!C442</f>
        <v>24</v>
      </c>
      <c r="D442" s="3" t="str">
        <f>data!F442</f>
        <v>אזרחים</v>
      </c>
      <c r="E442" s="3" t="str">
        <f t="shared" si="1"/>
        <v>adult</v>
      </c>
      <c r="F442" s="3">
        <v>24.0</v>
      </c>
      <c r="G442" s="3" t="s">
        <v>18</v>
      </c>
      <c r="H442" s="1">
        <f t="shared" si="2"/>
        <v>3</v>
      </c>
    </row>
    <row r="443">
      <c r="A443" s="3">
        <f>data!A443</f>
        <v>876</v>
      </c>
      <c r="B443" s="3" t="str">
        <f>data!B443</f>
        <v>תל צור ניב</v>
      </c>
      <c r="C443" s="3">
        <f>data!C443</f>
        <v>22</v>
      </c>
      <c r="D443" s="3" t="str">
        <f>data!F443</f>
        <v>אזרחים</v>
      </c>
      <c r="E443" s="3" t="str">
        <f t="shared" si="1"/>
        <v>adult</v>
      </c>
      <c r="F443" s="3">
        <v>24.0</v>
      </c>
      <c r="G443" s="3" t="s">
        <v>478</v>
      </c>
      <c r="H443" s="1">
        <f t="shared" si="2"/>
        <v>3</v>
      </c>
    </row>
    <row r="444">
      <c r="A444" s="3">
        <f>data!A444</f>
        <v>1703</v>
      </c>
      <c r="B444" s="3" t="str">
        <f>data!B444</f>
        <v>זיו דדו</v>
      </c>
      <c r="C444" s="3">
        <f>data!C444</f>
        <v>36</v>
      </c>
      <c r="D444" s="3" t="str">
        <f>data!F444</f>
        <v>צה"ל</v>
      </c>
      <c r="E444" s="3" t="str">
        <f t="shared" si="1"/>
        <v>adult</v>
      </c>
      <c r="F444" s="3">
        <v>24.0</v>
      </c>
      <c r="G444" s="3" t="s">
        <v>1601</v>
      </c>
      <c r="H444" s="1">
        <f t="shared" si="2"/>
        <v>3</v>
      </c>
    </row>
    <row r="445">
      <c r="A445" s="3">
        <f>data!A445</f>
        <v>1368</v>
      </c>
      <c r="B445" s="3" t="str">
        <f>data!B445</f>
        <v>שפירר תומר</v>
      </c>
      <c r="C445" s="3">
        <f>data!C445</f>
        <v>37</v>
      </c>
      <c r="D445" s="3" t="str">
        <f>data!F445</f>
        <v>אזרחים</v>
      </c>
      <c r="E445" s="3" t="str">
        <f t="shared" si="1"/>
        <v>adult</v>
      </c>
      <c r="F445" s="3">
        <v>24.0</v>
      </c>
      <c r="G445" s="3" t="s">
        <v>478</v>
      </c>
      <c r="H445" s="1">
        <f t="shared" si="2"/>
        <v>3</v>
      </c>
    </row>
    <row r="446">
      <c r="A446" s="3">
        <f>data!A446</f>
        <v>68</v>
      </c>
      <c r="B446" s="3" t="str">
        <f>data!B446</f>
        <v>אבן אלון</v>
      </c>
      <c r="C446" s="3">
        <f>data!C446</f>
        <v>16</v>
      </c>
      <c r="D446" s="3" t="str">
        <f>data!F446</f>
        <v>אזרחים</v>
      </c>
      <c r="E446" s="3" t="str">
        <f t="shared" si="1"/>
        <v>teen</v>
      </c>
      <c r="F446" s="3">
        <v>24.0</v>
      </c>
      <c r="G446" s="3" t="s">
        <v>478</v>
      </c>
      <c r="H446" s="1">
        <f t="shared" si="2"/>
        <v>3</v>
      </c>
    </row>
    <row r="447">
      <c r="A447" s="3">
        <f>data!A447</f>
        <v>69</v>
      </c>
      <c r="B447" s="3" t="str">
        <f>data!B447</f>
        <v>אבן חן</v>
      </c>
      <c r="C447" s="3">
        <f>data!C447</f>
        <v>45</v>
      </c>
      <c r="D447" s="3" t="str">
        <f>data!F447</f>
        <v>אזרחים</v>
      </c>
      <c r="E447" s="3" t="str">
        <f t="shared" si="1"/>
        <v>adult</v>
      </c>
      <c r="F447" s="3">
        <v>24.0</v>
      </c>
      <c r="G447" s="3" t="s">
        <v>18</v>
      </c>
      <c r="H447" s="1">
        <f t="shared" si="2"/>
        <v>3</v>
      </c>
    </row>
    <row r="448">
      <c r="A448" s="3">
        <f>data!A448</f>
        <v>70</v>
      </c>
      <c r="B448" s="3" t="str">
        <f>data!B448</f>
        <v>אבן עידו</v>
      </c>
      <c r="C448" s="3">
        <f>data!C448</f>
        <v>14</v>
      </c>
      <c r="D448" s="3" t="str">
        <f>data!F448</f>
        <v>אזרחים</v>
      </c>
      <c r="E448" s="3" t="str">
        <f t="shared" si="1"/>
        <v>teen</v>
      </c>
      <c r="F448" s="3">
        <v>24.0</v>
      </c>
      <c r="G448" s="3" t="s">
        <v>478</v>
      </c>
      <c r="H448" s="1">
        <f t="shared" si="2"/>
        <v>3</v>
      </c>
    </row>
    <row r="449">
      <c r="A449" s="3">
        <f>data!A449</f>
        <v>71</v>
      </c>
      <c r="B449" s="3" t="str">
        <f>data!B449</f>
        <v>אבן רינת</v>
      </c>
      <c r="C449" s="3">
        <f>data!C449</f>
        <v>44</v>
      </c>
      <c r="D449" s="3" t="str">
        <f>data!F449</f>
        <v>אזרחים</v>
      </c>
      <c r="E449" s="3" t="str">
        <f t="shared" si="1"/>
        <v>adult</v>
      </c>
      <c r="F449" s="3">
        <v>24.0</v>
      </c>
      <c r="G449" s="3" t="s">
        <v>478</v>
      </c>
      <c r="H449" s="1">
        <f t="shared" si="2"/>
        <v>3</v>
      </c>
    </row>
    <row r="450">
      <c r="A450" s="3">
        <f>data!A450</f>
        <v>110</v>
      </c>
      <c r="B450" s="3" t="str">
        <f>data!B450</f>
        <v>אוחיון סילביה</v>
      </c>
      <c r="C450" s="3">
        <f>data!C450</f>
        <v>58</v>
      </c>
      <c r="D450" s="3" t="str">
        <f>data!F450</f>
        <v>אזרחים</v>
      </c>
      <c r="E450" s="3" t="str">
        <f t="shared" si="1"/>
        <v>adult</v>
      </c>
      <c r="F450" s="3">
        <v>24.0</v>
      </c>
      <c r="G450" s="3" t="s">
        <v>478</v>
      </c>
      <c r="H450" s="1">
        <f t="shared" si="2"/>
        <v>3</v>
      </c>
    </row>
    <row r="451">
      <c r="A451" s="3">
        <f>data!A451</f>
        <v>141</v>
      </c>
      <c r="B451" s="3" t="str">
        <f>data!B451</f>
        <v>אור יונת</v>
      </c>
      <c r="C451" s="3">
        <f>data!C451</f>
        <v>51</v>
      </c>
      <c r="D451" s="3" t="str">
        <f>data!F451</f>
        <v>אזרחים</v>
      </c>
      <c r="E451" s="3" t="str">
        <f t="shared" si="1"/>
        <v>adult</v>
      </c>
      <c r="F451" s="3">
        <v>24.0</v>
      </c>
      <c r="G451" s="3" t="s">
        <v>18</v>
      </c>
      <c r="H451" s="1">
        <f t="shared" si="2"/>
        <v>3</v>
      </c>
    </row>
    <row r="452">
      <c r="A452" s="3">
        <f>data!A452</f>
        <v>32</v>
      </c>
      <c r="B452" s="3" t="str">
        <f>data!B452</f>
        <v>אפטלון יוסי (זיגי)</v>
      </c>
      <c r="C452" s="3">
        <f>data!C452</f>
        <v>77</v>
      </c>
      <c r="D452" s="3" t="str">
        <f>data!F452</f>
        <v>אזרחים</v>
      </c>
      <c r="E452" s="3" t="str">
        <f t="shared" si="1"/>
        <v>senior</v>
      </c>
      <c r="F452" s="3">
        <v>24.0</v>
      </c>
      <c r="G452" s="3" t="s">
        <v>1601</v>
      </c>
      <c r="H452" s="1">
        <f t="shared" si="2"/>
        <v>3</v>
      </c>
    </row>
    <row r="453">
      <c r="A453" s="3">
        <f>data!A453</f>
        <v>55</v>
      </c>
      <c r="B453" s="3" t="str">
        <f>data!B453</f>
        <v>בויום ענבר</v>
      </c>
      <c r="C453" s="3">
        <f>data!C453</f>
        <v>22</v>
      </c>
      <c r="D453" s="3" t="str">
        <f>data!F453</f>
        <v>אזרחים</v>
      </c>
      <c r="E453" s="3" t="str">
        <f t="shared" si="1"/>
        <v>adult</v>
      </c>
      <c r="F453" s="3">
        <v>24.0</v>
      </c>
      <c r="G453" s="3" t="s">
        <v>18</v>
      </c>
      <c r="H453" s="1">
        <f t="shared" si="2"/>
        <v>3</v>
      </c>
    </row>
    <row r="454">
      <c r="A454" s="3">
        <f>data!A454</f>
        <v>48</v>
      </c>
      <c r="B454" s="3" t="str">
        <f>data!B454</f>
        <v>בירה אורון</v>
      </c>
      <c r="C454" s="3">
        <f>data!C454</f>
        <v>44</v>
      </c>
      <c r="D454" s="3" t="str">
        <f>data!F454</f>
        <v>אזרחים</v>
      </c>
      <c r="E454" s="3" t="str">
        <f t="shared" si="1"/>
        <v>adult</v>
      </c>
      <c r="F454" s="3">
        <v>24.0</v>
      </c>
      <c r="G454" s="3" t="s">
        <v>18</v>
      </c>
      <c r="H454" s="1">
        <f t="shared" si="2"/>
        <v>3</v>
      </c>
    </row>
    <row r="455">
      <c r="A455" s="3">
        <f>data!A455</f>
        <v>51</v>
      </c>
      <c r="B455" s="3" t="str">
        <f>data!B455</f>
        <v>בירה טל</v>
      </c>
      <c r="C455" s="3">
        <f>data!C455</f>
        <v>62</v>
      </c>
      <c r="D455" s="3" t="str">
        <f>data!F455</f>
        <v>אזרחים</v>
      </c>
      <c r="E455" s="3" t="str">
        <f t="shared" si="1"/>
        <v>adult</v>
      </c>
      <c r="F455" s="3">
        <v>25.0</v>
      </c>
      <c r="G455" s="3" t="s">
        <v>56</v>
      </c>
      <c r="H455" s="1">
        <f t="shared" si="2"/>
        <v>3</v>
      </c>
    </row>
    <row r="456">
      <c r="A456" s="3">
        <f>data!A456</f>
        <v>52</v>
      </c>
      <c r="B456" s="3" t="str">
        <f>data!B456</f>
        <v>בירה יסמין</v>
      </c>
      <c r="C456" s="3">
        <f>data!C456</f>
        <v>51</v>
      </c>
      <c r="D456" s="3" t="str">
        <f>data!F456</f>
        <v>אזרחים</v>
      </c>
      <c r="E456" s="3" t="str">
        <f t="shared" si="1"/>
        <v>adult</v>
      </c>
      <c r="F456" s="3">
        <v>25.0</v>
      </c>
      <c r="G456" s="3" t="s">
        <v>18</v>
      </c>
      <c r="H456" s="1">
        <f t="shared" si="2"/>
        <v>3</v>
      </c>
    </row>
    <row r="457">
      <c r="A457" s="3">
        <f>data!A457</f>
        <v>50</v>
      </c>
      <c r="B457" s="3" t="str">
        <f>data!B457</f>
        <v>בירה תאיר</v>
      </c>
      <c r="C457" s="3">
        <f>data!C457</f>
        <v>22</v>
      </c>
      <c r="D457" s="3" t="str">
        <f>data!F457</f>
        <v>אזרחים</v>
      </c>
      <c r="E457" s="3" t="str">
        <f t="shared" si="1"/>
        <v>adult</v>
      </c>
      <c r="F457" s="3">
        <v>25.0</v>
      </c>
      <c r="G457" s="3" t="s">
        <v>169</v>
      </c>
      <c r="H457" s="1">
        <f t="shared" si="2"/>
        <v>3</v>
      </c>
    </row>
    <row r="458">
      <c r="A458" s="3">
        <f>data!A458</f>
        <v>49</v>
      </c>
      <c r="B458" s="3" t="str">
        <f>data!B458</f>
        <v>בירה תהל</v>
      </c>
      <c r="C458" s="3">
        <f>data!C458</f>
        <v>15</v>
      </c>
      <c r="D458" s="3" t="str">
        <f>data!F458</f>
        <v>אזרחים</v>
      </c>
      <c r="E458" s="3" t="str">
        <f t="shared" si="1"/>
        <v>teen</v>
      </c>
      <c r="F458" s="3">
        <v>25.0</v>
      </c>
      <c r="G458" s="3" t="s">
        <v>18</v>
      </c>
      <c r="H458" s="1">
        <f t="shared" si="2"/>
        <v>3</v>
      </c>
    </row>
    <row r="459">
      <c r="A459" s="3">
        <f>data!A459</f>
        <v>39</v>
      </c>
      <c r="B459" s="3" t="str">
        <f>data!B459</f>
        <v>בכר גאולה</v>
      </c>
      <c r="C459" s="3">
        <f>data!C459</f>
        <v>81</v>
      </c>
      <c r="D459" s="3" t="str">
        <f>data!F459</f>
        <v>אזרחים</v>
      </c>
      <c r="E459" s="3" t="str">
        <f t="shared" si="1"/>
        <v>senior</v>
      </c>
      <c r="F459" s="3">
        <v>25.0</v>
      </c>
      <c r="G459" s="3" t="s">
        <v>18</v>
      </c>
      <c r="H459" s="1">
        <f t="shared" si="2"/>
        <v>3</v>
      </c>
    </row>
    <row r="460">
      <c r="A460" s="3">
        <f>data!A460</f>
        <v>38</v>
      </c>
      <c r="B460" s="3" t="str">
        <f>data!B460</f>
        <v>בכר דנה</v>
      </c>
      <c r="C460" s="3">
        <f>data!C460</f>
        <v>48</v>
      </c>
      <c r="D460" s="3" t="str">
        <f>data!F460</f>
        <v>אזרחים</v>
      </c>
      <c r="E460" s="3" t="str">
        <f t="shared" si="1"/>
        <v>adult</v>
      </c>
      <c r="F460" s="3">
        <v>25.0</v>
      </c>
      <c r="G460" s="3" t="s">
        <v>18</v>
      </c>
      <c r="H460" s="1">
        <f t="shared" si="2"/>
        <v>3</v>
      </c>
    </row>
    <row r="461">
      <c r="A461" s="3">
        <f>data!A461</f>
        <v>37</v>
      </c>
      <c r="B461" s="3" t="str">
        <f>data!B461</f>
        <v>בכר כרמל</v>
      </c>
      <c r="C461" s="3">
        <f>data!C461</f>
        <v>15</v>
      </c>
      <c r="D461" s="3" t="str">
        <f>data!F461</f>
        <v>אזרחים</v>
      </c>
      <c r="E461" s="3" t="str">
        <f t="shared" si="1"/>
        <v>teen</v>
      </c>
      <c r="F461" s="3">
        <v>25.0</v>
      </c>
      <c r="G461" s="3" t="s">
        <v>18</v>
      </c>
      <c r="H461" s="1">
        <f t="shared" si="2"/>
        <v>3</v>
      </c>
    </row>
    <row r="462">
      <c r="A462" s="3">
        <f>data!A462</f>
        <v>40</v>
      </c>
      <c r="B462" s="3" t="str">
        <f>data!B462</f>
        <v>בכר מזל (מזי)</v>
      </c>
      <c r="C462" s="3">
        <f>data!C462</f>
        <v>63</v>
      </c>
      <c r="D462" s="3" t="str">
        <f>data!F462</f>
        <v>אזרחים</v>
      </c>
      <c r="E462" s="3" t="str">
        <f t="shared" si="1"/>
        <v>adult</v>
      </c>
      <c r="F462" s="3">
        <v>25.0</v>
      </c>
      <c r="G462" s="3" t="s">
        <v>18</v>
      </c>
      <c r="H462" s="1">
        <f t="shared" si="2"/>
        <v>3</v>
      </c>
    </row>
    <row r="463">
      <c r="A463" s="3">
        <f>data!A463</f>
        <v>47</v>
      </c>
      <c r="B463" s="3" t="str">
        <f>data!B463</f>
        <v>בן עמי חוה</v>
      </c>
      <c r="C463" s="3">
        <f>data!C463</f>
        <v>62</v>
      </c>
      <c r="D463" s="3" t="str">
        <f>data!F463</f>
        <v>אזרחים</v>
      </c>
      <c r="E463" s="3" t="str">
        <f t="shared" si="1"/>
        <v>adult</v>
      </c>
      <c r="F463" s="3">
        <v>25.0</v>
      </c>
      <c r="G463" s="3" t="s">
        <v>18</v>
      </c>
      <c r="H463" s="1">
        <f t="shared" si="2"/>
        <v>3</v>
      </c>
    </row>
    <row r="464">
      <c r="A464" s="3">
        <f>data!A464</f>
        <v>42</v>
      </c>
      <c r="B464" s="3" t="str">
        <f>data!B464</f>
        <v>בר יובל</v>
      </c>
      <c r="C464" s="3">
        <f>data!C464</f>
        <v>65</v>
      </c>
      <c r="D464" s="3" t="str">
        <f>data!F464</f>
        <v>אזרחים</v>
      </c>
      <c r="E464" s="3" t="str">
        <f t="shared" si="1"/>
        <v>senior</v>
      </c>
      <c r="F464" s="3">
        <v>25.0</v>
      </c>
      <c r="G464" s="3" t="s">
        <v>18</v>
      </c>
      <c r="H464" s="1">
        <f t="shared" si="2"/>
        <v>3</v>
      </c>
    </row>
    <row r="465">
      <c r="A465" s="3">
        <f>data!A465</f>
        <v>41</v>
      </c>
      <c r="B465" s="3" t="str">
        <f>data!B465</f>
        <v>בר מעיין</v>
      </c>
      <c r="C465" s="3">
        <f>data!C465</f>
        <v>65</v>
      </c>
      <c r="D465" s="3" t="str">
        <f>data!F465</f>
        <v>אזרחים</v>
      </c>
      <c r="E465" s="3" t="str">
        <f t="shared" si="1"/>
        <v>senior</v>
      </c>
      <c r="F465" s="3">
        <v>25.0</v>
      </c>
      <c r="G465" s="3" t="s">
        <v>18</v>
      </c>
      <c r="H465" s="1">
        <f t="shared" si="2"/>
        <v>3</v>
      </c>
    </row>
    <row r="466">
      <c r="A466" s="3">
        <f>data!A466</f>
        <v>43</v>
      </c>
      <c r="B466" s="3" t="str">
        <f>data!B466</f>
        <v>בר סיני יורם</v>
      </c>
      <c r="C466" s="3">
        <f>data!C466</f>
        <v>75</v>
      </c>
      <c r="D466" s="3" t="str">
        <f>data!F466</f>
        <v>אזרחים</v>
      </c>
      <c r="E466" s="3" t="str">
        <f t="shared" si="1"/>
        <v>senior</v>
      </c>
      <c r="F466" s="3">
        <v>25.0</v>
      </c>
      <c r="G466" s="3" t="s">
        <v>18</v>
      </c>
      <c r="H466" s="1">
        <f t="shared" si="2"/>
        <v>3</v>
      </c>
    </row>
    <row r="467">
      <c r="A467" s="3">
        <f>data!A467</f>
        <v>44</v>
      </c>
      <c r="B467" s="3" t="str">
        <f>data!B467</f>
        <v>ברוך עידן</v>
      </c>
      <c r="C467" s="3">
        <f>data!C467</f>
        <v>20</v>
      </c>
      <c r="D467" s="3" t="str">
        <f>data!F467</f>
        <v>צה"ל</v>
      </c>
      <c r="E467" s="3" t="str">
        <f t="shared" si="1"/>
        <v>adult</v>
      </c>
      <c r="F467" s="3">
        <v>25.0</v>
      </c>
      <c r="G467" s="3" t="s">
        <v>18</v>
      </c>
      <c r="H467" s="1">
        <f t="shared" si="2"/>
        <v>3</v>
      </c>
    </row>
    <row r="468">
      <c r="A468" s="3">
        <f>data!A468</f>
        <v>77</v>
      </c>
      <c r="B468" s="3" t="str">
        <f>data!B468</f>
        <v>גודארד (פרג) איילת</v>
      </c>
      <c r="C468" s="3">
        <f>data!C468</f>
        <v>63</v>
      </c>
      <c r="D468" s="3" t="str">
        <f>data!F468</f>
        <v>אזרחים</v>
      </c>
      <c r="E468" s="3" t="str">
        <f t="shared" si="1"/>
        <v>adult</v>
      </c>
      <c r="F468" s="3">
        <v>25.0</v>
      </c>
      <c r="G468" s="3" t="s">
        <v>18</v>
      </c>
      <c r="H468" s="1">
        <f t="shared" si="2"/>
        <v>3</v>
      </c>
    </row>
    <row r="469">
      <c r="A469" s="3">
        <f>data!A469</f>
        <v>78</v>
      </c>
      <c r="B469" s="3" t="str">
        <f>data!B469</f>
        <v>גודארד מני</v>
      </c>
      <c r="C469" s="3">
        <f>data!C469</f>
        <v>73</v>
      </c>
      <c r="D469" s="3" t="str">
        <f>data!F469</f>
        <v>אזרחים</v>
      </c>
      <c r="E469" s="3" t="str">
        <f t="shared" si="1"/>
        <v>senior</v>
      </c>
      <c r="F469" s="3">
        <v>25.0</v>
      </c>
      <c r="G469" s="3" t="s">
        <v>18</v>
      </c>
      <c r="H469" s="1">
        <f t="shared" si="2"/>
        <v>3</v>
      </c>
    </row>
    <row r="470">
      <c r="A470" s="3">
        <f>data!A470</f>
        <v>1367</v>
      </c>
      <c r="B470" s="3" t="str">
        <f>data!B470</f>
        <v>גלסקי יבגני</v>
      </c>
      <c r="C470" s="3">
        <f>data!C470</f>
        <v>34</v>
      </c>
      <c r="D470" s="3" t="str">
        <f>data!F470</f>
        <v>כבאות והצלה</v>
      </c>
      <c r="E470" s="3" t="str">
        <f t="shared" si="1"/>
        <v>adult</v>
      </c>
      <c r="F470" s="3">
        <v>25.0</v>
      </c>
      <c r="G470" s="3" t="s">
        <v>18</v>
      </c>
      <c r="H470" s="1">
        <f t="shared" si="2"/>
        <v>3</v>
      </c>
    </row>
    <row r="471">
      <c r="A471" s="3">
        <f>data!A471</f>
        <v>75</v>
      </c>
      <c r="B471" s="3" t="str">
        <f>data!B471</f>
        <v>גת כנרת</v>
      </c>
      <c r="C471" s="3">
        <f>data!C471</f>
        <v>68</v>
      </c>
      <c r="D471" s="3" t="str">
        <f>data!F471</f>
        <v>אזרחים</v>
      </c>
      <c r="E471" s="3" t="str">
        <f t="shared" si="1"/>
        <v>senior</v>
      </c>
      <c r="F471" s="3">
        <v>25.0</v>
      </c>
      <c r="G471" s="3" t="s">
        <v>18</v>
      </c>
      <c r="H471" s="1">
        <f t="shared" si="2"/>
        <v>3</v>
      </c>
    </row>
    <row r="472">
      <c r="A472" s="3">
        <f>data!A472</f>
        <v>64</v>
      </c>
      <c r="B472" s="3" t="str">
        <f>data!B472</f>
        <v>דגן עדי</v>
      </c>
      <c r="C472" s="3">
        <f>data!C472</f>
        <v>68</v>
      </c>
      <c r="D472" s="3" t="str">
        <f>data!F472</f>
        <v>אזרחים</v>
      </c>
      <c r="E472" s="3" t="str">
        <f t="shared" si="1"/>
        <v>senior</v>
      </c>
      <c r="F472" s="3">
        <v>25.0</v>
      </c>
      <c r="G472" s="3" t="s">
        <v>18</v>
      </c>
      <c r="H472" s="1">
        <f t="shared" si="2"/>
        <v>3</v>
      </c>
    </row>
    <row r="473">
      <c r="A473" s="3">
        <f>data!A473</f>
        <v>84</v>
      </c>
      <c r="B473" s="3" t="str">
        <f>data!B473</f>
        <v>הנד נרקיס</v>
      </c>
      <c r="C473" s="3">
        <f>data!C473</f>
        <v>54</v>
      </c>
      <c r="D473" s="3" t="str">
        <f>data!F473</f>
        <v>אזרחים</v>
      </c>
      <c r="E473" s="3" t="str">
        <f t="shared" si="1"/>
        <v>adult</v>
      </c>
      <c r="F473" s="3">
        <v>25.0</v>
      </c>
      <c r="G473" s="3" t="s">
        <v>18</v>
      </c>
      <c r="H473" s="1">
        <f t="shared" si="2"/>
        <v>3</v>
      </c>
    </row>
    <row r="474">
      <c r="A474" s="3">
        <f>data!A474</f>
        <v>81</v>
      </c>
      <c r="B474" s="3" t="str">
        <f>data!B474</f>
        <v>הקר זאב</v>
      </c>
      <c r="C474" s="3">
        <f>data!C474</f>
        <v>72</v>
      </c>
      <c r="D474" s="3" t="str">
        <f>data!F474</f>
        <v>אזרחים</v>
      </c>
      <c r="E474" s="3" t="str">
        <f t="shared" si="1"/>
        <v>senior</v>
      </c>
      <c r="F474" s="3">
        <v>25.0</v>
      </c>
      <c r="G474" s="3" t="s">
        <v>18</v>
      </c>
      <c r="H474" s="1">
        <f t="shared" si="2"/>
        <v>3</v>
      </c>
    </row>
    <row r="475">
      <c r="A475" s="3">
        <f>data!A475</f>
        <v>82</v>
      </c>
      <c r="B475" s="3" t="str">
        <f>data!B475</f>
        <v>הקר זהבה</v>
      </c>
      <c r="C475" s="3">
        <f>data!C475</f>
        <v>68</v>
      </c>
      <c r="D475" s="3" t="str">
        <f>data!F475</f>
        <v>אזרחים</v>
      </c>
      <c r="E475" s="3" t="str">
        <f t="shared" si="1"/>
        <v>senior</v>
      </c>
      <c r="F475" s="3">
        <v>25.0</v>
      </c>
      <c r="G475" s="3" t="s">
        <v>18</v>
      </c>
      <c r="H475" s="1">
        <f t="shared" si="2"/>
        <v>3</v>
      </c>
    </row>
    <row r="476">
      <c r="A476" s="3">
        <f>data!A476</f>
        <v>36</v>
      </c>
      <c r="B476" s="3" t="str">
        <f>data!B476</f>
        <v>הרן אבשלום (אבשל)</v>
      </c>
      <c r="C476" s="3">
        <f>data!C476</f>
        <v>65</v>
      </c>
      <c r="D476" s="3" t="str">
        <f>data!F476</f>
        <v>אזרחים</v>
      </c>
      <c r="E476" s="3" t="str">
        <f t="shared" si="1"/>
        <v>senior</v>
      </c>
      <c r="F476" s="3">
        <v>25.0</v>
      </c>
      <c r="G476" s="3" t="s">
        <v>18</v>
      </c>
      <c r="H476" s="1">
        <f t="shared" si="2"/>
        <v>3</v>
      </c>
    </row>
    <row r="477">
      <c r="A477" s="3">
        <f>data!A477</f>
        <v>86</v>
      </c>
      <c r="B477" s="3" t="str">
        <f>data!B477</f>
        <v>הרשקוביץ מעיינה</v>
      </c>
      <c r="C477" s="3">
        <f>data!C477</f>
        <v>65</v>
      </c>
      <c r="D477" s="3" t="str">
        <f>data!F477</f>
        <v>אזרחים</v>
      </c>
      <c r="E477" s="3" t="str">
        <f t="shared" si="1"/>
        <v>senior</v>
      </c>
      <c r="F477" s="3">
        <v>25.0</v>
      </c>
      <c r="G477" s="3" t="s">
        <v>18</v>
      </c>
      <c r="H477" s="1">
        <f t="shared" si="2"/>
        <v>3</v>
      </c>
    </row>
    <row r="478">
      <c r="A478" s="3">
        <f>data!A478</f>
        <v>87</v>
      </c>
      <c r="B478" s="3" t="str">
        <f>data!B478</f>
        <v>הרשקוביץ נח</v>
      </c>
      <c r="C478" s="3">
        <f>data!C478</f>
        <v>68</v>
      </c>
      <c r="D478" s="3" t="str">
        <f>data!F478</f>
        <v>אזרחים</v>
      </c>
      <c r="E478" s="3" t="str">
        <f t="shared" si="1"/>
        <v>senior</v>
      </c>
      <c r="F478" s="3">
        <v>25.0</v>
      </c>
      <c r="G478" s="3" t="s">
        <v>18</v>
      </c>
      <c r="H478" s="1">
        <f t="shared" si="2"/>
        <v>3</v>
      </c>
    </row>
    <row r="479">
      <c r="A479" s="3">
        <f>data!A479</f>
        <v>184</v>
      </c>
      <c r="B479" s="3" t="str">
        <f>data!B479</f>
        <v>וייס מתי</v>
      </c>
      <c r="C479" s="3">
        <f>data!C479</f>
        <v>69</v>
      </c>
      <c r="D479" s="3" t="str">
        <f>data!F479</f>
        <v>אזרחים</v>
      </c>
      <c r="E479" s="3" t="str">
        <f t="shared" si="1"/>
        <v>senior</v>
      </c>
      <c r="F479" s="3">
        <v>25.0</v>
      </c>
      <c r="G479" s="3" t="s">
        <v>18</v>
      </c>
      <c r="H479" s="1">
        <f t="shared" si="2"/>
        <v>3</v>
      </c>
    </row>
    <row r="480">
      <c r="A480" s="3">
        <f>data!A480</f>
        <v>182</v>
      </c>
      <c r="B480" s="3" t="str">
        <f>data!B480</f>
        <v>וייס עמיר</v>
      </c>
      <c r="C480" s="3">
        <f>data!C480</f>
        <v>69</v>
      </c>
      <c r="D480" s="3" t="str">
        <f>data!F480</f>
        <v>אזרחים</v>
      </c>
      <c r="E480" s="3" t="str">
        <f t="shared" si="1"/>
        <v>senior</v>
      </c>
      <c r="F480" s="3">
        <v>25.0</v>
      </c>
      <c r="G480" s="3" t="s">
        <v>18</v>
      </c>
      <c r="H480" s="1">
        <f t="shared" si="2"/>
        <v>3</v>
      </c>
    </row>
    <row r="481">
      <c r="A481" s="3">
        <f>data!A481</f>
        <v>185</v>
      </c>
      <c r="B481" s="3" t="str">
        <f>data!B481</f>
        <v>וייס שמואל (שמוליק)</v>
      </c>
      <c r="C481" s="3">
        <f>data!C481</f>
        <v>65</v>
      </c>
      <c r="D481" s="3" t="str">
        <f>data!F481</f>
        <v>אזרחים</v>
      </c>
      <c r="E481" s="3" t="str">
        <f t="shared" si="1"/>
        <v>senior</v>
      </c>
      <c r="F481" s="3">
        <v>25.0</v>
      </c>
      <c r="G481" s="3" t="s">
        <v>18</v>
      </c>
      <c r="H481" s="1">
        <f t="shared" si="2"/>
        <v>3</v>
      </c>
    </row>
    <row r="482">
      <c r="A482" s="3">
        <f>data!A482</f>
        <v>188</v>
      </c>
      <c r="B482" s="3" t="str">
        <f>data!B482</f>
        <v>זוהר חיים</v>
      </c>
      <c r="C482" s="3">
        <f>data!C482</f>
        <v>73</v>
      </c>
      <c r="D482" s="3" t="str">
        <f>data!F482</f>
        <v>אזרחים</v>
      </c>
      <c r="E482" s="3" t="str">
        <f t="shared" si="1"/>
        <v>senior</v>
      </c>
      <c r="F482" s="3">
        <v>25.0</v>
      </c>
      <c r="G482" s="3" t="s">
        <v>18</v>
      </c>
      <c r="H482" s="1">
        <f t="shared" si="2"/>
        <v>3</v>
      </c>
    </row>
    <row r="483">
      <c r="A483" s="3">
        <f>data!A483</f>
        <v>1442</v>
      </c>
      <c r="B483" s="3" t="str">
        <f>data!B483</f>
        <v>זלמנוביץ' הלל</v>
      </c>
      <c r="C483" s="3">
        <f>data!C483</f>
        <v>60</v>
      </c>
      <c r="D483" s="3" t="str">
        <f>data!F483</f>
        <v>אזרחים</v>
      </c>
      <c r="E483" s="3" t="str">
        <f t="shared" si="1"/>
        <v>adult</v>
      </c>
      <c r="F483" s="3">
        <v>25.0</v>
      </c>
      <c r="G483" s="3" t="s">
        <v>18</v>
      </c>
      <c r="H483" s="1">
        <f t="shared" si="2"/>
        <v>3</v>
      </c>
    </row>
    <row r="484">
      <c r="A484" s="3">
        <f>data!A484</f>
        <v>155</v>
      </c>
      <c r="B484" s="3" t="str">
        <f>data!B484</f>
        <v>חצרוני איילה</v>
      </c>
      <c r="C484" s="3">
        <f>data!C484</f>
        <v>73</v>
      </c>
      <c r="D484" s="3" t="str">
        <f>data!F484</f>
        <v>אזרחים</v>
      </c>
      <c r="E484" s="3" t="str">
        <f t="shared" si="1"/>
        <v>senior</v>
      </c>
      <c r="F484" s="3">
        <v>25.0</v>
      </c>
      <c r="G484" s="3" t="s">
        <v>18</v>
      </c>
      <c r="H484" s="1">
        <f t="shared" si="2"/>
        <v>3</v>
      </c>
    </row>
    <row r="485">
      <c r="A485" s="3">
        <f>data!A485</f>
        <v>158</v>
      </c>
      <c r="B485" s="3" t="str">
        <f>data!B485</f>
        <v>חצרוני הלר ליאל</v>
      </c>
      <c r="C485" s="3">
        <f>data!C485</f>
        <v>12</v>
      </c>
      <c r="D485" s="3" t="str">
        <f>data!F485</f>
        <v>אזרחים</v>
      </c>
      <c r="E485" s="3" t="str">
        <f t="shared" si="1"/>
        <v>child</v>
      </c>
      <c r="F485" s="3">
        <v>25.0</v>
      </c>
      <c r="G485" s="3" t="s">
        <v>169</v>
      </c>
      <c r="H485" s="1">
        <f t="shared" si="2"/>
        <v>3</v>
      </c>
    </row>
    <row r="486">
      <c r="A486" s="3">
        <f>data!A486</f>
        <v>313</v>
      </c>
      <c r="B486" s="3" t="str">
        <f>data!B486</f>
        <v>חרמש עומר</v>
      </c>
      <c r="C486" s="3">
        <f>data!C486</f>
        <v>48</v>
      </c>
      <c r="D486" s="3" t="str">
        <f>data!F486</f>
        <v>אזרחים</v>
      </c>
      <c r="E486" s="3" t="str">
        <f t="shared" si="1"/>
        <v>adult</v>
      </c>
      <c r="F486" s="3">
        <v>25.0</v>
      </c>
      <c r="G486" s="3" t="s">
        <v>478</v>
      </c>
      <c r="H486" s="1">
        <f t="shared" si="2"/>
        <v>3</v>
      </c>
    </row>
    <row r="487">
      <c r="A487" s="3">
        <f>data!A487</f>
        <v>147</v>
      </c>
      <c r="B487" s="3" t="str">
        <f>data!B487</f>
        <v>טרשצ'נסקי ליאור</v>
      </c>
      <c r="C487" s="3">
        <f>data!C487</f>
        <v>15</v>
      </c>
      <c r="D487" s="3" t="str">
        <f>data!F487</f>
        <v>אזרחים</v>
      </c>
      <c r="E487" s="3" t="str">
        <f t="shared" si="1"/>
        <v>teen</v>
      </c>
      <c r="F487" s="3">
        <v>25.0</v>
      </c>
      <c r="G487" s="3" t="s">
        <v>169</v>
      </c>
      <c r="H487" s="1">
        <f t="shared" si="2"/>
        <v>3</v>
      </c>
    </row>
    <row r="488">
      <c r="A488" s="3">
        <f>data!A488</f>
        <v>89</v>
      </c>
      <c r="B488" s="3" t="str">
        <f>data!B488</f>
        <v>יצחקי יהודית</v>
      </c>
      <c r="C488" s="3">
        <f>data!C488</f>
        <v>65</v>
      </c>
      <c r="D488" s="3" t="str">
        <f>data!F488</f>
        <v>אזרחים</v>
      </c>
      <c r="E488" s="3" t="str">
        <f t="shared" si="1"/>
        <v>senior</v>
      </c>
      <c r="F488" s="3">
        <v>25.0</v>
      </c>
      <c r="G488" s="3" t="s">
        <v>169</v>
      </c>
      <c r="H488" s="1">
        <f t="shared" si="2"/>
        <v>3</v>
      </c>
    </row>
    <row r="489">
      <c r="A489" s="3">
        <f>data!A489</f>
        <v>140</v>
      </c>
      <c r="B489" s="3" t="str">
        <f>data!B489</f>
        <v>כהן אוהד</v>
      </c>
      <c r="C489" s="3">
        <f>data!C489</f>
        <v>43</v>
      </c>
      <c r="D489" s="3" t="str">
        <f>data!F489</f>
        <v>אזרחים</v>
      </c>
      <c r="E489" s="3" t="str">
        <f t="shared" si="1"/>
        <v>adult</v>
      </c>
      <c r="F489" s="3">
        <v>25.0</v>
      </c>
      <c r="G489" s="3" t="s">
        <v>169</v>
      </c>
      <c r="H489" s="1">
        <f t="shared" si="2"/>
        <v>3</v>
      </c>
    </row>
    <row r="490">
      <c r="A490" s="3">
        <f>data!A490</f>
        <v>62</v>
      </c>
      <c r="B490" s="3" t="str">
        <f>data!B490</f>
        <v>כהן יונה</v>
      </c>
      <c r="C490" s="3">
        <f>data!C490</f>
        <v>73</v>
      </c>
      <c r="D490" s="3" t="str">
        <f>data!F490</f>
        <v>אזרחים</v>
      </c>
      <c r="E490" s="3" t="str">
        <f t="shared" si="1"/>
        <v>senior</v>
      </c>
      <c r="F490" s="3">
        <v>25.0</v>
      </c>
      <c r="G490" s="3" t="s">
        <v>1601</v>
      </c>
      <c r="H490" s="1">
        <f t="shared" si="2"/>
        <v>3</v>
      </c>
    </row>
    <row r="491">
      <c r="A491" s="3">
        <f>data!A491</f>
        <v>60</v>
      </c>
      <c r="B491" s="3" t="str">
        <f>data!B491</f>
        <v>כהן מילה</v>
      </c>
      <c r="C491" s="3">
        <f>data!C491</f>
        <v>0</v>
      </c>
      <c r="D491" s="3" t="str">
        <f>data!F491</f>
        <v>אזרחים</v>
      </c>
      <c r="E491" s="3" t="str">
        <f t="shared" si="1"/>
        <v>child</v>
      </c>
      <c r="F491" s="3">
        <v>25.0</v>
      </c>
      <c r="G491" s="3" t="s">
        <v>478</v>
      </c>
      <c r="H491" s="1">
        <f t="shared" si="2"/>
        <v>3</v>
      </c>
    </row>
    <row r="492">
      <c r="A492" s="3">
        <f>data!A492</f>
        <v>61</v>
      </c>
      <c r="B492" s="3" t="str">
        <f>data!B492</f>
        <v>כהן פסיה (פסי)</v>
      </c>
      <c r="C492" s="3">
        <f>data!C492</f>
        <v>68</v>
      </c>
      <c r="D492" s="3" t="str">
        <f>data!F492</f>
        <v>אזרחים</v>
      </c>
      <c r="E492" s="3" t="str">
        <f t="shared" si="1"/>
        <v>senior</v>
      </c>
      <c r="F492" s="3">
        <v>25.0</v>
      </c>
      <c r="G492" s="3" t="s">
        <v>478</v>
      </c>
      <c r="H492" s="1">
        <f t="shared" si="2"/>
        <v>3</v>
      </c>
    </row>
    <row r="493">
      <c r="A493" s="3">
        <f>data!A493</f>
        <v>92</v>
      </c>
      <c r="B493" s="3" t="str">
        <f>data!B493</f>
        <v>כרסנתי שושנה (שוש)</v>
      </c>
      <c r="C493" s="3">
        <f>data!C493</f>
        <v>87</v>
      </c>
      <c r="D493" s="3" t="str">
        <f>data!F493</f>
        <v>אזרחים</v>
      </c>
      <c r="E493" s="3" t="str">
        <f t="shared" si="1"/>
        <v>senior</v>
      </c>
      <c r="F493" s="3">
        <v>25.0</v>
      </c>
      <c r="G493" s="3" t="s">
        <v>1809</v>
      </c>
      <c r="H493" s="1">
        <f t="shared" si="2"/>
        <v>3</v>
      </c>
    </row>
    <row r="494">
      <c r="A494" s="3">
        <f>data!A494</f>
        <v>65</v>
      </c>
      <c r="B494" s="3" t="str">
        <f>data!B494</f>
        <v>לוי לודמיר דניאל</v>
      </c>
      <c r="C494" s="3">
        <f>data!C494</f>
        <v>34</v>
      </c>
      <c r="D494" s="3" t="str">
        <f>data!F494</f>
        <v>מגן דוד אדום</v>
      </c>
      <c r="E494" s="3" t="str">
        <f t="shared" si="1"/>
        <v>adult</v>
      </c>
      <c r="F494" s="3">
        <v>25.0</v>
      </c>
      <c r="G494" s="3" t="s">
        <v>18</v>
      </c>
      <c r="H494" s="1">
        <f t="shared" si="2"/>
        <v>3</v>
      </c>
    </row>
    <row r="495">
      <c r="A495" s="3">
        <f>data!A495</f>
        <v>99</v>
      </c>
      <c r="B495" s="3" t="str">
        <f>data!B495</f>
        <v>לוי רוני</v>
      </c>
      <c r="C495" s="3">
        <f>data!C495</f>
        <v>80</v>
      </c>
      <c r="D495" s="3" t="str">
        <f>data!F495</f>
        <v>אזרחים</v>
      </c>
      <c r="E495" s="3" t="str">
        <f t="shared" si="1"/>
        <v>senior</v>
      </c>
      <c r="F495" s="3">
        <v>25.0</v>
      </c>
      <c r="G495" s="3" t="s">
        <v>478</v>
      </c>
      <c r="H495" s="1">
        <f t="shared" si="2"/>
        <v>3</v>
      </c>
    </row>
    <row r="496">
      <c r="A496" s="3">
        <f>data!A496</f>
        <v>101</v>
      </c>
      <c r="B496" s="3" t="str">
        <f>data!B496</f>
        <v>לוסב איגור</v>
      </c>
      <c r="C496" s="3">
        <f>data!C496</f>
        <v>58</v>
      </c>
      <c r="D496" s="3" t="str">
        <f>data!F496</f>
        <v>אזרחים</v>
      </c>
      <c r="E496" s="3" t="str">
        <f t="shared" si="1"/>
        <v>adult</v>
      </c>
      <c r="F496" s="3">
        <v>25.0</v>
      </c>
      <c r="G496" s="3" t="s">
        <v>18</v>
      </c>
      <c r="H496" s="1">
        <f t="shared" si="2"/>
        <v>3</v>
      </c>
    </row>
    <row r="497">
      <c r="A497" s="3">
        <f>data!A497</f>
        <v>102</v>
      </c>
      <c r="B497" s="3" t="str">
        <f>data!B497</f>
        <v>לוסב מרינה</v>
      </c>
      <c r="C497" s="3">
        <f>data!C497</f>
        <v>60</v>
      </c>
      <c r="D497" s="3" t="str">
        <f>data!F497</f>
        <v>אזרחים</v>
      </c>
      <c r="E497" s="3" t="str">
        <f t="shared" si="1"/>
        <v>adult</v>
      </c>
      <c r="F497" s="3">
        <v>25.0</v>
      </c>
      <c r="G497" s="3" t="s">
        <v>18</v>
      </c>
      <c r="H497" s="1">
        <f t="shared" si="2"/>
        <v>3</v>
      </c>
    </row>
    <row r="498">
      <c r="A498" s="3">
        <f>data!A498</f>
        <v>105</v>
      </c>
      <c r="B498" s="3" t="str">
        <f>data!B498</f>
        <v>מור אבי</v>
      </c>
      <c r="C498" s="3">
        <f>data!C498</f>
        <v>61</v>
      </c>
      <c r="D498" s="3" t="str">
        <f>data!F498</f>
        <v>אזרחים</v>
      </c>
      <c r="E498" s="3" t="str">
        <f t="shared" si="1"/>
        <v>adult</v>
      </c>
      <c r="F498" s="3">
        <v>25.0</v>
      </c>
      <c r="G498" s="3" t="s">
        <v>18</v>
      </c>
      <c r="H498" s="1">
        <f t="shared" si="2"/>
        <v>3</v>
      </c>
    </row>
    <row r="499">
      <c r="A499" s="3">
        <f>data!A499</f>
        <v>106</v>
      </c>
      <c r="B499" s="3" t="str">
        <f>data!B499</f>
        <v>מורדו רפאל (רפי)</v>
      </c>
      <c r="C499" s="3">
        <f>data!C499</f>
        <v>84</v>
      </c>
      <c r="D499" s="3" t="str">
        <f>data!F499</f>
        <v>אזרחים</v>
      </c>
      <c r="E499" s="3" t="str">
        <f t="shared" si="1"/>
        <v>senior</v>
      </c>
      <c r="F499" s="3">
        <v>25.0</v>
      </c>
      <c r="G499" s="3" t="s">
        <v>169</v>
      </c>
      <c r="H499" s="1">
        <f t="shared" si="2"/>
        <v>3</v>
      </c>
    </row>
    <row r="500">
      <c r="A500" s="3">
        <f>data!A500</f>
        <v>57</v>
      </c>
      <c r="B500" s="3" t="str">
        <f>data!B500</f>
        <v>מייזנר קרבונה גלית</v>
      </c>
      <c r="C500" s="3">
        <f>data!C500</f>
        <v>66</v>
      </c>
      <c r="D500" s="3" t="str">
        <f>data!F500</f>
        <v>אזרחים</v>
      </c>
      <c r="E500" s="3" t="str">
        <f t="shared" si="1"/>
        <v>senior</v>
      </c>
      <c r="F500" s="3">
        <v>25.0</v>
      </c>
      <c r="G500" s="3" t="s">
        <v>169</v>
      </c>
      <c r="H500" s="1">
        <f t="shared" si="2"/>
        <v>3</v>
      </c>
    </row>
    <row r="501">
      <c r="A501" s="3">
        <f>data!A501</f>
        <v>596</v>
      </c>
      <c r="B501" s="3" t="str">
        <f>data!B501</f>
        <v>מילס אלברט (אבלום)</v>
      </c>
      <c r="C501" s="3">
        <f>data!C501</f>
        <v>80</v>
      </c>
      <c r="D501" s="3" t="str">
        <f>data!F501</f>
        <v>אזרחים</v>
      </c>
      <c r="E501" s="3" t="str">
        <f t="shared" si="1"/>
        <v>senior</v>
      </c>
      <c r="F501" s="3">
        <v>25.0</v>
      </c>
      <c r="G501" s="3" t="s">
        <v>169</v>
      </c>
      <c r="H501" s="1">
        <f t="shared" si="2"/>
        <v>3</v>
      </c>
    </row>
    <row r="502">
      <c r="A502" s="3">
        <f>data!A502</f>
        <v>103</v>
      </c>
      <c r="B502" s="3" t="str">
        <f>data!B502</f>
        <v>מן עמית</v>
      </c>
      <c r="C502" s="3">
        <f>data!C502</f>
        <v>22</v>
      </c>
      <c r="D502" s="3" t="str">
        <f>data!F502</f>
        <v>מגן דוד אדום</v>
      </c>
      <c r="E502" s="3" t="str">
        <f t="shared" si="1"/>
        <v>adult</v>
      </c>
      <c r="F502" s="3">
        <v>25.0</v>
      </c>
      <c r="G502" s="3" t="s">
        <v>18</v>
      </c>
      <c r="H502" s="1">
        <f t="shared" si="2"/>
        <v>3</v>
      </c>
    </row>
    <row r="503">
      <c r="A503" s="3">
        <f>data!A503</f>
        <v>108</v>
      </c>
      <c r="B503" s="3" t="str">
        <f>data!B503</f>
        <v>נווה מרדכי</v>
      </c>
      <c r="C503" s="3">
        <f>data!C503</f>
        <v>76</v>
      </c>
      <c r="D503" s="3" t="str">
        <f>data!F503</f>
        <v>אזרחים</v>
      </c>
      <c r="E503" s="3" t="str">
        <f t="shared" si="1"/>
        <v>senior</v>
      </c>
      <c r="F503" s="3">
        <v>25.0</v>
      </c>
      <c r="G503" s="3" t="s">
        <v>18</v>
      </c>
      <c r="H503" s="1">
        <f t="shared" si="2"/>
        <v>3</v>
      </c>
    </row>
    <row r="504">
      <c r="A504" s="3">
        <f>data!A504</f>
        <v>31</v>
      </c>
      <c r="B504" s="3" t="str">
        <f>data!B504</f>
        <v>נטע אדריאן</v>
      </c>
      <c r="C504" s="3">
        <f>data!C504</f>
        <v>66</v>
      </c>
      <c r="D504" s="3" t="str">
        <f>data!F504</f>
        <v>אזרחים</v>
      </c>
      <c r="E504" s="3" t="str">
        <f t="shared" si="1"/>
        <v>senior</v>
      </c>
      <c r="F504" s="3">
        <v>26.0</v>
      </c>
      <c r="G504" s="3" t="s">
        <v>18</v>
      </c>
      <c r="H504" s="1">
        <f t="shared" si="2"/>
        <v>3</v>
      </c>
    </row>
    <row r="505">
      <c r="A505" s="3">
        <f>data!A505</f>
        <v>137</v>
      </c>
      <c r="B505" s="3" t="str">
        <f>data!B505</f>
        <v>סבירסקי רפי</v>
      </c>
      <c r="C505" s="3">
        <f>data!C505</f>
        <v>71</v>
      </c>
      <c r="D505" s="3" t="str">
        <f>data!F505</f>
        <v>אזרחים</v>
      </c>
      <c r="E505" s="3" t="str">
        <f t="shared" si="1"/>
        <v>senior</v>
      </c>
      <c r="F505" s="3">
        <v>26.0</v>
      </c>
      <c r="G505" s="3" t="s">
        <v>169</v>
      </c>
      <c r="H505" s="1">
        <f t="shared" si="2"/>
        <v>3</v>
      </c>
    </row>
    <row r="506">
      <c r="A506" s="3">
        <f>data!A506</f>
        <v>134</v>
      </c>
      <c r="B506" s="3" t="str">
        <f>data!B506</f>
        <v>סוכמן תמי</v>
      </c>
      <c r="C506" s="3">
        <f>data!C506</f>
        <v>76</v>
      </c>
      <c r="D506" s="3" t="str">
        <f>data!F506</f>
        <v>אזרחים</v>
      </c>
      <c r="E506" s="3" t="str">
        <f t="shared" si="1"/>
        <v>senior</v>
      </c>
      <c r="F506" s="3">
        <v>26.0</v>
      </c>
      <c r="G506" s="3" t="s">
        <v>169</v>
      </c>
      <c r="H506" s="1">
        <f t="shared" si="2"/>
        <v>3</v>
      </c>
    </row>
    <row r="507">
      <c r="A507" s="3">
        <f>data!A507</f>
        <v>131</v>
      </c>
      <c r="B507" s="3" t="str">
        <f>data!B507</f>
        <v>סיטון חנה</v>
      </c>
      <c r="C507" s="3">
        <f>data!C507</f>
        <v>73</v>
      </c>
      <c r="D507" s="3" t="str">
        <f>data!F507</f>
        <v>אזרחים</v>
      </c>
      <c r="E507" s="3" t="str">
        <f t="shared" si="1"/>
        <v>senior</v>
      </c>
      <c r="F507" s="3">
        <v>26.0</v>
      </c>
      <c r="G507" s="3" t="s">
        <v>169</v>
      </c>
      <c r="H507" s="1">
        <f t="shared" si="2"/>
        <v>3</v>
      </c>
    </row>
    <row r="508">
      <c r="A508" s="3">
        <f>data!A508</f>
        <v>133</v>
      </c>
      <c r="B508" s="3" t="str">
        <f>data!B508</f>
        <v>סיטון טל</v>
      </c>
      <c r="C508" s="3">
        <f>data!C508</f>
        <v>49</v>
      </c>
      <c r="D508" s="3" t="str">
        <f>data!F508</f>
        <v>אזרחים</v>
      </c>
      <c r="E508" s="3" t="str">
        <f t="shared" si="1"/>
        <v>adult</v>
      </c>
      <c r="F508" s="3">
        <v>26.0</v>
      </c>
      <c r="G508" s="3" t="s">
        <v>18</v>
      </c>
      <c r="H508" s="1">
        <f t="shared" si="2"/>
        <v>3</v>
      </c>
    </row>
    <row r="509">
      <c r="A509" s="3">
        <f>data!A509</f>
        <v>132</v>
      </c>
      <c r="B509" s="3" t="str">
        <f>data!B509</f>
        <v>סיטון יצחק</v>
      </c>
      <c r="C509" s="3">
        <f>data!C509</f>
        <v>76</v>
      </c>
      <c r="D509" s="3" t="str">
        <f>data!F509</f>
        <v>אזרחים</v>
      </c>
      <c r="E509" s="3" t="str">
        <f t="shared" si="1"/>
        <v>senior</v>
      </c>
      <c r="F509" s="3">
        <v>26.0</v>
      </c>
      <c r="G509" s="3" t="s">
        <v>18</v>
      </c>
      <c r="H509" s="1">
        <f t="shared" si="2"/>
        <v>3</v>
      </c>
    </row>
    <row r="510">
      <c r="A510" s="3">
        <f>data!A510</f>
        <v>1330</v>
      </c>
      <c r="B510" s="3" t="str">
        <f>data!B510</f>
        <v>סילבר ויויאן</v>
      </c>
      <c r="C510" s="3">
        <f>data!C510</f>
        <v>74</v>
      </c>
      <c r="D510" s="3" t="str">
        <f>data!F510</f>
        <v>אזרחים</v>
      </c>
      <c r="E510" s="3" t="str">
        <f t="shared" si="1"/>
        <v>senior</v>
      </c>
      <c r="F510" s="3">
        <v>26.0</v>
      </c>
      <c r="G510" s="3" t="s">
        <v>18</v>
      </c>
      <c r="H510" s="1">
        <f t="shared" si="2"/>
        <v>3</v>
      </c>
    </row>
    <row r="511">
      <c r="A511" s="3">
        <f>data!A511</f>
        <v>136</v>
      </c>
      <c r="B511" s="3" t="str">
        <f>data!B511</f>
        <v>סלע סבירסקי אורית</v>
      </c>
      <c r="C511" s="3">
        <f>data!C511</f>
        <v>70</v>
      </c>
      <c r="D511" s="3" t="str">
        <f>data!F511</f>
        <v>אזרחים</v>
      </c>
      <c r="E511" s="3" t="str">
        <f t="shared" si="1"/>
        <v>senior</v>
      </c>
      <c r="F511" s="3">
        <v>26.0</v>
      </c>
      <c r="G511" s="3" t="s">
        <v>18</v>
      </c>
      <c r="H511" s="1">
        <f t="shared" si="2"/>
        <v>3</v>
      </c>
    </row>
    <row r="512">
      <c r="A512" s="3">
        <f>data!A512</f>
        <v>72</v>
      </c>
      <c r="B512" s="3" t="str">
        <f>data!B512</f>
        <v>פישביין זערור תכלת</v>
      </c>
      <c r="C512" s="3">
        <f>data!C512</f>
        <v>18</v>
      </c>
      <c r="D512" s="3" t="str">
        <f>data!F512</f>
        <v>אזרחים</v>
      </c>
      <c r="E512" s="3" t="str">
        <f t="shared" si="1"/>
        <v>teen</v>
      </c>
      <c r="F512" s="3">
        <v>26.0</v>
      </c>
      <c r="G512" s="3" t="s">
        <v>18</v>
      </c>
      <c r="H512" s="1">
        <f t="shared" si="2"/>
        <v>3</v>
      </c>
    </row>
    <row r="513">
      <c r="A513" s="3">
        <f>data!A513</f>
        <v>73</v>
      </c>
      <c r="B513" s="3" t="str">
        <f>data!B513</f>
        <v>פרייליך קפלון מרסל</v>
      </c>
      <c r="C513" s="3">
        <f>data!C513</f>
        <v>64</v>
      </c>
      <c r="D513" s="3" t="str">
        <f>data!F513</f>
        <v>אזרחים</v>
      </c>
      <c r="E513" s="3" t="str">
        <f t="shared" si="1"/>
        <v>adult</v>
      </c>
      <c r="F513" s="3">
        <v>26.0</v>
      </c>
      <c r="G513" s="3" t="s">
        <v>18</v>
      </c>
      <c r="H513" s="1">
        <f t="shared" si="2"/>
        <v>3</v>
      </c>
    </row>
    <row r="514">
      <c r="A514" s="3">
        <f>data!A514</f>
        <v>1479</v>
      </c>
      <c r="B514" s="3" t="str">
        <f>data!B514</f>
        <v>פריקר יונה</v>
      </c>
      <c r="C514" s="3">
        <f>data!C514</f>
        <v>69</v>
      </c>
      <c r="D514" s="3" t="str">
        <f>data!F514</f>
        <v>אזרחים</v>
      </c>
      <c r="E514" s="3" t="str">
        <f t="shared" si="1"/>
        <v>senior</v>
      </c>
      <c r="F514" s="3">
        <v>26.0</v>
      </c>
      <c r="G514" s="3" t="s">
        <v>18</v>
      </c>
      <c r="H514" s="1">
        <f t="shared" si="2"/>
        <v>3</v>
      </c>
    </row>
    <row r="515">
      <c r="A515" s="3">
        <f>data!A515</f>
        <v>63</v>
      </c>
      <c r="B515" s="3" t="str">
        <f>data!B515</f>
        <v>קוזין יצחק</v>
      </c>
      <c r="C515" s="3">
        <f>data!C515</f>
        <v>72</v>
      </c>
      <c r="D515" s="3" t="str">
        <f>data!F515</f>
        <v>אזרחים</v>
      </c>
      <c r="E515" s="3" t="str">
        <f t="shared" si="1"/>
        <v>senior</v>
      </c>
      <c r="F515" s="3">
        <v>26.0</v>
      </c>
      <c r="G515" s="3" t="s">
        <v>18</v>
      </c>
      <c r="H515" s="1">
        <f t="shared" si="2"/>
        <v>3</v>
      </c>
    </row>
    <row r="516">
      <c r="A516" s="3">
        <f>data!A516</f>
        <v>93</v>
      </c>
      <c r="B516" s="3" t="str">
        <f>data!B516</f>
        <v>קידר סמי</v>
      </c>
      <c r="C516" s="3">
        <f>data!C516</f>
        <v>71</v>
      </c>
      <c r="D516" s="3" t="str">
        <f>data!F516</f>
        <v>אזרחים</v>
      </c>
      <c r="E516" s="3" t="str">
        <f t="shared" si="1"/>
        <v>senior</v>
      </c>
      <c r="F516" s="3">
        <v>26.0</v>
      </c>
      <c r="G516" s="3" t="s">
        <v>18</v>
      </c>
      <c r="H516" s="1">
        <f t="shared" si="2"/>
        <v>3</v>
      </c>
    </row>
    <row r="517">
      <c r="A517" s="3">
        <f>data!A517</f>
        <v>96</v>
      </c>
      <c r="B517" s="3" t="str">
        <f>data!B517</f>
        <v>קיפניס אביתר (תרי)</v>
      </c>
      <c r="C517" s="3">
        <f>data!C517</f>
        <v>65</v>
      </c>
      <c r="D517" s="3" t="str">
        <f>data!F517</f>
        <v>אזרחים</v>
      </c>
      <c r="E517" s="3" t="str">
        <f t="shared" si="1"/>
        <v>senior</v>
      </c>
      <c r="F517" s="3">
        <v>26.0</v>
      </c>
      <c r="G517" s="3" t="s">
        <v>18</v>
      </c>
      <c r="H517" s="1">
        <f t="shared" si="2"/>
        <v>3</v>
      </c>
    </row>
    <row r="518">
      <c r="A518" s="3">
        <f>data!A518</f>
        <v>95</v>
      </c>
      <c r="B518" s="3" t="str">
        <f>data!B518</f>
        <v>קיפניס לילך</v>
      </c>
      <c r="C518" s="3">
        <f>data!C518</f>
        <v>60</v>
      </c>
      <c r="D518" s="3" t="str">
        <f>data!F518</f>
        <v>אזרחים</v>
      </c>
      <c r="E518" s="3" t="str">
        <f t="shared" si="1"/>
        <v>adult</v>
      </c>
      <c r="F518" s="3">
        <v>26.0</v>
      </c>
      <c r="G518" s="3" t="s">
        <v>18</v>
      </c>
      <c r="H518" s="1">
        <f t="shared" si="2"/>
        <v>3</v>
      </c>
    </row>
    <row r="519">
      <c r="A519" s="3">
        <f>data!A519</f>
        <v>90</v>
      </c>
      <c r="B519" s="3" t="str">
        <f>data!B519</f>
        <v>קלדרון רותם</v>
      </c>
      <c r="C519" s="3">
        <f>data!C519</f>
        <v>66</v>
      </c>
      <c r="D519" s="3" t="str">
        <f>data!F519</f>
        <v>אזרחים</v>
      </c>
      <c r="E519" s="3" t="str">
        <f t="shared" si="1"/>
        <v>senior</v>
      </c>
      <c r="F519" s="3">
        <v>26.0</v>
      </c>
      <c r="G519" s="3" t="s">
        <v>18</v>
      </c>
      <c r="H519" s="1">
        <f t="shared" si="2"/>
        <v>3</v>
      </c>
    </row>
    <row r="520">
      <c r="A520" s="3">
        <f>data!A520</f>
        <v>91</v>
      </c>
      <c r="B520" s="3" t="str">
        <f>data!B520</f>
        <v>קפלון דרור</v>
      </c>
      <c r="C520" s="3">
        <f>data!C520</f>
        <v>68</v>
      </c>
      <c r="D520" s="3" t="str">
        <f>data!F520</f>
        <v>אזרחים</v>
      </c>
      <c r="E520" s="3" t="str">
        <f t="shared" si="1"/>
        <v>senior</v>
      </c>
      <c r="F520" s="3">
        <v>26.0</v>
      </c>
      <c r="G520" s="3" t="s">
        <v>18</v>
      </c>
      <c r="H520" s="1">
        <f t="shared" si="2"/>
        <v>3</v>
      </c>
    </row>
    <row r="521">
      <c r="A521" s="3">
        <f>data!A521</f>
        <v>58</v>
      </c>
      <c r="B521" s="3" t="str">
        <f>data!B521</f>
        <v>קרול דוד</v>
      </c>
      <c r="C521" s="3">
        <f>data!C521</f>
        <v>72</v>
      </c>
      <c r="D521" s="3" t="str">
        <f>data!F521</f>
        <v>אזרחים</v>
      </c>
      <c r="E521" s="3" t="str">
        <f t="shared" si="1"/>
        <v>senior</v>
      </c>
      <c r="F521" s="3">
        <v>26.0</v>
      </c>
      <c r="G521" s="3" t="s">
        <v>18</v>
      </c>
      <c r="H521" s="1">
        <f t="shared" si="2"/>
        <v>3</v>
      </c>
    </row>
    <row r="522">
      <c r="A522" s="3">
        <f>data!A522</f>
        <v>148</v>
      </c>
      <c r="B522" s="3" t="str">
        <f>data!B522</f>
        <v>קריצמן חנה</v>
      </c>
      <c r="C522" s="3">
        <f>data!C522</f>
        <v>88</v>
      </c>
      <c r="D522" s="3" t="str">
        <f>data!F522</f>
        <v>אזרחים</v>
      </c>
      <c r="E522" s="3" t="str">
        <f t="shared" si="1"/>
        <v>senior</v>
      </c>
      <c r="F522" s="3">
        <v>26.0</v>
      </c>
      <c r="G522" s="3" t="s">
        <v>18</v>
      </c>
      <c r="H522" s="1">
        <f t="shared" si="2"/>
        <v>3</v>
      </c>
    </row>
    <row r="523">
      <c r="A523" s="3">
        <f>data!A523</f>
        <v>113</v>
      </c>
      <c r="B523" s="3" t="str">
        <f>data!B523</f>
        <v>רידר דור</v>
      </c>
      <c r="C523" s="3">
        <f>data!C523</f>
        <v>21</v>
      </c>
      <c r="D523" s="3" t="str">
        <f>data!F523</f>
        <v>אזרחים</v>
      </c>
      <c r="E523" s="3" t="str">
        <f t="shared" si="1"/>
        <v>adult</v>
      </c>
      <c r="F523" s="3">
        <v>26.0</v>
      </c>
      <c r="G523" s="3" t="s">
        <v>18</v>
      </c>
      <c r="H523" s="1">
        <f t="shared" si="2"/>
        <v>3</v>
      </c>
    </row>
    <row r="524">
      <c r="A524" s="3">
        <f>data!A524</f>
        <v>112</v>
      </c>
      <c r="B524" s="3" t="str">
        <f>data!B524</f>
        <v>רפופורט יונתן</v>
      </c>
      <c r="C524" s="3">
        <f>data!C524</f>
        <v>40</v>
      </c>
      <c r="D524" s="3" t="str">
        <f>data!F524</f>
        <v>אזרחים</v>
      </c>
      <c r="E524" s="3" t="str">
        <f t="shared" si="1"/>
        <v>adult</v>
      </c>
      <c r="F524" s="3">
        <v>26.0</v>
      </c>
      <c r="G524" s="3" t="s">
        <v>18</v>
      </c>
      <c r="H524" s="1">
        <f t="shared" si="2"/>
        <v>3</v>
      </c>
    </row>
    <row r="525">
      <c r="A525" s="3">
        <f>data!A525</f>
        <v>129</v>
      </c>
      <c r="B525" s="3" t="str">
        <f>data!B525</f>
        <v>שוש נוי</v>
      </c>
      <c r="C525" s="3">
        <f>data!C525</f>
        <v>36</v>
      </c>
      <c r="D525" s="3" t="str">
        <f>data!F525</f>
        <v>כיתות כוננות</v>
      </c>
      <c r="E525" s="3" t="str">
        <f t="shared" si="1"/>
        <v>adult</v>
      </c>
      <c r="F525" s="3">
        <v>26.0</v>
      </c>
      <c r="G525" s="3" t="s">
        <v>18</v>
      </c>
      <c r="H525" s="1">
        <f t="shared" si="2"/>
        <v>3</v>
      </c>
    </row>
    <row r="526">
      <c r="A526" s="3">
        <f>data!A526</f>
        <v>121</v>
      </c>
      <c r="B526" s="3" t="str">
        <f>data!B526</f>
        <v>שרעבי יהל</v>
      </c>
      <c r="C526" s="3">
        <f>data!C526</f>
        <v>13</v>
      </c>
      <c r="D526" s="3" t="str">
        <f>data!F526</f>
        <v>אזרחים</v>
      </c>
      <c r="E526" s="3" t="str">
        <f t="shared" si="1"/>
        <v>teen</v>
      </c>
      <c r="F526" s="3">
        <v>26.0</v>
      </c>
      <c r="G526" s="3" t="s">
        <v>18</v>
      </c>
      <c r="H526" s="1">
        <f t="shared" si="2"/>
        <v>3</v>
      </c>
    </row>
    <row r="527">
      <c r="A527" s="3">
        <f>data!A527</f>
        <v>119</v>
      </c>
      <c r="B527" s="3" t="str">
        <f>data!B527</f>
        <v>שרעבי ליאן</v>
      </c>
      <c r="C527" s="3">
        <f>data!C527</f>
        <v>48</v>
      </c>
      <c r="D527" s="3" t="str">
        <f>data!F527</f>
        <v>אזרחים</v>
      </c>
      <c r="E527" s="3" t="str">
        <f t="shared" si="1"/>
        <v>adult</v>
      </c>
      <c r="F527" s="3">
        <v>26.0</v>
      </c>
      <c r="G527" s="3" t="s">
        <v>18</v>
      </c>
      <c r="H527" s="1">
        <f t="shared" si="2"/>
        <v>3</v>
      </c>
    </row>
    <row r="528">
      <c r="A528" s="3">
        <f>data!A528</f>
        <v>120</v>
      </c>
      <c r="B528" s="3" t="str">
        <f>data!B528</f>
        <v>שרעבי נויה</v>
      </c>
      <c r="C528" s="3">
        <f>data!C528</f>
        <v>16</v>
      </c>
      <c r="D528" s="3" t="str">
        <f>data!F528</f>
        <v>אזרחים</v>
      </c>
      <c r="E528" s="3" t="str">
        <f t="shared" si="1"/>
        <v>teen</v>
      </c>
      <c r="F528" s="3">
        <v>26.0</v>
      </c>
      <c r="G528" s="3" t="s">
        <v>18</v>
      </c>
      <c r="H528" s="1">
        <f t="shared" si="2"/>
        <v>3</v>
      </c>
    </row>
    <row r="529">
      <c r="A529" s="3">
        <f>data!A529</f>
        <v>56</v>
      </c>
      <c r="B529" s="3" t="str">
        <f>data!B529</f>
        <v>Prodigo Cabrera Gracie</v>
      </c>
      <c r="C529" s="3">
        <f>data!C529</f>
        <v>45</v>
      </c>
      <c r="D529" s="3" t="str">
        <f>data!F529</f>
        <v>אזרחים זרים</v>
      </c>
      <c r="E529" s="3" t="str">
        <f t="shared" si="1"/>
        <v>adult</v>
      </c>
      <c r="F529" s="3">
        <v>26.0</v>
      </c>
      <c r="G529" s="3" t="s">
        <v>18</v>
      </c>
      <c r="H529" s="1">
        <f t="shared" si="2"/>
        <v>3</v>
      </c>
    </row>
    <row r="530">
      <c r="A530" s="3">
        <f>data!A530</f>
        <v>144</v>
      </c>
      <c r="B530" s="3" t="str">
        <f>data!B530</f>
        <v>Castelvi Paul Vincent</v>
      </c>
      <c r="C530" s="3">
        <f>data!C530</f>
        <v>42</v>
      </c>
      <c r="D530" s="3" t="str">
        <f>data!F530</f>
        <v>אזרחים זרים</v>
      </c>
      <c r="E530" s="3" t="str">
        <f t="shared" si="1"/>
        <v>adult</v>
      </c>
      <c r="F530" s="3">
        <v>26.0</v>
      </c>
      <c r="G530" s="3" t="s">
        <v>18</v>
      </c>
      <c r="H530" s="1">
        <f t="shared" si="2"/>
        <v>3</v>
      </c>
    </row>
    <row r="531">
      <c r="A531" s="3">
        <f>data!A531</f>
        <v>145</v>
      </c>
      <c r="B531" s="3" t="str">
        <f>data!B531</f>
        <v>Jayathilaka Anula</v>
      </c>
      <c r="C531" s="3">
        <f>data!C531</f>
        <v>49</v>
      </c>
      <c r="D531" s="3" t="str">
        <f>data!F531</f>
        <v>אזרחים זרים</v>
      </c>
      <c r="E531" s="3" t="str">
        <f t="shared" si="1"/>
        <v>adult</v>
      </c>
      <c r="F531" s="3">
        <v>26.0</v>
      </c>
      <c r="G531" s="3" t="s">
        <v>18</v>
      </c>
      <c r="H531" s="1">
        <f t="shared" si="2"/>
        <v>3</v>
      </c>
    </row>
    <row r="532">
      <c r="A532" s="3">
        <f>data!A532</f>
        <v>1681</v>
      </c>
      <c r="B532" s="3" t="str">
        <f>data!B532</f>
        <v>Sae Yang Sumchai</v>
      </c>
      <c r="C532" s="3">
        <f>data!C532</f>
        <v>24</v>
      </c>
      <c r="D532" s="3" t="str">
        <f>data!F532</f>
        <v>אזרחים זרים</v>
      </c>
      <c r="E532" s="3" t="str">
        <f t="shared" si="1"/>
        <v>adult</v>
      </c>
      <c r="F532" s="3">
        <v>26.0</v>
      </c>
      <c r="G532" s="3" t="s">
        <v>18</v>
      </c>
      <c r="H532" s="1">
        <f t="shared" si="2"/>
        <v>3</v>
      </c>
    </row>
    <row r="533">
      <c r="A533" s="3">
        <f>data!A533</f>
        <v>1511</v>
      </c>
      <c r="B533" s="3" t="str">
        <f>data!B533</f>
        <v>Yatawara Bandara Susujith</v>
      </c>
      <c r="C533" s="3">
        <f>data!C533</f>
        <v>48</v>
      </c>
      <c r="D533" s="3" t="str">
        <f>data!F533</f>
        <v>אזרחים זרים</v>
      </c>
      <c r="E533" s="3" t="str">
        <f t="shared" si="1"/>
        <v>adult</v>
      </c>
      <c r="F533" s="3">
        <v>26.0</v>
      </c>
      <c r="G533" s="3" t="s">
        <v>18</v>
      </c>
      <c r="H533" s="1">
        <f t="shared" si="2"/>
        <v>3</v>
      </c>
    </row>
    <row r="534">
      <c r="A534" s="3">
        <f>data!A534</f>
        <v>268</v>
      </c>
      <c r="B534" s="3" t="str">
        <f>data!B534</f>
        <v>אלחרר חלפון ליז</v>
      </c>
      <c r="C534" s="3">
        <f>data!C534</f>
        <v>45</v>
      </c>
      <c r="D534" s="3" t="str">
        <f>data!F534</f>
        <v>אזרחים</v>
      </c>
      <c r="E534" s="3" t="str">
        <f t="shared" si="1"/>
        <v>adult</v>
      </c>
      <c r="F534" s="3">
        <v>26.0</v>
      </c>
      <c r="G534" s="3" t="s">
        <v>18</v>
      </c>
      <c r="H534" s="1">
        <f t="shared" si="2"/>
        <v>3</v>
      </c>
    </row>
    <row r="535">
      <c r="A535" s="3">
        <f>data!A535</f>
        <v>269</v>
      </c>
      <c r="B535" s="3" t="str">
        <f>data!B535</f>
        <v>אלחרר מאיר</v>
      </c>
      <c r="C535" s="3">
        <f>data!C535</f>
        <v>59</v>
      </c>
      <c r="D535" s="3" t="str">
        <f>data!F535</f>
        <v>אזרחים</v>
      </c>
      <c r="E535" s="3" t="str">
        <f t="shared" si="1"/>
        <v>adult</v>
      </c>
      <c r="F535" s="3">
        <v>26.0</v>
      </c>
      <c r="G535" s="3" t="s">
        <v>1601</v>
      </c>
      <c r="H535" s="1">
        <f t="shared" si="2"/>
        <v>3</v>
      </c>
    </row>
    <row r="536">
      <c r="A536" s="3">
        <f>data!A536</f>
        <v>277</v>
      </c>
      <c r="B536" s="3" t="str">
        <f>data!B536</f>
        <v>מתיאס טרואן שחר דבורה (דבי)</v>
      </c>
      <c r="C536" s="3">
        <f>data!C536</f>
        <v>47</v>
      </c>
      <c r="D536" s="3" t="str">
        <f>data!F536</f>
        <v>אזרחים</v>
      </c>
      <c r="E536" s="3" t="str">
        <f t="shared" si="1"/>
        <v>adult</v>
      </c>
      <c r="F536" s="3">
        <v>26.0</v>
      </c>
      <c r="G536" s="3" t="s">
        <v>1429</v>
      </c>
      <c r="H536" s="1">
        <f t="shared" si="2"/>
        <v>3</v>
      </c>
    </row>
    <row r="537">
      <c r="A537" s="3">
        <f>data!A537</f>
        <v>278</v>
      </c>
      <c r="B537" s="3" t="str">
        <f>data!B537</f>
        <v>מתיאס שלומי</v>
      </c>
      <c r="C537" s="3">
        <f>data!C537</f>
        <v>47</v>
      </c>
      <c r="D537" s="3" t="str">
        <f>data!F537</f>
        <v>אזרחים</v>
      </c>
      <c r="E537" s="3" t="str">
        <f t="shared" si="1"/>
        <v>adult</v>
      </c>
      <c r="F537" s="3">
        <v>26.0</v>
      </c>
      <c r="G537" s="3" t="s">
        <v>1429</v>
      </c>
      <c r="H537" s="1">
        <f t="shared" si="2"/>
        <v>3</v>
      </c>
    </row>
    <row r="538">
      <c r="A538" s="3">
        <f>data!A538</f>
        <v>281</v>
      </c>
      <c r="B538" s="3" t="str">
        <f>data!B538</f>
        <v>סולטן רולאן</v>
      </c>
      <c r="C538" s="3">
        <f>data!C538</f>
        <v>68</v>
      </c>
      <c r="D538" s="3" t="str">
        <f>data!F538</f>
        <v>אזרחים</v>
      </c>
      <c r="E538" s="3" t="str">
        <f t="shared" si="1"/>
        <v>senior</v>
      </c>
      <c r="F538" s="3">
        <v>26.0</v>
      </c>
      <c r="G538" s="3" t="s">
        <v>478</v>
      </c>
      <c r="H538" s="1">
        <f t="shared" si="2"/>
        <v>3</v>
      </c>
    </row>
    <row r="539">
      <c r="A539" s="3">
        <f>data!A539</f>
        <v>282</v>
      </c>
      <c r="B539" s="3" t="str">
        <f>data!B539</f>
        <v>סולטן רונית</v>
      </c>
      <c r="C539" s="3">
        <f>data!C539</f>
        <v>56</v>
      </c>
      <c r="D539" s="3" t="str">
        <f>data!F539</f>
        <v>אזרחים</v>
      </c>
      <c r="E539" s="3" t="str">
        <f t="shared" si="1"/>
        <v>adult</v>
      </c>
      <c r="F539" s="3">
        <v>26.0</v>
      </c>
      <c r="G539" s="3" t="s">
        <v>478</v>
      </c>
      <c r="H539" s="1">
        <f t="shared" si="2"/>
        <v>3</v>
      </c>
    </row>
    <row r="540">
      <c r="A540" s="3">
        <f>data!A540</f>
        <v>275</v>
      </c>
      <c r="B540" s="3" t="str">
        <f>data!B540</f>
        <v>קייסמן לילי</v>
      </c>
      <c r="C540" s="3">
        <f>data!C540</f>
        <v>63</v>
      </c>
      <c r="D540" s="3" t="str">
        <f>data!F540</f>
        <v>אזרחים</v>
      </c>
      <c r="E540" s="3" t="str">
        <f t="shared" si="1"/>
        <v>adult</v>
      </c>
      <c r="F540" s="3">
        <v>26.0</v>
      </c>
      <c r="G540" s="3" t="s">
        <v>18</v>
      </c>
      <c r="H540" s="1">
        <f t="shared" si="2"/>
        <v>3</v>
      </c>
    </row>
    <row r="541">
      <c r="A541" s="3">
        <f>data!A541</f>
        <v>273</v>
      </c>
      <c r="B541" s="3" t="str">
        <f>data!B541</f>
        <v>קעטבי תהילה</v>
      </c>
      <c r="C541" s="3">
        <f>data!C541</f>
        <v>24</v>
      </c>
      <c r="D541" s="3" t="str">
        <f>data!F541</f>
        <v>אזרחים</v>
      </c>
      <c r="E541" s="3" t="str">
        <f t="shared" si="1"/>
        <v>adult</v>
      </c>
      <c r="F541" s="3">
        <v>26.0</v>
      </c>
      <c r="G541" s="3" t="s">
        <v>478</v>
      </c>
      <c r="H541" s="1">
        <f t="shared" si="2"/>
        <v>3</v>
      </c>
    </row>
    <row r="542">
      <c r="A542" s="3">
        <f>data!A542</f>
        <v>272</v>
      </c>
      <c r="B542" s="3" t="str">
        <f>data!B542</f>
        <v>קפלון עדי ויטל</v>
      </c>
      <c r="C542" s="3">
        <f>data!C542</f>
        <v>33</v>
      </c>
      <c r="D542" s="3" t="str">
        <f>data!F542</f>
        <v>אזרחים</v>
      </c>
      <c r="E542" s="3" t="str">
        <f t="shared" si="1"/>
        <v>adult</v>
      </c>
      <c r="F542" s="3">
        <v>26.0</v>
      </c>
      <c r="G542" s="3" t="s">
        <v>18</v>
      </c>
      <c r="H542" s="1">
        <f t="shared" si="2"/>
        <v>3</v>
      </c>
    </row>
    <row r="543">
      <c r="A543" s="3">
        <f>data!A543</f>
        <v>280</v>
      </c>
      <c r="B543" s="3" t="str">
        <f>data!B543</f>
        <v>רידלר משה</v>
      </c>
      <c r="C543" s="3">
        <f>data!C543</f>
        <v>91</v>
      </c>
      <c r="D543" s="3" t="str">
        <f>data!F543</f>
        <v>אזרחים</v>
      </c>
      <c r="E543" s="3" t="str">
        <f t="shared" si="1"/>
        <v>senior</v>
      </c>
      <c r="F543" s="3">
        <v>26.0</v>
      </c>
      <c r="G543" s="3" t="s">
        <v>18</v>
      </c>
      <c r="H543" s="1">
        <f t="shared" si="2"/>
        <v>3</v>
      </c>
    </row>
    <row r="544">
      <c r="A544" s="3">
        <f>data!A544</f>
        <v>279</v>
      </c>
      <c r="B544" s="3" t="str">
        <f>data!B544</f>
        <v>Busko Petro</v>
      </c>
      <c r="C544" s="3">
        <f>data!C544</f>
        <v>35</v>
      </c>
      <c r="D544" s="3" t="str">
        <f>data!F544</f>
        <v>אזרחים זרים</v>
      </c>
      <c r="E544" s="3" t="str">
        <f t="shared" si="1"/>
        <v>adult</v>
      </c>
      <c r="F544" s="3">
        <v>26.0</v>
      </c>
      <c r="G544" s="3" t="s">
        <v>169</v>
      </c>
      <c r="H544" s="1">
        <f t="shared" si="2"/>
        <v>3</v>
      </c>
    </row>
    <row r="545">
      <c r="A545" s="3">
        <f>data!A545</f>
        <v>375</v>
      </c>
      <c r="B545" s="3" t="str">
        <f>data!B545</f>
        <v>גודו תום</v>
      </c>
      <c r="C545" s="3">
        <f>data!C545</f>
        <v>52</v>
      </c>
      <c r="D545" s="3" t="str">
        <f>data!F545</f>
        <v>אזרחים</v>
      </c>
      <c r="E545" s="3" t="str">
        <f t="shared" si="1"/>
        <v>adult</v>
      </c>
      <c r="F545" s="3">
        <v>26.0</v>
      </c>
      <c r="G545" s="3" t="s">
        <v>18</v>
      </c>
      <c r="H545" s="1">
        <f t="shared" si="2"/>
        <v>3</v>
      </c>
    </row>
    <row r="546">
      <c r="A546" s="3">
        <f>data!A546</f>
        <v>393</v>
      </c>
      <c r="B546" s="3" t="str">
        <f>data!B546</f>
        <v>זק (בן יעיש) אתי</v>
      </c>
      <c r="C546" s="3">
        <f>data!C546</f>
        <v>50</v>
      </c>
      <c r="D546" s="3" t="str">
        <f>data!F546</f>
        <v>אזרחים</v>
      </c>
      <c r="E546" s="3" t="str">
        <f t="shared" si="1"/>
        <v>adult</v>
      </c>
      <c r="F546" s="3">
        <v>27.0</v>
      </c>
      <c r="G546" s="3" t="s">
        <v>169</v>
      </c>
      <c r="H546" s="1">
        <f t="shared" si="2"/>
        <v>3</v>
      </c>
    </row>
    <row r="547">
      <c r="A547" s="3">
        <f>data!A547</f>
        <v>394</v>
      </c>
      <c r="B547" s="3" t="str">
        <f>data!B547</f>
        <v>זק איתי</v>
      </c>
      <c r="C547" s="3">
        <f>data!C547</f>
        <v>53</v>
      </c>
      <c r="D547" s="3" t="str">
        <f>data!F547</f>
        <v>אזרחים</v>
      </c>
      <c r="E547" s="3" t="str">
        <f t="shared" si="1"/>
        <v>adult</v>
      </c>
      <c r="F547" s="3">
        <v>27.0</v>
      </c>
      <c r="G547" s="3" t="s">
        <v>169</v>
      </c>
      <c r="H547" s="1">
        <f t="shared" si="2"/>
        <v>3</v>
      </c>
    </row>
    <row r="548">
      <c r="A548" s="3">
        <f>data!A548</f>
        <v>395</v>
      </c>
      <c r="B548" s="3" t="str">
        <f>data!B548</f>
        <v>זק שגיא</v>
      </c>
      <c r="C548" s="3">
        <f>data!C548</f>
        <v>14</v>
      </c>
      <c r="D548" s="3" t="str">
        <f>data!F548</f>
        <v>אזרחים</v>
      </c>
      <c r="E548" s="3" t="str">
        <f t="shared" si="1"/>
        <v>teen</v>
      </c>
      <c r="F548" s="3">
        <v>27.0</v>
      </c>
      <c r="G548" s="3" t="s">
        <v>18</v>
      </c>
      <c r="H548" s="1">
        <f t="shared" si="2"/>
        <v>3</v>
      </c>
    </row>
    <row r="549">
      <c r="A549" s="3">
        <f>data!A549</f>
        <v>378</v>
      </c>
      <c r="B549" s="3" t="str">
        <f>data!B549</f>
        <v>חולתי מנוחה</v>
      </c>
      <c r="C549" s="3">
        <f>data!C549</f>
        <v>76</v>
      </c>
      <c r="D549" s="3" t="str">
        <f>data!F549</f>
        <v>אזרחים</v>
      </c>
      <c r="E549" s="3" t="str">
        <f t="shared" si="1"/>
        <v>senior</v>
      </c>
      <c r="F549" s="3">
        <v>27.0</v>
      </c>
      <c r="G549" s="3" t="s">
        <v>18</v>
      </c>
      <c r="H549" s="1">
        <f t="shared" si="2"/>
        <v>3</v>
      </c>
    </row>
    <row r="550">
      <c r="A550" s="3">
        <f>data!A550</f>
        <v>810</v>
      </c>
      <c r="B550" s="3" t="str">
        <f>data!B550</f>
        <v>מור מעיין</v>
      </c>
      <c r="C550" s="3">
        <f>data!C550</f>
        <v>30</v>
      </c>
      <c r="D550" s="3" t="str">
        <f>data!F550</f>
        <v>אזרחים</v>
      </c>
      <c r="E550" s="3" t="str">
        <f t="shared" si="1"/>
        <v>adult</v>
      </c>
      <c r="F550" s="3">
        <v>27.0</v>
      </c>
      <c r="G550" s="3" t="s">
        <v>18</v>
      </c>
      <c r="H550" s="1">
        <f t="shared" si="2"/>
        <v>3</v>
      </c>
    </row>
    <row r="551">
      <c r="A551" s="3">
        <f>data!A551</f>
        <v>381</v>
      </c>
      <c r="B551" s="3" t="str">
        <f>data!B551</f>
        <v>סמיאטיץ' ג'ינה</v>
      </c>
      <c r="C551" s="3">
        <f>data!C551</f>
        <v>90</v>
      </c>
      <c r="D551" s="3" t="str">
        <f>data!F551</f>
        <v>אזרחים</v>
      </c>
      <c r="E551" s="3" t="str">
        <f t="shared" si="1"/>
        <v>senior</v>
      </c>
      <c r="F551" s="3">
        <v>27.0</v>
      </c>
      <c r="G551" s="3" t="s">
        <v>18</v>
      </c>
      <c r="H551" s="1">
        <f t="shared" si="2"/>
        <v>3</v>
      </c>
    </row>
    <row r="552">
      <c r="A552" s="3">
        <f>data!A552</f>
        <v>379</v>
      </c>
      <c r="B552" s="3" t="str">
        <f>data!B552</f>
        <v>רון עופר</v>
      </c>
      <c r="C552" s="3">
        <f>data!C552</f>
        <v>70</v>
      </c>
      <c r="D552" s="3" t="str">
        <f>data!F552</f>
        <v>אזרחים</v>
      </c>
      <c r="E552" s="3" t="str">
        <f t="shared" si="1"/>
        <v>senior</v>
      </c>
      <c r="F552" s="3">
        <v>27.0</v>
      </c>
      <c r="G552" s="3" t="s">
        <v>18</v>
      </c>
      <c r="H552" s="1">
        <f t="shared" si="2"/>
        <v>3</v>
      </c>
    </row>
    <row r="553">
      <c r="A553" s="3">
        <f>data!A553</f>
        <v>1405</v>
      </c>
      <c r="B553" s="3" t="str">
        <f>data!B553</f>
        <v>Jakkaphong Jantharasena</v>
      </c>
      <c r="C553" s="3">
        <f>data!C553</f>
        <v>28</v>
      </c>
      <c r="D553" s="3" t="str">
        <f>data!F553</f>
        <v>אזרחים זרים</v>
      </c>
      <c r="E553" s="3" t="str">
        <f t="shared" si="1"/>
        <v>adult</v>
      </c>
      <c r="F553" s="3">
        <v>27.0</v>
      </c>
      <c r="G553" s="3" t="s">
        <v>18</v>
      </c>
      <c r="H553" s="1">
        <f t="shared" si="2"/>
        <v>3</v>
      </c>
    </row>
    <row r="554">
      <c r="A554" s="3">
        <f>data!A554</f>
        <v>1687</v>
      </c>
      <c r="B554" s="3" t="str">
        <f>data!B554</f>
        <v>Kaison Aranthit</v>
      </c>
      <c r="C554" s="3">
        <f>data!C554</f>
        <v>29</v>
      </c>
      <c r="D554" s="3" t="str">
        <f>data!F554</f>
        <v>אזרחים זרים</v>
      </c>
      <c r="E554" s="3" t="str">
        <f t="shared" si="1"/>
        <v>adult</v>
      </c>
      <c r="F554" s="3">
        <v>27.0</v>
      </c>
      <c r="G554" s="3" t="s">
        <v>18</v>
      </c>
      <c r="H554" s="1">
        <f t="shared" si="2"/>
        <v>3</v>
      </c>
    </row>
    <row r="555">
      <c r="A555" s="3">
        <f>data!A555</f>
        <v>1416</v>
      </c>
      <c r="B555" s="3" t="str">
        <f>data!B555</f>
        <v>Khunsri Pongsatorn</v>
      </c>
      <c r="C555" s="3">
        <f>data!C555</f>
        <v>25</v>
      </c>
      <c r="D555" s="3" t="str">
        <f>data!F555</f>
        <v>אזרחים זרים</v>
      </c>
      <c r="E555" s="3" t="str">
        <f t="shared" si="1"/>
        <v>adult</v>
      </c>
      <c r="F555" s="3">
        <v>27.0</v>
      </c>
      <c r="G555" s="3" t="s">
        <v>18</v>
      </c>
      <c r="H555" s="1">
        <f t="shared" si="2"/>
        <v>3</v>
      </c>
    </row>
    <row r="556">
      <c r="A556" s="3">
        <f>data!A556</f>
        <v>1417</v>
      </c>
      <c r="B556" s="3" t="str">
        <f>data!B556</f>
        <v>Klangsuwan Theerapong</v>
      </c>
      <c r="C556" s="3">
        <f>data!C556</f>
        <v>38</v>
      </c>
      <c r="D556" s="3" t="str">
        <f>data!F556</f>
        <v>אזרחים זרים</v>
      </c>
      <c r="E556" s="3" t="str">
        <f t="shared" si="1"/>
        <v>adult</v>
      </c>
      <c r="F556" s="3">
        <v>27.0</v>
      </c>
      <c r="G556" s="3" t="s">
        <v>18</v>
      </c>
      <c r="H556" s="1">
        <f t="shared" si="2"/>
        <v>3</v>
      </c>
    </row>
    <row r="557">
      <c r="A557" s="3">
        <f>data!A557</f>
        <v>1407</v>
      </c>
      <c r="B557" s="3" t="str">
        <f>data!B557</f>
        <v>Prakotwong Thanakrit</v>
      </c>
      <c r="C557" s="3">
        <f>data!C557</f>
        <v>35</v>
      </c>
      <c r="D557" s="3" t="str">
        <f>data!F557</f>
        <v>אזרחים זרים</v>
      </c>
      <c r="E557" s="3" t="str">
        <f t="shared" si="1"/>
        <v>adult</v>
      </c>
      <c r="F557" s="3">
        <v>27.0</v>
      </c>
      <c r="G557" s="3" t="s">
        <v>18</v>
      </c>
      <c r="H557" s="1">
        <f t="shared" si="2"/>
        <v>3</v>
      </c>
    </row>
    <row r="558">
      <c r="A558" s="3">
        <f>data!A558</f>
        <v>1418</v>
      </c>
      <c r="B558" s="3" t="str">
        <f>data!B558</f>
        <v>Sanusan Chairat</v>
      </c>
      <c r="C558" s="3">
        <f>data!C558</f>
        <v>39</v>
      </c>
      <c r="D558" s="3" t="str">
        <f>data!F558</f>
        <v>אזרחים זרים</v>
      </c>
      <c r="E558" s="3" t="str">
        <f t="shared" si="1"/>
        <v>adult</v>
      </c>
      <c r="F558" s="3">
        <v>27.0</v>
      </c>
      <c r="G558" s="3" t="s">
        <v>18</v>
      </c>
      <c r="H558" s="1">
        <f t="shared" si="2"/>
        <v>3</v>
      </c>
    </row>
    <row r="559">
      <c r="A559" s="3">
        <f>data!A559</f>
        <v>1410</v>
      </c>
      <c r="B559" s="3" t="str">
        <f>data!B559</f>
        <v>Sophakun Anucha</v>
      </c>
      <c r="C559" s="3">
        <f>data!C559</f>
        <v>28</v>
      </c>
      <c r="D559" s="3" t="str">
        <f>data!F559</f>
        <v>אזרחים זרים</v>
      </c>
      <c r="E559" s="3" t="str">
        <f t="shared" si="1"/>
        <v>adult</v>
      </c>
      <c r="F559" s="3">
        <v>27.0</v>
      </c>
      <c r="G559" s="3" t="s">
        <v>18</v>
      </c>
      <c r="H559" s="1">
        <f t="shared" si="2"/>
        <v>3</v>
      </c>
    </row>
    <row r="560">
      <c r="A560" s="3">
        <f>data!A560</f>
        <v>1408</v>
      </c>
      <c r="B560" s="3" t="str">
        <f>data!B560</f>
        <v>Srithat Kawao</v>
      </c>
      <c r="C560" s="3">
        <f>data!C560</f>
        <v>43</v>
      </c>
      <c r="D560" s="3" t="str">
        <f>data!F560</f>
        <v>אזרחים זרים</v>
      </c>
      <c r="E560" s="3" t="str">
        <f t="shared" si="1"/>
        <v>adult</v>
      </c>
      <c r="F560" s="3">
        <v>27.0</v>
      </c>
      <c r="G560" s="3" t="s">
        <v>18</v>
      </c>
      <c r="H560" s="1">
        <f t="shared" si="2"/>
        <v>3</v>
      </c>
    </row>
    <row r="561">
      <c r="A561" s="3">
        <f>data!A561</f>
        <v>288</v>
      </c>
      <c r="B561" s="3" t="str">
        <f>data!B561</f>
        <v>אדמוני גיא</v>
      </c>
      <c r="C561" s="3">
        <f>data!C561</f>
        <v>25</v>
      </c>
      <c r="D561" s="3" t="str">
        <f>data!F561</f>
        <v>צה"ל</v>
      </c>
      <c r="E561" s="3" t="str">
        <f t="shared" si="1"/>
        <v>adult</v>
      </c>
      <c r="F561" s="3">
        <v>27.0</v>
      </c>
      <c r="G561" s="3" t="s">
        <v>18</v>
      </c>
      <c r="H561" s="1">
        <f t="shared" si="2"/>
        <v>3</v>
      </c>
    </row>
    <row r="562">
      <c r="A562" s="3">
        <f>data!A562</f>
        <v>289</v>
      </c>
      <c r="B562" s="3" t="str">
        <f>data!B562</f>
        <v>אדמוני מיכל</v>
      </c>
      <c r="C562" s="3">
        <f>data!C562</f>
        <v>51</v>
      </c>
      <c r="D562" s="3" t="str">
        <f>data!F562</f>
        <v>אזרחים</v>
      </c>
      <c r="E562" s="3" t="str">
        <f t="shared" si="1"/>
        <v>adult</v>
      </c>
      <c r="F562" s="3">
        <v>27.0</v>
      </c>
      <c r="G562" s="3" t="s">
        <v>18</v>
      </c>
      <c r="H562" s="1">
        <f t="shared" si="2"/>
        <v>3</v>
      </c>
    </row>
    <row r="563">
      <c r="A563" s="3">
        <f>data!A563</f>
        <v>348</v>
      </c>
      <c r="B563" s="3" t="str">
        <f>data!B563</f>
        <v>אדרי אביעד אברהם</v>
      </c>
      <c r="C563" s="3">
        <f>data!C563</f>
        <v>31</v>
      </c>
      <c r="D563" s="3" t="str">
        <f>data!F563</f>
        <v>אזרחים</v>
      </c>
      <c r="E563" s="3" t="str">
        <f t="shared" si="1"/>
        <v>adult</v>
      </c>
      <c r="F563" s="3">
        <v>27.0</v>
      </c>
      <c r="G563" s="3" t="s">
        <v>18</v>
      </c>
      <c r="H563" s="1">
        <f t="shared" si="2"/>
        <v>3</v>
      </c>
    </row>
    <row r="564">
      <c r="A564" s="3">
        <f>data!A564</f>
        <v>344</v>
      </c>
      <c r="B564" s="3" t="str">
        <f>data!B564</f>
        <v>אורגד גולדנברג אליהו (אלי)</v>
      </c>
      <c r="C564" s="3">
        <f>data!C564</f>
        <v>72</v>
      </c>
      <c r="D564" s="3" t="str">
        <f>data!F564</f>
        <v>אזרחים</v>
      </c>
      <c r="E564" s="3" t="str">
        <f t="shared" si="1"/>
        <v>senior</v>
      </c>
      <c r="F564" s="3">
        <v>27.0</v>
      </c>
      <c r="G564" s="3" t="s">
        <v>18</v>
      </c>
      <c r="H564" s="1">
        <f t="shared" si="2"/>
        <v>3</v>
      </c>
    </row>
    <row r="565">
      <c r="A565" s="3">
        <f>data!A565</f>
        <v>317</v>
      </c>
      <c r="B565" s="3" t="str">
        <f>data!B565</f>
        <v>איתמרי לילי</v>
      </c>
      <c r="C565" s="3">
        <f>data!C565</f>
        <v>64</v>
      </c>
      <c r="D565" s="3" t="str">
        <f>data!F565</f>
        <v>אזרחים</v>
      </c>
      <c r="E565" s="3" t="str">
        <f t="shared" si="1"/>
        <v>adult</v>
      </c>
      <c r="F565" s="3">
        <v>27.0</v>
      </c>
      <c r="G565" s="3" t="s">
        <v>18</v>
      </c>
      <c r="H565" s="1">
        <f t="shared" si="2"/>
        <v>3</v>
      </c>
    </row>
    <row r="566">
      <c r="A566" s="3">
        <f>data!A566</f>
        <v>318</v>
      </c>
      <c r="B566" s="3" t="str">
        <f>data!B566</f>
        <v>איתמרי רם</v>
      </c>
      <c r="C566" s="3">
        <f>data!C566</f>
        <v>65</v>
      </c>
      <c r="D566" s="3" t="str">
        <f>data!F566</f>
        <v>אזרחים</v>
      </c>
      <c r="E566" s="3" t="str">
        <f t="shared" si="1"/>
        <v>senior</v>
      </c>
      <c r="F566" s="3">
        <v>27.0</v>
      </c>
      <c r="G566" s="3" t="s">
        <v>18</v>
      </c>
      <c r="H566" s="1">
        <f t="shared" si="2"/>
        <v>3</v>
      </c>
    </row>
    <row r="567">
      <c r="A567" s="3">
        <f>data!A567</f>
        <v>300</v>
      </c>
      <c r="B567" s="3" t="str">
        <f>data!B567</f>
        <v>אלקבץ סיון</v>
      </c>
      <c r="C567" s="3">
        <f>data!C567</f>
        <v>23</v>
      </c>
      <c r="D567" s="3" t="str">
        <f>data!F567</f>
        <v>אזרחים</v>
      </c>
      <c r="E567" s="3" t="str">
        <f t="shared" si="1"/>
        <v>adult</v>
      </c>
      <c r="F567" s="3">
        <v>27.0</v>
      </c>
      <c r="G567" s="3" t="s">
        <v>18</v>
      </c>
      <c r="H567" s="1">
        <f t="shared" si="2"/>
        <v>3</v>
      </c>
    </row>
    <row r="568">
      <c r="A568" s="3">
        <f>data!A568</f>
        <v>351</v>
      </c>
      <c r="B568" s="3" t="str">
        <f>data!B568</f>
        <v>אמיר מודי (מרדכי)</v>
      </c>
      <c r="C568" s="3">
        <f>data!C568</f>
        <v>67</v>
      </c>
      <c r="D568" s="3" t="str">
        <f>data!F568</f>
        <v>אזרחים</v>
      </c>
      <c r="E568" s="3" t="str">
        <f t="shared" si="1"/>
        <v>senior</v>
      </c>
      <c r="F568" s="3">
        <v>27.0</v>
      </c>
      <c r="G568" s="3" t="s">
        <v>18</v>
      </c>
      <c r="H568" s="1">
        <f t="shared" si="2"/>
        <v>3</v>
      </c>
    </row>
    <row r="569">
      <c r="A569" s="3">
        <f>data!A569</f>
        <v>1365</v>
      </c>
      <c r="B569" s="3" t="str">
        <f>data!B569</f>
        <v>אפשטיין בלהה</v>
      </c>
      <c r="C569" s="3">
        <f>data!C569</f>
        <v>81</v>
      </c>
      <c r="D569" s="3" t="str">
        <f>data!F569</f>
        <v>אזרחים</v>
      </c>
      <c r="E569" s="3" t="str">
        <f t="shared" si="1"/>
        <v>senior</v>
      </c>
      <c r="F569" s="3">
        <v>27.0</v>
      </c>
      <c r="G569" s="3" t="s">
        <v>18</v>
      </c>
      <c r="H569" s="1">
        <f t="shared" si="2"/>
        <v>3</v>
      </c>
    </row>
    <row r="570">
      <c r="A570" s="3">
        <f>data!A570</f>
        <v>301</v>
      </c>
      <c r="B570" s="3" t="str">
        <f>data!B570</f>
        <v>אפשטיין נטע</v>
      </c>
      <c r="C570" s="3">
        <f>data!C570</f>
        <v>22</v>
      </c>
      <c r="D570" s="3" t="str">
        <f>data!F570</f>
        <v>אזרחים</v>
      </c>
      <c r="E570" s="3" t="str">
        <f t="shared" si="1"/>
        <v>adult</v>
      </c>
      <c r="F570" s="3">
        <v>27.0</v>
      </c>
      <c r="G570" s="3" t="s">
        <v>18</v>
      </c>
      <c r="H570" s="1">
        <f t="shared" si="2"/>
        <v>3</v>
      </c>
    </row>
    <row r="571">
      <c r="A571" s="3">
        <f>data!A571</f>
        <v>345</v>
      </c>
      <c r="B571" s="3" t="str">
        <f>data!B571</f>
        <v>בויום יובל</v>
      </c>
      <c r="C571" s="3">
        <f>data!C571</f>
        <v>21</v>
      </c>
      <c r="D571" s="3" t="str">
        <f>data!F571</f>
        <v>אזרחים</v>
      </c>
      <c r="E571" s="3" t="str">
        <f t="shared" si="1"/>
        <v>adult</v>
      </c>
      <c r="F571" s="3">
        <v>27.0</v>
      </c>
      <c r="G571" s="3" t="s">
        <v>18</v>
      </c>
      <c r="H571" s="1">
        <f t="shared" si="2"/>
        <v>3</v>
      </c>
    </row>
    <row r="572">
      <c r="A572" s="3">
        <f>data!A572</f>
        <v>1444</v>
      </c>
      <c r="B572" s="3" t="str">
        <f>data!B572</f>
        <v>בן דוד (ג'יבלי) מאיה</v>
      </c>
      <c r="C572" s="3">
        <f>data!C572</f>
        <v>48</v>
      </c>
      <c r="D572" s="3" t="str">
        <f>data!F572</f>
        <v>אזרחים</v>
      </c>
      <c r="E572" s="3" t="str">
        <f t="shared" si="1"/>
        <v>adult</v>
      </c>
      <c r="F572" s="3">
        <v>27.0</v>
      </c>
      <c r="G572" s="3" t="s">
        <v>18</v>
      </c>
      <c r="H572" s="1">
        <f t="shared" si="2"/>
        <v>3</v>
      </c>
    </row>
    <row r="573">
      <c r="A573" s="3">
        <f>data!A573</f>
        <v>294</v>
      </c>
      <c r="B573" s="3" t="str">
        <f>data!B573</f>
        <v>ברדיצ'בסקי (רוזנפלד) הדר</v>
      </c>
      <c r="C573" s="3">
        <f>data!C573</f>
        <v>30</v>
      </c>
      <c r="D573" s="3" t="str">
        <f>data!F573</f>
        <v>אזרחים</v>
      </c>
      <c r="E573" s="3" t="str">
        <f t="shared" si="1"/>
        <v>adult</v>
      </c>
      <c r="F573" s="3">
        <v>27.0</v>
      </c>
      <c r="G573" s="3" t="s">
        <v>18</v>
      </c>
      <c r="H573" s="1">
        <f t="shared" si="2"/>
        <v>3</v>
      </c>
    </row>
    <row r="574">
      <c r="A574" s="3">
        <f>data!A574</f>
        <v>295</v>
      </c>
      <c r="B574" s="3" t="str">
        <f>data!B574</f>
        <v>ברדיצ'בסקי איתי</v>
      </c>
      <c r="C574" s="3">
        <f>data!C574</f>
        <v>30</v>
      </c>
      <c r="D574" s="3" t="str">
        <f>data!F574</f>
        <v>אזרחים</v>
      </c>
      <c r="E574" s="3" t="str">
        <f t="shared" si="1"/>
        <v>adult</v>
      </c>
      <c r="F574" s="3">
        <v>27.0</v>
      </c>
      <c r="G574" s="3" t="s">
        <v>18</v>
      </c>
      <c r="H574" s="1">
        <f t="shared" si="2"/>
        <v>3</v>
      </c>
    </row>
    <row r="575">
      <c r="A575" s="3">
        <f>data!A575</f>
        <v>307</v>
      </c>
      <c r="B575" s="3" t="str">
        <f>data!B575</f>
        <v>גולדשטיין אלמוג ים</v>
      </c>
      <c r="C575" s="3">
        <f>data!C575</f>
        <v>20</v>
      </c>
      <c r="D575" s="3" t="str">
        <f>data!F575</f>
        <v>צה"ל</v>
      </c>
      <c r="E575" s="3" t="str">
        <f t="shared" si="1"/>
        <v>adult</v>
      </c>
      <c r="F575" s="3">
        <v>27.0</v>
      </c>
      <c r="G575" s="3" t="s">
        <v>18</v>
      </c>
      <c r="H575" s="1">
        <f t="shared" si="2"/>
        <v>3</v>
      </c>
    </row>
    <row r="576">
      <c r="A576" s="3">
        <f>data!A576</f>
        <v>308</v>
      </c>
      <c r="B576" s="3" t="str">
        <f>data!B576</f>
        <v>גולדשטיין אלמוג נדב</v>
      </c>
      <c r="C576" s="3">
        <f>data!C576</f>
        <v>48</v>
      </c>
      <c r="D576" s="3" t="str">
        <f>data!F576</f>
        <v>אזרחים</v>
      </c>
      <c r="E576" s="3" t="str">
        <f t="shared" si="1"/>
        <v>adult</v>
      </c>
      <c r="F576" s="3">
        <v>27.0</v>
      </c>
      <c r="G576" s="3" t="s">
        <v>1601</v>
      </c>
      <c r="H576" s="1">
        <f t="shared" si="2"/>
        <v>3</v>
      </c>
    </row>
    <row r="577">
      <c r="A577" s="3">
        <f>data!A577</f>
        <v>1449</v>
      </c>
      <c r="B577" s="3" t="str">
        <f>data!B577</f>
        <v>גורן ארן</v>
      </c>
      <c r="C577" s="3">
        <f>data!C577</f>
        <v>33</v>
      </c>
      <c r="D577" s="3" t="str">
        <f>data!F577</f>
        <v>אזרחים</v>
      </c>
      <c r="E577" s="3" t="str">
        <f t="shared" si="1"/>
        <v>adult</v>
      </c>
      <c r="F577" s="3">
        <v>27.0</v>
      </c>
      <c r="G577" s="3" t="s">
        <v>478</v>
      </c>
      <c r="H577" s="1">
        <f t="shared" si="2"/>
        <v>3</v>
      </c>
    </row>
    <row r="578">
      <c r="A578" s="3">
        <f>data!A578</f>
        <v>1450</v>
      </c>
      <c r="B578" s="3" t="str">
        <f>data!B578</f>
        <v>גורן טובה</v>
      </c>
      <c r="C578" s="3">
        <f>data!C578</f>
        <v>63</v>
      </c>
      <c r="D578" s="3" t="str">
        <f>data!F578</f>
        <v>אזרחים</v>
      </c>
      <c r="E578" s="3" t="str">
        <f t="shared" si="1"/>
        <v>adult</v>
      </c>
      <c r="F578" s="3">
        <v>27.0</v>
      </c>
      <c r="G578" s="3" t="s">
        <v>1601</v>
      </c>
      <c r="H578" s="1">
        <f t="shared" si="2"/>
        <v>3</v>
      </c>
    </row>
    <row r="579">
      <c r="A579" s="3">
        <f>data!A579</f>
        <v>298</v>
      </c>
      <c r="B579" s="3" t="str">
        <f>data!B579</f>
        <v>דגני נעמי</v>
      </c>
      <c r="C579" s="3">
        <f>data!C579</f>
        <v>80</v>
      </c>
      <c r="D579" s="3" t="str">
        <f>data!F579</f>
        <v>אזרחים</v>
      </c>
      <c r="E579" s="3" t="str">
        <f t="shared" si="1"/>
        <v>senior</v>
      </c>
      <c r="F579" s="3">
        <v>27.0</v>
      </c>
      <c r="G579" s="3" t="s">
        <v>478</v>
      </c>
      <c r="H579" s="1">
        <f t="shared" si="2"/>
        <v>3</v>
      </c>
    </row>
    <row r="580">
      <c r="A580" s="3">
        <f>data!A580</f>
        <v>369</v>
      </c>
      <c r="B580" s="3" t="str">
        <f>data!B580</f>
        <v>וינר יהב</v>
      </c>
      <c r="C580" s="3">
        <f>data!C580</f>
        <v>37</v>
      </c>
      <c r="D580" s="3" t="str">
        <f>data!F580</f>
        <v>אזרחים</v>
      </c>
      <c r="E580" s="3" t="str">
        <f t="shared" si="1"/>
        <v>adult</v>
      </c>
      <c r="F580" s="3">
        <v>27.0</v>
      </c>
      <c r="G580" s="3" t="s">
        <v>18</v>
      </c>
      <c r="H580" s="1">
        <f t="shared" si="2"/>
        <v>3</v>
      </c>
    </row>
    <row r="581">
      <c r="A581" s="3">
        <f>data!A581</f>
        <v>368</v>
      </c>
      <c r="B581" s="3" t="str">
        <f>data!B581</f>
        <v>ורטהיים (בר אילן) דורית</v>
      </c>
      <c r="C581" s="3">
        <f>data!C581</f>
        <v>54</v>
      </c>
      <c r="D581" s="3" t="str">
        <f>data!F581</f>
        <v>אזרחים</v>
      </c>
      <c r="E581" s="3" t="str">
        <f t="shared" si="1"/>
        <v>adult</v>
      </c>
      <c r="F581" s="3">
        <v>27.0</v>
      </c>
      <c r="G581" s="3" t="s">
        <v>136</v>
      </c>
      <c r="H581" s="1">
        <f t="shared" si="2"/>
        <v>3</v>
      </c>
    </row>
    <row r="582">
      <c r="A582" s="3">
        <f>data!A582</f>
        <v>367</v>
      </c>
      <c r="B582" s="3" t="str">
        <f>data!B582</f>
        <v>ורטהיים אביב</v>
      </c>
      <c r="C582" s="3">
        <f>data!C582</f>
        <v>57</v>
      </c>
      <c r="D582" s="3" t="str">
        <f>data!F582</f>
        <v>אזרחים</v>
      </c>
      <c r="E582" s="3" t="str">
        <f t="shared" si="1"/>
        <v>adult</v>
      </c>
      <c r="F582" s="3">
        <v>27.0</v>
      </c>
      <c r="G582" s="3" t="s">
        <v>478</v>
      </c>
      <c r="H582" s="1">
        <f t="shared" si="2"/>
        <v>3</v>
      </c>
    </row>
    <row r="583">
      <c r="A583" s="3">
        <f>data!A583</f>
        <v>373</v>
      </c>
      <c r="B583" s="3" t="str">
        <f>data!B583</f>
        <v>זיו איתן</v>
      </c>
      <c r="C583" s="3">
        <f>data!C583</f>
        <v>74</v>
      </c>
      <c r="D583" s="3" t="str">
        <f>data!F583</f>
        <v>אזרחים</v>
      </c>
      <c r="E583" s="3" t="str">
        <f t="shared" si="1"/>
        <v>senior</v>
      </c>
      <c r="F583" s="3">
        <v>27.0</v>
      </c>
      <c r="G583" s="3" t="s">
        <v>478</v>
      </c>
      <c r="H583" s="1">
        <f t="shared" si="2"/>
        <v>3</v>
      </c>
    </row>
    <row r="584">
      <c r="A584" s="3">
        <f>data!A584</f>
        <v>372</v>
      </c>
      <c r="B584" s="3" t="str">
        <f>data!B584</f>
        <v>זיני ניראל</v>
      </c>
      <c r="C584" s="3">
        <f>data!C584</f>
        <v>30</v>
      </c>
      <c r="D584" s="3" t="str">
        <f>data!F584</f>
        <v>אזרחים</v>
      </c>
      <c r="E584" s="3" t="str">
        <f t="shared" si="1"/>
        <v>adult</v>
      </c>
      <c r="F584" s="3">
        <v>27.0</v>
      </c>
      <c r="G584" s="3" t="s">
        <v>18</v>
      </c>
      <c r="H584" s="1">
        <f t="shared" si="2"/>
        <v>3</v>
      </c>
    </row>
    <row r="585">
      <c r="A585" s="3">
        <f>data!A585</f>
        <v>312</v>
      </c>
      <c r="B585" s="3" t="str">
        <f>data!B585</f>
        <v>חסידים נאור</v>
      </c>
      <c r="C585" s="3">
        <f>data!C585</f>
        <v>23</v>
      </c>
      <c r="D585" s="3" t="str">
        <f>data!F585</f>
        <v>אזרחים</v>
      </c>
      <c r="E585" s="3" t="str">
        <f t="shared" si="1"/>
        <v>adult</v>
      </c>
      <c r="F585" s="3">
        <v>28.0</v>
      </c>
      <c r="G585" s="3" t="s">
        <v>18</v>
      </c>
      <c r="H585" s="1">
        <f t="shared" si="2"/>
        <v>3</v>
      </c>
    </row>
    <row r="586">
      <c r="A586" s="3">
        <f>data!A586</f>
        <v>88</v>
      </c>
      <c r="B586" s="3" t="str">
        <f>data!B586</f>
        <v>חצרוני אביה</v>
      </c>
      <c r="C586" s="3">
        <f>data!C586</f>
        <v>69</v>
      </c>
      <c r="D586" s="3" t="str">
        <f>data!F586</f>
        <v>מגן דוד אדום</v>
      </c>
      <c r="E586" s="3" t="str">
        <f t="shared" si="1"/>
        <v>senior</v>
      </c>
      <c r="F586" s="3">
        <v>28.0</v>
      </c>
      <c r="G586" s="3" t="s">
        <v>18</v>
      </c>
      <c r="H586" s="1">
        <f t="shared" si="2"/>
        <v>3</v>
      </c>
    </row>
    <row r="587">
      <c r="A587" s="3">
        <f>data!A587</f>
        <v>152</v>
      </c>
      <c r="B587" s="3" t="str">
        <f>data!B587</f>
        <v>חצרוני הלר ינאי</v>
      </c>
      <c r="C587" s="3">
        <f>data!C587</f>
        <v>12</v>
      </c>
      <c r="D587" s="3" t="str">
        <f>data!F587</f>
        <v>אזרחים</v>
      </c>
      <c r="E587" s="3" t="str">
        <f t="shared" si="1"/>
        <v>child</v>
      </c>
      <c r="F587" s="3">
        <v>28.0</v>
      </c>
      <c r="G587" s="3" t="s">
        <v>18</v>
      </c>
      <c r="H587" s="1">
        <f t="shared" si="2"/>
        <v>3</v>
      </c>
    </row>
    <row r="588">
      <c r="A588" s="3">
        <f>data!A588</f>
        <v>326</v>
      </c>
      <c r="B588" s="3" t="str">
        <f>data!B588</f>
        <v>ליבשטיין ניצן</v>
      </c>
      <c r="C588" s="3">
        <f>data!C588</f>
        <v>19</v>
      </c>
      <c r="D588" s="3" t="str">
        <f>data!F588</f>
        <v>אזרחים</v>
      </c>
      <c r="E588" s="3" t="str">
        <f t="shared" si="1"/>
        <v>adult</v>
      </c>
      <c r="F588" s="3">
        <v>28.0</v>
      </c>
      <c r="G588" s="3" t="s">
        <v>18</v>
      </c>
      <c r="H588" s="1">
        <f t="shared" si="2"/>
        <v>3</v>
      </c>
    </row>
    <row r="589">
      <c r="A589" s="3">
        <f>data!A589</f>
        <v>316</v>
      </c>
      <c r="B589" s="3" t="str">
        <f>data!B589</f>
        <v>מור עידן סמדר</v>
      </c>
      <c r="C589" s="3">
        <f>data!C589</f>
        <v>38</v>
      </c>
      <c r="D589" s="3" t="str">
        <f>data!F589</f>
        <v>שב"כ</v>
      </c>
      <c r="E589" s="3" t="str">
        <f t="shared" si="1"/>
        <v>adult</v>
      </c>
      <c r="F589" s="3">
        <v>28.0</v>
      </c>
      <c r="G589" s="3" t="s">
        <v>18</v>
      </c>
      <c r="H589" s="1">
        <f t="shared" si="2"/>
        <v>3</v>
      </c>
    </row>
    <row r="590">
      <c r="A590" s="3">
        <f>data!A590</f>
        <v>315</v>
      </c>
      <c r="B590" s="3" t="str">
        <f>data!B590</f>
        <v>עידן רועי</v>
      </c>
      <c r="C590" s="3">
        <f>data!C590</f>
        <v>45</v>
      </c>
      <c r="D590" s="3" t="str">
        <f>data!F590</f>
        <v>אזרחים</v>
      </c>
      <c r="E590" s="3" t="str">
        <f t="shared" si="1"/>
        <v>adult</v>
      </c>
      <c r="F590" s="3">
        <v>28.0</v>
      </c>
      <c r="G590" s="3" t="s">
        <v>18</v>
      </c>
      <c r="H590" s="1">
        <f t="shared" si="2"/>
        <v>3</v>
      </c>
    </row>
    <row r="591">
      <c r="A591" s="3">
        <f>data!A591</f>
        <v>333</v>
      </c>
      <c r="B591" s="3" t="str">
        <f>data!B591</f>
        <v>פלג זיו (נאור) תמי</v>
      </c>
      <c r="C591" s="3">
        <f>data!C591</f>
        <v>72</v>
      </c>
      <c r="D591" s="3" t="str">
        <f>data!F591</f>
        <v>אזרחים</v>
      </c>
      <c r="E591" s="3" t="str">
        <f t="shared" si="1"/>
        <v>senior</v>
      </c>
      <c r="F591" s="3">
        <v>28.0</v>
      </c>
      <c r="G591" s="3" t="s">
        <v>18</v>
      </c>
      <c r="H591" s="1">
        <f t="shared" si="2"/>
        <v>3</v>
      </c>
    </row>
    <row r="592">
      <c r="A592" s="3">
        <f>data!A592</f>
        <v>331</v>
      </c>
      <c r="B592" s="3" t="str">
        <f>data!B592</f>
        <v>פלד גילה</v>
      </c>
      <c r="C592" s="3">
        <f>data!C592</f>
        <v>59</v>
      </c>
      <c r="D592" s="3" t="str">
        <f>data!F592</f>
        <v>אזרחים</v>
      </c>
      <c r="E592" s="3" t="str">
        <f t="shared" si="1"/>
        <v>adult</v>
      </c>
      <c r="F592" s="3">
        <v>28.0</v>
      </c>
      <c r="G592" s="3" t="s">
        <v>18</v>
      </c>
      <c r="H592" s="1">
        <f t="shared" si="2"/>
        <v>3</v>
      </c>
    </row>
    <row r="593">
      <c r="A593" s="3">
        <f>data!A593</f>
        <v>330</v>
      </c>
      <c r="B593" s="3" t="str">
        <f>data!B593</f>
        <v>פלד דניאל</v>
      </c>
      <c r="C593" s="3">
        <f>data!C593</f>
        <v>28</v>
      </c>
      <c r="D593" s="3" t="str">
        <f>data!F593</f>
        <v>אזרחים</v>
      </c>
      <c r="E593" s="3" t="str">
        <f t="shared" si="1"/>
        <v>adult</v>
      </c>
      <c r="F593" s="3">
        <v>28.0</v>
      </c>
      <c r="G593" s="3" t="s">
        <v>18</v>
      </c>
      <c r="H593" s="1">
        <f t="shared" si="2"/>
        <v>3</v>
      </c>
    </row>
    <row r="594">
      <c r="A594" s="3">
        <f>data!A594</f>
        <v>332</v>
      </c>
      <c r="B594" s="3" t="str">
        <f>data!B594</f>
        <v>פלד יזהר</v>
      </c>
      <c r="C594" s="3">
        <f>data!C594</f>
        <v>62</v>
      </c>
      <c r="D594" s="3" t="str">
        <f>data!F594</f>
        <v>אזרחים</v>
      </c>
      <c r="E594" s="3" t="str">
        <f t="shared" si="1"/>
        <v>adult</v>
      </c>
      <c r="F594" s="3">
        <v>28.0</v>
      </c>
      <c r="G594" s="3" t="s">
        <v>18</v>
      </c>
      <c r="H594" s="1">
        <f t="shared" si="2"/>
        <v>3</v>
      </c>
    </row>
    <row r="595">
      <c r="A595" s="3">
        <f>data!A595</f>
        <v>1727</v>
      </c>
      <c r="B595" s="3" t="str">
        <f>data!B595</f>
        <v>פלש יגאל</v>
      </c>
      <c r="C595" s="3">
        <f>data!C595</f>
        <v>66</v>
      </c>
      <c r="D595" s="3" t="str">
        <f>data!F595</f>
        <v>אזרחים</v>
      </c>
      <c r="E595" s="3" t="str">
        <f t="shared" si="1"/>
        <v>senior</v>
      </c>
      <c r="F595" s="3">
        <v>28.0</v>
      </c>
      <c r="G595" s="3" t="s">
        <v>18</v>
      </c>
      <c r="H595" s="1">
        <f t="shared" si="2"/>
        <v>3</v>
      </c>
    </row>
    <row r="596">
      <c r="A596" s="3">
        <f>data!A596</f>
        <v>302</v>
      </c>
      <c r="B596" s="3" t="str">
        <f>data!B596</f>
        <v>פלש סינתיה תמר (סינדי)</v>
      </c>
      <c r="C596" s="3">
        <f>data!C596</f>
        <v>67</v>
      </c>
      <c r="D596" s="3" t="str">
        <f>data!F596</f>
        <v>אזרחים</v>
      </c>
      <c r="E596" s="3" t="str">
        <f t="shared" si="1"/>
        <v>senior</v>
      </c>
      <c r="F596" s="3">
        <v>28.0</v>
      </c>
      <c r="G596" s="3" t="s">
        <v>18</v>
      </c>
      <c r="H596" s="1">
        <f t="shared" si="2"/>
        <v>3</v>
      </c>
    </row>
    <row r="597">
      <c r="A597" s="3">
        <f>data!A597</f>
        <v>1473</v>
      </c>
      <c r="B597" s="3" t="str">
        <f>data!B597</f>
        <v>פרץ מארק (מרדכי)</v>
      </c>
      <c r="C597" s="3">
        <f>data!C597</f>
        <v>51</v>
      </c>
      <c r="D597" s="3" t="str">
        <f>data!F597</f>
        <v>אזרחים</v>
      </c>
      <c r="E597" s="3" t="str">
        <f t="shared" si="1"/>
        <v>adult</v>
      </c>
      <c r="F597" s="3">
        <v>28.0</v>
      </c>
      <c r="G597" s="3" t="s">
        <v>18</v>
      </c>
      <c r="H597" s="1">
        <f t="shared" si="2"/>
        <v>3</v>
      </c>
    </row>
    <row r="598">
      <c r="A598" s="3">
        <f>data!A598</f>
        <v>371</v>
      </c>
      <c r="B598" s="3" t="str">
        <f>data!B598</f>
        <v>צדיקביץ' עומר</v>
      </c>
      <c r="C598" s="3">
        <f>data!C598</f>
        <v>50</v>
      </c>
      <c r="D598" s="3" t="str">
        <f>data!F598</f>
        <v>אזרחים</v>
      </c>
      <c r="E598" s="3" t="str">
        <f t="shared" si="1"/>
        <v>adult</v>
      </c>
      <c r="F598" s="3">
        <v>28.0</v>
      </c>
      <c r="G598" s="3" t="s">
        <v>18</v>
      </c>
      <c r="H598" s="1">
        <f t="shared" si="2"/>
        <v>3</v>
      </c>
    </row>
    <row r="599">
      <c r="A599" s="3">
        <f>data!A599</f>
        <v>321</v>
      </c>
      <c r="B599" s="3" t="str">
        <f>data!B599</f>
        <v>קוץ אביב</v>
      </c>
      <c r="C599" s="3">
        <f>data!C599</f>
        <v>53</v>
      </c>
      <c r="D599" s="3" t="str">
        <f>data!F599</f>
        <v>אזרחים</v>
      </c>
      <c r="E599" s="3" t="str">
        <f t="shared" si="1"/>
        <v>adult</v>
      </c>
      <c r="F599" s="3">
        <v>28.0</v>
      </c>
      <c r="G599" s="3" t="s">
        <v>18</v>
      </c>
      <c r="H599" s="1">
        <f t="shared" si="2"/>
        <v>3</v>
      </c>
    </row>
    <row r="600">
      <c r="A600" s="3">
        <f>data!A600</f>
        <v>325</v>
      </c>
      <c r="B600" s="3" t="str">
        <f>data!B600</f>
        <v>קוץ יונתן</v>
      </c>
      <c r="C600" s="3">
        <f>data!C600</f>
        <v>16</v>
      </c>
      <c r="D600" s="3" t="str">
        <f>data!F600</f>
        <v>אזרחים</v>
      </c>
      <c r="E600" s="3" t="str">
        <f t="shared" si="1"/>
        <v>teen</v>
      </c>
      <c r="F600" s="3">
        <v>28.0</v>
      </c>
      <c r="G600" s="3" t="s">
        <v>18</v>
      </c>
      <c r="H600" s="1">
        <f t="shared" si="2"/>
        <v>3</v>
      </c>
    </row>
    <row r="601">
      <c r="A601" s="3">
        <f>data!A601</f>
        <v>324</v>
      </c>
      <c r="B601" s="3" t="str">
        <f>data!B601</f>
        <v>קוץ יפתח</v>
      </c>
      <c r="C601" s="3">
        <f>data!C601</f>
        <v>14</v>
      </c>
      <c r="D601" s="3" t="str">
        <f>data!F601</f>
        <v>אזרחים</v>
      </c>
      <c r="E601" s="3" t="str">
        <f t="shared" si="1"/>
        <v>teen</v>
      </c>
      <c r="F601" s="3">
        <v>28.0</v>
      </c>
      <c r="G601" s="3" t="s">
        <v>18</v>
      </c>
      <c r="H601" s="1">
        <f t="shared" si="2"/>
        <v>3</v>
      </c>
    </row>
    <row r="602">
      <c r="A602" s="3">
        <f>data!A602</f>
        <v>322</v>
      </c>
      <c r="B602" s="3" t="str">
        <f>data!B602</f>
        <v>קוץ לבנת</v>
      </c>
      <c r="C602" s="3">
        <f>data!C602</f>
        <v>50</v>
      </c>
      <c r="D602" s="3" t="str">
        <f>data!F602</f>
        <v>אזרחים</v>
      </c>
      <c r="E602" s="3" t="str">
        <f t="shared" si="1"/>
        <v>adult</v>
      </c>
      <c r="F602" s="3">
        <v>28.0</v>
      </c>
      <c r="G602" s="3" t="s">
        <v>18</v>
      </c>
      <c r="H602" s="1">
        <f t="shared" si="2"/>
        <v>3</v>
      </c>
    </row>
    <row r="603">
      <c r="A603" s="3">
        <f>data!A603</f>
        <v>323</v>
      </c>
      <c r="B603" s="3" t="str">
        <f>data!B603</f>
        <v>קוץ רותם</v>
      </c>
      <c r="C603" s="3">
        <f>data!C603</f>
        <v>18</v>
      </c>
      <c r="D603" s="3" t="str">
        <f>data!F603</f>
        <v>צה"ל</v>
      </c>
      <c r="E603" s="3" t="str">
        <f t="shared" si="1"/>
        <v>adult</v>
      </c>
      <c r="F603" s="3">
        <v>28.0</v>
      </c>
      <c r="G603" s="3" t="s">
        <v>18</v>
      </c>
      <c r="H603" s="1">
        <f t="shared" si="2"/>
        <v>3</v>
      </c>
    </row>
    <row r="604">
      <c r="A604" s="3">
        <f>data!A604</f>
        <v>320</v>
      </c>
      <c r="B604" s="3" t="str">
        <f>data!B604</f>
        <v>קציר (קצ'קו) דוד</v>
      </c>
      <c r="C604" s="3">
        <f>data!C604</f>
        <v>72</v>
      </c>
      <c r="D604" s="3" t="str">
        <f>data!F604</f>
        <v>אזרחים</v>
      </c>
      <c r="E604" s="3" t="str">
        <f t="shared" si="1"/>
        <v>senior</v>
      </c>
      <c r="F604" s="3">
        <v>28.0</v>
      </c>
      <c r="G604" s="3" t="s">
        <v>18</v>
      </c>
      <c r="H604" s="1">
        <f t="shared" si="2"/>
        <v>3</v>
      </c>
    </row>
    <row r="605">
      <c r="A605" s="3">
        <f>data!A605</f>
        <v>335</v>
      </c>
      <c r="B605" s="3" t="str">
        <f>data!B605</f>
        <v>רביב ניב</v>
      </c>
      <c r="C605" s="3">
        <f>data!C605</f>
        <v>27</v>
      </c>
      <c r="D605" s="3" t="str">
        <f>data!F605</f>
        <v>אזרחים</v>
      </c>
      <c r="E605" s="3" t="str">
        <f t="shared" si="1"/>
        <v>adult</v>
      </c>
      <c r="F605" s="3">
        <v>28.0</v>
      </c>
      <c r="G605" s="3" t="s">
        <v>18</v>
      </c>
      <c r="H605" s="1">
        <f t="shared" si="2"/>
        <v>3</v>
      </c>
    </row>
    <row r="606">
      <c r="A606" s="3">
        <f>data!A606</f>
        <v>350</v>
      </c>
      <c r="B606" s="3" t="str">
        <f>data!B606</f>
        <v>רונן נירה</v>
      </c>
      <c r="C606" s="3">
        <f>data!C606</f>
        <v>86</v>
      </c>
      <c r="D606" s="3" t="str">
        <f>data!F606</f>
        <v>אזרחים</v>
      </c>
      <c r="E606" s="3" t="str">
        <f t="shared" si="1"/>
        <v>senior</v>
      </c>
      <c r="F606" s="3">
        <v>28.0</v>
      </c>
      <c r="G606" s="3" t="s">
        <v>18</v>
      </c>
      <c r="H606" s="1">
        <f t="shared" si="2"/>
        <v>3</v>
      </c>
    </row>
    <row r="607">
      <c r="A607" s="3">
        <f>data!A607</f>
        <v>336</v>
      </c>
      <c r="B607" s="3" t="str">
        <f>data!B607</f>
        <v>רייכנשטיין אליהו (אליקו)</v>
      </c>
      <c r="C607" s="3">
        <f>data!C607</f>
        <v>75</v>
      </c>
      <c r="D607" s="3" t="str">
        <f>data!F607</f>
        <v>אזרחים</v>
      </c>
      <c r="E607" s="3" t="str">
        <f t="shared" si="1"/>
        <v>senior</v>
      </c>
      <c r="F607" s="3">
        <v>28.0</v>
      </c>
      <c r="G607" s="3" t="s">
        <v>18</v>
      </c>
      <c r="H607" s="1">
        <f t="shared" si="2"/>
        <v>3</v>
      </c>
    </row>
    <row r="608">
      <c r="A608" s="3">
        <f>data!A608</f>
        <v>347</v>
      </c>
      <c r="B608" s="3" t="str">
        <f>data!B608</f>
        <v>שוורצמן דוד אלברטו</v>
      </c>
      <c r="C608" s="3">
        <f>data!C608</f>
        <v>67</v>
      </c>
      <c r="D608" s="3" t="str">
        <f>data!F608</f>
        <v>אזרחים</v>
      </c>
      <c r="E608" s="3" t="str">
        <f t="shared" si="1"/>
        <v>senior</v>
      </c>
      <c r="F608" s="3">
        <v>28.0</v>
      </c>
      <c r="G608" s="3" t="s">
        <v>169</v>
      </c>
      <c r="H608" s="1">
        <f t="shared" si="2"/>
        <v>3</v>
      </c>
    </row>
    <row r="609">
      <c r="A609" s="3">
        <f>data!A609</f>
        <v>346</v>
      </c>
      <c r="B609" s="3" t="str">
        <f>data!B609</f>
        <v>שוורצמן פינקו אורלי</v>
      </c>
      <c r="C609" s="3">
        <f>data!C609</f>
        <v>67</v>
      </c>
      <c r="D609" s="3" t="str">
        <f>data!F609</f>
        <v>אזרחים</v>
      </c>
      <c r="E609" s="3" t="str">
        <f t="shared" si="1"/>
        <v>senior</v>
      </c>
      <c r="F609" s="3">
        <v>28.0</v>
      </c>
      <c r="G609" s="3" t="s">
        <v>169</v>
      </c>
      <c r="H609" s="1">
        <f t="shared" si="2"/>
        <v>3</v>
      </c>
    </row>
    <row r="610">
      <c r="A610" s="3">
        <f>data!A610</f>
        <v>338</v>
      </c>
      <c r="B610" s="3" t="str">
        <f>data!B610</f>
        <v>שושני אופיר</v>
      </c>
      <c r="C610" s="3">
        <f>data!C610</f>
        <v>20</v>
      </c>
      <c r="D610" s="3" t="str">
        <f>data!F610</f>
        <v>צה"ל</v>
      </c>
      <c r="E610" s="3" t="str">
        <f t="shared" si="1"/>
        <v>adult</v>
      </c>
      <c r="F610" s="3">
        <v>28.0</v>
      </c>
      <c r="G610" s="3" t="s">
        <v>18</v>
      </c>
      <c r="H610" s="1">
        <f t="shared" si="2"/>
        <v>3</v>
      </c>
    </row>
    <row r="611">
      <c r="A611" s="3">
        <f>data!A611</f>
        <v>339</v>
      </c>
      <c r="B611" s="3" t="str">
        <f>data!B611</f>
        <v>שטהל מירה</v>
      </c>
      <c r="C611" s="3">
        <f>data!C611</f>
        <v>54</v>
      </c>
      <c r="D611" s="3" t="str">
        <f>data!F611</f>
        <v>אזרחים</v>
      </c>
      <c r="E611" s="3" t="str">
        <f t="shared" si="1"/>
        <v>adult</v>
      </c>
      <c r="F611" s="3">
        <v>28.0</v>
      </c>
      <c r="G611" s="3" t="s">
        <v>18</v>
      </c>
      <c r="H611" s="1">
        <f t="shared" si="2"/>
        <v>3</v>
      </c>
    </row>
    <row r="612">
      <c r="A612" s="3">
        <f>data!A612</f>
        <v>1699</v>
      </c>
      <c r="B612" s="3" t="str">
        <f>data!B612</f>
        <v>Aguirre Angelyn</v>
      </c>
      <c r="C612" s="3">
        <f>data!C612</f>
        <v>32</v>
      </c>
      <c r="D612" s="3" t="str">
        <f>data!F612</f>
        <v>אזרחים זרים</v>
      </c>
      <c r="E612" s="3" t="str">
        <f t="shared" si="1"/>
        <v>adult</v>
      </c>
      <c r="F612" s="3">
        <v>28.0</v>
      </c>
      <c r="G612" s="3" t="s">
        <v>1601</v>
      </c>
      <c r="H612" s="1">
        <f t="shared" si="2"/>
        <v>3</v>
      </c>
    </row>
    <row r="613">
      <c r="A613" s="3">
        <f>data!A613</f>
        <v>411</v>
      </c>
      <c r="B613" s="3" t="str">
        <f>data!B613</f>
        <v>אליקים נועם</v>
      </c>
      <c r="C613" s="3">
        <f>data!C613</f>
        <v>47</v>
      </c>
      <c r="D613" s="3" t="str">
        <f>data!F613</f>
        <v>אזרחים</v>
      </c>
      <c r="E613" s="3" t="str">
        <f t="shared" si="1"/>
        <v>adult</v>
      </c>
      <c r="F613" s="3">
        <v>28.0</v>
      </c>
      <c r="G613" s="3" t="s">
        <v>18</v>
      </c>
      <c r="H613" s="1">
        <f t="shared" si="2"/>
        <v>3</v>
      </c>
    </row>
    <row r="614">
      <c r="A614" s="3">
        <f>data!A614</f>
        <v>409</v>
      </c>
      <c r="B614" s="3" t="str">
        <f>data!B614</f>
        <v>ברוש שושנה (שושי)</v>
      </c>
      <c r="C614" s="3">
        <f>data!C614</f>
        <v>75</v>
      </c>
      <c r="D614" s="3" t="str">
        <f>data!F614</f>
        <v>אזרחים</v>
      </c>
      <c r="E614" s="3" t="str">
        <f t="shared" si="1"/>
        <v>senior</v>
      </c>
      <c r="F614" s="3">
        <v>28.0</v>
      </c>
      <c r="G614" s="3" t="s">
        <v>1809</v>
      </c>
      <c r="H614" s="1">
        <f t="shared" si="2"/>
        <v>3</v>
      </c>
    </row>
    <row r="615">
      <c r="A615" s="3">
        <f>data!A615</f>
        <v>457</v>
      </c>
      <c r="B615" s="3" t="str">
        <f>data!B615</f>
        <v>זוהר יניב</v>
      </c>
      <c r="C615" s="3">
        <f>data!C615</f>
        <v>54</v>
      </c>
      <c r="D615" s="3" t="str">
        <f>data!F615</f>
        <v>אזרחים</v>
      </c>
      <c r="E615" s="3" t="str">
        <f t="shared" si="1"/>
        <v>adult</v>
      </c>
      <c r="F615" s="3">
        <v>28.0</v>
      </c>
      <c r="G615" s="3" t="s">
        <v>136</v>
      </c>
      <c r="H615" s="1">
        <f t="shared" si="2"/>
        <v>3</v>
      </c>
    </row>
    <row r="616">
      <c r="A616" s="3">
        <f>data!A616</f>
        <v>458</v>
      </c>
      <c r="B616" s="3" t="str">
        <f>data!B616</f>
        <v>זוהר יסמין</v>
      </c>
      <c r="C616" s="3">
        <f>data!C616</f>
        <v>49</v>
      </c>
      <c r="D616" s="3" t="str">
        <f>data!F616</f>
        <v>אזרחים</v>
      </c>
      <c r="E616" s="3" t="str">
        <f t="shared" si="1"/>
        <v>adult</v>
      </c>
      <c r="F616" s="3">
        <v>28.0</v>
      </c>
      <c r="G616" s="3" t="s">
        <v>1601</v>
      </c>
      <c r="H616" s="1">
        <f t="shared" si="2"/>
        <v>3</v>
      </c>
    </row>
    <row r="617">
      <c r="A617" s="3">
        <f>data!A617</f>
        <v>455</v>
      </c>
      <c r="B617" s="3" t="str">
        <f>data!B617</f>
        <v>זוהר קשת</v>
      </c>
      <c r="C617" s="3">
        <f>data!C617</f>
        <v>20</v>
      </c>
      <c r="D617" s="3" t="str">
        <f>data!F617</f>
        <v>אזרחים</v>
      </c>
      <c r="E617" s="3" t="str">
        <f t="shared" si="1"/>
        <v>adult</v>
      </c>
      <c r="F617" s="3">
        <v>28.0</v>
      </c>
      <c r="G617" s="3" t="s">
        <v>1601</v>
      </c>
      <c r="H617" s="1">
        <f t="shared" si="2"/>
        <v>3</v>
      </c>
    </row>
    <row r="618">
      <c r="A618" s="3">
        <f>data!A618</f>
        <v>456</v>
      </c>
      <c r="B618" s="3" t="str">
        <f>data!B618</f>
        <v>זוהר תכלת</v>
      </c>
      <c r="C618" s="3">
        <f>data!C618</f>
        <v>18</v>
      </c>
      <c r="D618" s="3" t="str">
        <f>data!F618</f>
        <v>אזרחים</v>
      </c>
      <c r="E618" s="3" t="str">
        <f t="shared" si="1"/>
        <v>teen</v>
      </c>
      <c r="F618" s="3">
        <v>28.0</v>
      </c>
      <c r="G618" s="3" t="s">
        <v>18</v>
      </c>
      <c r="H618" s="1">
        <f t="shared" si="2"/>
        <v>3</v>
      </c>
    </row>
    <row r="619">
      <c r="A619" s="3">
        <f>data!A619</f>
        <v>581</v>
      </c>
      <c r="B619" s="3" t="str">
        <f>data!B619</f>
        <v>כץ אפרת</v>
      </c>
      <c r="C619" s="3">
        <f>data!C619</f>
        <v>69</v>
      </c>
      <c r="D619" s="3" t="str">
        <f>data!F619</f>
        <v>אזרחים</v>
      </c>
      <c r="E619" s="3" t="str">
        <f t="shared" si="1"/>
        <v>senior</v>
      </c>
      <c r="F619" s="3">
        <v>28.0</v>
      </c>
      <c r="G619" s="3" t="s">
        <v>18</v>
      </c>
      <c r="H619" s="1">
        <f t="shared" si="2"/>
        <v>3</v>
      </c>
    </row>
    <row r="620">
      <c r="A620" s="3">
        <f>data!A620</f>
        <v>419</v>
      </c>
      <c r="B620" s="3" t="str">
        <f>data!B620</f>
        <v>ליבנה חיים</v>
      </c>
      <c r="C620" s="3">
        <f>data!C620</f>
        <v>78</v>
      </c>
      <c r="D620" s="3" t="str">
        <f>data!F620</f>
        <v>אזרחים</v>
      </c>
      <c r="E620" s="3" t="str">
        <f t="shared" si="1"/>
        <v>senior</v>
      </c>
      <c r="F620" s="3">
        <v>28.0</v>
      </c>
      <c r="G620" s="3" t="s">
        <v>18</v>
      </c>
      <c r="H620" s="1">
        <f t="shared" si="2"/>
        <v>3</v>
      </c>
    </row>
    <row r="621">
      <c r="A621" s="3">
        <f>data!A621</f>
        <v>430</v>
      </c>
      <c r="B621" s="3" t="str">
        <f>data!B621</f>
        <v>עידן מעיין</v>
      </c>
      <c r="C621" s="3">
        <f>data!C621</f>
        <v>18</v>
      </c>
      <c r="D621" s="3" t="str">
        <f>data!F621</f>
        <v>אזרחים</v>
      </c>
      <c r="E621" s="3" t="str">
        <f t="shared" si="1"/>
        <v>teen</v>
      </c>
      <c r="F621" s="3">
        <v>28.0</v>
      </c>
      <c r="G621" s="3" t="s">
        <v>18</v>
      </c>
      <c r="H621" s="1">
        <f t="shared" si="2"/>
        <v>3</v>
      </c>
    </row>
    <row r="622">
      <c r="A622" s="3">
        <f>data!A622</f>
        <v>406</v>
      </c>
      <c r="B622" s="3" t="str">
        <f>data!B622</f>
        <v>ערבה אליעז תומר</v>
      </c>
      <c r="C622" s="3">
        <f>data!C622</f>
        <v>17</v>
      </c>
      <c r="D622" s="3" t="str">
        <f>data!F622</f>
        <v>אזרחים</v>
      </c>
      <c r="E622" s="3" t="str">
        <f t="shared" si="1"/>
        <v>teen</v>
      </c>
      <c r="F622" s="3">
        <v>28.0</v>
      </c>
      <c r="G622" s="3" t="s">
        <v>18</v>
      </c>
      <c r="H622" s="1">
        <f t="shared" si="2"/>
        <v>3</v>
      </c>
    </row>
    <row r="623">
      <c r="A623" s="3">
        <f>data!A623</f>
        <v>405</v>
      </c>
      <c r="B623" s="3" t="str">
        <f>data!B623</f>
        <v>ערבה דקלה</v>
      </c>
      <c r="C623" s="3">
        <f>data!C623</f>
        <v>51</v>
      </c>
      <c r="D623" s="3" t="str">
        <f>data!F623</f>
        <v>אזרחים</v>
      </c>
      <c r="E623" s="3" t="str">
        <f t="shared" si="1"/>
        <v>adult</v>
      </c>
      <c r="F623" s="3">
        <v>29.0</v>
      </c>
      <c r="G623" s="3" t="s">
        <v>18</v>
      </c>
      <c r="H623" s="1">
        <f t="shared" si="2"/>
        <v>3</v>
      </c>
    </row>
    <row r="624">
      <c r="A624" s="3">
        <f>data!A624</f>
        <v>426</v>
      </c>
      <c r="B624" s="3" t="str">
        <f>data!B624</f>
        <v>רון שלמה</v>
      </c>
      <c r="C624" s="3">
        <f>data!C624</f>
        <v>85</v>
      </c>
      <c r="D624" s="3" t="str">
        <f>data!F624</f>
        <v>אזרחים</v>
      </c>
      <c r="E624" s="3" t="str">
        <f t="shared" si="1"/>
        <v>senior</v>
      </c>
      <c r="F624" s="3">
        <v>29.0</v>
      </c>
      <c r="G624" s="3" t="s">
        <v>18</v>
      </c>
      <c r="H624" s="1">
        <f t="shared" si="2"/>
        <v>3</v>
      </c>
    </row>
    <row r="625">
      <c r="A625" s="3">
        <f>data!A625</f>
        <v>1400</v>
      </c>
      <c r="B625" s="3" t="str">
        <f>data!B625</f>
        <v>Somkuan Pansa-ard</v>
      </c>
      <c r="C625" s="3">
        <f>data!C625</f>
        <v>39</v>
      </c>
      <c r="D625" s="3" t="str">
        <f>data!F625</f>
        <v>אזרחים זרים</v>
      </c>
      <c r="E625" s="3" t="str">
        <f t="shared" si="1"/>
        <v>adult</v>
      </c>
      <c r="F625" s="3">
        <v>29.0</v>
      </c>
      <c r="G625" s="3" t="s">
        <v>169</v>
      </c>
      <c r="H625" s="1">
        <f t="shared" si="2"/>
        <v>3</v>
      </c>
    </row>
    <row r="626">
      <c r="A626" s="3">
        <f>data!A626</f>
        <v>549</v>
      </c>
      <c r="B626" s="3" t="str">
        <f>data!B626</f>
        <v>בן חורין רבקה</v>
      </c>
      <c r="C626" s="3">
        <f>data!C626</f>
        <v>74</v>
      </c>
      <c r="D626" s="3" t="str">
        <f>data!F626</f>
        <v>אזרחים</v>
      </c>
      <c r="E626" s="3" t="str">
        <f t="shared" si="1"/>
        <v>senior</v>
      </c>
      <c r="F626" s="3">
        <v>29.0</v>
      </c>
      <c r="G626" s="3" t="s">
        <v>18</v>
      </c>
      <c r="H626" s="1">
        <f t="shared" si="2"/>
        <v>3</v>
      </c>
    </row>
    <row r="627">
      <c r="A627" s="3">
        <f>data!A627</f>
        <v>550</v>
      </c>
      <c r="B627" s="3" t="str">
        <f>data!B627</f>
        <v>בן צבי אמיתי</v>
      </c>
      <c r="C627" s="3">
        <f>data!C627</f>
        <v>80</v>
      </c>
      <c r="D627" s="3" t="str">
        <f>data!F627</f>
        <v>אזרחים</v>
      </c>
      <c r="E627" s="3" t="str">
        <f t="shared" si="1"/>
        <v>senior</v>
      </c>
      <c r="F627" s="3">
        <v>29.0</v>
      </c>
      <c r="G627" s="3" t="s">
        <v>18</v>
      </c>
      <c r="H627" s="1">
        <f t="shared" si="2"/>
        <v>3</v>
      </c>
    </row>
    <row r="628">
      <c r="A628" s="3">
        <f>data!A628</f>
        <v>568</v>
      </c>
      <c r="B628" s="3" t="str">
        <f>data!B628</f>
        <v>גורן אבנר</v>
      </c>
      <c r="C628" s="3">
        <f>data!C628</f>
        <v>56</v>
      </c>
      <c r="D628" s="3" t="str">
        <f>data!F628</f>
        <v>אזרחים</v>
      </c>
      <c r="E628" s="3" t="str">
        <f t="shared" si="1"/>
        <v>adult</v>
      </c>
      <c r="F628" s="3">
        <v>29.0</v>
      </c>
      <c r="G628" s="3" t="s">
        <v>18</v>
      </c>
      <c r="H628" s="1">
        <f t="shared" si="2"/>
        <v>3</v>
      </c>
    </row>
    <row r="629">
      <c r="A629" s="3">
        <f>data!A629</f>
        <v>630</v>
      </c>
      <c r="B629" s="3" t="str">
        <f>data!B629</f>
        <v>גרוס יוסף (יוסיניו)</v>
      </c>
      <c r="C629" s="3">
        <f>data!C629</f>
        <v>75</v>
      </c>
      <c r="D629" s="3" t="str">
        <f>data!F629</f>
        <v>אזרחים</v>
      </c>
      <c r="E629" s="3" t="str">
        <f t="shared" si="1"/>
        <v>senior</v>
      </c>
      <c r="F629" s="3">
        <v>29.0</v>
      </c>
      <c r="G629" s="3" t="s">
        <v>18</v>
      </c>
      <c r="H629" s="1">
        <f t="shared" si="2"/>
        <v>3</v>
      </c>
    </row>
    <row r="630">
      <c r="A630" s="3">
        <f>data!A630</f>
        <v>559</v>
      </c>
      <c r="B630" s="3" t="str">
        <f>data!B630</f>
        <v>דן כרמלה</v>
      </c>
      <c r="C630" s="3">
        <f>data!C630</f>
        <v>79</v>
      </c>
      <c r="D630" s="3" t="str">
        <f>data!F630</f>
        <v>אזרחים</v>
      </c>
      <c r="E630" s="3" t="str">
        <f t="shared" si="1"/>
        <v>senior</v>
      </c>
      <c r="F630" s="3">
        <v>29.0</v>
      </c>
      <c r="G630" s="3" t="s">
        <v>18</v>
      </c>
      <c r="H630" s="1">
        <f t="shared" si="2"/>
        <v>3</v>
      </c>
    </row>
    <row r="631">
      <c r="A631" s="3">
        <f>data!A631</f>
        <v>558</v>
      </c>
      <c r="B631" s="3" t="str">
        <f>data!B631</f>
        <v>דן נויה</v>
      </c>
      <c r="C631" s="3">
        <f>data!C631</f>
        <v>12</v>
      </c>
      <c r="D631" s="3" t="str">
        <f>data!F631</f>
        <v>אזרחים</v>
      </c>
      <c r="E631" s="3" t="str">
        <f t="shared" si="1"/>
        <v>child</v>
      </c>
      <c r="F631" s="3">
        <v>29.0</v>
      </c>
      <c r="G631" s="3" t="s">
        <v>18</v>
      </c>
      <c r="H631" s="1">
        <f t="shared" si="2"/>
        <v>3</v>
      </c>
    </row>
    <row r="632">
      <c r="A632" s="3">
        <f>data!A632</f>
        <v>628</v>
      </c>
      <c r="B632" s="3" t="str">
        <f>data!B632</f>
        <v>והב יוסף (יוסי)</v>
      </c>
      <c r="C632" s="3">
        <f>data!C632</f>
        <v>65</v>
      </c>
      <c r="D632" s="3" t="str">
        <f>data!F632</f>
        <v>אזרחים</v>
      </c>
      <c r="E632" s="3" t="str">
        <f t="shared" si="1"/>
        <v>senior</v>
      </c>
      <c r="F632" s="3">
        <v>29.0</v>
      </c>
      <c r="G632" s="3" t="s">
        <v>18</v>
      </c>
      <c r="H632" s="1">
        <f t="shared" si="2"/>
        <v>3</v>
      </c>
    </row>
    <row r="633">
      <c r="A633" s="3">
        <f>data!A633</f>
        <v>626</v>
      </c>
      <c r="B633" s="3" t="str">
        <f>data!B633</f>
        <v>טרופנוב ויטלי</v>
      </c>
      <c r="C633" s="3">
        <f>data!C633</f>
        <v>50</v>
      </c>
      <c r="D633" s="3" t="str">
        <f>data!F633</f>
        <v>אזרחים</v>
      </c>
      <c r="E633" s="3" t="str">
        <f t="shared" si="1"/>
        <v>adult</v>
      </c>
      <c r="F633" s="3">
        <v>29.0</v>
      </c>
      <c r="G633" s="3" t="s">
        <v>18</v>
      </c>
      <c r="H633" s="1">
        <f t="shared" si="2"/>
        <v>3</v>
      </c>
    </row>
    <row r="634">
      <c r="A634" s="3">
        <f>data!A634</f>
        <v>582</v>
      </c>
      <c r="B634" s="3" t="str">
        <f>data!B634</f>
        <v>כץ רביד</v>
      </c>
      <c r="C634" s="3">
        <f>data!C634</f>
        <v>51</v>
      </c>
      <c r="D634" s="3" t="str">
        <f>data!F634</f>
        <v>אזרחים</v>
      </c>
      <c r="E634" s="3" t="str">
        <f t="shared" si="1"/>
        <v>adult</v>
      </c>
      <c r="F634" s="3">
        <v>29.0</v>
      </c>
      <c r="G634" s="3" t="s">
        <v>18</v>
      </c>
      <c r="H634" s="1">
        <f t="shared" si="2"/>
        <v>3</v>
      </c>
    </row>
    <row r="635">
      <c r="A635" s="3">
        <f>data!A635</f>
        <v>629</v>
      </c>
      <c r="B635" s="3" t="str">
        <f>data!B635</f>
        <v>לוינסון ברכה</v>
      </c>
      <c r="C635" s="3">
        <f>data!C635</f>
        <v>75</v>
      </c>
      <c r="D635" s="3" t="str">
        <f>data!F635</f>
        <v>אזרחים</v>
      </c>
      <c r="E635" s="3" t="str">
        <f t="shared" si="1"/>
        <v>senior</v>
      </c>
      <c r="F635" s="3">
        <v>29.0</v>
      </c>
      <c r="G635" s="3" t="s">
        <v>169</v>
      </c>
      <c r="H635" s="1">
        <f t="shared" si="2"/>
        <v>3</v>
      </c>
    </row>
    <row r="636">
      <c r="A636" s="3">
        <f>data!A636</f>
        <v>602</v>
      </c>
      <c r="B636" s="3" t="str">
        <f>data!B636</f>
        <v>מונדר רועי</v>
      </c>
      <c r="C636" s="3">
        <f>data!C636</f>
        <v>50</v>
      </c>
      <c r="D636" s="3" t="str">
        <f>data!F636</f>
        <v>אזרחים</v>
      </c>
      <c r="E636" s="3" t="str">
        <f t="shared" si="1"/>
        <v>adult</v>
      </c>
      <c r="F636" s="3">
        <v>29.0</v>
      </c>
      <c r="G636" s="3" t="s">
        <v>169</v>
      </c>
      <c r="H636" s="1">
        <f t="shared" si="2"/>
        <v>3</v>
      </c>
    </row>
    <row r="637">
      <c r="A637" s="3">
        <f>data!A637</f>
        <v>610</v>
      </c>
      <c r="B637" s="3" t="str">
        <f>data!B637</f>
        <v>משה סעיד (דוד)</v>
      </c>
      <c r="C637" s="3">
        <f>data!C637</f>
        <v>75</v>
      </c>
      <c r="D637" s="3" t="str">
        <f>data!F637</f>
        <v>אזרחים</v>
      </c>
      <c r="E637" s="3" t="str">
        <f t="shared" si="1"/>
        <v>senior</v>
      </c>
      <c r="F637" s="3">
        <v>29.0</v>
      </c>
      <c r="G637" s="3" t="s">
        <v>1601</v>
      </c>
      <c r="H637" s="1">
        <f t="shared" si="2"/>
        <v>3</v>
      </c>
    </row>
    <row r="638">
      <c r="A638" s="3">
        <f>data!A638</f>
        <v>614</v>
      </c>
      <c r="B638" s="3" t="str">
        <f>data!B638</f>
        <v>נוי שפרה</v>
      </c>
      <c r="C638" s="3">
        <f>data!C638</f>
        <v>71</v>
      </c>
      <c r="D638" s="3" t="str">
        <f>data!F638</f>
        <v>אזרחים</v>
      </c>
      <c r="E638" s="3" t="str">
        <f t="shared" si="1"/>
        <v>senior</v>
      </c>
      <c r="F638" s="3">
        <v>29.0</v>
      </c>
      <c r="G638" s="3" t="s">
        <v>478</v>
      </c>
      <c r="H638" s="1">
        <f t="shared" si="2"/>
        <v>3</v>
      </c>
    </row>
    <row r="639">
      <c r="A639" s="3">
        <f>data!A639</f>
        <v>615</v>
      </c>
      <c r="B639" s="3" t="str">
        <f>data!B639</f>
        <v>סילברמן (שניידר) מרגיט</v>
      </c>
      <c r="C639" s="3">
        <f>data!C639</f>
        <v>63</v>
      </c>
      <c r="D639" s="3" t="str">
        <f>data!F639</f>
        <v>אזרחים</v>
      </c>
      <c r="E639" s="3" t="str">
        <f t="shared" si="1"/>
        <v>adult</v>
      </c>
      <c r="F639" s="3">
        <v>29.0</v>
      </c>
      <c r="G639" s="3" t="s">
        <v>1601</v>
      </c>
      <c r="H639" s="1">
        <f t="shared" si="2"/>
        <v>3</v>
      </c>
    </row>
    <row r="640">
      <c r="A640" s="3">
        <f>data!A640</f>
        <v>616</v>
      </c>
      <c r="B640" s="3" t="str">
        <f>data!B640</f>
        <v>סילברמן יוסף</v>
      </c>
      <c r="C640" s="3">
        <f>data!C640</f>
        <v>67</v>
      </c>
      <c r="D640" s="3" t="str">
        <f>data!F640</f>
        <v>אזרחים</v>
      </c>
      <c r="E640" s="3" t="str">
        <f t="shared" si="1"/>
        <v>senior</v>
      </c>
      <c r="F640" s="3">
        <v>29.0</v>
      </c>
      <c r="G640" s="3" t="s">
        <v>18</v>
      </c>
      <c r="H640" s="1">
        <f t="shared" si="2"/>
        <v>3</v>
      </c>
    </row>
    <row r="641">
      <c r="A641" s="3">
        <f>data!A641</f>
        <v>617</v>
      </c>
      <c r="B641" s="3" t="str">
        <f>data!B641</f>
        <v>סימן טוב ארבל</v>
      </c>
      <c r="C641" s="3">
        <f>data!C641</f>
        <v>5</v>
      </c>
      <c r="D641" s="3" t="str">
        <f>data!F641</f>
        <v>אזרחים</v>
      </c>
      <c r="E641" s="3" t="str">
        <f t="shared" si="1"/>
        <v>child</v>
      </c>
      <c r="F641" s="3">
        <v>29.0</v>
      </c>
      <c r="G641" s="3" t="s">
        <v>18</v>
      </c>
      <c r="H641" s="1">
        <f t="shared" si="2"/>
        <v>3</v>
      </c>
    </row>
    <row r="642">
      <c r="A642" s="3">
        <f>data!A642</f>
        <v>622</v>
      </c>
      <c r="B642" s="3" t="str">
        <f>data!B642</f>
        <v>סימן טוב יונתן (ג'וני)</v>
      </c>
      <c r="C642" s="3">
        <f>data!C642</f>
        <v>36</v>
      </c>
      <c r="D642" s="3" t="str">
        <f>data!F642</f>
        <v>אזרחים</v>
      </c>
      <c r="E642" s="3" t="str">
        <f t="shared" si="1"/>
        <v>adult</v>
      </c>
      <c r="F642" s="3">
        <v>29.0</v>
      </c>
      <c r="G642" s="3" t="s">
        <v>1601</v>
      </c>
      <c r="H642" s="1">
        <f t="shared" si="2"/>
        <v>3</v>
      </c>
    </row>
    <row r="643">
      <c r="A643" s="3">
        <f>data!A643</f>
        <v>619</v>
      </c>
      <c r="B643" s="3" t="str">
        <f>data!B643</f>
        <v>סימן טוב עומר</v>
      </c>
      <c r="C643" s="3">
        <f>data!C643</f>
        <v>2</v>
      </c>
      <c r="D643" s="3" t="str">
        <f>data!F643</f>
        <v>אזרחים</v>
      </c>
      <c r="E643" s="3" t="str">
        <f t="shared" si="1"/>
        <v>child</v>
      </c>
      <c r="F643" s="3">
        <v>29.0</v>
      </c>
      <c r="G643" s="3" t="s">
        <v>1601</v>
      </c>
      <c r="H643" s="1">
        <f t="shared" si="2"/>
        <v>3</v>
      </c>
    </row>
    <row r="644">
      <c r="A644" s="3">
        <f>data!A644</f>
        <v>621</v>
      </c>
      <c r="B644" s="3" t="str">
        <f>data!B644</f>
        <v>סימן טוב קדם תמר</v>
      </c>
      <c r="C644" s="3">
        <f>data!C644</f>
        <v>35</v>
      </c>
      <c r="D644" s="3" t="str">
        <f>data!F644</f>
        <v>אזרחים</v>
      </c>
      <c r="E644" s="3" t="str">
        <f t="shared" si="1"/>
        <v>adult</v>
      </c>
      <c r="F644" s="3">
        <v>29.0</v>
      </c>
      <c r="G644" s="3" t="s">
        <v>18</v>
      </c>
      <c r="H644" s="1">
        <f t="shared" si="2"/>
        <v>3</v>
      </c>
    </row>
    <row r="645">
      <c r="A645" s="3">
        <f>data!A645</f>
        <v>618</v>
      </c>
      <c r="B645" s="3" t="str">
        <f>data!B645</f>
        <v>סימן טוב קרול</v>
      </c>
      <c r="C645" s="3">
        <f>data!C645</f>
        <v>70</v>
      </c>
      <c r="D645" s="3" t="str">
        <f>data!F645</f>
        <v>אזרחים</v>
      </c>
      <c r="E645" s="3" t="str">
        <f t="shared" si="1"/>
        <v>senior</v>
      </c>
      <c r="F645" s="3">
        <v>29.0</v>
      </c>
      <c r="G645" s="3" t="s">
        <v>478</v>
      </c>
      <c r="H645" s="1">
        <f t="shared" si="2"/>
        <v>3</v>
      </c>
    </row>
    <row r="646">
      <c r="A646" s="3">
        <f>data!A646</f>
        <v>620</v>
      </c>
      <c r="B646" s="3" t="str">
        <f>data!B646</f>
        <v>סימן טוב שחר</v>
      </c>
      <c r="C646" s="3">
        <f>data!C646</f>
        <v>5</v>
      </c>
      <c r="D646" s="3" t="str">
        <f>data!F646</f>
        <v>אזרחים</v>
      </c>
      <c r="E646" s="3" t="str">
        <f t="shared" si="1"/>
        <v>child</v>
      </c>
      <c r="F646" s="3">
        <v>29.0</v>
      </c>
      <c r="G646" s="3" t="s">
        <v>478</v>
      </c>
      <c r="H646" s="1">
        <f t="shared" si="2"/>
        <v>3</v>
      </c>
    </row>
    <row r="647">
      <c r="A647" s="3">
        <f>data!A647</f>
        <v>566</v>
      </c>
      <c r="B647" s="3" t="str">
        <f>data!B647</f>
        <v>פאוקר גדעון</v>
      </c>
      <c r="C647" s="3">
        <f>data!C647</f>
        <v>80</v>
      </c>
      <c r="D647" s="3" t="str">
        <f>data!F647</f>
        <v>אזרחים</v>
      </c>
      <c r="E647" s="3" t="str">
        <f t="shared" si="1"/>
        <v>senior</v>
      </c>
      <c r="F647" s="3">
        <v>29.0</v>
      </c>
      <c r="G647" s="3" t="s">
        <v>169</v>
      </c>
      <c r="H647" s="1">
        <f t="shared" si="2"/>
        <v>3</v>
      </c>
    </row>
    <row r="648">
      <c r="A648" s="3">
        <f>data!A648</f>
        <v>583</v>
      </c>
      <c r="B648" s="3" t="str">
        <f>data!B648</f>
        <v>קציר אברהם (רמי)</v>
      </c>
      <c r="C648" s="3">
        <f>data!C648</f>
        <v>78</v>
      </c>
      <c r="D648" s="3" t="str">
        <f>data!F648</f>
        <v>אזרחים</v>
      </c>
      <c r="E648" s="3" t="str">
        <f t="shared" si="1"/>
        <v>senior</v>
      </c>
      <c r="F648" s="3">
        <v>30.0</v>
      </c>
      <c r="G648" s="3" t="s">
        <v>18</v>
      </c>
      <c r="H648" s="1">
        <f t="shared" si="2"/>
        <v>4</v>
      </c>
    </row>
    <row r="649">
      <c r="A649" s="3">
        <f>data!A649</f>
        <v>612</v>
      </c>
      <c r="B649" s="3" t="str">
        <f>data!B649</f>
        <v>שלו דוד</v>
      </c>
      <c r="C649" s="3">
        <f>data!C649</f>
        <v>75</v>
      </c>
      <c r="D649" s="3" t="str">
        <f>data!F649</f>
        <v>אזרחים</v>
      </c>
      <c r="E649" s="3" t="str">
        <f t="shared" si="1"/>
        <v>senior</v>
      </c>
      <c r="F649" s="3">
        <v>30.0</v>
      </c>
      <c r="G649" s="3" t="s">
        <v>18</v>
      </c>
      <c r="H649" s="1">
        <f t="shared" si="2"/>
        <v>4</v>
      </c>
    </row>
    <row r="650">
      <c r="A650" s="3">
        <f>data!A650</f>
        <v>613</v>
      </c>
      <c r="B650" s="3" t="str">
        <f>data!B650</f>
        <v>שלו טל</v>
      </c>
      <c r="C650" s="3">
        <f>data!C650</f>
        <v>54</v>
      </c>
      <c r="D650" s="3" t="str">
        <f>data!F650</f>
        <v>אזרחים</v>
      </c>
      <c r="E650" s="3" t="str">
        <f t="shared" si="1"/>
        <v>adult</v>
      </c>
      <c r="F650" s="3">
        <v>30.0</v>
      </c>
      <c r="G650" s="3" t="s">
        <v>18</v>
      </c>
      <c r="H650" s="1">
        <f t="shared" si="2"/>
        <v>4</v>
      </c>
    </row>
    <row r="651">
      <c r="A651" s="3">
        <f>data!A651</f>
        <v>611</v>
      </c>
      <c r="B651" s="3" t="str">
        <f>data!B651</f>
        <v>שפיר ירמי (ירמיהו)</v>
      </c>
      <c r="C651" s="3">
        <f>data!C651</f>
        <v>75</v>
      </c>
      <c r="D651" s="3" t="str">
        <f>data!F651</f>
        <v>אזרחים</v>
      </c>
      <c r="E651" s="3" t="str">
        <f t="shared" si="1"/>
        <v>senior</v>
      </c>
      <c r="F651" s="3">
        <v>30.0</v>
      </c>
      <c r="G651" s="3" t="s">
        <v>18</v>
      </c>
      <c r="H651" s="1">
        <f t="shared" si="2"/>
        <v>4</v>
      </c>
    </row>
    <row r="652">
      <c r="A652" s="3">
        <f>data!A652</f>
        <v>631</v>
      </c>
      <c r="B652" s="3" t="str">
        <f>data!B652</f>
        <v>Bohl Caroline</v>
      </c>
      <c r="C652" s="3">
        <f>data!C652</f>
        <v>22</v>
      </c>
      <c r="D652" s="3" t="str">
        <f>data!F652</f>
        <v>אזרחים זרים</v>
      </c>
      <c r="E652" s="3" t="str">
        <f t="shared" si="1"/>
        <v>adult</v>
      </c>
      <c r="F652" s="3">
        <v>30.0</v>
      </c>
      <c r="G652" s="3" t="s">
        <v>18</v>
      </c>
      <c r="H652" s="1">
        <f t="shared" si="2"/>
        <v>4</v>
      </c>
    </row>
    <row r="653">
      <c r="A653" s="3">
        <f>data!A653</f>
        <v>1395</v>
      </c>
      <c r="B653" s="3" t="str">
        <f>data!B653</f>
        <v>Dachtuyawat Bancha</v>
      </c>
      <c r="C653" s="3">
        <f>data!C653</f>
        <v>29</v>
      </c>
      <c r="D653" s="3" t="str">
        <f>data!F653</f>
        <v>אזרחים זרים</v>
      </c>
      <c r="E653" s="3" t="str">
        <f t="shared" si="1"/>
        <v>adult</v>
      </c>
      <c r="F653" s="3">
        <v>30.0</v>
      </c>
      <c r="G653" s="3" t="s">
        <v>18</v>
      </c>
      <c r="H653" s="1">
        <f t="shared" si="2"/>
        <v>4</v>
      </c>
    </row>
    <row r="654">
      <c r="A654" s="3">
        <f>data!A654</f>
        <v>563</v>
      </c>
      <c r="B654" s="3" t="str">
        <f>data!B654</f>
        <v>Darlington Daniel (Danny)</v>
      </c>
      <c r="C654" s="3">
        <f>data!C654</f>
        <v>34</v>
      </c>
      <c r="D654" s="3" t="str">
        <f>data!F654</f>
        <v>אזרחים זרים</v>
      </c>
      <c r="E654" s="3" t="str">
        <f t="shared" si="1"/>
        <v>adult</v>
      </c>
      <c r="F654" s="3">
        <v>30.0</v>
      </c>
      <c r="G654" s="3" t="s">
        <v>18</v>
      </c>
      <c r="H654" s="1">
        <f t="shared" si="2"/>
        <v>4</v>
      </c>
    </row>
    <row r="655">
      <c r="A655" s="3">
        <f>data!A655</f>
        <v>662</v>
      </c>
      <c r="B655" s="3" t="str">
        <f>data!B655</f>
        <v>באבאני גדעון</v>
      </c>
      <c r="C655" s="3">
        <f>data!C655</f>
        <v>66</v>
      </c>
      <c r="D655" s="3" t="str">
        <f>data!F655</f>
        <v>אזרחים</v>
      </c>
      <c r="E655" s="3" t="str">
        <f t="shared" si="1"/>
        <v>senior</v>
      </c>
      <c r="F655" s="3">
        <v>30.0</v>
      </c>
      <c r="G655" s="3" t="s">
        <v>18</v>
      </c>
      <c r="H655" s="1">
        <f t="shared" si="2"/>
        <v>4</v>
      </c>
    </row>
    <row r="656">
      <c r="A656" s="3">
        <f>data!A656</f>
        <v>664</v>
      </c>
      <c r="B656" s="3" t="str">
        <f>data!B656</f>
        <v>מאיר דורון</v>
      </c>
      <c r="C656" s="3">
        <f>data!C656</f>
        <v>58</v>
      </c>
      <c r="D656" s="3" t="str">
        <f>data!F656</f>
        <v>אזרחים</v>
      </c>
      <c r="E656" s="3" t="str">
        <f t="shared" si="1"/>
        <v>adult</v>
      </c>
      <c r="F656" s="3">
        <v>30.0</v>
      </c>
      <c r="G656" s="3" t="s">
        <v>18</v>
      </c>
      <c r="H656" s="1">
        <f t="shared" si="2"/>
        <v>4</v>
      </c>
    </row>
    <row r="657">
      <c r="A657" s="3">
        <f>data!A657</f>
        <v>663</v>
      </c>
      <c r="B657" s="3" t="str">
        <f>data!B657</f>
        <v>מאיר מור</v>
      </c>
      <c r="C657" s="3">
        <f>data!C657</f>
        <v>17</v>
      </c>
      <c r="D657" s="3" t="str">
        <f>data!F657</f>
        <v>אזרחים</v>
      </c>
      <c r="E657" s="3" t="str">
        <f t="shared" si="1"/>
        <v>teen</v>
      </c>
      <c r="F657" s="3">
        <v>30.0</v>
      </c>
      <c r="G657" s="3" t="s">
        <v>18</v>
      </c>
      <c r="H657" s="1">
        <f t="shared" si="2"/>
        <v>4</v>
      </c>
    </row>
    <row r="658">
      <c r="A658" s="3">
        <f>data!A658</f>
        <v>667</v>
      </c>
      <c r="B658" s="3" t="str">
        <f>data!B658</f>
        <v>פופלוול רועי</v>
      </c>
      <c r="C658" s="3">
        <f>data!C658</f>
        <v>54</v>
      </c>
      <c r="D658" s="3" t="str">
        <f>data!F658</f>
        <v>אזרחים</v>
      </c>
      <c r="E658" s="3" t="str">
        <f t="shared" si="1"/>
        <v>adult</v>
      </c>
      <c r="F658" s="3">
        <v>30.0</v>
      </c>
      <c r="G658" s="3" t="s">
        <v>18</v>
      </c>
      <c r="H658" s="1">
        <f t="shared" si="2"/>
        <v>4</v>
      </c>
    </row>
    <row r="659">
      <c r="A659" s="3">
        <f>data!A659</f>
        <v>1174</v>
      </c>
      <c r="B659" s="3" t="str">
        <f>data!B659</f>
        <v>כהן ברנרד (פול)</v>
      </c>
      <c r="C659" s="3">
        <f>data!C659</f>
        <v>57</v>
      </c>
      <c r="D659" s="3" t="str">
        <f>data!F659</f>
        <v>אזרחים</v>
      </c>
      <c r="E659" s="3" t="str">
        <f t="shared" si="1"/>
        <v>adult</v>
      </c>
      <c r="F659" s="3">
        <v>30.0</v>
      </c>
      <c r="G659" s="3" t="s">
        <v>18</v>
      </c>
      <c r="H659" s="1">
        <f t="shared" si="2"/>
        <v>4</v>
      </c>
    </row>
    <row r="660">
      <c r="A660" s="3">
        <f>data!A660</f>
        <v>201</v>
      </c>
      <c r="B660" s="3" t="str">
        <f>data!B660</f>
        <v>גלזברג נועה</v>
      </c>
      <c r="C660" s="3">
        <f>data!C660</f>
        <v>43</v>
      </c>
      <c r="D660" s="3" t="str">
        <f>data!F660</f>
        <v>אזרחים</v>
      </c>
      <c r="E660" s="3" t="str">
        <f t="shared" si="1"/>
        <v>adult</v>
      </c>
      <c r="F660" s="3">
        <v>30.0</v>
      </c>
      <c r="G660" s="3" t="s">
        <v>18</v>
      </c>
      <c r="H660" s="1">
        <f t="shared" si="2"/>
        <v>4</v>
      </c>
    </row>
    <row r="661">
      <c r="A661" s="3">
        <f>data!A661</f>
        <v>202</v>
      </c>
      <c r="B661" s="3" t="str">
        <f>data!B661</f>
        <v>טליה מרסל</v>
      </c>
      <c r="C661" s="3">
        <f>data!C661</f>
        <v>63</v>
      </c>
      <c r="D661" s="3" t="str">
        <f>data!F661</f>
        <v>אזרחים</v>
      </c>
      <c r="E661" s="3" t="str">
        <f t="shared" si="1"/>
        <v>adult</v>
      </c>
      <c r="F661" s="3">
        <v>30.0</v>
      </c>
      <c r="G661" s="3" t="s">
        <v>18</v>
      </c>
      <c r="H661" s="1">
        <f t="shared" si="2"/>
        <v>4</v>
      </c>
    </row>
    <row r="662">
      <c r="A662" s="3">
        <f>data!A662</f>
        <v>1610</v>
      </c>
      <c r="B662" s="3" t="str">
        <f>data!B662</f>
        <v>ליפשיץ אולג</v>
      </c>
      <c r="C662" s="3">
        <f>data!C662</f>
        <v>61</v>
      </c>
      <c r="D662" s="3" t="str">
        <f>data!F662</f>
        <v>אזרחים</v>
      </c>
      <c r="E662" s="3" t="str">
        <f t="shared" si="1"/>
        <v>adult</v>
      </c>
      <c r="F662" s="3">
        <v>30.0</v>
      </c>
      <c r="G662" s="3" t="s">
        <v>18</v>
      </c>
      <c r="H662" s="1">
        <f t="shared" si="2"/>
        <v>4</v>
      </c>
    </row>
    <row r="663">
      <c r="A663" s="3">
        <f>data!A663</f>
        <v>203</v>
      </c>
      <c r="B663" s="3" t="str">
        <f>data!B663</f>
        <v>מרנסקי סילביה</v>
      </c>
      <c r="C663" s="3">
        <f>data!C663</f>
        <v>80</v>
      </c>
      <c r="D663" s="3" t="str">
        <f>data!F663</f>
        <v>אזרחים</v>
      </c>
      <c r="E663" s="3" t="str">
        <f t="shared" si="1"/>
        <v>senior</v>
      </c>
      <c r="F663" s="3">
        <v>30.0</v>
      </c>
      <c r="G663" s="3" t="s">
        <v>18</v>
      </c>
      <c r="H663" s="1">
        <f t="shared" si="2"/>
        <v>4</v>
      </c>
    </row>
    <row r="664">
      <c r="A664" s="3">
        <f>data!A664</f>
        <v>11</v>
      </c>
      <c r="B664" s="3" t="str">
        <f>data!B664</f>
        <v>Bista Dipesh Raj</v>
      </c>
      <c r="C664" s="3">
        <f>data!C664</f>
        <v>24</v>
      </c>
      <c r="D664" s="3" t="str">
        <f>data!F664</f>
        <v>אזרחים זרים</v>
      </c>
      <c r="E664" s="3" t="str">
        <f t="shared" si="1"/>
        <v>adult</v>
      </c>
      <c r="F664" s="3">
        <v>30.0</v>
      </c>
      <c r="G664" s="3" t="s">
        <v>18</v>
      </c>
      <c r="H664" s="1">
        <f t="shared" si="2"/>
        <v>4</v>
      </c>
    </row>
    <row r="665">
      <c r="A665" s="3">
        <f>data!A665</f>
        <v>14</v>
      </c>
      <c r="B665" s="3" t="str">
        <f>data!B665</f>
        <v>Chaudhary Ashish</v>
      </c>
      <c r="C665" s="3">
        <f>data!C665</f>
        <v>25</v>
      </c>
      <c r="D665" s="3" t="str">
        <f>data!F665</f>
        <v>אזרחים זרים</v>
      </c>
      <c r="E665" s="3" t="str">
        <f t="shared" si="1"/>
        <v>adult</v>
      </c>
      <c r="F665" s="3">
        <v>30.0</v>
      </c>
      <c r="G665" s="3" t="s">
        <v>18</v>
      </c>
      <c r="H665" s="1">
        <f t="shared" si="2"/>
        <v>4</v>
      </c>
    </row>
    <row r="666">
      <c r="A666" s="3">
        <f>data!A666</f>
        <v>16</v>
      </c>
      <c r="B666" s="3" t="str">
        <f>data!B666</f>
        <v>Lekendora Sing Dahami</v>
      </c>
      <c r="C666" s="3">
        <f>data!C666</f>
        <v>24</v>
      </c>
      <c r="D666" s="3" t="str">
        <f>data!F666</f>
        <v>אזרחים זרים</v>
      </c>
      <c r="E666" s="3" t="str">
        <f t="shared" si="1"/>
        <v>adult</v>
      </c>
      <c r="F666" s="3">
        <v>30.0</v>
      </c>
      <c r="G666" s="3" t="s">
        <v>18</v>
      </c>
      <c r="H666" s="1">
        <f t="shared" si="2"/>
        <v>4</v>
      </c>
    </row>
    <row r="667">
      <c r="A667" s="3">
        <f>data!A667</f>
        <v>12</v>
      </c>
      <c r="B667" s="3" t="str">
        <f>data!B667</f>
        <v>Nepali Ganesh Kumar</v>
      </c>
      <c r="C667" s="3">
        <f>data!C667</f>
        <v>24</v>
      </c>
      <c r="D667" s="3" t="str">
        <f>data!F667</f>
        <v>אזרחים זרים</v>
      </c>
      <c r="E667" s="3" t="str">
        <f t="shared" si="1"/>
        <v>adult</v>
      </c>
      <c r="F667" s="3">
        <v>30.0</v>
      </c>
      <c r="G667" s="3" t="s">
        <v>1601</v>
      </c>
      <c r="H667" s="1">
        <f t="shared" si="2"/>
        <v>4</v>
      </c>
    </row>
    <row r="668">
      <c r="A668" s="3">
        <f>data!A668</f>
        <v>17</v>
      </c>
      <c r="B668" s="3" t="str">
        <f>data!B668</f>
        <v>Neupane Narayan Prasad</v>
      </c>
      <c r="C668" s="3">
        <f>data!C668</f>
        <v>25</v>
      </c>
      <c r="D668" s="3" t="str">
        <f>data!F668</f>
        <v>אזרחים זרים</v>
      </c>
      <c r="E668" s="3" t="str">
        <f t="shared" si="1"/>
        <v>adult</v>
      </c>
      <c r="F668" s="3">
        <v>30.0</v>
      </c>
      <c r="G668" s="3" t="s">
        <v>18</v>
      </c>
      <c r="H668" s="1">
        <f t="shared" si="2"/>
        <v>4</v>
      </c>
    </row>
    <row r="669">
      <c r="A669" s="3">
        <f>data!A669</f>
        <v>15</v>
      </c>
      <c r="B669" s="3" t="str">
        <f>data!B669</f>
        <v>Phulara Rajan</v>
      </c>
      <c r="C669" s="3">
        <f>data!C669</f>
        <v>23</v>
      </c>
      <c r="D669" s="3" t="str">
        <f>data!F669</f>
        <v>אזרחים זרים</v>
      </c>
      <c r="E669" s="3" t="str">
        <f t="shared" si="1"/>
        <v>adult</v>
      </c>
      <c r="F669" s="3">
        <v>30.0</v>
      </c>
      <c r="G669" s="3" t="s">
        <v>478</v>
      </c>
      <c r="H669" s="1">
        <f t="shared" si="2"/>
        <v>4</v>
      </c>
    </row>
    <row r="670">
      <c r="A670" s="3">
        <f>data!A670</f>
        <v>22</v>
      </c>
      <c r="B670" s="3" t="str">
        <f>data!B670</f>
        <v>Prabesh Bhandari</v>
      </c>
      <c r="C670" s="3">
        <f>data!C670</f>
        <v>24</v>
      </c>
      <c r="D670" s="3" t="str">
        <f>data!F670</f>
        <v>אזרחים זרים</v>
      </c>
      <c r="E670" s="3" t="str">
        <f t="shared" si="1"/>
        <v>adult</v>
      </c>
      <c r="F670" s="3">
        <v>30.0</v>
      </c>
      <c r="G670" s="3" t="s">
        <v>478</v>
      </c>
      <c r="H670" s="1">
        <f t="shared" si="2"/>
        <v>4</v>
      </c>
    </row>
    <row r="671">
      <c r="A671" s="3">
        <f>data!A671</f>
        <v>20</v>
      </c>
      <c r="B671" s="3" t="str">
        <f>data!B671</f>
        <v>Shah Ananda</v>
      </c>
      <c r="C671" s="3">
        <f>data!C671</f>
        <v>22</v>
      </c>
      <c r="D671" s="3" t="str">
        <f>data!F671</f>
        <v>אזרחים זרים</v>
      </c>
      <c r="E671" s="3" t="str">
        <f t="shared" si="1"/>
        <v>adult</v>
      </c>
      <c r="F671" s="3">
        <v>30.0</v>
      </c>
      <c r="G671" s="3" t="s">
        <v>1601</v>
      </c>
      <c r="H671" s="1">
        <f t="shared" si="2"/>
        <v>4</v>
      </c>
    </row>
    <row r="672">
      <c r="A672" s="3">
        <f>data!A672</f>
        <v>21</v>
      </c>
      <c r="B672" s="3" t="str">
        <f>data!B672</f>
        <v>Swarnakar Rajesh Kumar</v>
      </c>
      <c r="C672" s="3">
        <f>data!C672</f>
        <v>25</v>
      </c>
      <c r="D672" s="3" t="str">
        <f>data!F672</f>
        <v>אזרחים זרים</v>
      </c>
      <c r="E672" s="3" t="str">
        <f t="shared" si="1"/>
        <v>adult</v>
      </c>
      <c r="F672" s="3">
        <v>30.0</v>
      </c>
      <c r="G672" s="3" t="s">
        <v>478</v>
      </c>
      <c r="H672" s="1">
        <f t="shared" si="2"/>
        <v>4</v>
      </c>
    </row>
    <row r="673">
      <c r="A673" s="3">
        <f>data!A673</f>
        <v>13</v>
      </c>
      <c r="B673" s="3" t="str">
        <f>data!B673</f>
        <v>Thapa Padam</v>
      </c>
      <c r="C673" s="3">
        <f>data!C673</f>
        <v>22</v>
      </c>
      <c r="D673" s="3" t="str">
        <f>data!F673</f>
        <v>אזרחים זרים</v>
      </c>
      <c r="E673" s="3" t="str">
        <f t="shared" si="1"/>
        <v>adult</v>
      </c>
      <c r="F673" s="3">
        <v>30.0</v>
      </c>
      <c r="G673" s="3" t="s">
        <v>478</v>
      </c>
      <c r="H673" s="1">
        <f t="shared" si="2"/>
        <v>4</v>
      </c>
    </row>
    <row r="674">
      <c r="A674" s="3">
        <f>data!A674</f>
        <v>1731</v>
      </c>
      <c r="B674" s="3" t="str">
        <f>data!B674</f>
        <v>אוסטפנקו אליונה</v>
      </c>
      <c r="C674" s="3">
        <f>data!C674</f>
        <v>25</v>
      </c>
      <c r="D674" s="3" t="str">
        <f>data!F674</f>
        <v>משטרה</v>
      </c>
      <c r="E674" s="3" t="str">
        <f t="shared" si="1"/>
        <v>adult</v>
      </c>
      <c r="F674" s="3">
        <v>30.0</v>
      </c>
      <c r="G674" s="3" t="s">
        <v>1809</v>
      </c>
      <c r="H674" s="1">
        <f t="shared" si="2"/>
        <v>4</v>
      </c>
    </row>
    <row r="675">
      <c r="A675" s="3">
        <f>data!A675</f>
        <v>1059</v>
      </c>
      <c r="B675" s="3" t="str">
        <f>data!B675</f>
        <v>גבאי עמית</v>
      </c>
      <c r="C675" s="3">
        <f>data!C675</f>
        <v>17</v>
      </c>
      <c r="D675" s="3" t="str">
        <f>data!F675</f>
        <v>אזרחים</v>
      </c>
      <c r="E675" s="3" t="str">
        <f t="shared" si="1"/>
        <v>teen</v>
      </c>
      <c r="F675" s="3">
        <v>30.0</v>
      </c>
      <c r="G675" s="3" t="s">
        <v>1809</v>
      </c>
      <c r="H675" s="1">
        <f t="shared" si="2"/>
        <v>4</v>
      </c>
    </row>
    <row r="676">
      <c r="A676" s="3">
        <f>data!A676</f>
        <v>1061</v>
      </c>
      <c r="B676" s="3" t="str">
        <f>data!B676</f>
        <v>הרמתי ורדה</v>
      </c>
      <c r="C676" s="3">
        <f>data!C676</f>
        <v>80</v>
      </c>
      <c r="D676" s="3" t="str">
        <f>data!F676</f>
        <v>אזרחים</v>
      </c>
      <c r="E676" s="3" t="str">
        <f t="shared" si="1"/>
        <v>senior</v>
      </c>
      <c r="F676" s="3">
        <v>30.0</v>
      </c>
      <c r="G676" s="3" t="s">
        <v>169</v>
      </c>
      <c r="H676" s="1">
        <f t="shared" si="2"/>
        <v>4</v>
      </c>
    </row>
    <row r="677">
      <c r="A677" s="3">
        <f>data!A677</f>
        <v>1058</v>
      </c>
      <c r="B677" s="3" t="str">
        <f>data!B677</f>
        <v>פבר אסף</v>
      </c>
      <c r="C677" s="3">
        <f>data!C677</f>
        <v>23</v>
      </c>
      <c r="D677" s="3" t="str">
        <f>data!F677</f>
        <v>אזרחים</v>
      </c>
      <c r="E677" s="3" t="str">
        <f t="shared" si="1"/>
        <v>adult</v>
      </c>
      <c r="F677" s="3">
        <v>31.0</v>
      </c>
      <c r="G677" s="3" t="s">
        <v>169</v>
      </c>
      <c r="H677" s="1">
        <f t="shared" si="2"/>
        <v>4</v>
      </c>
    </row>
    <row r="678">
      <c r="A678" s="3">
        <f>data!A678</f>
        <v>1056</v>
      </c>
      <c r="B678" s="3" t="str">
        <f>data!B678</f>
        <v>קרפ דביר</v>
      </c>
      <c r="C678" s="3">
        <f>data!C678</f>
        <v>46</v>
      </c>
      <c r="D678" s="3" t="str">
        <f>data!F678</f>
        <v>אזרחים</v>
      </c>
      <c r="E678" s="3" t="str">
        <f t="shared" si="1"/>
        <v>adult</v>
      </c>
      <c r="F678" s="3">
        <v>31.0</v>
      </c>
      <c r="G678" s="3" t="s">
        <v>18</v>
      </c>
      <c r="H678" s="1">
        <f t="shared" si="2"/>
        <v>4</v>
      </c>
    </row>
    <row r="679">
      <c r="A679" s="3">
        <f>data!A679</f>
        <v>1372</v>
      </c>
      <c r="B679" s="3" t="str">
        <f>data!B679</f>
        <v>אבדלימוב סמיון</v>
      </c>
      <c r="C679" s="3">
        <f>data!C679</f>
        <v>66</v>
      </c>
      <c r="D679" s="3" t="str">
        <f>data!F679</f>
        <v>אזרחים</v>
      </c>
      <c r="E679" s="3" t="str">
        <f t="shared" si="1"/>
        <v>senior</v>
      </c>
      <c r="F679" s="3">
        <v>31.0</v>
      </c>
      <c r="G679" s="3" t="s">
        <v>18</v>
      </c>
      <c r="H679" s="1">
        <f t="shared" si="2"/>
        <v>4</v>
      </c>
    </row>
    <row r="680">
      <c r="A680" s="3">
        <f>data!A680</f>
        <v>1162</v>
      </c>
      <c r="B680" s="3" t="str">
        <f>data!B680</f>
        <v>אברמוב מיכאל</v>
      </c>
      <c r="C680" s="3">
        <f>data!C680</f>
        <v>66</v>
      </c>
      <c r="D680" s="3" t="str">
        <f>data!F680</f>
        <v>אזרחים</v>
      </c>
      <c r="E680" s="3" t="str">
        <f t="shared" si="1"/>
        <v>senior</v>
      </c>
      <c r="F680" s="3">
        <v>31.0</v>
      </c>
      <c r="G680" s="3" t="s">
        <v>18</v>
      </c>
      <c r="H680" s="1">
        <f t="shared" si="2"/>
        <v>4</v>
      </c>
    </row>
    <row r="681">
      <c r="A681" s="3">
        <f>data!A681</f>
        <v>1148</v>
      </c>
      <c r="B681" s="3" t="str">
        <f>data!B681</f>
        <v>איליאגוייב סלומון</v>
      </c>
      <c r="C681" s="3">
        <f>data!C681</f>
        <v>28</v>
      </c>
      <c r="D681" s="3" t="str">
        <f>data!F681</f>
        <v>אזרחים</v>
      </c>
      <c r="E681" s="3" t="str">
        <f t="shared" si="1"/>
        <v>adult</v>
      </c>
      <c r="F681" s="3">
        <v>31.0</v>
      </c>
      <c r="G681" s="3" t="s">
        <v>18</v>
      </c>
      <c r="H681" s="1">
        <f t="shared" si="2"/>
        <v>4</v>
      </c>
    </row>
    <row r="682">
      <c r="A682" s="3">
        <f>data!A682</f>
        <v>1469</v>
      </c>
      <c r="B682" s="3" t="str">
        <f>data!B682</f>
        <v>ג'רג'אוי סמי</v>
      </c>
      <c r="C682" s="3">
        <f>data!C682</f>
        <v>51</v>
      </c>
      <c r="D682" s="3" t="str">
        <f>data!F682</f>
        <v>אזרחים</v>
      </c>
      <c r="E682" s="3" t="str">
        <f t="shared" si="1"/>
        <v>adult</v>
      </c>
      <c r="F682" s="3">
        <v>31.0</v>
      </c>
      <c r="G682" s="3" t="s">
        <v>18</v>
      </c>
      <c r="H682" s="1">
        <f t="shared" si="2"/>
        <v>4</v>
      </c>
    </row>
    <row r="683">
      <c r="A683" s="3">
        <f>data!A683</f>
        <v>1164</v>
      </c>
      <c r="B683" s="3" t="str">
        <f>data!B683</f>
        <v>אשרף חיים</v>
      </c>
      <c r="C683" s="3">
        <f>data!C683</f>
        <v>68</v>
      </c>
      <c r="D683" s="3" t="str">
        <f>data!F683</f>
        <v>אזרחים</v>
      </c>
      <c r="E683" s="3" t="str">
        <f t="shared" si="1"/>
        <v>senior</v>
      </c>
      <c r="F683" s="3">
        <v>31.0</v>
      </c>
      <c r="G683" s="3" t="s">
        <v>18</v>
      </c>
      <c r="H683" s="1">
        <f t="shared" si="2"/>
        <v>4</v>
      </c>
    </row>
    <row r="684">
      <c r="A684" s="3">
        <f>data!A684</f>
        <v>1166</v>
      </c>
      <c r="B684" s="3" t="str">
        <f>data!B684</f>
        <v>ויצמן ליאור</v>
      </c>
      <c r="C684" s="3">
        <f>data!C684</f>
        <v>32</v>
      </c>
      <c r="D684" s="3" t="str">
        <f>data!F684</f>
        <v>אזרחים</v>
      </c>
      <c r="E684" s="3" t="str">
        <f t="shared" si="1"/>
        <v>adult</v>
      </c>
      <c r="F684" s="3">
        <v>31.0</v>
      </c>
      <c r="G684" s="3" t="s">
        <v>478</v>
      </c>
      <c r="H684" s="1">
        <f t="shared" si="2"/>
        <v>4</v>
      </c>
    </row>
    <row r="685">
      <c r="A685" s="3">
        <f>data!A685</f>
        <v>1474</v>
      </c>
      <c r="B685" s="3" t="str">
        <f>data!B685</f>
        <v>טולדנו עמרם אלון</v>
      </c>
      <c r="C685" s="3">
        <f>data!C685</f>
        <v>54</v>
      </c>
      <c r="D685" s="3" t="str">
        <f>data!F685</f>
        <v>אזרחים</v>
      </c>
      <c r="E685" s="3" t="str">
        <f t="shared" si="1"/>
        <v>adult</v>
      </c>
      <c r="F685" s="3">
        <v>31.0</v>
      </c>
      <c r="G685" s="3" t="s">
        <v>18</v>
      </c>
      <c r="H685" s="1">
        <f t="shared" si="2"/>
        <v>4</v>
      </c>
    </row>
    <row r="686">
      <c r="A686" s="3">
        <f>data!A686</f>
        <v>1145</v>
      </c>
      <c r="B686" s="3" t="str">
        <f>data!B686</f>
        <v>טנבורה אמיר</v>
      </c>
      <c r="C686" s="3">
        <f>data!C686</f>
        <v>23</v>
      </c>
      <c r="D686" s="3" t="str">
        <f>data!F686</f>
        <v>אזרחים</v>
      </c>
      <c r="E686" s="3" t="str">
        <f t="shared" si="1"/>
        <v>adult</v>
      </c>
      <c r="F686" s="3">
        <v>31.0</v>
      </c>
      <c r="G686" s="3" t="s">
        <v>1809</v>
      </c>
      <c r="H686" s="1">
        <f t="shared" si="2"/>
        <v>4</v>
      </c>
    </row>
    <row r="687">
      <c r="A687" s="3">
        <f>data!A687</f>
        <v>1165</v>
      </c>
      <c r="B687" s="3" t="str">
        <f>data!B687</f>
        <v>לוזובסקי לאוניד</v>
      </c>
      <c r="C687" s="3">
        <f>data!C687</f>
        <v>51</v>
      </c>
      <c r="D687" s="3" t="str">
        <f>data!F687</f>
        <v>אזרחים</v>
      </c>
      <c r="E687" s="3" t="str">
        <f t="shared" si="1"/>
        <v>adult</v>
      </c>
      <c r="F687" s="3">
        <v>31.0</v>
      </c>
      <c r="G687" s="3" t="s">
        <v>136</v>
      </c>
      <c r="H687" s="1">
        <f t="shared" si="2"/>
        <v>4</v>
      </c>
    </row>
    <row r="688">
      <c r="A688" s="3">
        <f>data!A688</f>
        <v>1168</v>
      </c>
      <c r="B688" s="3" t="str">
        <f>data!B688</f>
        <v>מאירי זוהר</v>
      </c>
      <c r="C688" s="3">
        <f>data!C688</f>
        <v>55</v>
      </c>
      <c r="D688" s="3" t="str">
        <f>data!F688</f>
        <v>אזרחים</v>
      </c>
      <c r="E688" s="3" t="str">
        <f t="shared" si="1"/>
        <v>adult</v>
      </c>
      <c r="F688" s="3">
        <v>31.0</v>
      </c>
      <c r="G688" s="3" t="s">
        <v>1809</v>
      </c>
      <c r="H688" s="1">
        <f t="shared" si="2"/>
        <v>4</v>
      </c>
    </row>
    <row r="689">
      <c r="A689" s="3">
        <f>data!A689</f>
        <v>1163</v>
      </c>
      <c r="B689" s="3" t="str">
        <f>data!B689</f>
        <v>מגירא אבי</v>
      </c>
      <c r="C689" s="3">
        <f>data!C689</f>
        <v>48</v>
      </c>
      <c r="D689" s="3" t="str">
        <f>data!F689</f>
        <v>אזרחים</v>
      </c>
      <c r="E689" s="3" t="str">
        <f t="shared" si="1"/>
        <v>adult</v>
      </c>
      <c r="F689" s="3">
        <v>32.0</v>
      </c>
      <c r="G689" s="3" t="s">
        <v>18</v>
      </c>
      <c r="H689" s="1">
        <f t="shared" si="2"/>
        <v>4</v>
      </c>
    </row>
    <row r="690">
      <c r="A690" s="3">
        <f>data!A690</f>
        <v>1597</v>
      </c>
      <c r="B690" s="3" t="str">
        <f>data!B690</f>
        <v>מורזאחנוב מיכאל</v>
      </c>
      <c r="C690" s="3">
        <f>data!C690</f>
        <v>69</v>
      </c>
      <c r="D690" s="3" t="str">
        <f>data!F690</f>
        <v>אזרחים</v>
      </c>
      <c r="E690" s="3" t="str">
        <f t="shared" si="1"/>
        <v>senior</v>
      </c>
      <c r="F690" s="3">
        <v>32.0</v>
      </c>
      <c r="G690" s="3" t="s">
        <v>18</v>
      </c>
      <c r="H690" s="1">
        <f t="shared" si="2"/>
        <v>4</v>
      </c>
    </row>
    <row r="691">
      <c r="A691" s="3">
        <f>data!A691</f>
        <v>1167</v>
      </c>
      <c r="B691" s="3" t="str">
        <f>data!B691</f>
        <v>מלכה מאיר</v>
      </c>
      <c r="C691" s="3">
        <f>data!C691</f>
        <v>78</v>
      </c>
      <c r="D691" s="3" t="str">
        <f>data!F691</f>
        <v>אזרחים</v>
      </c>
      <c r="E691" s="3" t="str">
        <f t="shared" si="1"/>
        <v>senior</v>
      </c>
      <c r="F691" s="3">
        <v>32.0</v>
      </c>
      <c r="G691" s="3" t="s">
        <v>18</v>
      </c>
      <c r="H691" s="1">
        <f t="shared" si="2"/>
        <v>4</v>
      </c>
    </row>
    <row r="692">
      <c r="A692" s="3">
        <f>data!A692</f>
        <v>2006</v>
      </c>
      <c r="B692" s="3" t="str">
        <f>data!B692</f>
        <v>נווה נתיב מעיין</v>
      </c>
      <c r="C692" s="3">
        <f>data!C692</f>
        <v>60</v>
      </c>
      <c r="D692" s="3" t="str">
        <f>data!F692</f>
        <v>אזרחים</v>
      </c>
      <c r="E692" s="3" t="str">
        <f t="shared" si="1"/>
        <v>adult</v>
      </c>
      <c r="F692" s="3">
        <v>32.0</v>
      </c>
      <c r="G692" s="3" t="s">
        <v>18</v>
      </c>
      <c r="H692" s="1">
        <f t="shared" si="2"/>
        <v>4</v>
      </c>
    </row>
    <row r="693">
      <c r="A693" s="3">
        <f>data!A693</f>
        <v>1147</v>
      </c>
      <c r="B693" s="3" t="str">
        <f>data!B693</f>
        <v>סוויסה אודיה</v>
      </c>
      <c r="C693" s="3">
        <f>data!C693</f>
        <v>33</v>
      </c>
      <c r="D693" s="3" t="str">
        <f>data!F693</f>
        <v>אזרחים</v>
      </c>
      <c r="E693" s="3" t="str">
        <f t="shared" si="1"/>
        <v>adult</v>
      </c>
      <c r="F693" s="3">
        <v>32.0</v>
      </c>
      <c r="G693" s="3" t="s">
        <v>18</v>
      </c>
      <c r="H693" s="1">
        <f t="shared" si="2"/>
        <v>4</v>
      </c>
    </row>
    <row r="694">
      <c r="A694" s="3">
        <f>data!A694</f>
        <v>1146</v>
      </c>
      <c r="B694" s="3" t="str">
        <f>data!B694</f>
        <v>סוויסה דולב</v>
      </c>
      <c r="C694" s="3">
        <f>data!C694</f>
        <v>34</v>
      </c>
      <c r="D694" s="3" t="str">
        <f>data!F694</f>
        <v>אזרחים</v>
      </c>
      <c r="E694" s="3" t="str">
        <f t="shared" si="1"/>
        <v>adult</v>
      </c>
      <c r="F694" s="3">
        <v>32.0</v>
      </c>
      <c r="G694" s="3" t="s">
        <v>18</v>
      </c>
      <c r="H694" s="1">
        <f t="shared" si="2"/>
        <v>4</v>
      </c>
    </row>
    <row r="695">
      <c r="A695" s="3">
        <f>data!A695</f>
        <v>1607</v>
      </c>
      <c r="B695" s="3" t="str">
        <f>data!B695</f>
        <v>סורוקין דמיטרי</v>
      </c>
      <c r="C695" s="3">
        <f>data!C695</f>
        <v>51</v>
      </c>
      <c r="D695" s="3" t="str">
        <f>data!F695</f>
        <v>אזרחים</v>
      </c>
      <c r="E695" s="3" t="str">
        <f t="shared" si="1"/>
        <v>adult</v>
      </c>
      <c r="F695" s="3">
        <v>32.0</v>
      </c>
      <c r="G695" s="3" t="s">
        <v>18</v>
      </c>
      <c r="H695" s="1">
        <f t="shared" si="2"/>
        <v>4</v>
      </c>
    </row>
    <row r="696">
      <c r="A696" s="3">
        <f>data!A696</f>
        <v>1491</v>
      </c>
      <c r="B696" s="3" t="str">
        <f>data!B696</f>
        <v>פריאנטה קובי</v>
      </c>
      <c r="C696" s="3">
        <f>data!C696</f>
        <v>43</v>
      </c>
      <c r="D696" s="3" t="str">
        <f>data!F696</f>
        <v>אזרחים</v>
      </c>
      <c r="E696" s="3" t="str">
        <f t="shared" si="1"/>
        <v>adult</v>
      </c>
      <c r="F696" s="3">
        <v>32.0</v>
      </c>
      <c r="G696" s="3" t="s">
        <v>169</v>
      </c>
      <c r="H696" s="1">
        <f t="shared" si="2"/>
        <v>4</v>
      </c>
    </row>
    <row r="697">
      <c r="A697" s="3">
        <f>data!A697</f>
        <v>1489</v>
      </c>
      <c r="B697" s="3" t="str">
        <f>data!B697</f>
        <v>שטרית אזולאי נעמי</v>
      </c>
      <c r="C697" s="3">
        <f>data!C697</f>
        <v>52</v>
      </c>
      <c r="D697" s="3" t="str">
        <f>data!F697</f>
        <v>אזרחים</v>
      </c>
      <c r="E697" s="3" t="str">
        <f t="shared" si="1"/>
        <v>adult</v>
      </c>
      <c r="F697" s="3">
        <v>32.0</v>
      </c>
      <c r="G697" s="3" t="s">
        <v>18</v>
      </c>
      <c r="H697" s="1">
        <f t="shared" si="2"/>
        <v>4</v>
      </c>
    </row>
    <row r="698">
      <c r="A698" s="3">
        <f>data!A698</f>
        <v>2007</v>
      </c>
      <c r="B698" s="3" t="str">
        <f>data!B698</f>
        <v>Cao Yongcai</v>
      </c>
      <c r="C698" s="3">
        <f>data!C698</f>
        <v>47</v>
      </c>
      <c r="D698" s="3" t="str">
        <f>data!F698</f>
        <v>אזרחים זרים</v>
      </c>
      <c r="E698" s="3" t="str">
        <f t="shared" si="1"/>
        <v>adult</v>
      </c>
      <c r="F698" s="3">
        <v>32.0</v>
      </c>
      <c r="G698" s="3" t="s">
        <v>136</v>
      </c>
      <c r="H698" s="1">
        <f t="shared" si="2"/>
        <v>4</v>
      </c>
    </row>
    <row r="699">
      <c r="A699" s="3">
        <f>data!A699</f>
        <v>1701</v>
      </c>
      <c r="B699" s="3" t="str">
        <f>data!B699</f>
        <v>Wan Zhishun</v>
      </c>
      <c r="C699" s="3">
        <f>data!C699</f>
        <v>36</v>
      </c>
      <c r="D699" s="3" t="str">
        <f>data!F699</f>
        <v>אזרחים זרים</v>
      </c>
      <c r="E699" s="3" t="str">
        <f t="shared" si="1"/>
        <v>adult</v>
      </c>
      <c r="F699" s="3">
        <v>32.0</v>
      </c>
      <c r="G699" s="3" t="s">
        <v>18</v>
      </c>
      <c r="H699" s="1">
        <f t="shared" si="2"/>
        <v>4</v>
      </c>
    </row>
    <row r="700">
      <c r="A700" s="3">
        <f>data!A700</f>
        <v>1700</v>
      </c>
      <c r="B700" s="3" t="str">
        <f>data!B700</f>
        <v>Zou Deli</v>
      </c>
      <c r="C700" s="3">
        <f>data!C700</f>
        <v>35</v>
      </c>
      <c r="D700" s="3" t="str">
        <f>data!F700</f>
        <v>אזרחים זרים</v>
      </c>
      <c r="E700" s="3" t="str">
        <f t="shared" si="1"/>
        <v>adult</v>
      </c>
      <c r="F700" s="3">
        <v>32.0</v>
      </c>
      <c r="G700" s="3" t="s">
        <v>478</v>
      </c>
      <c r="H700" s="1">
        <f t="shared" si="2"/>
        <v>4</v>
      </c>
    </row>
    <row r="701">
      <c r="A701" s="3">
        <f>data!A701</f>
        <v>1151</v>
      </c>
      <c r="B701" s="3" t="str">
        <f>data!B701</f>
        <v>ביילין זינאידה (זינה)</v>
      </c>
      <c r="C701" s="3">
        <f>data!C701</f>
        <v>60</v>
      </c>
      <c r="D701" s="3" t="str">
        <f>data!F701</f>
        <v>אזרחים</v>
      </c>
      <c r="E701" s="3" t="str">
        <f t="shared" si="1"/>
        <v>adult</v>
      </c>
      <c r="F701" s="3">
        <v>32.0</v>
      </c>
      <c r="G701" s="3" t="s">
        <v>136</v>
      </c>
      <c r="H701" s="1">
        <f t="shared" si="2"/>
        <v>4</v>
      </c>
    </row>
    <row r="702">
      <c r="A702" s="3">
        <f>data!A702</f>
        <v>981</v>
      </c>
      <c r="B702" s="3" t="str">
        <f>data!B702</f>
        <v>גילר ליליה</v>
      </c>
      <c r="C702" s="3">
        <f>data!C702</f>
        <v>61</v>
      </c>
      <c r="D702" s="3" t="str">
        <f>data!F702</f>
        <v>אזרחים</v>
      </c>
      <c r="E702" s="3" t="str">
        <f t="shared" si="1"/>
        <v>adult</v>
      </c>
      <c r="F702" s="3">
        <v>32.0</v>
      </c>
      <c r="G702" s="3" t="s">
        <v>1601</v>
      </c>
      <c r="H702" s="1">
        <f t="shared" si="2"/>
        <v>4</v>
      </c>
    </row>
    <row r="703">
      <c r="A703" s="3">
        <f>data!A703</f>
        <v>1031</v>
      </c>
      <c r="B703" s="3" t="str">
        <f>data!B703</f>
        <v>זרבאילוב מיכל מראל</v>
      </c>
      <c r="C703" s="3">
        <f>data!C703</f>
        <v>60</v>
      </c>
      <c r="D703" s="3" t="str">
        <f>data!F703</f>
        <v>אזרחים</v>
      </c>
      <c r="E703" s="3" t="str">
        <f t="shared" si="1"/>
        <v>adult</v>
      </c>
      <c r="F703" s="3">
        <v>32.0</v>
      </c>
      <c r="G703" s="3" t="s">
        <v>18</v>
      </c>
      <c r="H703" s="1">
        <f t="shared" si="2"/>
        <v>4</v>
      </c>
    </row>
    <row r="704">
      <c r="A704" s="3">
        <f>data!A704</f>
        <v>1149</v>
      </c>
      <c r="B704" s="3" t="str">
        <f>data!B704</f>
        <v>טומייב נטליה</v>
      </c>
      <c r="C704" s="3">
        <f>data!C704</f>
        <v>71</v>
      </c>
      <c r="D704" s="3" t="str">
        <f>data!F704</f>
        <v>אזרחים</v>
      </c>
      <c r="E704" s="3" t="str">
        <f t="shared" si="1"/>
        <v>senior</v>
      </c>
      <c r="F704" s="3">
        <v>33.0</v>
      </c>
      <c r="G704" s="3" t="s">
        <v>136</v>
      </c>
      <c r="H704" s="1">
        <f t="shared" si="2"/>
        <v>4</v>
      </c>
    </row>
    <row r="705">
      <c r="A705" s="3">
        <f>data!A705</f>
        <v>1000</v>
      </c>
      <c r="B705" s="3" t="str">
        <f>data!B705</f>
        <v>מורטוב יעקב</v>
      </c>
      <c r="C705" s="3">
        <f>data!C705</f>
        <v>66</v>
      </c>
      <c r="D705" s="3" t="str">
        <f>data!F705</f>
        <v>אזרחים</v>
      </c>
      <c r="E705" s="3" t="str">
        <f t="shared" si="1"/>
        <v>senior</v>
      </c>
      <c r="F705" s="3">
        <v>33.0</v>
      </c>
      <c r="G705" s="3" t="s">
        <v>18</v>
      </c>
      <c r="H705" s="1">
        <f t="shared" si="2"/>
        <v>4</v>
      </c>
    </row>
    <row r="706">
      <c r="A706" s="3">
        <f>data!A706</f>
        <v>1150</v>
      </c>
      <c r="B706" s="3" t="str">
        <f>data!B706</f>
        <v>ספרבצ'יקוב נדז'דה</v>
      </c>
      <c r="C706" s="3">
        <f>data!C706</f>
        <v>75</v>
      </c>
      <c r="D706" s="3" t="str">
        <f>data!F706</f>
        <v>אזרחים</v>
      </c>
      <c r="E706" s="3" t="str">
        <f t="shared" si="1"/>
        <v>senior</v>
      </c>
      <c r="F706" s="3">
        <v>33.0</v>
      </c>
      <c r="G706" s="3" t="s">
        <v>18</v>
      </c>
      <c r="H706" s="1">
        <f t="shared" si="2"/>
        <v>4</v>
      </c>
    </row>
    <row r="707">
      <c r="A707" s="3">
        <f>data!A707</f>
        <v>1515</v>
      </c>
      <c r="B707" s="3" t="str">
        <f>data!B707</f>
        <v>פופוב ולדימיר</v>
      </c>
      <c r="C707" s="3">
        <f>data!C707</f>
        <v>74</v>
      </c>
      <c r="D707" s="3" t="str">
        <f>data!F707</f>
        <v>אזרחים</v>
      </c>
      <c r="E707" s="3" t="str">
        <f t="shared" si="1"/>
        <v>senior</v>
      </c>
      <c r="F707" s="3">
        <v>33.0</v>
      </c>
      <c r="G707" s="3" t="s">
        <v>18</v>
      </c>
      <c r="H707" s="1">
        <f t="shared" si="2"/>
        <v>4</v>
      </c>
    </row>
    <row r="708">
      <c r="A708" s="3">
        <f>data!A708</f>
        <v>1516</v>
      </c>
      <c r="B708" s="3" t="str">
        <f>data!B708</f>
        <v>פופוב סופיה</v>
      </c>
      <c r="C708" s="3">
        <f>data!C708</f>
        <v>68</v>
      </c>
      <c r="D708" s="3" t="str">
        <f>data!F708</f>
        <v>אזרחים</v>
      </c>
      <c r="E708" s="3" t="str">
        <f t="shared" si="1"/>
        <v>senior</v>
      </c>
      <c r="F708" s="3">
        <v>33.0</v>
      </c>
      <c r="G708" s="3" t="s">
        <v>18</v>
      </c>
      <c r="H708" s="1">
        <f t="shared" si="2"/>
        <v>4</v>
      </c>
    </row>
    <row r="709">
      <c r="A709" s="3">
        <f>data!A709</f>
        <v>1512</v>
      </c>
      <c r="B709" s="3" t="str">
        <f>data!B709</f>
        <v>פורמן לודמילה (לודה)</v>
      </c>
      <c r="C709" s="3">
        <f>data!C709</f>
        <v>78</v>
      </c>
      <c r="D709" s="3" t="str">
        <f>data!F709</f>
        <v>אזרחים</v>
      </c>
      <c r="E709" s="3" t="str">
        <f t="shared" si="1"/>
        <v>senior</v>
      </c>
      <c r="F709" s="3">
        <v>33.0</v>
      </c>
      <c r="G709" s="3" t="s">
        <v>18</v>
      </c>
      <c r="H709" s="1">
        <f t="shared" si="2"/>
        <v>4</v>
      </c>
    </row>
    <row r="710">
      <c r="A710" s="3">
        <f>data!A710</f>
        <v>1514</v>
      </c>
      <c r="B710" s="3" t="str">
        <f>data!B710</f>
        <v>פרידמן ולרי</v>
      </c>
      <c r="C710" s="3">
        <f>data!C710</f>
        <v>60</v>
      </c>
      <c r="D710" s="3" t="str">
        <f>data!F710</f>
        <v>אזרחים</v>
      </c>
      <c r="E710" s="3" t="str">
        <f t="shared" si="1"/>
        <v>adult</v>
      </c>
      <c r="F710" s="3">
        <v>33.0</v>
      </c>
      <c r="G710" s="3" t="s">
        <v>18</v>
      </c>
      <c r="H710" s="1">
        <f t="shared" si="2"/>
        <v>4</v>
      </c>
    </row>
    <row r="711">
      <c r="A711" s="3">
        <f>data!A711</f>
        <v>1152</v>
      </c>
      <c r="B711" s="3" t="str">
        <f>data!B711</f>
        <v>קורצר איגור</v>
      </c>
      <c r="C711" s="3">
        <f>data!C711</f>
        <v>72</v>
      </c>
      <c r="D711" s="3" t="str">
        <f>data!F711</f>
        <v>אזרחים</v>
      </c>
      <c r="E711" s="3" t="str">
        <f t="shared" si="1"/>
        <v>senior</v>
      </c>
      <c r="F711" s="3">
        <v>33.0</v>
      </c>
      <c r="G711" s="3" t="s">
        <v>18</v>
      </c>
      <c r="H711" s="1">
        <f t="shared" si="2"/>
        <v>4</v>
      </c>
    </row>
    <row r="712">
      <c r="A712" s="3">
        <f>data!A712</f>
        <v>995</v>
      </c>
      <c r="B712" s="3" t="str">
        <f>data!B712</f>
        <v>שמיאייב לוי ברטה בטסיין</v>
      </c>
      <c r="C712" s="3">
        <f>data!C712</f>
        <v>56</v>
      </c>
      <c r="D712" s="3" t="str">
        <f>data!F712</f>
        <v>אזרחים</v>
      </c>
      <c r="E712" s="3" t="str">
        <f t="shared" si="1"/>
        <v>adult</v>
      </c>
      <c r="F712" s="3">
        <v>33.0</v>
      </c>
      <c r="G712" s="3" t="s">
        <v>18</v>
      </c>
      <c r="H712" s="1">
        <f t="shared" si="2"/>
        <v>4</v>
      </c>
    </row>
    <row r="713">
      <c r="A713" s="3">
        <f>data!A713</f>
        <v>1513</v>
      </c>
      <c r="B713" s="3" t="str">
        <f>data!B713</f>
        <v>שניטמן טטיאנה</v>
      </c>
      <c r="C713" s="3">
        <f>data!C713</f>
        <v>70</v>
      </c>
      <c r="D713" s="3" t="str">
        <f>data!F713</f>
        <v>אזרחים</v>
      </c>
      <c r="E713" s="3" t="str">
        <f t="shared" si="1"/>
        <v>senior</v>
      </c>
      <c r="F713" s="3">
        <v>33.0</v>
      </c>
      <c r="G713" s="3" t="s">
        <v>478</v>
      </c>
      <c r="H713" s="1">
        <f t="shared" si="2"/>
        <v>4</v>
      </c>
    </row>
    <row r="714">
      <c r="A714" s="3">
        <f>data!A714</f>
        <v>1373</v>
      </c>
      <c r="B714" s="3" t="str">
        <f>data!B714</f>
        <v>אבו ג'מאע יזן זכריה</v>
      </c>
      <c r="C714" s="3">
        <f>data!C714</f>
        <v>5</v>
      </c>
      <c r="D714" s="3" t="str">
        <f>data!F714</f>
        <v>אזרחים</v>
      </c>
      <c r="E714" s="3" t="str">
        <f t="shared" si="1"/>
        <v>child</v>
      </c>
      <c r="F714" s="3">
        <v>33.0</v>
      </c>
      <c r="G714" s="3" t="s">
        <v>1601</v>
      </c>
      <c r="H714" s="1">
        <f t="shared" si="2"/>
        <v>4</v>
      </c>
    </row>
    <row r="715">
      <c r="A715" s="3">
        <f>data!A715</f>
        <v>1361</v>
      </c>
      <c r="B715" s="3" t="str">
        <f>data!B715</f>
        <v>אבו מדיע'ם גאליה</v>
      </c>
      <c r="C715" s="3">
        <f>data!C715</f>
        <v>30</v>
      </c>
      <c r="D715" s="3" t="str">
        <f>data!F715</f>
        <v>אזרחים</v>
      </c>
      <c r="E715" s="3" t="str">
        <f t="shared" si="1"/>
        <v>adult</v>
      </c>
      <c r="F715" s="3">
        <v>33.0</v>
      </c>
      <c r="G715" s="3" t="s">
        <v>1601</v>
      </c>
      <c r="H715" s="1">
        <f t="shared" si="2"/>
        <v>4</v>
      </c>
    </row>
    <row r="716">
      <c r="A716" s="3">
        <f>data!A716</f>
        <v>1386</v>
      </c>
      <c r="B716" s="3" t="str">
        <f>data!B716</f>
        <v>אבו סבייח מאי זוהיר</v>
      </c>
      <c r="C716" s="3">
        <f>data!C716</f>
        <v>13</v>
      </c>
      <c r="D716" s="3" t="str">
        <f>data!F716</f>
        <v>אזרחים</v>
      </c>
      <c r="E716" s="3" t="str">
        <f t="shared" si="1"/>
        <v>teen</v>
      </c>
      <c r="F716" s="3">
        <v>33.0</v>
      </c>
      <c r="G716" s="3" t="s">
        <v>1601</v>
      </c>
      <c r="H716" s="1">
        <f t="shared" si="2"/>
        <v>4</v>
      </c>
    </row>
    <row r="717">
      <c r="A717" s="3">
        <f>data!A717</f>
        <v>1379</v>
      </c>
      <c r="B717" s="3" t="str">
        <f>data!B717</f>
        <v>אבו סבייח פאיזה</v>
      </c>
      <c r="C717" s="3">
        <f>data!C717</f>
        <v>57</v>
      </c>
      <c r="D717" s="3" t="str">
        <f>data!F717</f>
        <v>אזרחים</v>
      </c>
      <c r="E717" s="3" t="str">
        <f t="shared" si="1"/>
        <v>adult</v>
      </c>
      <c r="F717" s="3">
        <v>33.0</v>
      </c>
      <c r="G717" s="3" t="s">
        <v>136</v>
      </c>
      <c r="H717" s="1">
        <f t="shared" si="2"/>
        <v>4</v>
      </c>
    </row>
    <row r="718">
      <c r="A718" s="3">
        <f>data!A718</f>
        <v>1376</v>
      </c>
      <c r="B718" s="3" t="str">
        <f>data!B718</f>
        <v>אלקרעאן אמין עקל</v>
      </c>
      <c r="C718" s="3">
        <f>data!C718</f>
        <v>9</v>
      </c>
      <c r="D718" s="3" t="str">
        <f>data!F718</f>
        <v>אזרחים</v>
      </c>
      <c r="E718" s="3" t="str">
        <f t="shared" si="1"/>
        <v>child</v>
      </c>
      <c r="F718" s="3">
        <v>33.0</v>
      </c>
      <c r="G718" s="3" t="s">
        <v>136</v>
      </c>
      <c r="H718" s="1">
        <f t="shared" si="2"/>
        <v>4</v>
      </c>
    </row>
    <row r="719">
      <c r="A719" s="3">
        <f>data!A719</f>
        <v>1375</v>
      </c>
      <c r="B719" s="3" t="str">
        <f>data!B719</f>
        <v>אלקרעאן ג'וואד אברהים</v>
      </c>
      <c r="C719" s="3">
        <f>data!C719</f>
        <v>15</v>
      </c>
      <c r="D719" s="3" t="str">
        <f>data!F719</f>
        <v>אזרחים</v>
      </c>
      <c r="E719" s="3" t="str">
        <f t="shared" si="1"/>
        <v>teen</v>
      </c>
      <c r="F719" s="3">
        <v>33.0</v>
      </c>
      <c r="G719" s="3" t="s">
        <v>136</v>
      </c>
      <c r="H719" s="1">
        <f t="shared" si="2"/>
        <v>4</v>
      </c>
    </row>
    <row r="720">
      <c r="A720" s="3">
        <f>data!A720</f>
        <v>1374</v>
      </c>
      <c r="B720" s="3" t="str">
        <f>data!B720</f>
        <v>אלקרעאן מאלק אברהים</v>
      </c>
      <c r="C720" s="3">
        <f>data!C720</f>
        <v>14</v>
      </c>
      <c r="D720" s="3" t="str">
        <f>data!F720</f>
        <v>אזרחים</v>
      </c>
      <c r="E720" s="3" t="str">
        <f t="shared" si="1"/>
        <v>teen</v>
      </c>
      <c r="F720" s="3">
        <v>33.0</v>
      </c>
      <c r="G720" s="3" t="s">
        <v>169</v>
      </c>
      <c r="H720" s="1">
        <f t="shared" si="2"/>
        <v>4</v>
      </c>
    </row>
    <row r="721">
      <c r="A721" s="3">
        <f>data!A721</f>
        <v>1377</v>
      </c>
      <c r="B721" s="3" t="str">
        <f>data!B721</f>
        <v>אלקרעאן מחמד ד'יב</v>
      </c>
      <c r="C721" s="3">
        <f>data!C721</f>
        <v>15</v>
      </c>
      <c r="D721" s="3" t="str">
        <f>data!F721</f>
        <v>אזרחים</v>
      </c>
      <c r="E721" s="3" t="str">
        <f t="shared" si="1"/>
        <v>teen</v>
      </c>
      <c r="F721" s="3">
        <v>34.0</v>
      </c>
      <c r="G721" s="3" t="s">
        <v>18</v>
      </c>
      <c r="H721" s="1">
        <f t="shared" si="2"/>
        <v>4</v>
      </c>
    </row>
    <row r="722">
      <c r="A722" s="3">
        <f>data!A722</f>
        <v>1567</v>
      </c>
      <c r="B722" s="3" t="str">
        <f>data!B722</f>
        <v>בן ארצי חנה</v>
      </c>
      <c r="C722" s="3">
        <f>data!C722</f>
        <v>69</v>
      </c>
      <c r="D722" s="3" t="str">
        <f>data!F722</f>
        <v>אזרחים</v>
      </c>
      <c r="E722" s="3" t="str">
        <f t="shared" si="1"/>
        <v>senior</v>
      </c>
      <c r="F722" s="3">
        <v>34.0</v>
      </c>
      <c r="G722" s="3" t="s">
        <v>169</v>
      </c>
      <c r="H722" s="1">
        <f t="shared" si="2"/>
        <v>4</v>
      </c>
    </row>
    <row r="723">
      <c r="A723" s="3">
        <f>data!A723</f>
        <v>714</v>
      </c>
      <c r="B723" s="3" t="str">
        <f>data!B723</f>
        <v>ברודש שירז דניאל</v>
      </c>
      <c r="C723" s="3">
        <f>data!C723</f>
        <v>23</v>
      </c>
      <c r="D723" s="3" t="str">
        <f>data!F723</f>
        <v>אזרחים</v>
      </c>
      <c r="E723" s="3" t="str">
        <f t="shared" si="1"/>
        <v>adult</v>
      </c>
      <c r="F723" s="3">
        <v>34.0</v>
      </c>
      <c r="G723" s="3" t="s">
        <v>18</v>
      </c>
      <c r="H723" s="1">
        <f t="shared" si="2"/>
        <v>4</v>
      </c>
    </row>
    <row r="724">
      <c r="A724" s="3">
        <f>data!A724</f>
        <v>516</v>
      </c>
      <c r="B724" s="3" t="str">
        <f>data!B724</f>
        <v>גבאי מור</v>
      </c>
      <c r="C724" s="3">
        <f>data!C724</f>
        <v>30</v>
      </c>
      <c r="D724" s="3" t="str">
        <f>data!F724</f>
        <v>אזרחים</v>
      </c>
      <c r="E724" s="3" t="str">
        <f t="shared" si="1"/>
        <v>adult</v>
      </c>
      <c r="F724" s="3">
        <v>34.0</v>
      </c>
      <c r="G724" s="3" t="s">
        <v>18</v>
      </c>
      <c r="H724" s="1">
        <f t="shared" si="2"/>
        <v>4</v>
      </c>
    </row>
    <row r="725">
      <c r="A725" s="3">
        <f>data!A725</f>
        <v>1261</v>
      </c>
      <c r="B725" s="3" t="str">
        <f>data!B725</f>
        <v>ז'וקוב ולדימיר</v>
      </c>
      <c r="C725" s="3">
        <f>data!C725</f>
        <v>64</v>
      </c>
      <c r="D725" s="3" t="str">
        <f>data!F725</f>
        <v>אזרחים</v>
      </c>
      <c r="E725" s="3" t="str">
        <f t="shared" si="1"/>
        <v>adult</v>
      </c>
      <c r="F725" s="3">
        <v>34.0</v>
      </c>
      <c r="G725" s="3" t="s">
        <v>18</v>
      </c>
      <c r="H725" s="1">
        <f t="shared" si="2"/>
        <v>4</v>
      </c>
    </row>
    <row r="726">
      <c r="A726" s="3">
        <f>data!A726</f>
        <v>1614</v>
      </c>
      <c r="B726" s="3" t="str">
        <f>data!B726</f>
        <v>חטאב יהושוע</v>
      </c>
      <c r="C726" s="3">
        <f>data!C726</f>
        <v>67</v>
      </c>
      <c r="D726" s="3" t="str">
        <f>data!F726</f>
        <v>אזרחים</v>
      </c>
      <c r="E726" s="3" t="str">
        <f t="shared" si="1"/>
        <v>senior</v>
      </c>
      <c r="F726" s="3">
        <v>34.0</v>
      </c>
      <c r="G726" s="3" t="s">
        <v>18</v>
      </c>
      <c r="H726" s="1">
        <f t="shared" si="2"/>
        <v>4</v>
      </c>
    </row>
    <row r="727">
      <c r="A727" s="3">
        <f>data!A727</f>
        <v>1541</v>
      </c>
      <c r="B727" s="3" t="str">
        <f>data!B727</f>
        <v>מסקאלצ'י נתנאל</v>
      </c>
      <c r="C727" s="3">
        <f>data!C727</f>
        <v>36</v>
      </c>
      <c r="D727" s="3" t="str">
        <f>data!F727</f>
        <v>אזרחים</v>
      </c>
      <c r="E727" s="3" t="str">
        <f t="shared" si="1"/>
        <v>adult</v>
      </c>
      <c r="F727" s="3">
        <v>34.0</v>
      </c>
      <c r="G727" s="3" t="s">
        <v>18</v>
      </c>
      <c r="H727" s="1">
        <f t="shared" si="2"/>
        <v>4</v>
      </c>
    </row>
    <row r="728">
      <c r="A728" s="3">
        <f>data!A728</f>
        <v>1542</v>
      </c>
      <c r="B728" s="3" t="str">
        <f>data!B728</f>
        <v>מסקאלצ'י רפאל מאיר</v>
      </c>
      <c r="C728" s="3">
        <f>data!C728</f>
        <v>12</v>
      </c>
      <c r="D728" s="3" t="str">
        <f>data!F728</f>
        <v>אזרחים</v>
      </c>
      <c r="E728" s="3" t="str">
        <f t="shared" si="1"/>
        <v>child</v>
      </c>
      <c r="F728" s="3">
        <v>34.0</v>
      </c>
      <c r="G728" s="3" t="s">
        <v>142</v>
      </c>
      <c r="H728" s="1">
        <f t="shared" si="2"/>
        <v>4</v>
      </c>
    </row>
    <row r="729">
      <c r="A729" s="3">
        <f>data!A729</f>
        <v>1540</v>
      </c>
      <c r="B729" s="3" t="str">
        <f>data!B729</f>
        <v>פהימי רפאל</v>
      </c>
      <c r="C729" s="3">
        <f>data!C729</f>
        <v>63</v>
      </c>
      <c r="D729" s="3" t="str">
        <f>data!F729</f>
        <v>אזרחים</v>
      </c>
      <c r="E729" s="3" t="str">
        <f t="shared" si="1"/>
        <v>adult</v>
      </c>
      <c r="F729" s="3">
        <v>34.0</v>
      </c>
      <c r="G729" s="3" t="s">
        <v>56</v>
      </c>
      <c r="H729" s="1">
        <f t="shared" si="2"/>
        <v>4</v>
      </c>
    </row>
    <row r="730">
      <c r="A730" s="3">
        <f>data!A730</f>
        <v>1560</v>
      </c>
      <c r="B730" s="3" t="str">
        <f>data!B730</f>
        <v>פרץ אבשלום יאיר</v>
      </c>
      <c r="C730" s="3">
        <f>data!C730</f>
        <v>27</v>
      </c>
      <c r="D730" s="3" t="str">
        <f>data!F730</f>
        <v>משטרה</v>
      </c>
      <c r="E730" s="3" t="str">
        <f t="shared" si="1"/>
        <v>adult</v>
      </c>
      <c r="F730" s="3">
        <v>34.0</v>
      </c>
      <c r="G730" s="3" t="s">
        <v>169</v>
      </c>
      <c r="H730" s="1">
        <f t="shared" si="2"/>
        <v>4</v>
      </c>
    </row>
    <row r="731">
      <c r="A731" s="3">
        <f>data!A731</f>
        <v>1182</v>
      </c>
      <c r="B731" s="3" t="str">
        <f>data!B731</f>
        <v>אבוהרון רוני</v>
      </c>
      <c r="C731" s="3">
        <f>data!C731</f>
        <v>39</v>
      </c>
      <c r="D731" s="3" t="str">
        <f>data!F731</f>
        <v>משטרה</v>
      </c>
      <c r="E731" s="3" t="str">
        <f t="shared" si="1"/>
        <v>adult</v>
      </c>
      <c r="F731" s="3">
        <v>34.0</v>
      </c>
      <c r="G731" s="3" t="s">
        <v>18</v>
      </c>
      <c r="H731" s="1">
        <f t="shared" si="2"/>
        <v>4</v>
      </c>
    </row>
    <row r="732">
      <c r="A732" s="3">
        <f>data!A732</f>
        <v>990</v>
      </c>
      <c r="B732" s="3" t="str">
        <f>data!B732</f>
        <v>אוחיון אליעד</v>
      </c>
      <c r="C732" s="3">
        <f>data!C732</f>
        <v>23</v>
      </c>
      <c r="D732" s="3" t="str">
        <f>data!F732</f>
        <v>אזרחים</v>
      </c>
      <c r="E732" s="3" t="str">
        <f t="shared" si="1"/>
        <v>adult</v>
      </c>
      <c r="F732" s="3">
        <v>34.0</v>
      </c>
      <c r="G732" s="3" t="s">
        <v>1809</v>
      </c>
      <c r="H732" s="1">
        <f t="shared" si="2"/>
        <v>4</v>
      </c>
    </row>
    <row r="733">
      <c r="A733" s="3">
        <f>data!A733</f>
        <v>991</v>
      </c>
      <c r="B733" s="3" t="str">
        <f>data!B733</f>
        <v>אוחיון משה</v>
      </c>
      <c r="C733" s="3">
        <f>data!C733</f>
        <v>52</v>
      </c>
      <c r="D733" s="3" t="str">
        <f>data!F733</f>
        <v>אזרחים</v>
      </c>
      <c r="E733" s="3" t="str">
        <f t="shared" si="1"/>
        <v>adult</v>
      </c>
      <c r="F733" s="3">
        <v>34.0</v>
      </c>
      <c r="G733" s="3" t="s">
        <v>1601</v>
      </c>
      <c r="H733" s="1">
        <f t="shared" si="2"/>
        <v>4</v>
      </c>
    </row>
    <row r="734">
      <c r="A734" s="3">
        <f>data!A734</f>
        <v>986</v>
      </c>
      <c r="B734" s="3" t="str">
        <f>data!B734</f>
        <v>אילוז יגאל</v>
      </c>
      <c r="C734" s="3">
        <f>data!C734</f>
        <v>56</v>
      </c>
      <c r="D734" s="3" t="str">
        <f>data!F734</f>
        <v>משטרה</v>
      </c>
      <c r="E734" s="3" t="str">
        <f t="shared" si="1"/>
        <v>adult</v>
      </c>
      <c r="F734" s="3">
        <v>34.0</v>
      </c>
      <c r="G734" s="3" t="s">
        <v>1601</v>
      </c>
      <c r="H734" s="1">
        <f t="shared" si="2"/>
        <v>4</v>
      </c>
    </row>
    <row r="735">
      <c r="A735" s="3">
        <f>data!A735</f>
        <v>1640</v>
      </c>
      <c r="B735" s="3" t="str">
        <f>data!B735</f>
        <v>אלעזרי יונתן</v>
      </c>
      <c r="C735" s="3">
        <f>data!C735</f>
        <v>19</v>
      </c>
      <c r="D735" s="3" t="str">
        <f>data!F735</f>
        <v>צה"ל</v>
      </c>
      <c r="E735" s="3" t="str">
        <f t="shared" si="1"/>
        <v>adult</v>
      </c>
      <c r="F735" s="3">
        <v>34.0</v>
      </c>
      <c r="G735" s="3" t="s">
        <v>1601</v>
      </c>
      <c r="H735" s="1">
        <f t="shared" si="2"/>
        <v>4</v>
      </c>
    </row>
    <row r="736">
      <c r="A736" s="3">
        <f>data!A736</f>
        <v>977</v>
      </c>
      <c r="B736" s="3" t="str">
        <f>data!B736</f>
        <v>בוזגלו אבי</v>
      </c>
      <c r="C736" s="3">
        <f>data!C736</f>
        <v>26</v>
      </c>
      <c r="D736" s="3" t="str">
        <f>data!F736</f>
        <v>משטרה</v>
      </c>
      <c r="E736" s="3" t="str">
        <f t="shared" si="1"/>
        <v>adult</v>
      </c>
      <c r="F736" s="3">
        <v>34.0</v>
      </c>
      <c r="G736" s="3" t="s">
        <v>1601</v>
      </c>
      <c r="H736" s="1">
        <f t="shared" si="2"/>
        <v>4</v>
      </c>
    </row>
    <row r="737">
      <c r="A737" s="3">
        <f>data!A737</f>
        <v>982</v>
      </c>
      <c r="B737" s="3" t="str">
        <f>data!B737</f>
        <v>גורי אריאל רפאל</v>
      </c>
      <c r="C737" s="3">
        <f>data!C737</f>
        <v>30</v>
      </c>
      <c r="D737" s="3" t="str">
        <f>data!F737</f>
        <v>אזרחים</v>
      </c>
      <c r="E737" s="3" t="str">
        <f t="shared" si="1"/>
        <v>adult</v>
      </c>
      <c r="F737" s="3">
        <v>34.0</v>
      </c>
      <c r="G737" s="3" t="s">
        <v>18</v>
      </c>
      <c r="H737" s="1">
        <f t="shared" si="2"/>
        <v>4</v>
      </c>
    </row>
    <row r="738">
      <c r="A738" s="3">
        <f>data!A738</f>
        <v>983</v>
      </c>
      <c r="B738" s="3" t="str">
        <f>data!B738</f>
        <v>גורי רואי חיים</v>
      </c>
      <c r="C738" s="3">
        <f>data!C738</f>
        <v>21</v>
      </c>
      <c r="D738" s="3" t="str">
        <f>data!F738</f>
        <v>צה"ל</v>
      </c>
      <c r="E738" s="3" t="str">
        <f t="shared" si="1"/>
        <v>adult</v>
      </c>
      <c r="F738" s="3">
        <v>35.0</v>
      </c>
      <c r="G738" s="3" t="s">
        <v>18</v>
      </c>
      <c r="H738" s="1">
        <f t="shared" si="2"/>
        <v>4</v>
      </c>
    </row>
    <row r="739">
      <c r="A739" s="3">
        <f>data!A739</f>
        <v>1604</v>
      </c>
      <c r="B739" s="3" t="str">
        <f>data!B739</f>
        <v>לוגסי ניסים</v>
      </c>
      <c r="C739" s="3">
        <f>data!C739</f>
        <v>30</v>
      </c>
      <c r="D739" s="3" t="str">
        <f>data!F739</f>
        <v>משטרה</v>
      </c>
      <c r="E739" s="3" t="str">
        <f t="shared" si="1"/>
        <v>adult</v>
      </c>
      <c r="F739" s="3">
        <v>35.0</v>
      </c>
      <c r="G739" s="3" t="s">
        <v>18</v>
      </c>
      <c r="H739" s="1">
        <f t="shared" si="2"/>
        <v>4</v>
      </c>
    </row>
    <row r="740">
      <c r="A740" s="3">
        <f>data!A740</f>
        <v>988</v>
      </c>
      <c r="B740" s="3" t="str">
        <f>data!B740</f>
        <v>ליזמי מיכאל</v>
      </c>
      <c r="C740" s="3">
        <f>data!C740</f>
        <v>28</v>
      </c>
      <c r="D740" s="3" t="str">
        <f>data!F740</f>
        <v>משטרה</v>
      </c>
      <c r="E740" s="3" t="str">
        <f t="shared" si="1"/>
        <v>adult</v>
      </c>
      <c r="F740" s="3">
        <v>35.0</v>
      </c>
      <c r="G740" s="3" t="s">
        <v>18</v>
      </c>
      <c r="H740" s="1">
        <f t="shared" si="2"/>
        <v>4</v>
      </c>
    </row>
    <row r="741">
      <c r="A741" s="3">
        <f>data!A741</f>
        <v>993</v>
      </c>
      <c r="B741" s="3" t="str">
        <f>data!B741</f>
        <v>סעיד נהוראי</v>
      </c>
      <c r="C741" s="3">
        <f>data!C741</f>
        <v>21</v>
      </c>
      <c r="D741" s="3" t="str">
        <f>data!F741</f>
        <v>צה"ל</v>
      </c>
      <c r="E741" s="3" t="str">
        <f t="shared" si="1"/>
        <v>adult</v>
      </c>
      <c r="F741" s="3">
        <v>35.0</v>
      </c>
      <c r="G741" s="3" t="s">
        <v>18</v>
      </c>
      <c r="H741" s="1">
        <f t="shared" si="2"/>
        <v>4</v>
      </c>
    </row>
    <row r="742">
      <c r="A742" s="3">
        <f>data!A742</f>
        <v>978</v>
      </c>
      <c r="B742" s="3" t="str">
        <f>data!B742</f>
        <v>צ'אנה ישראל</v>
      </c>
      <c r="C742" s="3">
        <f>data!C742</f>
        <v>30</v>
      </c>
      <c r="D742" s="3" t="str">
        <f>data!F742</f>
        <v>אזרחים</v>
      </c>
      <c r="E742" s="3" t="str">
        <f t="shared" si="1"/>
        <v>adult</v>
      </c>
      <c r="F742" s="3">
        <v>35.0</v>
      </c>
      <c r="G742" s="3" t="s">
        <v>18</v>
      </c>
      <c r="H742" s="1">
        <f t="shared" si="2"/>
        <v>4</v>
      </c>
    </row>
    <row r="743">
      <c r="A743" s="3">
        <f>data!A743</f>
        <v>1716</v>
      </c>
      <c r="B743" s="3" t="str">
        <f>data!B743</f>
        <v>צידון אבי</v>
      </c>
      <c r="C743" s="3">
        <f>data!C743</f>
        <v>50</v>
      </c>
      <c r="D743" s="3" t="str">
        <f>data!F743</f>
        <v>משטרה</v>
      </c>
      <c r="E743" s="3" t="str">
        <f t="shared" si="1"/>
        <v>adult</v>
      </c>
      <c r="F743" s="3">
        <v>35.0</v>
      </c>
      <c r="G743" s="3" t="s">
        <v>18</v>
      </c>
      <c r="H743" s="1">
        <f t="shared" si="2"/>
        <v>4</v>
      </c>
    </row>
    <row r="744">
      <c r="A744" s="3">
        <f>data!A744</f>
        <v>1186</v>
      </c>
      <c r="B744" s="3" t="str">
        <f>data!B744</f>
        <v>אלטון דרור</v>
      </c>
      <c r="C744" s="3">
        <f>data!C744</f>
        <v>29</v>
      </c>
      <c r="D744" s="3" t="str">
        <f>data!F744</f>
        <v>משטרה</v>
      </c>
      <c r="E744" s="3" t="str">
        <f t="shared" si="1"/>
        <v>adult</v>
      </c>
      <c r="F744" s="3">
        <v>35.0</v>
      </c>
      <c r="G744" s="3" t="s">
        <v>18</v>
      </c>
      <c r="H744" s="1">
        <f t="shared" si="2"/>
        <v>4</v>
      </c>
    </row>
    <row r="745">
      <c r="A745" s="3">
        <f>data!A745</f>
        <v>222</v>
      </c>
      <c r="B745" s="3" t="str">
        <f>data!B745</f>
        <v>אלם מארו</v>
      </c>
      <c r="C745" s="3">
        <f>data!C745</f>
        <v>20</v>
      </c>
      <c r="D745" s="3" t="str">
        <f>data!F745</f>
        <v>צה"ל</v>
      </c>
      <c r="E745" s="3" t="str">
        <f t="shared" si="1"/>
        <v>adult</v>
      </c>
      <c r="F745" s="3">
        <v>35.0</v>
      </c>
      <c r="G745" s="3" t="s">
        <v>18</v>
      </c>
      <c r="H745" s="1">
        <f t="shared" si="2"/>
        <v>4</v>
      </c>
    </row>
    <row r="746">
      <c r="A746" s="3">
        <f>data!A746</f>
        <v>479</v>
      </c>
      <c r="B746" s="3" t="str">
        <f>data!B746</f>
        <v>אמיתי נהוראי לוי</v>
      </c>
      <c r="C746" s="3">
        <f>data!C746</f>
        <v>20</v>
      </c>
      <c r="D746" s="3" t="str">
        <f>data!F746</f>
        <v>צה"ל</v>
      </c>
      <c r="E746" s="3" t="str">
        <f t="shared" si="1"/>
        <v>adult</v>
      </c>
      <c r="F746" s="3">
        <v>35.0</v>
      </c>
      <c r="G746" s="3" t="s">
        <v>18</v>
      </c>
      <c r="H746" s="1">
        <f t="shared" si="2"/>
        <v>4</v>
      </c>
    </row>
    <row r="747">
      <c r="A747" s="3">
        <f>data!A747</f>
        <v>1556</v>
      </c>
      <c r="B747" s="3" t="str">
        <f>data!B747</f>
        <v>אמר רגב</v>
      </c>
      <c r="C747" s="3">
        <f>data!C747</f>
        <v>20</v>
      </c>
      <c r="D747" s="3" t="str">
        <f>data!F747</f>
        <v>צה"ל</v>
      </c>
      <c r="E747" s="3" t="str">
        <f t="shared" si="1"/>
        <v>adult</v>
      </c>
      <c r="F747" s="3">
        <v>35.0</v>
      </c>
      <c r="G747" s="3" t="s">
        <v>18</v>
      </c>
      <c r="H747" s="1">
        <f t="shared" si="2"/>
        <v>4</v>
      </c>
    </row>
    <row r="748">
      <c r="A748" s="3">
        <f>data!A748</f>
        <v>224</v>
      </c>
      <c r="B748" s="3" t="str">
        <f>data!B748</f>
        <v>אסתו אור</v>
      </c>
      <c r="C748" s="3">
        <f>data!C748</f>
        <v>21</v>
      </c>
      <c r="D748" s="3" t="str">
        <f>data!F748</f>
        <v>צה"ל</v>
      </c>
      <c r="E748" s="3" t="str">
        <f t="shared" si="1"/>
        <v>adult</v>
      </c>
      <c r="F748" s="3">
        <v>35.0</v>
      </c>
      <c r="G748" s="3" t="s">
        <v>169</v>
      </c>
      <c r="H748" s="1">
        <f t="shared" si="2"/>
        <v>4</v>
      </c>
    </row>
    <row r="749">
      <c r="A749" s="3">
        <f>data!A749</f>
        <v>257</v>
      </c>
      <c r="B749" s="3" t="str">
        <f>data!B749</f>
        <v>ארז אריאל</v>
      </c>
      <c r="C749" s="3">
        <f>data!C749</f>
        <v>19</v>
      </c>
      <c r="D749" s="3" t="str">
        <f>data!F749</f>
        <v>צה"ל</v>
      </c>
      <c r="E749" s="3" t="str">
        <f t="shared" si="1"/>
        <v>adult</v>
      </c>
      <c r="F749" s="3">
        <v>35.0</v>
      </c>
      <c r="G749" s="3" t="s">
        <v>169</v>
      </c>
      <c r="H749" s="1">
        <f t="shared" si="2"/>
        <v>4</v>
      </c>
    </row>
    <row r="750">
      <c r="A750" s="3">
        <f>data!A750</f>
        <v>407</v>
      </c>
      <c r="B750" s="3" t="str">
        <f>data!B750</f>
        <v>באלוי עידן</v>
      </c>
      <c r="C750" s="3">
        <f>data!C750</f>
        <v>21</v>
      </c>
      <c r="D750" s="3" t="str">
        <f>data!F750</f>
        <v>צה"ל</v>
      </c>
      <c r="E750" s="3" t="str">
        <f t="shared" si="1"/>
        <v>adult</v>
      </c>
      <c r="F750" s="3">
        <v>35.0</v>
      </c>
      <c r="G750" s="3" t="s">
        <v>18</v>
      </c>
      <c r="H750" s="1">
        <f t="shared" si="2"/>
        <v>4</v>
      </c>
    </row>
    <row r="751">
      <c r="A751" s="3">
        <f>data!A751</f>
        <v>475</v>
      </c>
      <c r="B751" s="3" t="str">
        <f>data!B751</f>
        <v>בוגלה אדיר אישטו</v>
      </c>
      <c r="C751" s="3">
        <f>data!C751</f>
        <v>20</v>
      </c>
      <c r="D751" s="3" t="str">
        <f>data!F751</f>
        <v>צה"ל</v>
      </c>
      <c r="E751" s="3" t="str">
        <f t="shared" si="1"/>
        <v>adult</v>
      </c>
      <c r="F751" s="3">
        <v>35.0</v>
      </c>
      <c r="G751" s="3" t="s">
        <v>169</v>
      </c>
      <c r="H751" s="1">
        <f t="shared" si="2"/>
        <v>4</v>
      </c>
    </row>
    <row r="752">
      <c r="A752" s="3">
        <f>data!A752</f>
        <v>1275</v>
      </c>
      <c r="B752" s="3" t="str">
        <f>data!B752</f>
        <v>בוחניק לביא</v>
      </c>
      <c r="C752" s="3">
        <f>data!C752</f>
        <v>20</v>
      </c>
      <c r="D752" s="3" t="str">
        <f>data!F752</f>
        <v>צה"ל</v>
      </c>
      <c r="E752" s="3" t="str">
        <f t="shared" si="1"/>
        <v>adult</v>
      </c>
      <c r="F752" s="3">
        <v>35.0</v>
      </c>
      <c r="G752" s="3" t="s">
        <v>1809</v>
      </c>
      <c r="H752" s="1">
        <f t="shared" si="2"/>
        <v>4</v>
      </c>
    </row>
    <row r="753">
      <c r="A753" s="3">
        <f>data!A753</f>
        <v>216</v>
      </c>
      <c r="B753" s="3" t="str">
        <f>data!B753</f>
        <v>בזגודוב דניאל</v>
      </c>
      <c r="C753" s="3">
        <f>data!C753</f>
        <v>22</v>
      </c>
      <c r="D753" s="3" t="str">
        <f>data!F753</f>
        <v>צה"ל</v>
      </c>
      <c r="E753" s="3" t="str">
        <f t="shared" si="1"/>
        <v>adult</v>
      </c>
      <c r="F753" s="3">
        <v>35.0</v>
      </c>
      <c r="G753" s="3" t="s">
        <v>18</v>
      </c>
      <c r="H753" s="1">
        <f t="shared" si="2"/>
        <v>4</v>
      </c>
    </row>
    <row r="754">
      <c r="A754" s="3">
        <f>data!A754</f>
        <v>1032</v>
      </c>
      <c r="B754" s="3" t="str">
        <f>data!B754</f>
        <v>ביבי אוריאל</v>
      </c>
      <c r="C754" s="3">
        <f>data!C754</f>
        <v>30</v>
      </c>
      <c r="D754" s="3" t="str">
        <f>data!F754</f>
        <v>צה"ל</v>
      </c>
      <c r="E754" s="3" t="str">
        <f t="shared" si="1"/>
        <v>adult</v>
      </c>
      <c r="F754" s="3">
        <v>35.0</v>
      </c>
      <c r="G754" s="3" t="s">
        <v>1809</v>
      </c>
      <c r="H754" s="1">
        <f t="shared" si="2"/>
        <v>4</v>
      </c>
    </row>
    <row r="755">
      <c r="A755" s="3">
        <f>data!A755</f>
        <v>1354</v>
      </c>
      <c r="B755" s="3" t="str">
        <f>data!B755</f>
        <v>ביננשטוק עידו</v>
      </c>
      <c r="C755" s="3">
        <f>data!C755</f>
        <v>19</v>
      </c>
      <c r="D755" s="3" t="str">
        <f>data!F755</f>
        <v>צה"ל</v>
      </c>
      <c r="E755" s="3" t="str">
        <f t="shared" si="1"/>
        <v>adult</v>
      </c>
      <c r="F755" s="3">
        <v>35.0</v>
      </c>
      <c r="G755" s="3" t="s">
        <v>169</v>
      </c>
      <c r="H755" s="1">
        <f t="shared" si="2"/>
        <v>4</v>
      </c>
    </row>
    <row r="756">
      <c r="A756" s="3">
        <f>data!A756</f>
        <v>53</v>
      </c>
      <c r="B756" s="3" t="str">
        <f>data!B756</f>
        <v>בליך ודים</v>
      </c>
      <c r="C756" s="3">
        <f>data!C756</f>
        <v>39</v>
      </c>
      <c r="D756" s="3" t="str">
        <f>data!F756</f>
        <v>משטרה</v>
      </c>
      <c r="E756" s="3" t="str">
        <f t="shared" si="1"/>
        <v>adult</v>
      </c>
      <c r="F756" s="3">
        <v>35.0</v>
      </c>
      <c r="G756" s="3" t="s">
        <v>18</v>
      </c>
      <c r="H756" s="1">
        <f t="shared" si="2"/>
        <v>4</v>
      </c>
    </row>
    <row r="757">
      <c r="A757" s="3">
        <f>data!A757</f>
        <v>468</v>
      </c>
      <c r="B757" s="3" t="str">
        <f>data!B757</f>
        <v>בן דוד ברק</v>
      </c>
      <c r="C757" s="3">
        <f>data!C757</f>
        <v>19</v>
      </c>
      <c r="D757" s="3" t="str">
        <f>data!F757</f>
        <v>צה"ל</v>
      </c>
      <c r="E757" s="3" t="str">
        <f t="shared" si="1"/>
        <v>adult</v>
      </c>
      <c r="F757" s="3">
        <v>35.0</v>
      </c>
      <c r="G757" s="3" t="s">
        <v>478</v>
      </c>
      <c r="H757" s="1">
        <f t="shared" si="2"/>
        <v>4</v>
      </c>
    </row>
    <row r="758">
      <c r="A758" s="3">
        <f>data!A758</f>
        <v>470</v>
      </c>
      <c r="B758" s="3" t="str">
        <f>data!B758</f>
        <v>בן יהודה איתמר</v>
      </c>
      <c r="C758" s="3">
        <f>data!C758</f>
        <v>21</v>
      </c>
      <c r="D758" s="3" t="str">
        <f>data!F758</f>
        <v>צה"ל</v>
      </c>
      <c r="E758" s="3" t="str">
        <f t="shared" si="1"/>
        <v>adult</v>
      </c>
      <c r="F758" s="3">
        <v>35.0</v>
      </c>
      <c r="G758" s="3" t="s">
        <v>18</v>
      </c>
      <c r="H758" s="1">
        <f t="shared" si="2"/>
        <v>4</v>
      </c>
    </row>
    <row r="759">
      <c r="A759" s="3">
        <f>data!A759</f>
        <v>469</v>
      </c>
      <c r="B759" s="3" t="str">
        <f>data!B759</f>
        <v>בן יעקב יעד</v>
      </c>
      <c r="C759" s="3">
        <f>data!C759</f>
        <v>20</v>
      </c>
      <c r="D759" s="3" t="str">
        <f>data!F759</f>
        <v>צה"ל</v>
      </c>
      <c r="E759" s="3" t="str">
        <f t="shared" si="1"/>
        <v>adult</v>
      </c>
      <c r="F759" s="3">
        <v>35.0</v>
      </c>
      <c r="G759" s="3" t="s">
        <v>56</v>
      </c>
      <c r="H759" s="1">
        <f t="shared" si="2"/>
        <v>4</v>
      </c>
    </row>
    <row r="760">
      <c r="A760" s="3">
        <f>data!A760</f>
        <v>1612</v>
      </c>
      <c r="B760" s="3" t="str">
        <f>data!B760</f>
        <v>בן משה (מושיאשוילי) מיכאל</v>
      </c>
      <c r="C760" s="3">
        <f>data!C760</f>
        <v>26</v>
      </c>
      <c r="D760" s="3" t="str">
        <f>data!F760</f>
        <v>שב"כ</v>
      </c>
      <c r="E760" s="3" t="str">
        <f t="shared" si="1"/>
        <v>adult</v>
      </c>
      <c r="F760" s="3">
        <v>36.0</v>
      </c>
      <c r="G760" s="3" t="s">
        <v>142</v>
      </c>
      <c r="H760" s="1">
        <f t="shared" si="2"/>
        <v>4</v>
      </c>
    </row>
    <row r="761">
      <c r="A761" s="3">
        <f>data!A761</f>
        <v>401</v>
      </c>
      <c r="B761" s="3" t="str">
        <f>data!B761</f>
        <v>בר (בן מוחה) ליאון</v>
      </c>
      <c r="C761" s="3">
        <f>data!C761</f>
        <v>53</v>
      </c>
      <c r="D761" s="3" t="str">
        <f>data!F761</f>
        <v>צה"ל (מיל')</v>
      </c>
      <c r="E761" s="3" t="str">
        <f t="shared" si="1"/>
        <v>adult</v>
      </c>
      <c r="F761" s="3">
        <v>36.0</v>
      </c>
      <c r="G761" s="3" t="s">
        <v>18</v>
      </c>
      <c r="H761" s="1">
        <f t="shared" si="2"/>
        <v>4</v>
      </c>
    </row>
    <row r="762">
      <c r="A762" s="3">
        <f>data!A762</f>
        <v>465</v>
      </c>
      <c r="B762" s="3" t="str">
        <f>data!B762</f>
        <v>בר עם נטע</v>
      </c>
      <c r="C762" s="3">
        <f>data!C762</f>
        <v>21</v>
      </c>
      <c r="D762" s="3" t="str">
        <f>data!F762</f>
        <v>צה"ל</v>
      </c>
      <c r="E762" s="3" t="str">
        <f t="shared" si="1"/>
        <v>adult</v>
      </c>
      <c r="F762" s="3">
        <v>36.0</v>
      </c>
      <c r="G762" s="3" t="s">
        <v>18</v>
      </c>
      <c r="H762" s="1">
        <f t="shared" si="2"/>
        <v>4</v>
      </c>
    </row>
    <row r="763">
      <c r="A763" s="3">
        <f>data!A763</f>
        <v>1274</v>
      </c>
      <c r="B763" s="3" t="str">
        <f>data!B763</f>
        <v>ברנס שלו</v>
      </c>
      <c r="C763" s="3">
        <f>data!C763</f>
        <v>20</v>
      </c>
      <c r="D763" s="3" t="str">
        <f>data!F763</f>
        <v>צה"ל</v>
      </c>
      <c r="E763" s="3" t="str">
        <f t="shared" si="1"/>
        <v>adult</v>
      </c>
      <c r="F763" s="3">
        <v>36.0</v>
      </c>
      <c r="G763" s="3" t="s">
        <v>18</v>
      </c>
      <c r="H763" s="1">
        <f t="shared" si="2"/>
        <v>4</v>
      </c>
    </row>
    <row r="764">
      <c r="A764" s="3">
        <f>data!A764</f>
        <v>467</v>
      </c>
      <c r="B764" s="3" t="str">
        <f>data!B764</f>
        <v>ברק תומר</v>
      </c>
      <c r="C764" s="3">
        <f>data!C764</f>
        <v>20</v>
      </c>
      <c r="D764" s="3" t="str">
        <f>data!F764</f>
        <v>צה"ל</v>
      </c>
      <c r="E764" s="3" t="str">
        <f t="shared" si="1"/>
        <v>adult</v>
      </c>
      <c r="F764" s="3">
        <v>36.0</v>
      </c>
      <c r="G764" s="3" t="s">
        <v>18</v>
      </c>
      <c r="H764" s="1">
        <f t="shared" si="2"/>
        <v>4</v>
      </c>
    </row>
    <row r="765">
      <c r="A765" s="3">
        <f>data!A765</f>
        <v>1709</v>
      </c>
      <c r="B765" s="3" t="str">
        <f>data!B765</f>
        <v>גאורי אדיר</v>
      </c>
      <c r="C765" s="3">
        <f>data!C765</f>
        <v>20</v>
      </c>
      <c r="D765" s="3" t="str">
        <f>data!F765</f>
        <v>צה"ל</v>
      </c>
      <c r="E765" s="3" t="str">
        <f t="shared" si="1"/>
        <v>adult</v>
      </c>
      <c r="F765" s="3">
        <v>36.0</v>
      </c>
      <c r="G765" s="3" t="s">
        <v>478</v>
      </c>
      <c r="H765" s="1">
        <f t="shared" si="2"/>
        <v>4</v>
      </c>
    </row>
    <row r="766">
      <c r="A766" s="3">
        <f>data!A766</f>
        <v>226</v>
      </c>
      <c r="B766" s="3" t="str">
        <f>data!B766</f>
        <v>גבאי יובל</v>
      </c>
      <c r="C766" s="3">
        <f>data!C766</f>
        <v>35</v>
      </c>
      <c r="D766" s="3" t="str">
        <f>data!F766</f>
        <v>צה"ל (מיל')</v>
      </c>
      <c r="E766" s="3" t="str">
        <f t="shared" si="1"/>
        <v>adult</v>
      </c>
      <c r="F766" s="3">
        <v>36.0</v>
      </c>
      <c r="G766" s="3" t="s">
        <v>136</v>
      </c>
      <c r="H766" s="1">
        <f t="shared" si="2"/>
        <v>4</v>
      </c>
    </row>
    <row r="767">
      <c r="A767" s="3">
        <f>data!A767</f>
        <v>2008</v>
      </c>
      <c r="B767" s="3" t="str">
        <f>data!B767</f>
        <v>גברה עומר</v>
      </c>
      <c r="C767" s="3">
        <f>data!C767</f>
        <v>26</v>
      </c>
      <c r="D767" s="3" t="str">
        <f>data!F767</f>
        <v>שב"כ</v>
      </c>
      <c r="E767" s="3" t="str">
        <f t="shared" si="1"/>
        <v>adult</v>
      </c>
      <c r="F767" s="3">
        <v>36.0</v>
      </c>
      <c r="G767" s="3" t="s">
        <v>18</v>
      </c>
      <c r="H767" s="1">
        <f t="shared" si="2"/>
        <v>4</v>
      </c>
    </row>
    <row r="768">
      <c r="A768" s="3">
        <f>data!A768</f>
        <v>260</v>
      </c>
      <c r="B768" s="3" t="str">
        <f>data!B768</f>
        <v>גדליה יוסף מלאכי</v>
      </c>
      <c r="C768" s="3">
        <f>data!C768</f>
        <v>22</v>
      </c>
      <c r="D768" s="3" t="str">
        <f>data!F768</f>
        <v>צה"ל</v>
      </c>
      <c r="E768" s="3" t="str">
        <f t="shared" si="1"/>
        <v>adult</v>
      </c>
      <c r="F768" s="3">
        <v>36.0</v>
      </c>
      <c r="G768" s="3" t="s">
        <v>169</v>
      </c>
      <c r="H768" s="1">
        <f t="shared" si="2"/>
        <v>4</v>
      </c>
    </row>
    <row r="769">
      <c r="A769" s="3">
        <f>data!A769</f>
        <v>230</v>
      </c>
      <c r="B769" s="3" t="str">
        <f>data!B769</f>
        <v>גואטה עמית</v>
      </c>
      <c r="C769" s="3">
        <f>data!C769</f>
        <v>21</v>
      </c>
      <c r="D769" s="3" t="str">
        <f>data!F769</f>
        <v>צה"ל</v>
      </c>
      <c r="E769" s="3" t="str">
        <f t="shared" si="1"/>
        <v>adult</v>
      </c>
      <c r="F769" s="3">
        <v>36.0</v>
      </c>
      <c r="G769" s="3" t="s">
        <v>18</v>
      </c>
      <c r="H769" s="1">
        <f t="shared" si="2"/>
        <v>4</v>
      </c>
    </row>
    <row r="770">
      <c r="A770" s="3">
        <f>data!A770</f>
        <v>487</v>
      </c>
      <c r="B770" s="3" t="str">
        <f>data!B770</f>
        <v>גליסקו איתי אופק</v>
      </c>
      <c r="C770" s="3">
        <f>data!C770</f>
        <v>20</v>
      </c>
      <c r="D770" s="3" t="str">
        <f>data!F770</f>
        <v>צה"ל</v>
      </c>
      <c r="E770" s="3" t="str">
        <f t="shared" si="1"/>
        <v>adult</v>
      </c>
      <c r="F770" s="3">
        <v>36.0</v>
      </c>
      <c r="G770" s="3" t="s">
        <v>136</v>
      </c>
      <c r="H770" s="1">
        <f t="shared" si="2"/>
        <v>4</v>
      </c>
    </row>
    <row r="771">
      <c r="A771" s="3">
        <f>data!A771</f>
        <v>228</v>
      </c>
      <c r="B771" s="3" t="str">
        <f>data!B771</f>
        <v>גמזו אילי</v>
      </c>
      <c r="C771" s="3">
        <f>data!C771</f>
        <v>20</v>
      </c>
      <c r="D771" s="3" t="str">
        <f>data!F771</f>
        <v>צה"ל</v>
      </c>
      <c r="E771" s="3" t="str">
        <f t="shared" si="1"/>
        <v>adult</v>
      </c>
      <c r="F771" s="3">
        <v>36.0</v>
      </c>
      <c r="G771" s="3" t="s">
        <v>478</v>
      </c>
      <c r="H771" s="1">
        <f t="shared" si="2"/>
        <v>4</v>
      </c>
    </row>
    <row r="772">
      <c r="A772" s="3">
        <f>data!A772</f>
        <v>669</v>
      </c>
      <c r="B772" s="3" t="str">
        <f>data!B772</f>
        <v>דגן שלו</v>
      </c>
      <c r="C772" s="3">
        <f>data!C772</f>
        <v>20</v>
      </c>
      <c r="D772" s="3" t="str">
        <f>data!F772</f>
        <v>צה"ל</v>
      </c>
      <c r="E772" s="3" t="str">
        <f t="shared" si="1"/>
        <v>adult</v>
      </c>
      <c r="F772" s="3">
        <v>36.0</v>
      </c>
      <c r="G772" s="3" t="s">
        <v>478</v>
      </c>
      <c r="H772" s="1">
        <f t="shared" si="2"/>
        <v>4</v>
      </c>
    </row>
    <row r="773">
      <c r="A773" s="3">
        <f>data!A773</f>
        <v>1666</v>
      </c>
      <c r="B773" s="3" t="str">
        <f>data!B773</f>
        <v>דהן שקד</v>
      </c>
      <c r="C773" s="3">
        <f>data!C773</f>
        <v>19</v>
      </c>
      <c r="D773" s="3" t="str">
        <f>data!F773</f>
        <v>צה"ל</v>
      </c>
      <c r="E773" s="3" t="str">
        <f t="shared" si="1"/>
        <v>adult</v>
      </c>
      <c r="F773" s="3">
        <v>36.0</v>
      </c>
      <c r="G773" s="3" t="s">
        <v>478</v>
      </c>
      <c r="H773" s="1">
        <f t="shared" si="2"/>
        <v>4</v>
      </c>
    </row>
    <row r="774">
      <c r="A774" s="3">
        <f>data!A774</f>
        <v>1498</v>
      </c>
      <c r="B774" s="3" t="str">
        <f>data!B774</f>
        <v>דוידוביץ׳ שלומי</v>
      </c>
      <c r="C774" s="3">
        <f>data!C774</f>
        <v>50</v>
      </c>
      <c r="D774" s="3" t="str">
        <f>data!F774</f>
        <v>אזרחים</v>
      </c>
      <c r="E774" s="3" t="str">
        <f t="shared" si="1"/>
        <v>adult</v>
      </c>
      <c r="F774" s="3">
        <v>36.0</v>
      </c>
      <c r="G774" s="3" t="s">
        <v>136</v>
      </c>
      <c r="H774" s="1">
        <f t="shared" si="2"/>
        <v>4</v>
      </c>
    </row>
    <row r="775">
      <c r="A775" s="3">
        <f>data!A775</f>
        <v>1185</v>
      </c>
      <c r="B775" s="3" t="str">
        <f>data!B775</f>
        <v>דיין ירון מוריס</v>
      </c>
      <c r="C775" s="3">
        <f>data!C775</f>
        <v>52</v>
      </c>
      <c r="D775" s="3" t="str">
        <f>data!F775</f>
        <v>משטרה</v>
      </c>
      <c r="E775" s="3" t="str">
        <f t="shared" si="1"/>
        <v>adult</v>
      </c>
      <c r="F775" s="3">
        <v>36.0</v>
      </c>
      <c r="G775" s="3" t="s">
        <v>1601</v>
      </c>
      <c r="H775" s="1">
        <f t="shared" si="2"/>
        <v>4</v>
      </c>
    </row>
    <row r="776">
      <c r="A776" s="3">
        <f>data!A776</f>
        <v>247</v>
      </c>
      <c r="B776" s="3" t="str">
        <f>data!B776</f>
        <v>וולף עומר</v>
      </c>
      <c r="C776" s="3">
        <f>data!C776</f>
        <v>22</v>
      </c>
      <c r="D776" s="3" t="str">
        <f>data!F776</f>
        <v>צה"ל</v>
      </c>
      <c r="E776" s="3" t="str">
        <f t="shared" si="1"/>
        <v>adult</v>
      </c>
      <c r="F776" s="3">
        <v>36.0</v>
      </c>
      <c r="G776" s="3" t="s">
        <v>169</v>
      </c>
      <c r="H776" s="1">
        <f t="shared" si="2"/>
        <v>4</v>
      </c>
    </row>
    <row r="777">
      <c r="A777" s="3">
        <f>data!A777</f>
        <v>253</v>
      </c>
      <c r="B777" s="3" t="str">
        <f>data!B777</f>
        <v>זוהר ירון</v>
      </c>
      <c r="C777" s="3">
        <f>data!C777</f>
        <v>19</v>
      </c>
      <c r="D777" s="3" t="str">
        <f>data!F777</f>
        <v>צה"ל</v>
      </c>
      <c r="E777" s="3" t="str">
        <f t="shared" si="1"/>
        <v>adult</v>
      </c>
      <c r="F777" s="3">
        <v>37.0</v>
      </c>
      <c r="G777" s="3" t="s">
        <v>169</v>
      </c>
      <c r="H777" s="1">
        <f t="shared" si="2"/>
        <v>4</v>
      </c>
    </row>
    <row r="778">
      <c r="A778" s="3">
        <f>data!A778</f>
        <v>1582</v>
      </c>
      <c r="B778" s="3" t="str">
        <f>data!B778</f>
        <v>זכאי דביר</v>
      </c>
      <c r="C778" s="3">
        <f>data!C778</f>
        <v>20</v>
      </c>
      <c r="D778" s="3" t="str">
        <f>data!F778</f>
        <v>צה"ל</v>
      </c>
      <c r="E778" s="3" t="str">
        <f t="shared" si="1"/>
        <v>adult</v>
      </c>
      <c r="F778" s="3">
        <v>37.0</v>
      </c>
      <c r="G778" s="3" t="s">
        <v>18</v>
      </c>
      <c r="H778" s="1">
        <f t="shared" si="2"/>
        <v>4</v>
      </c>
    </row>
    <row r="779">
      <c r="A779" s="3">
        <f>data!A779</f>
        <v>234</v>
      </c>
      <c r="B779" s="3" t="str">
        <f>data!B779</f>
        <v>חובלאשוילי אברהם</v>
      </c>
      <c r="C779" s="3">
        <f>data!C779</f>
        <v>26</v>
      </c>
      <c r="D779" s="3" t="str">
        <f>data!F779</f>
        <v>צה"ל</v>
      </c>
      <c r="E779" s="3" t="str">
        <f t="shared" si="1"/>
        <v>adult</v>
      </c>
      <c r="F779" s="3">
        <v>37.0</v>
      </c>
      <c r="G779" s="3" t="s">
        <v>18</v>
      </c>
      <c r="H779" s="1">
        <f t="shared" si="2"/>
        <v>4</v>
      </c>
    </row>
    <row r="780">
      <c r="A780" s="3">
        <f>data!A780</f>
        <v>1693</v>
      </c>
      <c r="B780" s="3" t="str">
        <f>data!B780</f>
        <v>טהר יוסף (יוסי)</v>
      </c>
      <c r="C780" s="3">
        <f>data!C780</f>
        <v>39</v>
      </c>
      <c r="D780" s="3" t="str">
        <f>data!F780</f>
        <v>שב"כ</v>
      </c>
      <c r="E780" s="3" t="str">
        <f t="shared" si="1"/>
        <v>adult</v>
      </c>
      <c r="F780" s="3">
        <v>37.0</v>
      </c>
      <c r="G780" s="3" t="s">
        <v>18</v>
      </c>
      <c r="H780" s="1">
        <f t="shared" si="2"/>
        <v>4</v>
      </c>
    </row>
    <row r="781">
      <c r="A781" s="3">
        <f>data!A781</f>
        <v>496</v>
      </c>
      <c r="B781" s="3" t="str">
        <f>data!B781</f>
        <v>יאנג נתנאל</v>
      </c>
      <c r="C781" s="3">
        <f>data!C781</f>
        <v>20</v>
      </c>
      <c r="D781" s="3" t="str">
        <f>data!F781</f>
        <v>צה"ל</v>
      </c>
      <c r="E781" s="3" t="str">
        <f t="shared" si="1"/>
        <v>adult</v>
      </c>
      <c r="F781" s="3">
        <v>37.0</v>
      </c>
      <c r="G781" s="3" t="s">
        <v>18</v>
      </c>
      <c r="H781" s="1">
        <f t="shared" si="2"/>
        <v>4</v>
      </c>
    </row>
    <row r="782">
      <c r="A782" s="3">
        <f>data!A782</f>
        <v>1306</v>
      </c>
      <c r="B782" s="3" t="str">
        <f>data!B782</f>
        <v>יואב מיכאל</v>
      </c>
      <c r="C782" s="3">
        <f>data!C782</f>
        <v>46</v>
      </c>
      <c r="D782" s="3" t="str">
        <f>data!F782</f>
        <v>אזרחים</v>
      </c>
      <c r="E782" s="3" t="str">
        <f t="shared" si="1"/>
        <v>adult</v>
      </c>
      <c r="F782" s="3">
        <v>37.0</v>
      </c>
      <c r="G782" s="3" t="s">
        <v>18</v>
      </c>
      <c r="H782" s="1">
        <f t="shared" si="2"/>
        <v>4</v>
      </c>
    </row>
    <row r="783">
      <c r="A783" s="3">
        <f>data!A783</f>
        <v>227</v>
      </c>
      <c r="B783" s="3" t="str">
        <f>data!B783</f>
        <v>יונה בנימין גבריאל</v>
      </c>
      <c r="C783" s="3">
        <f>data!C783</f>
        <v>19</v>
      </c>
      <c r="D783" s="3" t="str">
        <f>data!F783</f>
        <v>צה"ל</v>
      </c>
      <c r="E783" s="3" t="str">
        <f t="shared" si="1"/>
        <v>adult</v>
      </c>
      <c r="F783" s="3">
        <v>37.0</v>
      </c>
      <c r="G783" s="3" t="s">
        <v>18</v>
      </c>
      <c r="H783" s="1">
        <f t="shared" si="2"/>
        <v>4</v>
      </c>
    </row>
    <row r="784">
      <c r="A784" s="3">
        <f>data!A784</f>
        <v>1295</v>
      </c>
      <c r="B784" s="3" t="str">
        <f>data!B784</f>
        <v>יענקלוב בר</v>
      </c>
      <c r="C784" s="3">
        <f>data!C784</f>
        <v>19</v>
      </c>
      <c r="D784" s="3" t="str">
        <f>data!F784</f>
        <v>צה"ל</v>
      </c>
      <c r="E784" s="3" t="str">
        <f t="shared" si="1"/>
        <v>adult</v>
      </c>
      <c r="F784" s="3">
        <v>37.0</v>
      </c>
      <c r="G784" s="3" t="s">
        <v>18</v>
      </c>
      <c r="H784" s="1">
        <f t="shared" si="2"/>
        <v>4</v>
      </c>
    </row>
    <row r="785">
      <c r="A785" s="3">
        <f>data!A785</f>
        <v>250</v>
      </c>
      <c r="B785" s="3" t="str">
        <f>data!B785</f>
        <v>ירוחין אופיר</v>
      </c>
      <c r="C785" s="3">
        <f>data!C785</f>
        <v>19</v>
      </c>
      <c r="D785" s="3" t="str">
        <f>data!F785</f>
        <v>צה"ל</v>
      </c>
      <c r="E785" s="3" t="str">
        <f t="shared" si="1"/>
        <v>adult</v>
      </c>
      <c r="F785" s="3">
        <v>37.0</v>
      </c>
      <c r="G785" s="3" t="s">
        <v>18</v>
      </c>
      <c r="H785" s="1">
        <f t="shared" si="2"/>
        <v>4</v>
      </c>
    </row>
    <row r="786">
      <c r="A786" s="3">
        <f>data!A786</f>
        <v>1579</v>
      </c>
      <c r="B786" s="3" t="str">
        <f>data!B786</f>
        <v>כהן איתמר</v>
      </c>
      <c r="C786" s="3">
        <f>data!C786</f>
        <v>19</v>
      </c>
      <c r="D786" s="3" t="str">
        <f>data!F786</f>
        <v>צה"ל</v>
      </c>
      <c r="E786" s="3" t="str">
        <f t="shared" si="1"/>
        <v>adult</v>
      </c>
      <c r="F786" s="3">
        <v>37.0</v>
      </c>
      <c r="G786" s="3" t="s">
        <v>18</v>
      </c>
      <c r="H786" s="1">
        <f t="shared" si="2"/>
        <v>4</v>
      </c>
    </row>
    <row r="787">
      <c r="A787" s="3">
        <f>data!A787</f>
        <v>1137</v>
      </c>
      <c r="B787" s="3" t="str">
        <f>data!B787</f>
        <v>כהן דנית</v>
      </c>
      <c r="C787" s="3">
        <f>data!C787</f>
        <v>19</v>
      </c>
      <c r="D787" s="3" t="str">
        <f>data!F787</f>
        <v>צה"ל</v>
      </c>
      <c r="E787" s="3" t="str">
        <f t="shared" si="1"/>
        <v>adult</v>
      </c>
      <c r="F787" s="3">
        <v>37.0</v>
      </c>
      <c r="G787" s="3" t="s">
        <v>1601</v>
      </c>
      <c r="H787" s="1">
        <f t="shared" si="2"/>
        <v>4</v>
      </c>
    </row>
    <row r="788">
      <c r="A788" s="3">
        <f>data!A788</f>
        <v>235</v>
      </c>
      <c r="B788" s="3" t="str">
        <f>data!B788</f>
        <v>לב בנימין</v>
      </c>
      <c r="C788" s="3">
        <f>data!C788</f>
        <v>23</v>
      </c>
      <c r="D788" s="3" t="str">
        <f>data!F788</f>
        <v>צה"ל</v>
      </c>
      <c r="E788" s="3" t="str">
        <f t="shared" si="1"/>
        <v>adult</v>
      </c>
      <c r="F788" s="3">
        <v>37.0</v>
      </c>
      <c r="G788" s="3" t="s">
        <v>136</v>
      </c>
      <c r="H788" s="1">
        <f t="shared" si="2"/>
        <v>4</v>
      </c>
    </row>
    <row r="789">
      <c r="A789" s="3">
        <f>data!A789</f>
        <v>1179</v>
      </c>
      <c r="B789" s="3" t="str">
        <f>data!B789</f>
        <v>לביא אמיר</v>
      </c>
      <c r="C789" s="3">
        <f>data!C789</f>
        <v>19</v>
      </c>
      <c r="D789" s="3" t="str">
        <f>data!F789</f>
        <v>צה"ל</v>
      </c>
      <c r="E789" s="3" t="str">
        <f t="shared" si="1"/>
        <v>adult</v>
      </c>
      <c r="F789" s="3">
        <v>37.0</v>
      </c>
      <c r="G789" s="3" t="s">
        <v>136</v>
      </c>
      <c r="H789" s="1">
        <f t="shared" si="2"/>
        <v>4</v>
      </c>
    </row>
    <row r="790">
      <c r="A790" s="3">
        <f>data!A790</f>
        <v>481</v>
      </c>
      <c r="B790" s="3" t="str">
        <f>data!B790</f>
        <v>לוגאסי שמעון יוחאי</v>
      </c>
      <c r="C790" s="3">
        <f>data!C790</f>
        <v>19</v>
      </c>
      <c r="D790" s="3" t="str">
        <f>data!F790</f>
        <v>צה"ל</v>
      </c>
      <c r="E790" s="3" t="str">
        <f t="shared" si="1"/>
        <v>adult</v>
      </c>
      <c r="F790" s="3">
        <v>37.0</v>
      </c>
      <c r="G790" s="3" t="s">
        <v>169</v>
      </c>
      <c r="H790" s="1">
        <f t="shared" si="2"/>
        <v>4</v>
      </c>
    </row>
    <row r="791">
      <c r="A791" s="3">
        <f>data!A791</f>
        <v>1714</v>
      </c>
      <c r="B791" s="3" t="str">
        <f>data!B791</f>
        <v>לוי טל</v>
      </c>
      <c r="C791" s="3">
        <f>data!C791</f>
        <v>21</v>
      </c>
      <c r="D791" s="3" t="str">
        <f>data!F791</f>
        <v>צה"ל</v>
      </c>
      <c r="E791" s="3" t="str">
        <f t="shared" si="1"/>
        <v>adult</v>
      </c>
      <c r="F791" s="3">
        <v>38.0</v>
      </c>
      <c r="G791" s="3" t="s">
        <v>169</v>
      </c>
      <c r="H791" s="1">
        <f t="shared" si="2"/>
        <v>4</v>
      </c>
    </row>
    <row r="792">
      <c r="A792" s="3">
        <f>data!A792</f>
        <v>480</v>
      </c>
      <c r="B792" s="3" t="str">
        <f>data!B792</f>
        <v>לוי יקיר</v>
      </c>
      <c r="C792" s="3">
        <f>data!C792</f>
        <v>21</v>
      </c>
      <c r="D792" s="3" t="str">
        <f>data!F792</f>
        <v>צה"ל</v>
      </c>
      <c r="E792" s="3" t="str">
        <f t="shared" si="1"/>
        <v>adult</v>
      </c>
      <c r="F792" s="3">
        <v>38.0</v>
      </c>
      <c r="G792" s="3" t="s">
        <v>18</v>
      </c>
      <c r="H792" s="1">
        <f t="shared" si="2"/>
        <v>4</v>
      </c>
    </row>
    <row r="793">
      <c r="A793" s="3">
        <f>data!A793</f>
        <v>1280</v>
      </c>
      <c r="B793" s="3" t="str">
        <f>data!B793</f>
        <v>ליאר נתן חי</v>
      </c>
      <c r="C793" s="3">
        <f>data!C793</f>
        <v>20</v>
      </c>
      <c r="D793" s="3" t="str">
        <f>data!F793</f>
        <v>צה"ל</v>
      </c>
      <c r="E793" s="3" t="str">
        <f t="shared" si="1"/>
        <v>adult</v>
      </c>
      <c r="F793" s="3">
        <v>38.0</v>
      </c>
      <c r="G793" s="3" t="s">
        <v>18</v>
      </c>
      <c r="H793" s="1">
        <f t="shared" si="2"/>
        <v>4</v>
      </c>
    </row>
    <row r="794">
      <c r="A794" s="3">
        <f>data!A794</f>
        <v>484</v>
      </c>
      <c r="B794" s="3" t="str">
        <f>data!B794</f>
        <v>מזרחי אור</v>
      </c>
      <c r="C794" s="3">
        <f>data!C794</f>
        <v>20</v>
      </c>
      <c r="D794" s="3" t="str">
        <f>data!F794</f>
        <v>צה"ל</v>
      </c>
      <c r="E794" s="3" t="str">
        <f t="shared" si="1"/>
        <v>adult</v>
      </c>
      <c r="F794" s="3">
        <v>38.0</v>
      </c>
      <c r="G794" s="3" t="s">
        <v>18</v>
      </c>
      <c r="H794" s="1">
        <f t="shared" si="2"/>
        <v>4</v>
      </c>
    </row>
    <row r="795">
      <c r="A795" s="3">
        <f>data!A795</f>
        <v>264</v>
      </c>
      <c r="B795" s="3" t="str">
        <f>data!B795</f>
        <v>מזרחי אור</v>
      </c>
      <c r="C795" s="3">
        <f>data!C795</f>
        <v>21</v>
      </c>
      <c r="D795" s="3" t="str">
        <f>data!F795</f>
        <v>צה"ל</v>
      </c>
      <c r="E795" s="3" t="str">
        <f t="shared" si="1"/>
        <v>adult</v>
      </c>
      <c r="F795" s="3">
        <v>38.0</v>
      </c>
      <c r="G795" s="3" t="s">
        <v>18</v>
      </c>
      <c r="H795" s="1">
        <f t="shared" si="2"/>
        <v>4</v>
      </c>
    </row>
    <row r="796">
      <c r="A796" s="3">
        <f>data!A796</f>
        <v>2009</v>
      </c>
      <c r="B796" s="3" t="str">
        <f>data!B796</f>
        <v>מידאני סהר</v>
      </c>
      <c r="C796" s="3">
        <f>data!C796</f>
        <v>20</v>
      </c>
      <c r="D796" s="3" t="str">
        <f>data!F796</f>
        <v>צה"ל</v>
      </c>
      <c r="E796" s="3" t="str">
        <f t="shared" si="1"/>
        <v>adult</v>
      </c>
      <c r="F796" s="3">
        <v>38.0</v>
      </c>
      <c r="G796" s="3" t="s">
        <v>169</v>
      </c>
      <c r="H796" s="1">
        <f t="shared" si="2"/>
        <v>4</v>
      </c>
    </row>
    <row r="797">
      <c r="A797" s="3">
        <f>data!A797</f>
        <v>2010</v>
      </c>
      <c r="B797" s="3" t="str">
        <f>data!B797</f>
        <v>מלכה אור</v>
      </c>
      <c r="C797" s="3">
        <f>data!C797</f>
        <v>21</v>
      </c>
      <c r="D797" s="3" t="str">
        <f>data!F797</f>
        <v>צה"ל</v>
      </c>
      <c r="E797" s="3" t="str">
        <f t="shared" si="1"/>
        <v>adult</v>
      </c>
      <c r="F797" s="3">
        <v>38.0</v>
      </c>
      <c r="G797" s="3" t="s">
        <v>1429</v>
      </c>
      <c r="H797" s="1">
        <f t="shared" si="2"/>
        <v>4</v>
      </c>
    </row>
    <row r="798">
      <c r="A798" s="3">
        <f>data!A798</f>
        <v>403</v>
      </c>
      <c r="B798" s="3" t="str">
        <f>data!B798</f>
        <v>ממן טל</v>
      </c>
      <c r="C798" s="3">
        <f>data!C798</f>
        <v>38</v>
      </c>
      <c r="D798" s="3" t="str">
        <f>data!F798</f>
        <v>כיתות כוננות</v>
      </c>
      <c r="E798" s="3" t="str">
        <f t="shared" si="1"/>
        <v>adult</v>
      </c>
      <c r="F798" s="3">
        <v>38.0</v>
      </c>
      <c r="G798" s="3" t="s">
        <v>136</v>
      </c>
      <c r="H798" s="1">
        <f t="shared" si="2"/>
        <v>4</v>
      </c>
    </row>
    <row r="799">
      <c r="A799" s="3">
        <f>data!A799</f>
        <v>259</v>
      </c>
      <c r="B799" s="3" t="str">
        <f>data!B799</f>
        <v>מקייס לידור</v>
      </c>
      <c r="C799" s="3">
        <f>data!C799</f>
        <v>19</v>
      </c>
      <c r="D799" s="3" t="str">
        <f>data!F799</f>
        <v>צה"ל</v>
      </c>
      <c r="E799" s="3" t="str">
        <f t="shared" si="1"/>
        <v>adult</v>
      </c>
      <c r="F799" s="3">
        <v>38.0</v>
      </c>
      <c r="G799" s="3" t="s">
        <v>136</v>
      </c>
      <c r="H799" s="1">
        <f t="shared" si="2"/>
        <v>4</v>
      </c>
    </row>
    <row r="800">
      <c r="A800" s="3">
        <f>data!A800</f>
        <v>1562</v>
      </c>
      <c r="B800" s="3" t="str">
        <f>data!B800</f>
        <v>מרציאנו אריק יהודה</v>
      </c>
      <c r="C800" s="3">
        <f>data!C800</f>
        <v>50</v>
      </c>
      <c r="D800" s="3" t="str">
        <f>data!F800</f>
        <v>כבאות והצלה</v>
      </c>
      <c r="E800" s="3" t="str">
        <f t="shared" si="1"/>
        <v>adult</v>
      </c>
      <c r="F800" s="3">
        <v>38.0</v>
      </c>
      <c r="G800" s="3" t="s">
        <v>1601</v>
      </c>
      <c r="H800" s="1">
        <f t="shared" si="2"/>
        <v>4</v>
      </c>
    </row>
    <row r="801">
      <c r="A801" s="3">
        <f>data!A801</f>
        <v>1282</v>
      </c>
      <c r="B801" s="3" t="str">
        <f>data!B801</f>
        <v>נגר תומר</v>
      </c>
      <c r="C801" s="3">
        <f>data!C801</f>
        <v>20</v>
      </c>
      <c r="D801" s="3" t="str">
        <f>data!F801</f>
        <v>צה"ל</v>
      </c>
      <c r="E801" s="3" t="str">
        <f t="shared" si="1"/>
        <v>adult</v>
      </c>
      <c r="F801" s="3">
        <v>38.0</v>
      </c>
      <c r="G801" s="3" t="s">
        <v>18</v>
      </c>
      <c r="H801" s="1">
        <f t="shared" si="2"/>
        <v>4</v>
      </c>
    </row>
    <row r="802">
      <c r="A802" s="3">
        <f>data!A802</f>
        <v>1284</v>
      </c>
      <c r="B802" s="3" t="str">
        <f>data!B802</f>
        <v>נידם שוהם שלמה</v>
      </c>
      <c r="C802" s="3">
        <f>data!C802</f>
        <v>19</v>
      </c>
      <c r="D802" s="3" t="str">
        <f>data!F802</f>
        <v>צה"ל</v>
      </c>
      <c r="E802" s="3" t="str">
        <f t="shared" si="1"/>
        <v>adult</v>
      </c>
      <c r="F802" s="3">
        <v>38.0</v>
      </c>
      <c r="G802" s="3" t="s">
        <v>1601</v>
      </c>
      <c r="H802" s="1">
        <f t="shared" si="2"/>
        <v>4</v>
      </c>
    </row>
    <row r="803">
      <c r="A803" s="3">
        <f>data!A803</f>
        <v>1723</v>
      </c>
      <c r="B803" s="3" t="str">
        <f>data!B803</f>
        <v>סמוילוב אמיל</v>
      </c>
      <c r="C803" s="3">
        <f>data!C803</f>
        <v>22</v>
      </c>
      <c r="D803" s="3" t="str">
        <f>data!F803</f>
        <v>צה"ל</v>
      </c>
      <c r="E803" s="3" t="str">
        <f t="shared" si="1"/>
        <v>adult</v>
      </c>
      <c r="F803" s="3">
        <v>38.0</v>
      </c>
      <c r="G803" s="3" t="s">
        <v>136</v>
      </c>
      <c r="H803" s="1">
        <f t="shared" si="2"/>
        <v>4</v>
      </c>
    </row>
    <row r="804">
      <c r="A804" s="3">
        <f>data!A804</f>
        <v>1288</v>
      </c>
      <c r="B804" s="3" t="str">
        <f>data!B804</f>
        <v>סעודין סהר</v>
      </c>
      <c r="C804" s="3">
        <f>data!C804</f>
        <v>21</v>
      </c>
      <c r="D804" s="3" t="str">
        <f>data!F804</f>
        <v>צה"ל</v>
      </c>
      <c r="E804" s="3" t="str">
        <f t="shared" si="1"/>
        <v>adult</v>
      </c>
      <c r="F804" s="3">
        <v>38.0</v>
      </c>
      <c r="G804" s="3" t="s">
        <v>1601</v>
      </c>
      <c r="H804" s="1">
        <f t="shared" si="2"/>
        <v>4</v>
      </c>
    </row>
    <row r="805">
      <c r="A805" s="3">
        <f>data!A805</f>
        <v>1437</v>
      </c>
      <c r="B805" s="3" t="str">
        <f>data!B805</f>
        <v>סקורי אמיר</v>
      </c>
      <c r="C805" s="3">
        <f>data!C805</f>
        <v>31</v>
      </c>
      <c r="D805" s="3" t="str">
        <f>data!F805</f>
        <v>צה"ל</v>
      </c>
      <c r="E805" s="3" t="str">
        <f t="shared" si="1"/>
        <v>adult</v>
      </c>
      <c r="F805" s="3">
        <v>38.0</v>
      </c>
      <c r="G805" s="3" t="s">
        <v>1601</v>
      </c>
      <c r="H805" s="1">
        <f t="shared" si="2"/>
        <v>4</v>
      </c>
    </row>
    <row r="806">
      <c r="A806" s="3">
        <f>data!A806</f>
        <v>1144</v>
      </c>
      <c r="B806" s="3" t="str">
        <f>data!B806</f>
        <v>סקיפקביץ' ויטלי</v>
      </c>
      <c r="C806" s="3">
        <f>data!C806</f>
        <v>21</v>
      </c>
      <c r="D806" s="3" t="str">
        <f>data!F806</f>
        <v>צה"ל</v>
      </c>
      <c r="E806" s="3" t="str">
        <f t="shared" si="1"/>
        <v>adult</v>
      </c>
      <c r="F806" s="3">
        <v>38.0</v>
      </c>
      <c r="G806" s="3" t="s">
        <v>136</v>
      </c>
      <c r="H806" s="1">
        <f t="shared" si="2"/>
        <v>4</v>
      </c>
    </row>
    <row r="807">
      <c r="A807" s="3">
        <f>data!A807</f>
        <v>1554</v>
      </c>
      <c r="B807" s="3" t="str">
        <f>data!B807</f>
        <v>סקריסבסקי רודי</v>
      </c>
      <c r="C807" s="3">
        <f>data!C807</f>
        <v>57</v>
      </c>
      <c r="D807" s="3" t="str">
        <f>data!F807</f>
        <v>אזרחים</v>
      </c>
      <c r="E807" s="3" t="str">
        <f t="shared" si="1"/>
        <v>adult</v>
      </c>
      <c r="F807" s="3">
        <v>39.0</v>
      </c>
      <c r="G807" s="3" t="s">
        <v>18</v>
      </c>
      <c r="H807" s="1">
        <f t="shared" si="2"/>
        <v>4</v>
      </c>
    </row>
    <row r="808">
      <c r="A808" s="3">
        <f>data!A808</f>
        <v>1704</v>
      </c>
      <c r="B808" s="3" t="str">
        <f>data!B808</f>
        <v>עדן חיים מאיר</v>
      </c>
      <c r="C808" s="3">
        <f>data!C808</f>
        <v>20</v>
      </c>
      <c r="D808" s="3" t="str">
        <f>data!F808</f>
        <v>צה"ל</v>
      </c>
      <c r="E808" s="3" t="str">
        <f t="shared" si="1"/>
        <v>adult</v>
      </c>
      <c r="F808" s="3">
        <v>39.0</v>
      </c>
      <c r="G808" s="3" t="s">
        <v>169</v>
      </c>
      <c r="H808" s="1">
        <f t="shared" si="2"/>
        <v>4</v>
      </c>
    </row>
    <row r="809">
      <c r="A809" s="3">
        <f>data!A809</f>
        <v>1581</v>
      </c>
      <c r="B809" s="3" t="str">
        <f>data!B809</f>
        <v>עזיזוב ליאור</v>
      </c>
      <c r="C809" s="3">
        <f>data!C809</f>
        <v>20</v>
      </c>
      <c r="D809" s="3" t="str">
        <f>data!F809</f>
        <v>צה"ל</v>
      </c>
      <c r="E809" s="3" t="str">
        <f t="shared" si="1"/>
        <v>adult</v>
      </c>
      <c r="F809" s="3">
        <v>39.0</v>
      </c>
      <c r="G809" s="3" t="s">
        <v>18</v>
      </c>
      <c r="H809" s="1">
        <f t="shared" si="2"/>
        <v>4</v>
      </c>
    </row>
    <row r="810">
      <c r="A810" s="3">
        <f>data!A810</f>
        <v>1555</v>
      </c>
      <c r="B810" s="3" t="str">
        <f>data!B810</f>
        <v>פרץ עמרי</v>
      </c>
      <c r="C810" s="3">
        <f>data!C810</f>
        <v>20</v>
      </c>
      <c r="D810" s="3" t="str">
        <f>data!F810</f>
        <v>צה"ל</v>
      </c>
      <c r="E810" s="3" t="str">
        <f t="shared" si="1"/>
        <v>adult</v>
      </c>
      <c r="F810" s="3">
        <v>39.0</v>
      </c>
      <c r="G810" s="3" t="s">
        <v>169</v>
      </c>
      <c r="H810" s="1">
        <f t="shared" si="2"/>
        <v>4</v>
      </c>
    </row>
    <row r="811">
      <c r="A811" s="3">
        <f>data!A811</f>
        <v>1539</v>
      </c>
      <c r="B811" s="3" t="str">
        <f>data!B811</f>
        <v>צ'אפל רועי</v>
      </c>
      <c r="C811" s="3">
        <f>data!C811</f>
        <v>25</v>
      </c>
      <c r="D811" s="3" t="str">
        <f>data!F811</f>
        <v>צה"ל</v>
      </c>
      <c r="E811" s="3" t="str">
        <f t="shared" si="1"/>
        <v>adult</v>
      </c>
      <c r="F811" s="3">
        <v>39.0</v>
      </c>
      <c r="G811" s="3" t="s">
        <v>169</v>
      </c>
      <c r="H811" s="1">
        <f t="shared" si="2"/>
        <v>4</v>
      </c>
    </row>
    <row r="812">
      <c r="A812" s="3">
        <f>data!A812</f>
        <v>246</v>
      </c>
      <c r="B812" s="3" t="str">
        <f>data!B812</f>
        <v>צור יהונתן</v>
      </c>
      <c r="C812" s="3">
        <f>data!C812</f>
        <v>33</v>
      </c>
      <c r="D812" s="3" t="str">
        <f>data!F812</f>
        <v>צה"ל</v>
      </c>
      <c r="E812" s="3" t="str">
        <f t="shared" si="1"/>
        <v>adult</v>
      </c>
      <c r="F812" s="3">
        <v>39.0</v>
      </c>
      <c r="G812" s="3" t="s">
        <v>1601</v>
      </c>
      <c r="H812" s="1">
        <f t="shared" si="2"/>
        <v>4</v>
      </c>
    </row>
    <row r="813">
      <c r="A813" s="3">
        <f>data!A813</f>
        <v>382</v>
      </c>
      <c r="B813" s="3" t="str">
        <f>data!B813</f>
        <v>צור עדי</v>
      </c>
      <c r="C813" s="3">
        <f>data!C813</f>
        <v>20</v>
      </c>
      <c r="D813" s="3" t="str">
        <f>data!F813</f>
        <v>צה"ל</v>
      </c>
      <c r="E813" s="3" t="str">
        <f t="shared" si="1"/>
        <v>adult</v>
      </c>
      <c r="F813" s="3">
        <v>39.0</v>
      </c>
      <c r="G813" s="3" t="s">
        <v>1601</v>
      </c>
      <c r="H813" s="1">
        <f t="shared" si="2"/>
        <v>4</v>
      </c>
    </row>
    <row r="814">
      <c r="A814" s="3">
        <f>data!A814</f>
        <v>245</v>
      </c>
      <c r="B814" s="3" t="str">
        <f>data!B814</f>
        <v>ציוני אופיר</v>
      </c>
      <c r="C814" s="3">
        <f>data!C814</f>
        <v>21</v>
      </c>
      <c r="D814" s="3" t="str">
        <f>data!F814</f>
        <v>צה"ל</v>
      </c>
      <c r="E814" s="3" t="str">
        <f t="shared" si="1"/>
        <v>adult</v>
      </c>
      <c r="F814" s="3">
        <v>39.0</v>
      </c>
      <c r="G814" s="3" t="s">
        <v>1429</v>
      </c>
      <c r="H814" s="1">
        <f t="shared" si="2"/>
        <v>4</v>
      </c>
    </row>
    <row r="815">
      <c r="A815" s="3">
        <f>data!A815</f>
        <v>252</v>
      </c>
      <c r="B815" s="3" t="str">
        <f>data!B815</f>
        <v>צירינג אריה שלמה</v>
      </c>
      <c r="C815" s="3">
        <f>data!C815</f>
        <v>27</v>
      </c>
      <c r="D815" s="3" t="str">
        <f>data!F815</f>
        <v>צה"ל</v>
      </c>
      <c r="E815" s="3" t="str">
        <f t="shared" si="1"/>
        <v>adult</v>
      </c>
      <c r="F815" s="3">
        <v>39.0</v>
      </c>
      <c r="G815" s="3" t="s">
        <v>478</v>
      </c>
      <c r="H815" s="1">
        <f t="shared" si="2"/>
        <v>4</v>
      </c>
    </row>
    <row r="816">
      <c r="A816" s="3">
        <f>data!A816</f>
        <v>1609</v>
      </c>
      <c r="B816" s="3" t="str">
        <f>data!B816</f>
        <v>צפיר דדו</v>
      </c>
      <c r="C816" s="3">
        <f>data!C816</f>
        <v>45</v>
      </c>
      <c r="D816" s="3" t="str">
        <f>data!F816</f>
        <v>אזרחים</v>
      </c>
      <c r="E816" s="3" t="str">
        <f t="shared" si="1"/>
        <v>adult</v>
      </c>
      <c r="F816" s="3">
        <v>39.0</v>
      </c>
      <c r="G816" s="3" t="s">
        <v>136</v>
      </c>
      <c r="H816" s="1">
        <f t="shared" si="2"/>
        <v>4</v>
      </c>
    </row>
    <row r="817">
      <c r="A817" s="3">
        <f>data!A817</f>
        <v>418</v>
      </c>
      <c r="B817" s="3" t="str">
        <f>data!B817</f>
        <v>קוצרו נתיב</v>
      </c>
      <c r="C817" s="3">
        <f>data!C817</f>
        <v>21</v>
      </c>
      <c r="D817" s="3" t="str">
        <f>data!F817</f>
        <v>צה"ל</v>
      </c>
      <c r="E817" s="3" t="str">
        <f t="shared" si="1"/>
        <v>adult</v>
      </c>
      <c r="F817" s="3">
        <v>39.0</v>
      </c>
      <c r="G817" s="3" t="s">
        <v>136</v>
      </c>
      <c r="H817" s="1">
        <f t="shared" si="2"/>
        <v>4</v>
      </c>
    </row>
    <row r="818">
      <c r="A818" s="3">
        <f>data!A818</f>
        <v>489</v>
      </c>
      <c r="B818" s="3" t="str">
        <f>data!B818</f>
        <v>קיעאן חביב</v>
      </c>
      <c r="C818" s="3">
        <f>data!C818</f>
        <v>21</v>
      </c>
      <c r="D818" s="3" t="str">
        <f>data!F818</f>
        <v>צה"ל</v>
      </c>
      <c r="E818" s="3" t="str">
        <f t="shared" si="1"/>
        <v>adult</v>
      </c>
      <c r="F818" s="3">
        <v>39.0</v>
      </c>
      <c r="G818" s="3" t="s">
        <v>1601</v>
      </c>
      <c r="H818" s="1">
        <f t="shared" si="2"/>
        <v>4</v>
      </c>
    </row>
    <row r="819">
      <c r="A819" s="3">
        <f>data!A819</f>
        <v>1461</v>
      </c>
      <c r="B819" s="3" t="str">
        <f>data!B819</f>
        <v>ראשד דניאל</v>
      </c>
      <c r="C819" s="3">
        <f>data!C819</f>
        <v>19</v>
      </c>
      <c r="D819" s="3" t="str">
        <f>data!F819</f>
        <v>צה"ל</v>
      </c>
      <c r="E819" s="3" t="str">
        <f t="shared" si="1"/>
        <v>adult</v>
      </c>
      <c r="F819" s="3">
        <v>39.0</v>
      </c>
      <c r="G819" s="3" t="s">
        <v>1601</v>
      </c>
      <c r="H819" s="1">
        <f t="shared" si="2"/>
        <v>4</v>
      </c>
    </row>
    <row r="820">
      <c r="A820" s="3">
        <f>data!A820</f>
        <v>490</v>
      </c>
      <c r="B820" s="3" t="str">
        <f>data!B820</f>
        <v>רבינוב מקס</v>
      </c>
      <c r="C820" s="3">
        <f>data!C820</f>
        <v>21</v>
      </c>
      <c r="D820" s="3" t="str">
        <f>data!F820</f>
        <v>צה"ל</v>
      </c>
      <c r="E820" s="3" t="str">
        <f t="shared" si="1"/>
        <v>adult</v>
      </c>
      <c r="F820" s="3">
        <v>39.0</v>
      </c>
      <c r="G820" s="3" t="s">
        <v>169</v>
      </c>
      <c r="H820" s="1">
        <f t="shared" si="2"/>
        <v>4</v>
      </c>
    </row>
    <row r="821">
      <c r="A821" s="3">
        <f>data!A821</f>
        <v>493</v>
      </c>
      <c r="B821" s="3" t="str">
        <f>data!B821</f>
        <v>רסלר דביר חיים</v>
      </c>
      <c r="C821" s="3">
        <f>data!C821</f>
        <v>21</v>
      </c>
      <c r="D821" s="3" t="str">
        <f>data!F821</f>
        <v>צה"ל</v>
      </c>
      <c r="E821" s="3" t="str">
        <f t="shared" si="1"/>
        <v>adult</v>
      </c>
      <c r="F821" s="3">
        <v>39.0</v>
      </c>
      <c r="G821" s="3" t="s">
        <v>18</v>
      </c>
      <c r="H821" s="1">
        <f t="shared" si="2"/>
        <v>4</v>
      </c>
    </row>
    <row r="822">
      <c r="A822" s="3">
        <f>data!A822</f>
        <v>1298</v>
      </c>
      <c r="B822" s="3" t="str">
        <f>data!B822</f>
        <v>רפאל שלום מאור</v>
      </c>
      <c r="C822" s="3">
        <f>data!C822</f>
        <v>47</v>
      </c>
      <c r="D822" s="3" t="str">
        <f>data!F822</f>
        <v>שב"כ</v>
      </c>
      <c r="E822" s="3" t="str">
        <f t="shared" si="1"/>
        <v>adult</v>
      </c>
      <c r="F822" s="3">
        <v>40.0</v>
      </c>
      <c r="G822" s="3" t="s">
        <v>18</v>
      </c>
      <c r="H822" s="1">
        <f t="shared" si="2"/>
        <v>5</v>
      </c>
    </row>
    <row r="823">
      <c r="A823" s="3">
        <f>data!A823</f>
        <v>492</v>
      </c>
      <c r="B823" s="3" t="str">
        <f>data!B823</f>
        <v>רשטניקוב שלמה</v>
      </c>
      <c r="C823" s="3">
        <f>data!C823</f>
        <v>20</v>
      </c>
      <c r="D823" s="3" t="str">
        <f>data!F823</f>
        <v>צה"ל</v>
      </c>
      <c r="E823" s="3" t="str">
        <f t="shared" si="1"/>
        <v>adult</v>
      </c>
      <c r="F823" s="3">
        <v>40.0</v>
      </c>
      <c r="G823" s="3" t="s">
        <v>169</v>
      </c>
      <c r="H823" s="1">
        <f t="shared" si="2"/>
        <v>5</v>
      </c>
    </row>
    <row r="824">
      <c r="A824" s="3">
        <f>data!A824</f>
        <v>491</v>
      </c>
      <c r="B824" s="3" t="str">
        <f>data!B824</f>
        <v>רתנר דוד</v>
      </c>
      <c r="C824" s="3">
        <f>data!C824</f>
        <v>20</v>
      </c>
      <c r="D824" s="3" t="str">
        <f>data!F824</f>
        <v>צה"ל</v>
      </c>
      <c r="E824" s="3" t="str">
        <f t="shared" si="1"/>
        <v>adult</v>
      </c>
      <c r="F824" s="3">
        <v>40.0</v>
      </c>
      <c r="G824" s="3" t="s">
        <v>18</v>
      </c>
      <c r="H824" s="1">
        <f t="shared" si="2"/>
        <v>5</v>
      </c>
    </row>
    <row r="825">
      <c r="A825" s="3">
        <f>data!A825</f>
        <v>286</v>
      </c>
      <c r="B825" s="3" t="str">
        <f>data!B825</f>
        <v>שי ירון אורי</v>
      </c>
      <c r="C825" s="3">
        <f>data!C825</f>
        <v>21</v>
      </c>
      <c r="D825" s="3" t="str">
        <f>data!F825</f>
        <v>צה"ל</v>
      </c>
      <c r="E825" s="3" t="str">
        <f t="shared" si="1"/>
        <v>adult</v>
      </c>
      <c r="F825" s="3">
        <v>40.0</v>
      </c>
      <c r="G825" s="3" t="s">
        <v>18</v>
      </c>
      <c r="H825" s="1">
        <f t="shared" si="2"/>
        <v>5</v>
      </c>
    </row>
    <row r="826">
      <c r="A826" s="3">
        <f>data!A826</f>
        <v>994</v>
      </c>
      <c r="B826" s="3" t="str">
        <f>data!B826</f>
        <v>שלומי רום</v>
      </c>
      <c r="C826" s="3">
        <f>data!C826</f>
        <v>23</v>
      </c>
      <c r="D826" s="3" t="str">
        <f>data!F826</f>
        <v>צה"ל</v>
      </c>
      <c r="E826" s="3" t="str">
        <f t="shared" si="1"/>
        <v>adult</v>
      </c>
      <c r="F826" s="3">
        <v>40.0</v>
      </c>
      <c r="G826" s="3" t="s">
        <v>18</v>
      </c>
      <c r="H826" s="1">
        <f t="shared" si="2"/>
        <v>5</v>
      </c>
    </row>
    <row r="827">
      <c r="A827" s="3">
        <f>data!A827</f>
        <v>1279</v>
      </c>
      <c r="B827" s="3" t="str">
        <f>data!B827</f>
        <v>ישראל שני עידו</v>
      </c>
      <c r="C827" s="3">
        <f>data!C827</f>
        <v>29</v>
      </c>
      <c r="D827" s="3" t="str">
        <f>data!F827</f>
        <v>צה"ל</v>
      </c>
      <c r="E827" s="3" t="str">
        <f t="shared" si="1"/>
        <v>adult</v>
      </c>
      <c r="F827" s="3">
        <v>40.0</v>
      </c>
      <c r="G827" s="3" t="s">
        <v>18</v>
      </c>
      <c r="H827" s="1">
        <f t="shared" si="2"/>
        <v>5</v>
      </c>
    </row>
    <row r="828">
      <c r="A828" s="3">
        <f>data!A828</f>
        <v>1496</v>
      </c>
      <c r="B828" s="3" t="str">
        <f>data!B828</f>
        <v>שפרבר דניאל</v>
      </c>
      <c r="C828" s="3">
        <f>data!C828</f>
        <v>20</v>
      </c>
      <c r="D828" s="3" t="str">
        <f>data!F828</f>
        <v>צה"ל</v>
      </c>
      <c r="E828" s="3" t="str">
        <f t="shared" si="1"/>
        <v>adult</v>
      </c>
      <c r="F828" s="3">
        <v>40.0</v>
      </c>
      <c r="G828" s="3" t="s">
        <v>18</v>
      </c>
      <c r="H828" s="1">
        <f t="shared" si="2"/>
        <v>5</v>
      </c>
    </row>
    <row r="829">
      <c r="A829" s="3">
        <f>data!A829</f>
        <v>242</v>
      </c>
      <c r="B829" s="3" t="str">
        <f>data!B829</f>
        <v>שקותאי גלי רועי</v>
      </c>
      <c r="C829" s="3">
        <f>data!C829</f>
        <v>21</v>
      </c>
      <c r="D829" s="3" t="str">
        <f>data!F829</f>
        <v>צה"ל</v>
      </c>
      <c r="E829" s="3" t="str">
        <f t="shared" si="1"/>
        <v>adult</v>
      </c>
      <c r="F829" s="3">
        <v>40.0</v>
      </c>
      <c r="G829" s="3" t="s">
        <v>2229</v>
      </c>
      <c r="H829" s="1">
        <f t="shared" si="2"/>
        <v>5</v>
      </c>
    </row>
    <row r="830">
      <c r="A830" s="3">
        <f>data!A830</f>
        <v>1585</v>
      </c>
      <c r="B830" s="3" t="str">
        <f>data!B830</f>
        <v>טהר אדיר</v>
      </c>
      <c r="C830" s="3">
        <f>data!C830</f>
        <v>19</v>
      </c>
      <c r="D830" s="3" t="str">
        <f>data!F830</f>
        <v>צה"ל</v>
      </c>
      <c r="E830" s="3" t="str">
        <f t="shared" si="1"/>
        <v>adult</v>
      </c>
      <c r="F830" s="3">
        <v>40.0</v>
      </c>
      <c r="G830" s="3" t="s">
        <v>1601</v>
      </c>
      <c r="H830" s="1">
        <f t="shared" si="2"/>
        <v>5</v>
      </c>
    </row>
    <row r="831">
      <c r="A831" s="3">
        <f>data!A831</f>
        <v>254</v>
      </c>
      <c r="B831" s="3" t="str">
        <f>data!B831</f>
        <v>אהרן יוגב</v>
      </c>
      <c r="C831" s="3">
        <f>data!C831</f>
        <v>20</v>
      </c>
      <c r="D831" s="3" t="str">
        <f>data!F831</f>
        <v>צה"ל</v>
      </c>
      <c r="E831" s="3" t="str">
        <f t="shared" si="1"/>
        <v>adult</v>
      </c>
      <c r="F831" s="3">
        <v>40.0</v>
      </c>
      <c r="G831" s="3" t="s">
        <v>169</v>
      </c>
      <c r="H831" s="1">
        <f t="shared" si="2"/>
        <v>5</v>
      </c>
    </row>
    <row r="832">
      <c r="A832" s="3">
        <f>data!A832</f>
        <v>1725</v>
      </c>
      <c r="B832" s="3" t="str">
        <f>data!B832</f>
        <v>אוחיון אביתר</v>
      </c>
      <c r="C832" s="3">
        <f>data!C832</f>
        <v>22</v>
      </c>
      <c r="D832" s="3" t="str">
        <f>data!F832</f>
        <v>צה"ל</v>
      </c>
      <c r="E832" s="3" t="str">
        <f t="shared" si="1"/>
        <v>adult</v>
      </c>
      <c r="F832" s="3">
        <v>40.0</v>
      </c>
      <c r="G832" s="3" t="s">
        <v>169</v>
      </c>
      <c r="H832" s="1">
        <f t="shared" si="2"/>
        <v>5</v>
      </c>
    </row>
    <row r="833">
      <c r="A833" s="3">
        <f>data!A833</f>
        <v>213</v>
      </c>
      <c r="B833" s="3" t="str">
        <f>data!B833</f>
        <v>בזק גיא</v>
      </c>
      <c r="C833" s="3">
        <f>data!C833</f>
        <v>19</v>
      </c>
      <c r="D833" s="3" t="str">
        <f>data!F833</f>
        <v>צה"ל</v>
      </c>
      <c r="E833" s="3" t="str">
        <f t="shared" si="1"/>
        <v>adult</v>
      </c>
      <c r="F833" s="3">
        <v>40.0</v>
      </c>
      <c r="G833" s="3" t="s">
        <v>169</v>
      </c>
      <c r="H833" s="1">
        <f t="shared" si="2"/>
        <v>5</v>
      </c>
    </row>
    <row r="834">
      <c r="A834" s="3">
        <f>data!A834</f>
        <v>483</v>
      </c>
      <c r="B834" s="3" t="str">
        <f>data!B834</f>
        <v>בטיטו ראם מאיר</v>
      </c>
      <c r="C834" s="3">
        <f>data!C834</f>
        <v>19</v>
      </c>
      <c r="D834" s="3" t="str">
        <f>data!F834</f>
        <v>צה"ל</v>
      </c>
      <c r="E834" s="3" t="str">
        <f t="shared" si="1"/>
        <v>adult</v>
      </c>
      <c r="F834" s="3">
        <v>40.0</v>
      </c>
      <c r="G834" s="3" t="s">
        <v>169</v>
      </c>
      <c r="H834" s="1">
        <f t="shared" si="2"/>
        <v>5</v>
      </c>
    </row>
    <row r="835">
      <c r="A835" s="3">
        <f>data!A835</f>
        <v>374</v>
      </c>
      <c r="B835" s="3" t="str">
        <f>data!B835</f>
        <v>בלאי בנימין</v>
      </c>
      <c r="C835" s="3">
        <f>data!C835</f>
        <v>20</v>
      </c>
      <c r="D835" s="3" t="str">
        <f>data!F835</f>
        <v>צה"ל</v>
      </c>
      <c r="E835" s="3" t="str">
        <f t="shared" si="1"/>
        <v>adult</v>
      </c>
      <c r="F835" s="3">
        <v>40.0</v>
      </c>
      <c r="G835" s="3" t="s">
        <v>169</v>
      </c>
      <c r="H835" s="1">
        <f t="shared" si="2"/>
        <v>5</v>
      </c>
    </row>
    <row r="836">
      <c r="A836" s="3">
        <f>data!A836</f>
        <v>1443</v>
      </c>
      <c r="B836" s="3" t="str">
        <f>data!B836</f>
        <v>בן חמו מיכאל</v>
      </c>
      <c r="C836" s="3">
        <f>data!C836</f>
        <v>21</v>
      </c>
      <c r="D836" s="3" t="str">
        <f>data!F836</f>
        <v>צה"ל</v>
      </c>
      <c r="E836" s="3" t="str">
        <f t="shared" si="1"/>
        <v>adult</v>
      </c>
      <c r="F836" s="3">
        <v>40.0</v>
      </c>
      <c r="G836" s="3" t="s">
        <v>169</v>
      </c>
      <c r="H836" s="1">
        <f t="shared" si="2"/>
        <v>5</v>
      </c>
    </row>
    <row r="837">
      <c r="A837" s="3">
        <f>data!A837</f>
        <v>2011</v>
      </c>
      <c r="B837" s="3" t="str">
        <f>data!B837</f>
        <v>בן מוחה עילי נועם</v>
      </c>
      <c r="C837" s="3">
        <f>data!C837</f>
        <v>20</v>
      </c>
      <c r="D837" s="3" t="str">
        <f>data!F837</f>
        <v>צה"ל</v>
      </c>
      <c r="E837" s="3" t="str">
        <f t="shared" si="1"/>
        <v>adult</v>
      </c>
      <c r="F837" s="3">
        <v>40.0</v>
      </c>
      <c r="G837" s="3" t="s">
        <v>169</v>
      </c>
      <c r="H837" s="1">
        <f t="shared" si="2"/>
        <v>5</v>
      </c>
    </row>
    <row r="838">
      <c r="A838" s="3">
        <f>data!A838</f>
        <v>1294</v>
      </c>
      <c r="B838" s="3" t="str">
        <f>data!B838</f>
        <v>טקה בנימין טשגר</v>
      </c>
      <c r="C838" s="3">
        <f>data!C838</f>
        <v>21</v>
      </c>
      <c r="D838" s="3" t="str">
        <f>data!F838</f>
        <v>צה"ל</v>
      </c>
      <c r="E838" s="3" t="str">
        <f t="shared" si="1"/>
        <v>adult</v>
      </c>
      <c r="F838" s="3">
        <v>40.0</v>
      </c>
      <c r="G838" s="3" t="s">
        <v>169</v>
      </c>
      <c r="H838" s="1">
        <f t="shared" si="2"/>
        <v>5</v>
      </c>
    </row>
    <row r="839">
      <c r="A839" s="3">
        <f>data!A839</f>
        <v>1712</v>
      </c>
      <c r="B839" s="3" t="str">
        <f>data!B839</f>
        <v>מיטלמן דוד</v>
      </c>
      <c r="C839" s="3">
        <f>data!C839</f>
        <v>20</v>
      </c>
      <c r="D839" s="3" t="str">
        <f>data!F839</f>
        <v>צה"ל</v>
      </c>
      <c r="E839" s="3" t="str">
        <f t="shared" si="1"/>
        <v>adult</v>
      </c>
      <c r="F839" s="3">
        <v>40.0</v>
      </c>
      <c r="G839" s="3" t="s">
        <v>169</v>
      </c>
      <c r="H839" s="1">
        <f t="shared" si="2"/>
        <v>5</v>
      </c>
    </row>
    <row r="840">
      <c r="A840" s="3">
        <f>data!A840</f>
        <v>392</v>
      </c>
      <c r="B840" s="3" t="str">
        <f>data!B840</f>
        <v>סביצקי יונתן</v>
      </c>
      <c r="C840" s="3">
        <f>data!C840</f>
        <v>21</v>
      </c>
      <c r="D840" s="3" t="str">
        <f>data!F840</f>
        <v>צה"ל</v>
      </c>
      <c r="E840" s="3" t="str">
        <f t="shared" si="1"/>
        <v>adult</v>
      </c>
      <c r="F840" s="3">
        <v>40.0</v>
      </c>
      <c r="G840" s="3" t="s">
        <v>169</v>
      </c>
      <c r="H840" s="1">
        <f t="shared" si="2"/>
        <v>5</v>
      </c>
    </row>
    <row r="841">
      <c r="A841" s="3">
        <f>data!A841</f>
        <v>380</v>
      </c>
      <c r="B841" s="3" t="str">
        <f>data!B841</f>
        <v>סגל אוריאל</v>
      </c>
      <c r="C841" s="3">
        <f>data!C841</f>
        <v>19</v>
      </c>
      <c r="D841" s="3" t="str">
        <f>data!F841</f>
        <v>צה"ל</v>
      </c>
      <c r="E841" s="3" t="str">
        <f t="shared" si="1"/>
        <v>adult</v>
      </c>
      <c r="F841" s="3">
        <v>40.0</v>
      </c>
      <c r="G841" s="3" t="s">
        <v>169</v>
      </c>
      <c r="H841" s="1">
        <f t="shared" si="2"/>
        <v>5</v>
      </c>
    </row>
    <row r="842">
      <c r="A842" s="3">
        <f>data!A842</f>
        <v>397</v>
      </c>
      <c r="B842" s="3" t="str">
        <f>data!B842</f>
        <v>פלד עמית</v>
      </c>
      <c r="C842" s="3">
        <f>data!C842</f>
        <v>21</v>
      </c>
      <c r="D842" s="3" t="str">
        <f>data!F842</f>
        <v>צה"ל</v>
      </c>
      <c r="E842" s="3" t="str">
        <f t="shared" si="1"/>
        <v>adult</v>
      </c>
      <c r="F842" s="3">
        <v>40.0</v>
      </c>
      <c r="G842" s="3" t="s">
        <v>478</v>
      </c>
      <c r="H842" s="1">
        <f t="shared" si="2"/>
        <v>5</v>
      </c>
    </row>
    <row r="843">
      <c r="A843" s="3">
        <f>data!A843</f>
        <v>398</v>
      </c>
      <c r="B843" s="3" t="str">
        <f>data!B843</f>
        <v>פרץ רז (רזיאל)</v>
      </c>
      <c r="C843" s="3">
        <f>data!C843</f>
        <v>24</v>
      </c>
      <c r="D843" s="3" t="str">
        <f>data!F843</f>
        <v>צה"ל</v>
      </c>
      <c r="E843" s="3" t="str">
        <f t="shared" si="1"/>
        <v>adult</v>
      </c>
      <c r="F843" s="3">
        <v>41.0</v>
      </c>
      <c r="G843" s="3" t="s">
        <v>18</v>
      </c>
      <c r="H843" s="1">
        <f t="shared" si="2"/>
        <v>5</v>
      </c>
    </row>
    <row r="844">
      <c r="A844" s="3">
        <f>data!A844</f>
        <v>1733</v>
      </c>
      <c r="B844" s="3" t="str">
        <f>data!B844</f>
        <v>רובין עמיחי שמעון</v>
      </c>
      <c r="C844" s="3">
        <f>data!C844</f>
        <v>23</v>
      </c>
      <c r="D844" s="3" t="str">
        <f>data!F844</f>
        <v>צה"ל</v>
      </c>
      <c r="E844" s="3" t="str">
        <f t="shared" si="1"/>
        <v>adult</v>
      </c>
      <c r="F844" s="3">
        <v>41.0</v>
      </c>
      <c r="G844" s="3" t="s">
        <v>18</v>
      </c>
      <c r="H844" s="1">
        <f t="shared" si="2"/>
        <v>5</v>
      </c>
    </row>
    <row r="845">
      <c r="A845" s="3">
        <f>data!A845</f>
        <v>1285</v>
      </c>
      <c r="B845" s="3" t="str">
        <f>data!B845</f>
        <v>רוזנשטיין בר</v>
      </c>
      <c r="C845" s="3">
        <f>data!C845</f>
        <v>20</v>
      </c>
      <c r="D845" s="3" t="str">
        <f>data!F845</f>
        <v>צה"ל</v>
      </c>
      <c r="E845" s="3" t="str">
        <f t="shared" si="1"/>
        <v>adult</v>
      </c>
      <c r="F845" s="3">
        <v>41.0</v>
      </c>
      <c r="G845" s="3" t="s">
        <v>18</v>
      </c>
      <c r="H845" s="1">
        <f t="shared" si="2"/>
        <v>5</v>
      </c>
    </row>
    <row r="846">
      <c r="A846" s="3">
        <f>data!A846</f>
        <v>2012</v>
      </c>
      <c r="B846" s="3" t="str">
        <f>data!B846</f>
        <v>שני אורי מרדכי</v>
      </c>
      <c r="C846" s="3">
        <f>data!C846</f>
        <v>22</v>
      </c>
      <c r="D846" s="3" t="str">
        <f>data!F846</f>
        <v>צה"ל</v>
      </c>
      <c r="E846" s="3" t="str">
        <f t="shared" si="1"/>
        <v>adult</v>
      </c>
      <c r="F846" s="3">
        <v>41.0</v>
      </c>
      <c r="G846" s="3" t="s">
        <v>18</v>
      </c>
      <c r="H846" s="1">
        <f t="shared" si="2"/>
        <v>5</v>
      </c>
    </row>
    <row r="847">
      <c r="A847" s="3">
        <f>data!A847</f>
        <v>1287</v>
      </c>
      <c r="B847" s="3" t="str">
        <f>data!B847</f>
        <v>ששון אלעד מיכאל</v>
      </c>
      <c r="C847" s="3">
        <f>data!C847</f>
        <v>21</v>
      </c>
      <c r="D847" s="3" t="str">
        <f>data!F847</f>
        <v>צה"ל</v>
      </c>
      <c r="E847" s="3" t="str">
        <f t="shared" si="1"/>
        <v>adult</v>
      </c>
      <c r="F847" s="3">
        <v>41.0</v>
      </c>
      <c r="G847" s="3" t="s">
        <v>136</v>
      </c>
      <c r="H847" s="1">
        <f t="shared" si="2"/>
        <v>5</v>
      </c>
    </row>
    <row r="848">
      <c r="A848" s="3">
        <f>data!A848</f>
        <v>1732</v>
      </c>
      <c r="B848" s="3" t="str">
        <f>data!B848</f>
        <v>ראוכברגר שילה</v>
      </c>
      <c r="C848" s="3">
        <f>data!C848</f>
        <v>23</v>
      </c>
      <c r="D848" s="3" t="str">
        <f>data!F848</f>
        <v>צה"ל</v>
      </c>
      <c r="E848" s="3" t="str">
        <f t="shared" si="1"/>
        <v>adult</v>
      </c>
      <c r="F848" s="3">
        <v>41.0</v>
      </c>
      <c r="G848" s="3" t="s">
        <v>478</v>
      </c>
      <c r="H848" s="1">
        <f t="shared" si="2"/>
        <v>5</v>
      </c>
    </row>
    <row r="849">
      <c r="A849" s="3">
        <f>data!A849</f>
        <v>459</v>
      </c>
      <c r="B849" s="3" t="str">
        <f>data!B849</f>
        <v>אברמוביץ' נועם</v>
      </c>
      <c r="C849" s="3">
        <f>data!C849</f>
        <v>19</v>
      </c>
      <c r="D849" s="3" t="str">
        <f>data!F849</f>
        <v>צה"ל</v>
      </c>
      <c r="E849" s="3" t="str">
        <f t="shared" si="1"/>
        <v>adult</v>
      </c>
      <c r="F849" s="3">
        <v>41.0</v>
      </c>
      <c r="G849" s="3" t="s">
        <v>1601</v>
      </c>
      <c r="H849" s="1">
        <f t="shared" si="2"/>
        <v>5</v>
      </c>
    </row>
    <row r="850">
      <c r="A850" s="3">
        <f>data!A850</f>
        <v>473</v>
      </c>
      <c r="B850" s="3" t="str">
        <f>data!B850</f>
        <v>איל אמיר</v>
      </c>
      <c r="C850" s="3">
        <f>data!C850</f>
        <v>19</v>
      </c>
      <c r="D850" s="3" t="str">
        <f>data!F850</f>
        <v>צה"ל</v>
      </c>
      <c r="E850" s="3" t="str">
        <f t="shared" si="1"/>
        <v>adult</v>
      </c>
      <c r="F850" s="3">
        <v>41.0</v>
      </c>
      <c r="G850" s="3" t="s">
        <v>1809</v>
      </c>
      <c r="H850" s="1">
        <f t="shared" si="2"/>
        <v>5</v>
      </c>
    </row>
    <row r="851">
      <c r="A851" s="3">
        <f>data!A851</f>
        <v>1544</v>
      </c>
      <c r="B851" s="3" t="str">
        <f>data!B851</f>
        <v>אילת שיר</v>
      </c>
      <c r="C851" s="3">
        <f>data!C851</f>
        <v>20</v>
      </c>
      <c r="D851" s="3" t="str">
        <f>data!F851</f>
        <v>צה"ל</v>
      </c>
      <c r="E851" s="3" t="str">
        <f t="shared" si="1"/>
        <v>adult</v>
      </c>
      <c r="F851" s="3">
        <v>41.0</v>
      </c>
      <c r="G851" s="3" t="s">
        <v>136</v>
      </c>
      <c r="H851" s="1">
        <f t="shared" si="2"/>
        <v>5</v>
      </c>
    </row>
    <row r="852">
      <c r="A852" s="3">
        <f>data!A852</f>
        <v>1497</v>
      </c>
      <c r="B852" s="3" t="str">
        <f>data!B852</f>
        <v>אמויאל דולב</v>
      </c>
      <c r="C852" s="3">
        <f>data!C852</f>
        <v>21</v>
      </c>
      <c r="D852" s="3" t="str">
        <f>data!F852</f>
        <v>צה"ל</v>
      </c>
      <c r="E852" s="3" t="str">
        <f t="shared" si="1"/>
        <v>adult</v>
      </c>
      <c r="F852" s="3">
        <v>41.0</v>
      </c>
      <c r="G852" s="3" t="s">
        <v>478</v>
      </c>
      <c r="H852" s="1">
        <f t="shared" si="2"/>
        <v>5</v>
      </c>
    </row>
    <row r="853">
      <c r="A853" s="3">
        <f>data!A853</f>
        <v>464</v>
      </c>
      <c r="B853" s="3" t="str">
        <f>data!B853</f>
        <v>אסראף סיון שמחה</v>
      </c>
      <c r="C853" s="3">
        <f>data!C853</f>
        <v>20</v>
      </c>
      <c r="D853" s="3" t="str">
        <f>data!F853</f>
        <v>צה"ל</v>
      </c>
      <c r="E853" s="3" t="str">
        <f t="shared" si="1"/>
        <v>adult</v>
      </c>
      <c r="F853" s="3">
        <v>42.0</v>
      </c>
      <c r="G853" s="3" t="s">
        <v>169</v>
      </c>
      <c r="H853" s="1">
        <f t="shared" si="2"/>
        <v>5</v>
      </c>
    </row>
    <row r="854">
      <c r="A854" s="3">
        <f>data!A854</f>
        <v>1313</v>
      </c>
      <c r="B854" s="3" t="str">
        <f>data!B854</f>
        <v>אשל רוני</v>
      </c>
      <c r="C854" s="3">
        <f>data!C854</f>
        <v>19</v>
      </c>
      <c r="D854" s="3" t="str">
        <f>data!F854</f>
        <v>צה"ל</v>
      </c>
      <c r="E854" s="3" t="str">
        <f t="shared" si="1"/>
        <v>adult</v>
      </c>
      <c r="F854" s="3">
        <v>42.0</v>
      </c>
      <c r="G854" s="3" t="s">
        <v>18</v>
      </c>
      <c r="H854" s="1">
        <f t="shared" si="2"/>
        <v>5</v>
      </c>
    </row>
    <row r="855">
      <c r="A855" s="3">
        <f>data!A855</f>
        <v>463</v>
      </c>
      <c r="B855" s="3" t="str">
        <f>data!B855</f>
        <v>אשרם שי</v>
      </c>
      <c r="C855" s="3">
        <f>data!C855</f>
        <v>19</v>
      </c>
      <c r="D855" s="3" t="str">
        <f>data!F855</f>
        <v>צה"ל</v>
      </c>
      <c r="E855" s="3" t="str">
        <f t="shared" si="1"/>
        <v>adult</v>
      </c>
      <c r="F855" s="3">
        <v>42.0</v>
      </c>
      <c r="G855" s="3" t="s">
        <v>18</v>
      </c>
      <c r="H855" s="1">
        <f t="shared" si="2"/>
        <v>5</v>
      </c>
    </row>
    <row r="856">
      <c r="A856" s="3">
        <f>data!A856</f>
        <v>217</v>
      </c>
      <c r="B856" s="3" t="str">
        <f>data!B856</f>
        <v>ביטון שיר</v>
      </c>
      <c r="C856" s="3">
        <f>data!C856</f>
        <v>19</v>
      </c>
      <c r="D856" s="3" t="str">
        <f>data!F856</f>
        <v>צה"ל</v>
      </c>
      <c r="E856" s="3" t="str">
        <f t="shared" si="1"/>
        <v>adult</v>
      </c>
      <c r="F856" s="3">
        <v>42.0</v>
      </c>
      <c r="G856" s="3" t="s">
        <v>18</v>
      </c>
      <c r="H856" s="1">
        <f t="shared" si="2"/>
        <v>5</v>
      </c>
    </row>
    <row r="857">
      <c r="A857" s="3">
        <f>data!A857</f>
        <v>1378</v>
      </c>
      <c r="B857" s="3" t="str">
        <f>data!B857</f>
        <v>בן שטרית שמעון אלרואי</v>
      </c>
      <c r="C857" s="3">
        <f>data!C857</f>
        <v>20</v>
      </c>
      <c r="D857" s="3" t="str">
        <f>data!F857</f>
        <v>צה"ל</v>
      </c>
      <c r="E857" s="3" t="str">
        <f t="shared" si="1"/>
        <v>adult</v>
      </c>
      <c r="F857" s="3">
        <v>42.0</v>
      </c>
      <c r="G857" s="3" t="s">
        <v>169</v>
      </c>
      <c r="H857" s="1">
        <f t="shared" si="2"/>
        <v>5</v>
      </c>
    </row>
    <row r="858">
      <c r="A858" s="3">
        <f>data!A858</f>
        <v>1495</v>
      </c>
      <c r="B858" s="3" t="str">
        <f>data!B858</f>
        <v>גלס ים</v>
      </c>
      <c r="C858" s="3">
        <f>data!C858</f>
        <v>20</v>
      </c>
      <c r="D858" s="3" t="str">
        <f>data!F858</f>
        <v>צה"ל</v>
      </c>
      <c r="E858" s="3" t="str">
        <f t="shared" si="1"/>
        <v>adult</v>
      </c>
      <c r="F858" s="3">
        <v>42.0</v>
      </c>
      <c r="G858" s="3" t="s">
        <v>18</v>
      </c>
      <c r="H858" s="1">
        <f t="shared" si="2"/>
        <v>5</v>
      </c>
    </row>
    <row r="859">
      <c r="A859" s="3">
        <f>data!A859</f>
        <v>474</v>
      </c>
      <c r="B859" s="3" t="str">
        <f>data!B859</f>
        <v>גרומן עדי</v>
      </c>
      <c r="C859" s="3">
        <f>data!C859</f>
        <v>19</v>
      </c>
      <c r="D859" s="3" t="str">
        <f>data!F859</f>
        <v>צה"ל</v>
      </c>
      <c r="E859" s="3" t="str">
        <f t="shared" si="1"/>
        <v>adult</v>
      </c>
      <c r="F859" s="3">
        <v>42.0</v>
      </c>
      <c r="G859" s="3" t="s">
        <v>1601</v>
      </c>
      <c r="H859" s="1">
        <f t="shared" si="2"/>
        <v>5</v>
      </c>
    </row>
    <row r="860">
      <c r="A860" s="3">
        <f>data!A860</f>
        <v>1605</v>
      </c>
      <c r="B860" s="3" t="str">
        <f>data!B860</f>
        <v>דוכן יוחאי</v>
      </c>
      <c r="C860" s="3">
        <f>data!C860</f>
        <v>26</v>
      </c>
      <c r="D860" s="3" t="str">
        <f>data!F860</f>
        <v>צה"ל</v>
      </c>
      <c r="E860" s="3" t="str">
        <f t="shared" si="1"/>
        <v>adult</v>
      </c>
      <c r="F860" s="3">
        <v>42.0</v>
      </c>
      <c r="G860" s="3" t="s">
        <v>478</v>
      </c>
      <c r="H860" s="1">
        <f t="shared" si="2"/>
        <v>5</v>
      </c>
    </row>
    <row r="861">
      <c r="A861" s="3">
        <f>data!A861</f>
        <v>416</v>
      </c>
      <c r="B861" s="3" t="str">
        <f>data!B861</f>
        <v>הר אבן שילה</v>
      </c>
      <c r="C861" s="3">
        <f>data!C861</f>
        <v>25</v>
      </c>
      <c r="D861" s="3" t="str">
        <f>data!F861</f>
        <v>צה"ל</v>
      </c>
      <c r="E861" s="3" t="str">
        <f t="shared" si="1"/>
        <v>adult</v>
      </c>
      <c r="F861" s="3">
        <v>42.0</v>
      </c>
      <c r="G861" s="3" t="s">
        <v>1809</v>
      </c>
      <c r="H861" s="1">
        <f t="shared" si="2"/>
        <v>5</v>
      </c>
    </row>
    <row r="862">
      <c r="A862" s="3">
        <f>data!A862</f>
        <v>1642</v>
      </c>
      <c r="B862" s="3" t="str">
        <f>data!B862</f>
        <v>ויאלובו פולו מיה</v>
      </c>
      <c r="C862" s="3">
        <f>data!C862</f>
        <v>19</v>
      </c>
      <c r="D862" s="3" t="str">
        <f>data!F862</f>
        <v>צה"ל</v>
      </c>
      <c r="E862" s="3" t="str">
        <f t="shared" si="1"/>
        <v>adult</v>
      </c>
      <c r="F862" s="3">
        <v>42.0</v>
      </c>
      <c r="G862" s="3" t="s">
        <v>478</v>
      </c>
      <c r="H862" s="1">
        <f t="shared" si="2"/>
        <v>5</v>
      </c>
    </row>
    <row r="863">
      <c r="A863" s="3">
        <f>data!A863</f>
        <v>1641</v>
      </c>
      <c r="B863" s="3" t="str">
        <f>data!B863</f>
        <v>חג'ג' אביב</v>
      </c>
      <c r="C863" s="3">
        <f>data!C863</f>
        <v>19</v>
      </c>
      <c r="D863" s="3" t="str">
        <f>data!F863</f>
        <v>צה"ל</v>
      </c>
      <c r="E863" s="3" t="str">
        <f t="shared" si="1"/>
        <v>adult</v>
      </c>
      <c r="F863" s="3">
        <v>42.0</v>
      </c>
      <c r="G863" s="3" t="s">
        <v>18</v>
      </c>
      <c r="H863" s="1">
        <f t="shared" si="2"/>
        <v>5</v>
      </c>
    </row>
    <row r="864">
      <c r="A864" s="3">
        <f>data!A864</f>
        <v>1394</v>
      </c>
      <c r="B864" s="3" t="str">
        <f>data!B864</f>
        <v>חיים פור שיראל</v>
      </c>
      <c r="C864" s="3">
        <f>data!C864</f>
        <v>20</v>
      </c>
      <c r="D864" s="3" t="str">
        <f>data!F864</f>
        <v>צה"ל</v>
      </c>
      <c r="E864" s="3" t="str">
        <f t="shared" si="1"/>
        <v>adult</v>
      </c>
      <c r="F864" s="3">
        <v>43.0</v>
      </c>
      <c r="G864" s="3" t="s">
        <v>18</v>
      </c>
      <c r="H864" s="1">
        <f t="shared" si="2"/>
        <v>5</v>
      </c>
    </row>
    <row r="865">
      <c r="A865" s="3">
        <f>data!A865</f>
        <v>1181</v>
      </c>
      <c r="B865" s="3" t="str">
        <f>data!B865</f>
        <v>יוגב בועז מנשה</v>
      </c>
      <c r="C865" s="3">
        <f>data!C865</f>
        <v>19</v>
      </c>
      <c r="D865" s="3" t="str">
        <f>data!F865</f>
        <v>צה"ל</v>
      </c>
      <c r="E865" s="3" t="str">
        <f t="shared" si="1"/>
        <v>adult</v>
      </c>
      <c r="F865" s="3">
        <v>43.0</v>
      </c>
      <c r="G865" s="3" t="s">
        <v>18</v>
      </c>
      <c r="H865" s="1">
        <f t="shared" si="2"/>
        <v>5</v>
      </c>
    </row>
    <row r="866">
      <c r="A866" s="3">
        <f>data!A866</f>
        <v>248</v>
      </c>
      <c r="B866" s="3" t="str">
        <f>data!B866</f>
        <v>יעבץ יפתח</v>
      </c>
      <c r="C866" s="3">
        <f>data!C866</f>
        <v>23</v>
      </c>
      <c r="D866" s="3" t="str">
        <f>data!F866</f>
        <v>צה"ל</v>
      </c>
      <c r="E866" s="3" t="str">
        <f t="shared" si="1"/>
        <v>adult</v>
      </c>
      <c r="F866" s="3">
        <v>43.0</v>
      </c>
      <c r="G866" s="3" t="s">
        <v>18</v>
      </c>
      <c r="H866" s="1">
        <f t="shared" si="2"/>
        <v>5</v>
      </c>
    </row>
    <row r="867">
      <c r="A867" s="3">
        <f>data!A867</f>
        <v>472</v>
      </c>
      <c r="B867" s="3" t="str">
        <f>data!B867</f>
        <v>כהן הדר מרים</v>
      </c>
      <c r="C867" s="3">
        <f>data!C867</f>
        <v>18</v>
      </c>
      <c r="D867" s="3" t="str">
        <f>data!F867</f>
        <v>צה"ל</v>
      </c>
      <c r="E867" s="3" t="str">
        <f t="shared" si="1"/>
        <v>adult</v>
      </c>
      <c r="F867" s="3">
        <v>43.0</v>
      </c>
      <c r="G867" s="3" t="s">
        <v>169</v>
      </c>
      <c r="H867" s="1">
        <f t="shared" si="2"/>
        <v>5</v>
      </c>
    </row>
    <row r="868">
      <c r="A868" s="3">
        <f>data!A868</f>
        <v>476</v>
      </c>
      <c r="B868" s="3" t="str">
        <f>data!B868</f>
        <v>כרמי אורי</v>
      </c>
      <c r="C868" s="3">
        <f>data!C868</f>
        <v>20</v>
      </c>
      <c r="D868" s="3" t="str">
        <f>data!F868</f>
        <v>צה"ל</v>
      </c>
      <c r="E868" s="3" t="str">
        <f t="shared" si="1"/>
        <v>adult</v>
      </c>
      <c r="F868" s="3">
        <v>43.0</v>
      </c>
      <c r="G868" s="3" t="s">
        <v>18</v>
      </c>
      <c r="H868" s="1">
        <f t="shared" si="2"/>
        <v>5</v>
      </c>
    </row>
    <row r="869">
      <c r="A869" s="3">
        <f>data!A869</f>
        <v>477</v>
      </c>
      <c r="B869" s="3" t="str">
        <f>data!B869</f>
        <v>לזימי דור</v>
      </c>
      <c r="C869" s="3">
        <f>data!C869</f>
        <v>21</v>
      </c>
      <c r="D869" s="3" t="str">
        <f>data!F869</f>
        <v>צה"ל</v>
      </c>
      <c r="E869" s="3" t="str">
        <f t="shared" si="1"/>
        <v>adult</v>
      </c>
      <c r="F869" s="3">
        <v>43.0</v>
      </c>
      <c r="G869" s="3" t="s">
        <v>18</v>
      </c>
      <c r="H869" s="1">
        <f t="shared" si="2"/>
        <v>5</v>
      </c>
    </row>
    <row r="870">
      <c r="A870" s="3">
        <f>data!A870</f>
        <v>478</v>
      </c>
      <c r="B870" s="3" t="str">
        <f>data!B870</f>
        <v>לייבושור יעל</v>
      </c>
      <c r="C870" s="3">
        <f>data!C870</f>
        <v>20</v>
      </c>
      <c r="D870" s="3" t="str">
        <f>data!F870</f>
        <v>צה"ל</v>
      </c>
      <c r="E870" s="3" t="str">
        <f t="shared" si="1"/>
        <v>adult</v>
      </c>
      <c r="F870" s="3">
        <v>43.0</v>
      </c>
      <c r="G870" s="3" t="s">
        <v>1601</v>
      </c>
      <c r="H870" s="1">
        <f t="shared" si="2"/>
        <v>5</v>
      </c>
    </row>
    <row r="871">
      <c r="A871" s="3">
        <f>data!A871</f>
        <v>1518</v>
      </c>
      <c r="B871" s="3" t="str">
        <f>data!B871</f>
        <v>לנדמן עדי</v>
      </c>
      <c r="C871" s="3">
        <f>data!C871</f>
        <v>19</v>
      </c>
      <c r="D871" s="3" t="str">
        <f>data!F871</f>
        <v>צה"ל</v>
      </c>
      <c r="E871" s="3" t="str">
        <f t="shared" si="1"/>
        <v>adult</v>
      </c>
      <c r="F871" s="3">
        <v>43.0</v>
      </c>
      <c r="G871" s="3" t="s">
        <v>136</v>
      </c>
      <c r="H871" s="1">
        <f t="shared" si="2"/>
        <v>5</v>
      </c>
    </row>
    <row r="872">
      <c r="A872" s="3">
        <f>data!A872</f>
        <v>1543</v>
      </c>
      <c r="B872" s="3" t="str">
        <f>data!B872</f>
        <v>מור שיראל</v>
      </c>
      <c r="C872" s="3">
        <f>data!C872</f>
        <v>19</v>
      </c>
      <c r="D872" s="3" t="str">
        <f>data!F872</f>
        <v>צה"ל</v>
      </c>
      <c r="E872" s="3" t="str">
        <f t="shared" si="1"/>
        <v>adult</v>
      </c>
      <c r="F872" s="3">
        <v>43.0</v>
      </c>
      <c r="G872" s="3" t="s">
        <v>1601</v>
      </c>
      <c r="H872" s="1">
        <f t="shared" si="2"/>
        <v>5</v>
      </c>
    </row>
    <row r="873">
      <c r="A873" s="3">
        <f>data!A873</f>
        <v>1475</v>
      </c>
      <c r="B873" s="3" t="str">
        <f>data!B873</f>
        <v>נימרי עדן</v>
      </c>
      <c r="C873" s="3">
        <f>data!C873</f>
        <v>22</v>
      </c>
      <c r="D873" s="3" t="str">
        <f>data!F873</f>
        <v>צה"ל</v>
      </c>
      <c r="E873" s="3" t="str">
        <f t="shared" si="1"/>
        <v>adult</v>
      </c>
      <c r="F873" s="3">
        <v>43.0</v>
      </c>
      <c r="G873" s="3" t="s">
        <v>1601</v>
      </c>
      <c r="H873" s="1">
        <f t="shared" si="2"/>
        <v>5</v>
      </c>
    </row>
    <row r="874">
      <c r="A874" s="3">
        <f>data!A874</f>
        <v>486</v>
      </c>
      <c r="B874" s="3" t="str">
        <f>data!B874</f>
        <v>ניסני שחף</v>
      </c>
      <c r="C874" s="3">
        <f>data!C874</f>
        <v>20</v>
      </c>
      <c r="D874" s="3" t="str">
        <f>data!F874</f>
        <v>צה"ל</v>
      </c>
      <c r="E874" s="3" t="str">
        <f t="shared" si="1"/>
        <v>adult</v>
      </c>
      <c r="F874" s="3">
        <v>43.0</v>
      </c>
      <c r="G874" s="3" t="s">
        <v>169</v>
      </c>
      <c r="H874" s="1">
        <f t="shared" si="2"/>
        <v>5</v>
      </c>
    </row>
    <row r="875">
      <c r="A875" s="3">
        <f>data!A875</f>
        <v>495</v>
      </c>
      <c r="B875" s="3" t="str">
        <f>data!B875</f>
        <v>סיבוני נאור</v>
      </c>
      <c r="C875" s="3">
        <f>data!C875</f>
        <v>20</v>
      </c>
      <c r="D875" s="3" t="str">
        <f>data!F875</f>
        <v>צה"ל</v>
      </c>
      <c r="E875" s="3" t="str">
        <f t="shared" si="1"/>
        <v>adult</v>
      </c>
      <c r="F875" s="3">
        <v>44.0</v>
      </c>
      <c r="G875" s="3" t="s">
        <v>18</v>
      </c>
      <c r="H875" s="1">
        <f t="shared" si="2"/>
        <v>5</v>
      </c>
    </row>
    <row r="876">
      <c r="A876" s="3">
        <f>data!A876</f>
        <v>461</v>
      </c>
      <c r="B876" s="3" t="str">
        <f>data!B876</f>
        <v>עמר שירת ים</v>
      </c>
      <c r="C876" s="3">
        <f>data!C876</f>
        <v>18</v>
      </c>
      <c r="D876" s="3" t="str">
        <f>data!F876</f>
        <v>צה"ל</v>
      </c>
      <c r="E876" s="3" t="str">
        <f t="shared" si="1"/>
        <v>adult</v>
      </c>
      <c r="F876" s="3">
        <v>44.0</v>
      </c>
      <c r="G876" s="3" t="s">
        <v>18</v>
      </c>
      <c r="H876" s="1">
        <f t="shared" si="2"/>
        <v>5</v>
      </c>
    </row>
    <row r="877">
      <c r="A877" s="3">
        <f>data!A877</f>
        <v>414</v>
      </c>
      <c r="B877" s="3" t="str">
        <f>data!B877</f>
        <v>פיטוסי ישי</v>
      </c>
      <c r="C877" s="3">
        <f>data!C877</f>
        <v>21</v>
      </c>
      <c r="D877" s="3" t="str">
        <f>data!F877</f>
        <v>צה"ל</v>
      </c>
      <c r="E877" s="3" t="str">
        <f t="shared" si="1"/>
        <v>adult</v>
      </c>
      <c r="F877" s="3">
        <v>44.0</v>
      </c>
      <c r="G877" s="3" t="s">
        <v>18</v>
      </c>
      <c r="H877" s="1">
        <f t="shared" si="2"/>
        <v>5</v>
      </c>
    </row>
    <row r="878">
      <c r="A878" s="3">
        <f>data!A878</f>
        <v>420</v>
      </c>
      <c r="B878" s="3" t="str">
        <f>data!B878</f>
        <v>פלד ירין מארי</v>
      </c>
      <c r="C878" s="3">
        <f>data!C878</f>
        <v>20</v>
      </c>
      <c r="D878" s="3" t="str">
        <f>data!F878</f>
        <v>צה"ל</v>
      </c>
      <c r="E878" s="3" t="str">
        <f t="shared" si="1"/>
        <v>adult</v>
      </c>
      <c r="F878" s="3">
        <v>44.0</v>
      </c>
      <c r="G878" s="3" t="s">
        <v>18</v>
      </c>
      <c r="H878" s="1">
        <f t="shared" si="2"/>
        <v>5</v>
      </c>
    </row>
    <row r="879">
      <c r="A879" s="3">
        <f>data!A879</f>
        <v>488</v>
      </c>
      <c r="B879" s="3" t="str">
        <f>data!B879</f>
        <v>פרייס נועה</v>
      </c>
      <c r="C879" s="3">
        <f>data!C879</f>
        <v>20</v>
      </c>
      <c r="D879" s="3" t="str">
        <f>data!F879</f>
        <v>צה"ל</v>
      </c>
      <c r="E879" s="3" t="str">
        <f t="shared" si="1"/>
        <v>adult</v>
      </c>
      <c r="F879" s="3">
        <v>44.0</v>
      </c>
      <c r="G879" s="3" t="s">
        <v>18</v>
      </c>
      <c r="H879" s="1">
        <f t="shared" si="2"/>
        <v>5</v>
      </c>
    </row>
    <row r="880">
      <c r="A880" s="3">
        <f>data!A880</f>
        <v>1139</v>
      </c>
      <c r="B880" s="3" t="str">
        <f>data!B880</f>
        <v>קרסנינסקי יעקב (יענקי) שלמה</v>
      </c>
      <c r="C880" s="3">
        <f>data!C880</f>
        <v>23</v>
      </c>
      <c r="D880" s="3" t="str">
        <f>data!F880</f>
        <v>משטרה</v>
      </c>
      <c r="E880" s="3" t="str">
        <f t="shared" si="1"/>
        <v>adult</v>
      </c>
      <c r="F880" s="3">
        <v>44.0</v>
      </c>
      <c r="G880" s="3" t="s">
        <v>136</v>
      </c>
      <c r="H880" s="1">
        <f t="shared" si="2"/>
        <v>5</v>
      </c>
    </row>
    <row r="881">
      <c r="A881" s="3">
        <f>data!A881</f>
        <v>1606</v>
      </c>
      <c r="B881" s="3" t="str">
        <f>data!B881</f>
        <v>רון איתי אברהם</v>
      </c>
      <c r="C881" s="3">
        <f>data!C881</f>
        <v>20</v>
      </c>
      <c r="D881" s="3" t="str">
        <f>data!F881</f>
        <v>צה"ל</v>
      </c>
      <c r="E881" s="3" t="str">
        <f t="shared" si="1"/>
        <v>adult</v>
      </c>
      <c r="F881" s="3">
        <v>44.0</v>
      </c>
      <c r="G881" s="3" t="s">
        <v>136</v>
      </c>
      <c r="H881" s="1">
        <f t="shared" si="2"/>
        <v>5</v>
      </c>
    </row>
    <row r="882">
      <c r="A882" s="3">
        <f>data!A882</f>
        <v>494</v>
      </c>
      <c r="B882" s="3" t="str">
        <f>data!B882</f>
        <v>שוחט שירה</v>
      </c>
      <c r="C882" s="3">
        <f>data!C882</f>
        <v>19</v>
      </c>
      <c r="D882" s="3" t="str">
        <f>data!F882</f>
        <v>צה"ל</v>
      </c>
      <c r="E882" s="3" t="str">
        <f t="shared" si="1"/>
        <v>adult</v>
      </c>
      <c r="F882" s="3">
        <v>44.0</v>
      </c>
      <c r="G882" s="3" t="s">
        <v>478</v>
      </c>
      <c r="H882" s="1">
        <f t="shared" si="2"/>
        <v>5</v>
      </c>
    </row>
    <row r="883">
      <c r="A883" s="3">
        <f>data!A883</f>
        <v>221</v>
      </c>
      <c r="B883" s="3" t="str">
        <f>data!B883</f>
        <v>דקל נחמן</v>
      </c>
      <c r="C883" s="3">
        <f>data!C883</f>
        <v>20</v>
      </c>
      <c r="D883" s="3" t="str">
        <f>data!F883</f>
        <v>צה"ל</v>
      </c>
      <c r="E883" s="3" t="str">
        <f t="shared" si="1"/>
        <v>adult</v>
      </c>
      <c r="F883" s="3">
        <v>44.0</v>
      </c>
      <c r="G883" s="3" t="s">
        <v>1809</v>
      </c>
      <c r="H883" s="1">
        <f t="shared" si="2"/>
        <v>5</v>
      </c>
    </row>
    <row r="884">
      <c r="A884" s="3">
        <f>data!A884</f>
        <v>1715</v>
      </c>
      <c r="B884" s="3" t="str">
        <f>data!B884</f>
        <v>מוסט עמית</v>
      </c>
      <c r="C884" s="3">
        <f>data!C884</f>
        <v>20</v>
      </c>
      <c r="D884" s="3" t="str">
        <f>data!F884</f>
        <v>צה"ל</v>
      </c>
      <c r="E884" s="3" t="str">
        <f t="shared" si="1"/>
        <v>adult</v>
      </c>
      <c r="F884" s="3">
        <v>45.0</v>
      </c>
      <c r="G884" s="3" t="s">
        <v>18</v>
      </c>
      <c r="H884" s="1">
        <f t="shared" si="2"/>
        <v>5</v>
      </c>
    </row>
    <row r="885">
      <c r="A885" s="3">
        <f>data!A885</f>
        <v>1180</v>
      </c>
      <c r="B885" s="3" t="str">
        <f>data!B885</f>
        <v>מלמן אופיר</v>
      </c>
      <c r="C885" s="3">
        <f>data!C885</f>
        <v>21</v>
      </c>
      <c r="D885" s="3" t="str">
        <f>data!F885</f>
        <v>צה"ל</v>
      </c>
      <c r="E885" s="3" t="str">
        <f t="shared" si="1"/>
        <v>adult</v>
      </c>
      <c r="F885" s="3">
        <v>45.0</v>
      </c>
      <c r="G885" s="3" t="s">
        <v>18</v>
      </c>
      <c r="H885" s="1">
        <f t="shared" si="2"/>
        <v>5</v>
      </c>
    </row>
    <row r="886">
      <c r="A886" s="3">
        <f>data!A886</f>
        <v>1659</v>
      </c>
      <c r="B886" s="3" t="str">
        <f>data!B886</f>
        <v>סעדון הלל שמואל</v>
      </c>
      <c r="C886" s="3">
        <f>data!C886</f>
        <v>21</v>
      </c>
      <c r="D886" s="3" t="str">
        <f>data!F886</f>
        <v>צה"ל</v>
      </c>
      <c r="E886" s="3" t="str">
        <f t="shared" si="1"/>
        <v>adult</v>
      </c>
      <c r="F886" s="3">
        <v>45.0</v>
      </c>
      <c r="G886" s="3" t="s">
        <v>18</v>
      </c>
      <c r="H886" s="1">
        <f t="shared" si="2"/>
        <v>5</v>
      </c>
    </row>
    <row r="887">
      <c r="A887" s="3">
        <f>data!A887</f>
        <v>1289</v>
      </c>
      <c r="B887" s="3" t="str">
        <f>data!B887</f>
        <v>שוורץ שגב</v>
      </c>
      <c r="C887" s="3">
        <f>data!C887</f>
        <v>20</v>
      </c>
      <c r="D887" s="3" t="str">
        <f>data!F887</f>
        <v>צה"ל</v>
      </c>
      <c r="E887" s="3" t="str">
        <f t="shared" si="1"/>
        <v>adult</v>
      </c>
      <c r="F887" s="3">
        <v>45.0</v>
      </c>
      <c r="G887" s="3" t="s">
        <v>18</v>
      </c>
      <c r="H887" s="1">
        <f t="shared" si="2"/>
        <v>5</v>
      </c>
    </row>
    <row r="888">
      <c r="A888" s="3">
        <f>data!A888</f>
        <v>1293</v>
      </c>
      <c r="B888" s="3" t="str">
        <f>data!B888</f>
        <v>סויסה דקל</v>
      </c>
      <c r="C888" s="3">
        <f>data!C888</f>
        <v>23</v>
      </c>
      <c r="D888" s="3" t="str">
        <f>data!F888</f>
        <v>צה"ל</v>
      </c>
      <c r="E888" s="3" t="str">
        <f t="shared" si="1"/>
        <v>adult</v>
      </c>
      <c r="F888" s="3">
        <v>45.0</v>
      </c>
      <c r="G888" s="3" t="s">
        <v>169</v>
      </c>
      <c r="H888" s="1">
        <f t="shared" si="2"/>
        <v>5</v>
      </c>
    </row>
    <row r="889">
      <c r="A889" s="3">
        <f>data!A889</f>
        <v>422</v>
      </c>
      <c r="B889" s="3" t="str">
        <f>data!B889</f>
        <v>פרי רועי</v>
      </c>
      <c r="C889" s="3">
        <f>data!C889</f>
        <v>19</v>
      </c>
      <c r="D889" s="3" t="str">
        <f>data!F889</f>
        <v>צה"ל</v>
      </c>
      <c r="E889" s="3" t="str">
        <f t="shared" si="1"/>
        <v>adult</v>
      </c>
      <c r="F889" s="3">
        <v>45.0</v>
      </c>
      <c r="G889" s="3" t="s">
        <v>18</v>
      </c>
      <c r="H889" s="1">
        <f t="shared" si="2"/>
        <v>5</v>
      </c>
    </row>
    <row r="890">
      <c r="A890" s="3">
        <f>data!A890</f>
        <v>1191</v>
      </c>
      <c r="B890" s="3" t="str">
        <f>data!B890</f>
        <v>אסייג רווית חנה</v>
      </c>
      <c r="C890" s="3">
        <f>data!C890</f>
        <v>19</v>
      </c>
      <c r="D890" s="3" t="str">
        <f>data!F890</f>
        <v>משטרה</v>
      </c>
      <c r="E890" s="3" t="str">
        <f t="shared" si="1"/>
        <v>adult</v>
      </c>
      <c r="F890" s="3">
        <v>45.0</v>
      </c>
      <c r="G890" s="3" t="s">
        <v>18</v>
      </c>
      <c r="H890" s="1">
        <f t="shared" si="2"/>
        <v>5</v>
      </c>
    </row>
    <row r="891">
      <c r="A891" s="3">
        <f>data!A891</f>
        <v>1192</v>
      </c>
      <c r="B891" s="3" t="str">
        <f>data!B891</f>
        <v>סאלם פלג</v>
      </c>
      <c r="C891" s="3">
        <f>data!C891</f>
        <v>30</v>
      </c>
      <c r="D891" s="3" t="str">
        <f>data!F891</f>
        <v>צה"ל</v>
      </c>
      <c r="E891" s="3" t="str">
        <f t="shared" si="1"/>
        <v>adult</v>
      </c>
      <c r="F891" s="3">
        <v>45.0</v>
      </c>
      <c r="G891" s="3" t="s">
        <v>18</v>
      </c>
      <c r="H891" s="1">
        <f t="shared" si="2"/>
        <v>5</v>
      </c>
    </row>
    <row r="892">
      <c r="A892" s="3">
        <f>data!A892</f>
        <v>1204</v>
      </c>
      <c r="B892" s="3" t="str">
        <f>data!B892</f>
        <v>אביטל גיל</v>
      </c>
      <c r="C892" s="3">
        <f>data!C892</f>
        <v>56</v>
      </c>
      <c r="D892" s="3" t="str">
        <f>data!F892</f>
        <v>כיתות כוננות</v>
      </c>
      <c r="E892" s="3" t="str">
        <f t="shared" si="1"/>
        <v>adult</v>
      </c>
      <c r="F892" s="3">
        <v>45.0</v>
      </c>
      <c r="G892" s="3" t="s">
        <v>478</v>
      </c>
      <c r="H892" s="1">
        <f t="shared" si="2"/>
        <v>5</v>
      </c>
    </row>
    <row r="893">
      <c r="A893" s="3">
        <f>data!A893</f>
        <v>1206</v>
      </c>
      <c r="B893" s="3" t="str">
        <f>data!B893</f>
        <v>בן יעקב ליאור</v>
      </c>
      <c r="C893" s="3">
        <f>data!C893</f>
        <v>44</v>
      </c>
      <c r="D893" s="3" t="str">
        <f>data!F893</f>
        <v>כיתות כוננות</v>
      </c>
      <c r="E893" s="3" t="str">
        <f t="shared" si="1"/>
        <v>adult</v>
      </c>
      <c r="F893" s="3">
        <v>45.0</v>
      </c>
      <c r="G893" s="3" t="s">
        <v>478</v>
      </c>
      <c r="H893" s="1">
        <f t="shared" si="2"/>
        <v>5</v>
      </c>
    </row>
    <row r="894">
      <c r="A894" s="3">
        <f>data!A894</f>
        <v>1364</v>
      </c>
      <c r="B894" s="3" t="str">
        <f>data!B894</f>
        <v>אסולין דן</v>
      </c>
      <c r="C894" s="3">
        <f>data!C894</f>
        <v>38</v>
      </c>
      <c r="D894" s="3" t="str">
        <f>data!F894</f>
        <v>כיתות כוננות</v>
      </c>
      <c r="E894" s="3" t="str">
        <f t="shared" si="1"/>
        <v>adult</v>
      </c>
      <c r="F894" s="3">
        <v>46.0</v>
      </c>
      <c r="G894" s="3" t="s">
        <v>18</v>
      </c>
      <c r="H894" s="1">
        <f t="shared" si="2"/>
        <v>5</v>
      </c>
    </row>
    <row r="895">
      <c r="A895" s="3">
        <f>data!A895</f>
        <v>1366</v>
      </c>
      <c r="B895" s="3" t="str">
        <f>data!B895</f>
        <v>נחמיאס איתי</v>
      </c>
      <c r="C895" s="3">
        <f>data!C895</f>
        <v>20</v>
      </c>
      <c r="D895" s="3" t="str">
        <f>data!F895</f>
        <v>צה"ל</v>
      </c>
      <c r="E895" s="3" t="str">
        <f t="shared" si="1"/>
        <v>adult</v>
      </c>
      <c r="F895" s="3">
        <v>46.0</v>
      </c>
      <c r="G895" s="3" t="s">
        <v>18</v>
      </c>
      <c r="H895" s="1">
        <f t="shared" si="2"/>
        <v>5</v>
      </c>
    </row>
    <row r="896">
      <c r="A896" s="3">
        <f>data!A896</f>
        <v>505</v>
      </c>
      <c r="B896" s="3" t="str">
        <f>data!B896</f>
        <v>בהרב רבינוביץ' עדי</v>
      </c>
      <c r="C896" s="3">
        <f>data!C896</f>
        <v>62</v>
      </c>
      <c r="D896" s="3" t="str">
        <f>data!F896</f>
        <v>כיתות כוננות</v>
      </c>
      <c r="E896" s="3" t="str">
        <f t="shared" si="1"/>
        <v>adult</v>
      </c>
      <c r="F896" s="3">
        <v>46.0</v>
      </c>
      <c r="G896" s="3" t="s">
        <v>18</v>
      </c>
      <c r="H896" s="1">
        <f t="shared" si="2"/>
        <v>5</v>
      </c>
    </row>
    <row r="897">
      <c r="A897" s="3">
        <f>data!A897</f>
        <v>1615</v>
      </c>
      <c r="B897" s="3" t="str">
        <f>data!B897</f>
        <v>דולב תומר</v>
      </c>
      <c r="C897" s="3">
        <f>data!C897</f>
        <v>34</v>
      </c>
      <c r="D897" s="3" t="str">
        <f>data!F897</f>
        <v>צה"ל (מיל')</v>
      </c>
      <c r="E897" s="3" t="str">
        <f t="shared" si="1"/>
        <v>adult</v>
      </c>
      <c r="F897" s="3">
        <v>46.0</v>
      </c>
      <c r="G897" s="3" t="s">
        <v>18</v>
      </c>
      <c r="H897" s="1">
        <f t="shared" si="2"/>
        <v>5</v>
      </c>
    </row>
    <row r="898">
      <c r="A898" s="3">
        <f>data!A898</f>
        <v>530</v>
      </c>
      <c r="B898" s="3" t="str">
        <f>data!B898</f>
        <v>וקס יגאל</v>
      </c>
      <c r="C898" s="3">
        <f>data!C898</f>
        <v>53</v>
      </c>
      <c r="D898" s="3" t="str">
        <f>data!F898</f>
        <v>אזרחים</v>
      </c>
      <c r="E898" s="3" t="str">
        <f t="shared" si="1"/>
        <v>adult</v>
      </c>
      <c r="F898" s="3">
        <v>46.0</v>
      </c>
      <c r="G898" s="3" t="s">
        <v>136</v>
      </c>
      <c r="H898" s="1">
        <f t="shared" si="2"/>
        <v>5</v>
      </c>
    </row>
    <row r="899">
      <c r="A899" s="3">
        <f>data!A899</f>
        <v>529</v>
      </c>
      <c r="B899" s="3" t="str">
        <f>data!B899</f>
        <v>וקס עמית</v>
      </c>
      <c r="C899" s="3">
        <f>data!C899</f>
        <v>48</v>
      </c>
      <c r="D899" s="3" t="str">
        <f>data!F899</f>
        <v>כיתות כוננות</v>
      </c>
      <c r="E899" s="3" t="str">
        <f t="shared" si="1"/>
        <v>adult</v>
      </c>
      <c r="F899" s="3">
        <v>46.0</v>
      </c>
      <c r="G899" s="3" t="s">
        <v>136</v>
      </c>
      <c r="H899" s="1">
        <f t="shared" si="2"/>
        <v>5</v>
      </c>
    </row>
    <row r="900">
      <c r="A900" s="3">
        <f>data!A900</f>
        <v>513</v>
      </c>
      <c r="B900" s="3" t="str">
        <f>data!B900</f>
        <v>שטרן אורן</v>
      </c>
      <c r="C900" s="3">
        <f>data!C900</f>
        <v>49</v>
      </c>
      <c r="D900" s="3" t="str">
        <f>data!F900</f>
        <v>כיתות כוננות</v>
      </c>
      <c r="E900" s="3" t="str">
        <f t="shared" si="1"/>
        <v>adult</v>
      </c>
      <c r="F900" s="3">
        <v>46.0</v>
      </c>
      <c r="G900" s="3" t="s">
        <v>1601</v>
      </c>
      <c r="H900" s="1">
        <f t="shared" si="2"/>
        <v>5</v>
      </c>
    </row>
    <row r="901">
      <c r="A901" s="3">
        <f>data!A901</f>
        <v>514</v>
      </c>
      <c r="B901" s="3" t="str">
        <f>data!B901</f>
        <v>תעסה גיל</v>
      </c>
      <c r="C901" s="3">
        <f>data!C901</f>
        <v>46</v>
      </c>
      <c r="D901" s="3" t="str">
        <f>data!F901</f>
        <v>כיתות כוננות</v>
      </c>
      <c r="E901" s="3" t="str">
        <f t="shared" si="1"/>
        <v>adult</v>
      </c>
      <c r="F901" s="3">
        <v>46.0</v>
      </c>
      <c r="G901" s="3" t="s">
        <v>1601</v>
      </c>
      <c r="H901" s="1">
        <f t="shared" si="2"/>
        <v>5</v>
      </c>
    </row>
    <row r="902">
      <c r="A902" s="3">
        <f>data!A902</f>
        <v>1033</v>
      </c>
      <c r="B902" s="3" t="str">
        <f>data!B902</f>
        <v>כהן אביעד גד</v>
      </c>
      <c r="C902" s="3">
        <f>data!C902</f>
        <v>41</v>
      </c>
      <c r="D902" s="3" t="str">
        <f>data!F902</f>
        <v>כיתות כוננות</v>
      </c>
      <c r="E902" s="3" t="str">
        <f t="shared" si="1"/>
        <v>adult</v>
      </c>
      <c r="F902" s="3">
        <v>47.0</v>
      </c>
      <c r="G902" s="3" t="s">
        <v>169</v>
      </c>
      <c r="H902" s="1">
        <f t="shared" si="2"/>
        <v>5</v>
      </c>
    </row>
    <row r="903">
      <c r="A903" s="3">
        <f>data!A903</f>
        <v>1035</v>
      </c>
      <c r="B903" s="3" t="str">
        <f>data!B903</f>
        <v>סויד בכור חי</v>
      </c>
      <c r="C903" s="3">
        <f>data!C903</f>
        <v>32</v>
      </c>
      <c r="D903" s="3" t="str">
        <f>data!F903</f>
        <v>כיתות כוננות</v>
      </c>
      <c r="E903" s="3" t="str">
        <f t="shared" si="1"/>
        <v>adult</v>
      </c>
      <c r="F903" s="3">
        <v>47.0</v>
      </c>
      <c r="G903" s="3" t="s">
        <v>18</v>
      </c>
      <c r="H903" s="1">
        <f t="shared" si="2"/>
        <v>5</v>
      </c>
    </row>
    <row r="904">
      <c r="A904" s="3">
        <f>data!A904</f>
        <v>1034</v>
      </c>
      <c r="B904" s="3" t="str">
        <f>data!B904</f>
        <v>שישפורטיש ראובן</v>
      </c>
      <c r="C904" s="3">
        <f>data!C904</f>
        <v>36</v>
      </c>
      <c r="D904" s="3" t="str">
        <f>data!F904</f>
        <v>כיתות כוננות</v>
      </c>
      <c r="E904" s="3" t="str">
        <f t="shared" si="1"/>
        <v>adult</v>
      </c>
      <c r="F904" s="3">
        <v>47.0</v>
      </c>
      <c r="G904" s="3" t="s">
        <v>18</v>
      </c>
      <c r="H904" s="1">
        <f t="shared" si="2"/>
        <v>5</v>
      </c>
    </row>
    <row r="905">
      <c r="A905" s="3">
        <f>data!A905</f>
        <v>220</v>
      </c>
      <c r="B905" s="3" t="str">
        <f>data!B905</f>
        <v>דוידיאן אופיר</v>
      </c>
      <c r="C905" s="3">
        <f>data!C905</f>
        <v>18</v>
      </c>
      <c r="D905" s="3" t="str">
        <f>data!F905</f>
        <v>צה"ל</v>
      </c>
      <c r="E905" s="3" t="str">
        <f t="shared" si="1"/>
        <v>adult</v>
      </c>
      <c r="F905" s="3">
        <v>47.0</v>
      </c>
      <c r="G905" s="3" t="s">
        <v>18</v>
      </c>
      <c r="H905" s="1">
        <f t="shared" si="2"/>
        <v>5</v>
      </c>
    </row>
    <row r="906">
      <c r="A906" s="3">
        <f>data!A906</f>
        <v>236</v>
      </c>
      <c r="B906" s="3" t="str">
        <f>data!B906</f>
        <v>לוי ליאור</v>
      </c>
      <c r="C906" s="3">
        <f>data!C906</f>
        <v>19</v>
      </c>
      <c r="D906" s="3" t="str">
        <f>data!F906</f>
        <v>צה"ל</v>
      </c>
      <c r="E906" s="3" t="str">
        <f t="shared" si="1"/>
        <v>adult</v>
      </c>
      <c r="F906" s="3">
        <v>47.0</v>
      </c>
      <c r="G906" s="3" t="s">
        <v>18</v>
      </c>
      <c r="H906" s="1">
        <f t="shared" si="2"/>
        <v>5</v>
      </c>
    </row>
    <row r="907">
      <c r="A907" s="3">
        <f>data!A907</f>
        <v>212</v>
      </c>
      <c r="B907" s="3" t="str">
        <f>data!B907</f>
        <v>עיש איתמר</v>
      </c>
      <c r="C907" s="3">
        <f>data!C907</f>
        <v>19</v>
      </c>
      <c r="D907" s="3" t="str">
        <f>data!F907</f>
        <v>צה"ל</v>
      </c>
      <c r="E907" s="3" t="str">
        <f t="shared" si="1"/>
        <v>adult</v>
      </c>
      <c r="F907" s="3">
        <v>47.0</v>
      </c>
      <c r="G907" s="3" t="s">
        <v>18</v>
      </c>
      <c r="H907" s="1">
        <f t="shared" si="2"/>
        <v>5</v>
      </c>
    </row>
    <row r="908">
      <c r="A908" s="3">
        <f>data!A908</f>
        <v>1460</v>
      </c>
      <c r="B908" s="3" t="str">
        <f>data!B908</f>
        <v>פרבוסודובה אלינה</v>
      </c>
      <c r="C908" s="3">
        <f>data!C908</f>
        <v>23</v>
      </c>
      <c r="D908" s="3" t="str">
        <f>data!F908</f>
        <v>צה"ל</v>
      </c>
      <c r="E908" s="3" t="str">
        <f t="shared" si="1"/>
        <v>adult</v>
      </c>
      <c r="F908" s="3">
        <v>47.0</v>
      </c>
      <c r="G908" s="3" t="s">
        <v>169</v>
      </c>
      <c r="H908" s="1">
        <f t="shared" si="2"/>
        <v>5</v>
      </c>
    </row>
    <row r="909">
      <c r="A909" s="3">
        <f>data!A909</f>
        <v>980</v>
      </c>
      <c r="B909" s="3" t="str">
        <f>data!B909</f>
        <v>פרש אהרון</v>
      </c>
      <c r="C909" s="3">
        <f>data!C909</f>
        <v>36</v>
      </c>
      <c r="D909" s="3" t="str">
        <f>data!F909</f>
        <v>צה"ל</v>
      </c>
      <c r="E909" s="3" t="str">
        <f t="shared" si="1"/>
        <v>adult</v>
      </c>
      <c r="F909" s="3">
        <v>47.0</v>
      </c>
      <c r="G909" s="3" t="s">
        <v>1429</v>
      </c>
      <c r="H909" s="1">
        <f t="shared" si="2"/>
        <v>5</v>
      </c>
    </row>
    <row r="910">
      <c r="A910" s="3">
        <f>data!A910</f>
        <v>1291</v>
      </c>
      <c r="B910" s="3" t="str">
        <f>data!B910</f>
        <v>שלמה שיר</v>
      </c>
      <c r="C910" s="3">
        <f>data!C910</f>
        <v>19</v>
      </c>
      <c r="D910" s="3" t="str">
        <f>data!F910</f>
        <v>צה"ל</v>
      </c>
      <c r="E910" s="3" t="str">
        <f t="shared" si="1"/>
        <v>adult</v>
      </c>
      <c r="F910" s="3">
        <v>47.0</v>
      </c>
      <c r="G910" s="3" t="s">
        <v>1601</v>
      </c>
      <c r="H910" s="1">
        <f t="shared" si="2"/>
        <v>5</v>
      </c>
    </row>
    <row r="911">
      <c r="A911" s="3">
        <f>data!A911</f>
        <v>211</v>
      </c>
      <c r="B911" s="3" t="str">
        <f>data!B911</f>
        <v>אביטל אור</v>
      </c>
      <c r="C911" s="3">
        <f>data!C911</f>
        <v>20</v>
      </c>
      <c r="D911" s="3" t="str">
        <f>data!F911</f>
        <v>צה"ל</v>
      </c>
      <c r="E911" s="3" t="str">
        <f t="shared" si="1"/>
        <v>adult</v>
      </c>
      <c r="F911" s="3">
        <v>47.0</v>
      </c>
      <c r="G911" s="3" t="s">
        <v>18</v>
      </c>
      <c r="H911" s="1">
        <f t="shared" si="2"/>
        <v>5</v>
      </c>
    </row>
    <row r="912">
      <c r="A912" s="3">
        <f>data!A912</f>
        <v>1262</v>
      </c>
      <c r="B912" s="3" t="str">
        <f>data!B912</f>
        <v>אלון לוי עדן</v>
      </c>
      <c r="C912" s="3">
        <f>data!C912</f>
        <v>19</v>
      </c>
      <c r="D912" s="3" t="str">
        <f>data!F912</f>
        <v>צה"ל</v>
      </c>
      <c r="E912" s="3" t="str">
        <f t="shared" si="1"/>
        <v>adult</v>
      </c>
      <c r="F912" s="3">
        <v>47.0</v>
      </c>
      <c r="G912" s="3" t="s">
        <v>1601</v>
      </c>
      <c r="H912" s="1">
        <f t="shared" si="2"/>
        <v>5</v>
      </c>
    </row>
    <row r="913">
      <c r="A913" s="3">
        <f>data!A913</f>
        <v>1264</v>
      </c>
      <c r="B913" s="3" t="str">
        <f>data!B913</f>
        <v>בוני נעמה</v>
      </c>
      <c r="C913" s="3">
        <f>data!C913</f>
        <v>19</v>
      </c>
      <c r="D913" s="3" t="str">
        <f>data!F913</f>
        <v>צה"ל</v>
      </c>
      <c r="E913" s="3" t="str">
        <f t="shared" si="1"/>
        <v>adult</v>
      </c>
      <c r="F913" s="3">
        <v>47.0</v>
      </c>
      <c r="G913" s="3" t="s">
        <v>1601</v>
      </c>
      <c r="H913" s="1">
        <f t="shared" si="2"/>
        <v>5</v>
      </c>
    </row>
    <row r="914">
      <c r="A914" s="3">
        <f>data!A914</f>
        <v>1263</v>
      </c>
      <c r="B914" s="3" t="str">
        <f>data!B914</f>
        <v>בן סימון אדר</v>
      </c>
      <c r="C914" s="3">
        <f>data!C914</f>
        <v>20</v>
      </c>
      <c r="D914" s="3" t="str">
        <f>data!F914</f>
        <v>צה"ל</v>
      </c>
      <c r="E914" s="3" t="str">
        <f t="shared" si="1"/>
        <v>adult</v>
      </c>
      <c r="F914" s="3">
        <v>47.0</v>
      </c>
      <c r="G914" s="3" t="s">
        <v>18</v>
      </c>
      <c r="H914" s="1">
        <f t="shared" si="2"/>
        <v>5</v>
      </c>
    </row>
    <row r="915">
      <c r="A915" s="3">
        <f>data!A915</f>
        <v>466</v>
      </c>
      <c r="B915" s="3" t="str">
        <f>data!B915</f>
        <v>בר שדה עילי</v>
      </c>
      <c r="C915" s="3">
        <f>data!C915</f>
        <v>19</v>
      </c>
      <c r="D915" s="3" t="str">
        <f>data!F915</f>
        <v>צה"ל</v>
      </c>
      <c r="E915" s="3" t="str">
        <f t="shared" si="1"/>
        <v>adult</v>
      </c>
      <c r="F915" s="3">
        <v>47.0</v>
      </c>
      <c r="G915" s="3" t="s">
        <v>169</v>
      </c>
      <c r="H915" s="1">
        <f t="shared" si="2"/>
        <v>5</v>
      </c>
    </row>
    <row r="916">
      <c r="A916" s="3">
        <f>data!A916</f>
        <v>229</v>
      </c>
      <c r="B916" s="3" t="str">
        <f>data!B916</f>
        <v>גולן יונתן</v>
      </c>
      <c r="C916" s="3">
        <f>data!C916</f>
        <v>21</v>
      </c>
      <c r="D916" s="3" t="str">
        <f>data!F916</f>
        <v>צה"ל</v>
      </c>
      <c r="E916" s="3" t="str">
        <f t="shared" si="1"/>
        <v>adult</v>
      </c>
      <c r="F916" s="3">
        <v>48.0</v>
      </c>
      <c r="G916" s="3" t="s">
        <v>18</v>
      </c>
      <c r="H916" s="1">
        <f t="shared" si="2"/>
        <v>5</v>
      </c>
    </row>
    <row r="917">
      <c r="A917" s="3">
        <f>data!A917</f>
        <v>266</v>
      </c>
      <c r="B917" s="3" t="str">
        <f>data!B917</f>
        <v>טל סהר</v>
      </c>
      <c r="C917" s="3">
        <f>data!C917</f>
        <v>20</v>
      </c>
      <c r="D917" s="3" t="str">
        <f>data!F917</f>
        <v>צה"ל</v>
      </c>
      <c r="E917" s="3" t="str">
        <f t="shared" si="1"/>
        <v>adult</v>
      </c>
      <c r="F917" s="3">
        <v>48.0</v>
      </c>
      <c r="G917" s="3" t="s">
        <v>18</v>
      </c>
      <c r="H917" s="1">
        <f t="shared" si="2"/>
        <v>5</v>
      </c>
    </row>
    <row r="918">
      <c r="A918" s="3">
        <f>data!A918</f>
        <v>139</v>
      </c>
      <c r="B918" s="3" t="str">
        <f>data!B918</f>
        <v>טסטה אופיר</v>
      </c>
      <c r="C918" s="3">
        <f>data!C918</f>
        <v>21</v>
      </c>
      <c r="D918" s="3" t="str">
        <f>data!F918</f>
        <v>צה"ל</v>
      </c>
      <c r="E918" s="3" t="str">
        <f t="shared" si="1"/>
        <v>adult</v>
      </c>
      <c r="F918" s="3">
        <v>48.0</v>
      </c>
      <c r="G918" s="3" t="s">
        <v>18</v>
      </c>
      <c r="H918" s="1">
        <f t="shared" si="2"/>
        <v>5</v>
      </c>
    </row>
    <row r="919">
      <c r="A919" s="3">
        <f>data!A919</f>
        <v>509</v>
      </c>
      <c r="B919" s="3" t="str">
        <f>data!B919</f>
        <v>לוקר אורי</v>
      </c>
      <c r="C919" s="3">
        <f>data!C919</f>
        <v>19</v>
      </c>
      <c r="D919" s="3" t="str">
        <f>data!F919</f>
        <v>צה"ל</v>
      </c>
      <c r="E919" s="3" t="str">
        <f t="shared" si="1"/>
        <v>adult</v>
      </c>
      <c r="F919" s="3">
        <v>48.0</v>
      </c>
      <c r="G919" s="3" t="s">
        <v>18</v>
      </c>
      <c r="H919" s="1">
        <f t="shared" si="2"/>
        <v>5</v>
      </c>
    </row>
    <row r="920">
      <c r="A920" s="3">
        <f>data!A920</f>
        <v>429</v>
      </c>
      <c r="B920" s="3" t="str">
        <f>data!B920</f>
        <v>ליבוביץ' תומר</v>
      </c>
      <c r="C920" s="3">
        <f>data!C920</f>
        <v>19</v>
      </c>
      <c r="D920" s="3" t="str">
        <f>data!F920</f>
        <v>צה"ל</v>
      </c>
      <c r="E920" s="3" t="str">
        <f t="shared" si="1"/>
        <v>adult</v>
      </c>
      <c r="F920" s="3">
        <v>48.0</v>
      </c>
      <c r="G920" s="3" t="s">
        <v>18</v>
      </c>
      <c r="H920" s="1">
        <f t="shared" si="2"/>
        <v>5</v>
      </c>
    </row>
    <row r="921">
      <c r="A921" s="3">
        <f>data!A921</f>
        <v>237</v>
      </c>
      <c r="B921" s="3" t="str">
        <f>data!B921</f>
        <v>לישה דביר</v>
      </c>
      <c r="C921" s="3">
        <f>data!C921</f>
        <v>21</v>
      </c>
      <c r="D921" s="3" t="str">
        <f>data!F921</f>
        <v>צה"ל</v>
      </c>
      <c r="E921" s="3" t="str">
        <f t="shared" si="1"/>
        <v>adult</v>
      </c>
      <c r="F921" s="3">
        <v>48.0</v>
      </c>
      <c r="G921" s="3" t="s">
        <v>18</v>
      </c>
      <c r="H921" s="1">
        <f t="shared" si="2"/>
        <v>5</v>
      </c>
    </row>
    <row r="922">
      <c r="A922" s="3">
        <f>data!A922</f>
        <v>1266</v>
      </c>
      <c r="B922" s="3" t="str">
        <f>data!B922</f>
        <v>מאור איתי</v>
      </c>
      <c r="C922" s="3">
        <f>data!C922</f>
        <v>23</v>
      </c>
      <c r="D922" s="3" t="str">
        <f>data!F922</f>
        <v>צה"ל</v>
      </c>
      <c r="E922" s="3" t="str">
        <f t="shared" si="1"/>
        <v>adult</v>
      </c>
      <c r="F922" s="3">
        <v>48.0</v>
      </c>
      <c r="G922" s="3" t="s">
        <v>18</v>
      </c>
      <c r="H922" s="1">
        <f t="shared" si="2"/>
        <v>5</v>
      </c>
    </row>
    <row r="923">
      <c r="A923" s="3">
        <f>data!A923</f>
        <v>1268</v>
      </c>
      <c r="B923" s="3" t="str">
        <f>data!B923</f>
        <v>מוזס אור</v>
      </c>
      <c r="C923" s="3">
        <f>data!C923</f>
        <v>22</v>
      </c>
      <c r="D923" s="3" t="str">
        <f>data!F923</f>
        <v>צה"ל</v>
      </c>
      <c r="E923" s="3" t="str">
        <f t="shared" si="1"/>
        <v>adult</v>
      </c>
      <c r="F923" s="3">
        <v>48.0</v>
      </c>
      <c r="G923" s="3" t="s">
        <v>18</v>
      </c>
      <c r="H923" s="1">
        <f t="shared" si="2"/>
        <v>5</v>
      </c>
    </row>
    <row r="924">
      <c r="A924" s="3">
        <f>data!A924</f>
        <v>1267</v>
      </c>
      <c r="B924" s="3" t="str">
        <f>data!B924</f>
        <v>מלייב יואב</v>
      </c>
      <c r="C924" s="3">
        <f>data!C924</f>
        <v>19</v>
      </c>
      <c r="D924" s="3" t="str">
        <f>data!F924</f>
        <v>צה"ל</v>
      </c>
      <c r="E924" s="3" t="str">
        <f t="shared" si="1"/>
        <v>adult</v>
      </c>
      <c r="F924" s="3">
        <v>48.0</v>
      </c>
      <c r="G924" s="3" t="s">
        <v>169</v>
      </c>
      <c r="H924" s="1">
        <f t="shared" si="2"/>
        <v>5</v>
      </c>
    </row>
    <row r="925">
      <c r="A925" s="3">
        <f>data!A925</f>
        <v>1269</v>
      </c>
      <c r="B925" s="3" t="str">
        <f>data!B925</f>
        <v>משה אוראל</v>
      </c>
      <c r="C925" s="3">
        <f>data!C925</f>
        <v>21</v>
      </c>
      <c r="D925" s="3" t="str">
        <f>data!F925</f>
        <v>צה"ל</v>
      </c>
      <c r="E925" s="3" t="str">
        <f t="shared" si="1"/>
        <v>adult</v>
      </c>
      <c r="F925" s="3">
        <v>48.0</v>
      </c>
      <c r="G925" s="3" t="s">
        <v>18</v>
      </c>
      <c r="H925" s="1">
        <f t="shared" si="2"/>
        <v>5</v>
      </c>
    </row>
    <row r="926">
      <c r="A926" s="3">
        <f>data!A926</f>
        <v>210</v>
      </c>
      <c r="B926" s="3" t="str">
        <f>data!B926</f>
        <v>נגרי נריה אהרון</v>
      </c>
      <c r="C926" s="3">
        <f>data!C926</f>
        <v>18</v>
      </c>
      <c r="D926" s="3" t="str">
        <f>data!F926</f>
        <v>צה"ל</v>
      </c>
      <c r="E926" s="3" t="str">
        <f t="shared" si="1"/>
        <v>adult</v>
      </c>
      <c r="F926" s="3">
        <v>48.0</v>
      </c>
      <c r="G926" s="3" t="s">
        <v>18</v>
      </c>
      <c r="H926" s="1">
        <f t="shared" si="2"/>
        <v>5</v>
      </c>
    </row>
    <row r="927">
      <c r="A927" s="3">
        <f>data!A927</f>
        <v>209</v>
      </c>
      <c r="B927" s="3" t="str">
        <f>data!B927</f>
        <v>עבודי אדיר</v>
      </c>
      <c r="C927" s="3">
        <f>data!C927</f>
        <v>23</v>
      </c>
      <c r="D927" s="3" t="str">
        <f>data!F927</f>
        <v>צה"ל</v>
      </c>
      <c r="E927" s="3" t="str">
        <f t="shared" si="1"/>
        <v>adult</v>
      </c>
      <c r="F927" s="3">
        <v>48.0</v>
      </c>
      <c r="G927" s="3" t="s">
        <v>18</v>
      </c>
      <c r="H927" s="1">
        <f t="shared" si="2"/>
        <v>5</v>
      </c>
    </row>
    <row r="928">
      <c r="A928" s="3">
        <f>data!A928</f>
        <v>1270</v>
      </c>
      <c r="B928" s="3" t="str">
        <f>data!B928</f>
        <v>ניב פיירשטיין עומרי</v>
      </c>
      <c r="C928" s="3">
        <f>data!C928</f>
        <v>20</v>
      </c>
      <c r="D928" s="3" t="str">
        <f>data!F928</f>
        <v>צה"ל</v>
      </c>
      <c r="E928" s="3" t="str">
        <f t="shared" si="1"/>
        <v>adult</v>
      </c>
      <c r="F928" s="3">
        <v>48.0</v>
      </c>
      <c r="G928" s="3" t="s">
        <v>136</v>
      </c>
      <c r="H928" s="1">
        <f t="shared" si="2"/>
        <v>5</v>
      </c>
    </row>
    <row r="929">
      <c r="A929" s="3">
        <f>data!A929</f>
        <v>255</v>
      </c>
      <c r="B929" s="3" t="str">
        <f>data!B929</f>
        <v>צור עמית</v>
      </c>
      <c r="C929" s="3">
        <f>data!C929</f>
        <v>19</v>
      </c>
      <c r="D929" s="3" t="str">
        <f>data!F929</f>
        <v>צה"ל</v>
      </c>
      <c r="E929" s="3" t="str">
        <f t="shared" si="1"/>
        <v>adult</v>
      </c>
      <c r="F929" s="3">
        <v>48.0</v>
      </c>
      <c r="G929" s="3" t="s">
        <v>136</v>
      </c>
      <c r="H929" s="1">
        <f t="shared" si="2"/>
        <v>5</v>
      </c>
    </row>
    <row r="930">
      <c r="A930" s="3">
        <f>data!A930</f>
        <v>1265</v>
      </c>
      <c r="B930" s="3" t="str">
        <f>data!B930</f>
        <v>קמינקא ינאי</v>
      </c>
      <c r="C930" s="3">
        <f>data!C930</f>
        <v>20</v>
      </c>
      <c r="D930" s="3" t="str">
        <f>data!F930</f>
        <v>צה"ל</v>
      </c>
      <c r="E930" s="3" t="str">
        <f t="shared" si="1"/>
        <v>adult</v>
      </c>
      <c r="F930" s="3">
        <v>48.0</v>
      </c>
      <c r="G930" s="3" t="s">
        <v>1601</v>
      </c>
      <c r="H930" s="1">
        <f t="shared" si="2"/>
        <v>5</v>
      </c>
    </row>
    <row r="931">
      <c r="A931" s="3">
        <f>data!A931</f>
        <v>258</v>
      </c>
      <c r="B931" s="3" t="str">
        <f>data!B931</f>
        <v>בן יעקב יובל</v>
      </c>
      <c r="C931" s="3">
        <f>data!C931</f>
        <v>21</v>
      </c>
      <c r="D931" s="3" t="str">
        <f>data!F931</f>
        <v>צה"ל</v>
      </c>
      <c r="E931" s="3" t="str">
        <f t="shared" si="1"/>
        <v>adult</v>
      </c>
      <c r="F931" s="3">
        <v>48.0</v>
      </c>
      <c r="G931" s="3" t="s">
        <v>18</v>
      </c>
      <c r="H931" s="1">
        <f t="shared" si="2"/>
        <v>5</v>
      </c>
    </row>
    <row r="932">
      <c r="A932" s="3">
        <f>data!A932</f>
        <v>232</v>
      </c>
      <c r="B932" s="3" t="str">
        <f>data!B932</f>
        <v>הרוש עידו</v>
      </c>
      <c r="C932" s="3">
        <f>data!C932</f>
        <v>21</v>
      </c>
      <c r="D932" s="3" t="str">
        <f>data!F932</f>
        <v>צה"ל</v>
      </c>
      <c r="E932" s="3" t="str">
        <f t="shared" si="1"/>
        <v>adult</v>
      </c>
      <c r="F932" s="3">
        <v>49.0</v>
      </c>
      <c r="G932" s="3" t="s">
        <v>169</v>
      </c>
      <c r="H932" s="1">
        <f t="shared" si="2"/>
        <v>5</v>
      </c>
    </row>
    <row r="933">
      <c r="A933" s="3">
        <f>data!A933</f>
        <v>1281</v>
      </c>
      <c r="B933" s="3" t="str">
        <f>data!B933</f>
        <v>אבן מרעי סלמאן</v>
      </c>
      <c r="C933" s="3">
        <f>data!C933</f>
        <v>41</v>
      </c>
      <c r="D933" s="3" t="str">
        <f>data!F933</f>
        <v>צה"ל</v>
      </c>
      <c r="E933" s="3" t="str">
        <f t="shared" si="1"/>
        <v>adult</v>
      </c>
      <c r="F933" s="3">
        <v>49.0</v>
      </c>
      <c r="G933" s="3" t="s">
        <v>18</v>
      </c>
      <c r="H933" s="1">
        <f t="shared" si="2"/>
        <v>5</v>
      </c>
    </row>
    <row r="934">
      <c r="A934" s="3">
        <f>data!A934</f>
        <v>1586</v>
      </c>
      <c r="B934" s="3" t="str">
        <f>data!B934</f>
        <v>אברהם אוריאל</v>
      </c>
      <c r="C934" s="3">
        <f>data!C934</f>
        <v>27</v>
      </c>
      <c r="D934" s="3" t="str">
        <f>data!F934</f>
        <v>משטרה</v>
      </c>
      <c r="E934" s="3" t="str">
        <f t="shared" si="1"/>
        <v>adult</v>
      </c>
      <c r="F934" s="3">
        <v>49.0</v>
      </c>
      <c r="G934" s="3" t="s">
        <v>18</v>
      </c>
      <c r="H934" s="1">
        <f t="shared" si="2"/>
        <v>5</v>
      </c>
    </row>
    <row r="935">
      <c r="A935" s="3">
        <f>data!A935</f>
        <v>973</v>
      </c>
      <c r="B935" s="3" t="str">
        <f>data!B935</f>
        <v>אברהם דבי (דבורה)</v>
      </c>
      <c r="C935" s="3">
        <f>data!C935</f>
        <v>40</v>
      </c>
      <c r="D935" s="3" t="str">
        <f>data!F935</f>
        <v>משטרה (מיל')</v>
      </c>
      <c r="E935" s="3" t="str">
        <f t="shared" si="1"/>
        <v>adult</v>
      </c>
      <c r="F935" s="3">
        <v>49.0</v>
      </c>
      <c r="G935" s="3" t="s">
        <v>18</v>
      </c>
      <c r="H935" s="1">
        <f t="shared" si="2"/>
        <v>5</v>
      </c>
    </row>
    <row r="936">
      <c r="A936" s="3">
        <f>data!A936</f>
        <v>1658</v>
      </c>
      <c r="B936" s="3" t="str">
        <f>data!B936</f>
        <v>בלוכמן יקיר</v>
      </c>
      <c r="C936" s="3">
        <f>data!C936</f>
        <v>33</v>
      </c>
      <c r="D936" s="3" t="str">
        <f>data!F936</f>
        <v>משטרה</v>
      </c>
      <c r="E936" s="3" t="str">
        <f t="shared" si="1"/>
        <v>adult</v>
      </c>
      <c r="F936" s="3">
        <v>49.0</v>
      </c>
      <c r="G936" s="3" t="s">
        <v>169</v>
      </c>
      <c r="H936" s="1">
        <f t="shared" si="2"/>
        <v>5</v>
      </c>
    </row>
    <row r="937">
      <c r="A937" s="3">
        <f>data!A937</f>
        <v>1355</v>
      </c>
      <c r="B937" s="3" t="str">
        <f>data!B937</f>
        <v>ברזילי אושר שמחה</v>
      </c>
      <c r="C937" s="3">
        <f>data!C937</f>
        <v>19</v>
      </c>
      <c r="D937" s="3" t="str">
        <f>data!F937</f>
        <v>צה"ל</v>
      </c>
      <c r="E937" s="3" t="str">
        <f t="shared" si="1"/>
        <v>adult</v>
      </c>
      <c r="F937" s="3">
        <v>49.0</v>
      </c>
      <c r="G937" s="3" t="s">
        <v>18</v>
      </c>
      <c r="H937" s="1">
        <f t="shared" si="2"/>
        <v>5</v>
      </c>
    </row>
    <row r="938">
      <c r="A938" s="3">
        <f>data!A938</f>
        <v>233</v>
      </c>
      <c r="B938" s="3" t="str">
        <f>data!B938</f>
        <v>הנקין אברהם</v>
      </c>
      <c r="C938" s="3">
        <f>data!C938</f>
        <v>38</v>
      </c>
      <c r="D938" s="3" t="str">
        <f>data!F938</f>
        <v>משטרה</v>
      </c>
      <c r="E938" s="3" t="str">
        <f t="shared" si="1"/>
        <v>adult</v>
      </c>
      <c r="F938" s="3">
        <v>49.0</v>
      </c>
      <c r="G938" s="3" t="s">
        <v>136</v>
      </c>
      <c r="H938" s="1">
        <f t="shared" si="2"/>
        <v>5</v>
      </c>
    </row>
    <row r="939">
      <c r="A939" s="3">
        <f>data!A939</f>
        <v>1434</v>
      </c>
      <c r="B939" s="3" t="str">
        <f>data!B939</f>
        <v>ח'רובה איברהים</v>
      </c>
      <c r="C939" s="3">
        <f>data!C939</f>
        <v>39</v>
      </c>
      <c r="D939" s="3" t="str">
        <f>data!F939</f>
        <v>צה"ל</v>
      </c>
      <c r="E939" s="3" t="str">
        <f t="shared" si="1"/>
        <v>adult</v>
      </c>
      <c r="F939" s="3">
        <v>49.0</v>
      </c>
      <c r="G939" s="3" t="s">
        <v>1601</v>
      </c>
      <c r="H939" s="1">
        <f t="shared" si="2"/>
        <v>5</v>
      </c>
    </row>
    <row r="940">
      <c r="A940" s="3">
        <f>data!A940</f>
        <v>249</v>
      </c>
      <c r="B940" s="3" t="str">
        <f>data!B940</f>
        <v>יהושע עידו</v>
      </c>
      <c r="C940" s="3">
        <f>data!C940</f>
        <v>27</v>
      </c>
      <c r="D940" s="3" t="str">
        <f>data!F940</f>
        <v>צה"ל</v>
      </c>
      <c r="E940" s="3" t="str">
        <f t="shared" si="1"/>
        <v>adult</v>
      </c>
      <c r="F940" s="3">
        <v>49.0</v>
      </c>
      <c r="G940" s="3" t="s">
        <v>18</v>
      </c>
      <c r="H940" s="1">
        <f t="shared" si="2"/>
        <v>5</v>
      </c>
    </row>
    <row r="941">
      <c r="A941" s="3">
        <f>data!A941</f>
        <v>646</v>
      </c>
      <c r="B941" s="3" t="str">
        <f>data!B941</f>
        <v>ינין סיון</v>
      </c>
      <c r="C941" s="3">
        <f>data!C941</f>
        <v>49</v>
      </c>
      <c r="D941" s="3" t="str">
        <f>data!F941</f>
        <v>משטרה</v>
      </c>
      <c r="E941" s="3" t="str">
        <f t="shared" si="1"/>
        <v>adult</v>
      </c>
      <c r="F941" s="3">
        <v>49.0</v>
      </c>
      <c r="G941" s="3" t="s">
        <v>136</v>
      </c>
      <c r="H941" s="1">
        <f t="shared" si="2"/>
        <v>5</v>
      </c>
    </row>
    <row r="942">
      <c r="A942" s="3">
        <f>data!A942</f>
        <v>1076</v>
      </c>
      <c r="B942" s="3" t="str">
        <f>data!B942</f>
        <v>יפרח אליאור</v>
      </c>
      <c r="C942" s="3">
        <f>data!C942</f>
        <v>34</v>
      </c>
      <c r="D942" s="3" t="str">
        <f>data!F942</f>
        <v>משטרה</v>
      </c>
      <c r="E942" s="3" t="str">
        <f t="shared" si="1"/>
        <v>adult</v>
      </c>
      <c r="F942" s="3">
        <v>50.0</v>
      </c>
      <c r="G942" s="3" t="s">
        <v>18</v>
      </c>
      <c r="H942" s="1">
        <f t="shared" si="2"/>
        <v>6</v>
      </c>
    </row>
    <row r="943">
      <c r="A943" s="3">
        <f>data!A943</f>
        <v>1184</v>
      </c>
      <c r="B943" s="3" t="str">
        <f>data!B943</f>
        <v>כהן יוראי אליהו</v>
      </c>
      <c r="C943" s="3">
        <f>data!C943</f>
        <v>29</v>
      </c>
      <c r="D943" s="3" t="str">
        <f>data!F943</f>
        <v>משטרה</v>
      </c>
      <c r="E943" s="3" t="str">
        <f t="shared" si="1"/>
        <v>adult</v>
      </c>
      <c r="F943" s="3">
        <v>50.0</v>
      </c>
      <c r="G943" s="3" t="s">
        <v>18</v>
      </c>
      <c r="H943" s="1">
        <f t="shared" si="2"/>
        <v>6</v>
      </c>
    </row>
    <row r="944">
      <c r="A944" s="3">
        <f>data!A944</f>
        <v>238</v>
      </c>
      <c r="B944" s="3" t="str">
        <f>data!B944</f>
        <v>מחלוף סהר ציון</v>
      </c>
      <c r="C944" s="3">
        <f>data!C944</f>
        <v>36</v>
      </c>
      <c r="D944" s="3" t="str">
        <f>data!F944</f>
        <v>צה"ל</v>
      </c>
      <c r="E944" s="3" t="str">
        <f t="shared" si="1"/>
        <v>adult</v>
      </c>
      <c r="F944" s="3">
        <v>50.0</v>
      </c>
      <c r="G944" s="3" t="s">
        <v>18</v>
      </c>
      <c r="H944" s="1">
        <f t="shared" si="2"/>
        <v>6</v>
      </c>
    </row>
    <row r="945">
      <c r="A945" s="3">
        <f>data!A945</f>
        <v>239</v>
      </c>
      <c r="B945" s="3" t="str">
        <f>data!B945</f>
        <v>שלמה משהאל</v>
      </c>
      <c r="C945" s="3">
        <f>data!C945</f>
        <v>33</v>
      </c>
      <c r="D945" s="3" t="str">
        <f>data!F945</f>
        <v>משטרה</v>
      </c>
      <c r="E945" s="3" t="str">
        <f t="shared" si="1"/>
        <v>adult</v>
      </c>
      <c r="F945" s="3">
        <v>50.0</v>
      </c>
      <c r="G945" s="3" t="s">
        <v>18</v>
      </c>
      <c r="H945" s="1">
        <f t="shared" si="2"/>
        <v>6</v>
      </c>
    </row>
    <row r="946">
      <c r="A946" s="3">
        <f>data!A946</f>
        <v>1143</v>
      </c>
      <c r="B946" s="3" t="str">
        <f>data!B946</f>
        <v>סיון בר</v>
      </c>
      <c r="C946" s="3">
        <f>data!C946</f>
        <v>33</v>
      </c>
      <c r="D946" s="3" t="str">
        <f>data!F946</f>
        <v>משטרה</v>
      </c>
      <c r="E946" s="3" t="str">
        <f t="shared" si="1"/>
        <v>adult</v>
      </c>
      <c r="F946" s="3">
        <v>50.0</v>
      </c>
      <c r="G946" s="3" t="s">
        <v>18</v>
      </c>
      <c r="H946" s="1">
        <f t="shared" si="2"/>
        <v>6</v>
      </c>
    </row>
    <row r="947">
      <c r="A947" s="3">
        <f>data!A947</f>
        <v>1077</v>
      </c>
      <c r="B947" s="3" t="str">
        <f>data!B947</f>
        <v>עזר עילי</v>
      </c>
      <c r="C947" s="3">
        <f>data!C947</f>
        <v>18</v>
      </c>
      <c r="D947" s="3" t="str">
        <f>data!F947</f>
        <v>צה"ל</v>
      </c>
      <c r="E947" s="3" t="str">
        <f t="shared" si="1"/>
        <v>adult</v>
      </c>
      <c r="F947" s="3">
        <v>50.0</v>
      </c>
      <c r="G947" s="3" t="s">
        <v>18</v>
      </c>
      <c r="H947" s="1">
        <f t="shared" si="2"/>
        <v>6</v>
      </c>
    </row>
    <row r="948">
      <c r="A948" s="3">
        <f>data!A948</f>
        <v>26</v>
      </c>
      <c r="B948" s="3" t="str">
        <f>data!B948</f>
        <v>עמאר נתאי</v>
      </c>
      <c r="C948" s="3">
        <f>data!C948</f>
        <v>22</v>
      </c>
      <c r="D948" s="3" t="str">
        <f>data!F948</f>
        <v>צה"ל</v>
      </c>
      <c r="E948" s="3" t="str">
        <f t="shared" si="1"/>
        <v>adult</v>
      </c>
      <c r="F948" s="3">
        <v>50.0</v>
      </c>
      <c r="G948" s="3" t="s">
        <v>18</v>
      </c>
      <c r="H948" s="1">
        <f t="shared" si="2"/>
        <v>6</v>
      </c>
    </row>
    <row r="949">
      <c r="A949" s="3">
        <f>data!A949</f>
        <v>1277</v>
      </c>
      <c r="B949" s="3" t="str">
        <f>data!B949</f>
        <v>פלורס גרסיה ברנדו דוד</v>
      </c>
      <c r="C949" s="3">
        <f>data!C949</f>
        <v>21</v>
      </c>
      <c r="D949" s="3" t="str">
        <f>data!F949</f>
        <v>צה"ל</v>
      </c>
      <c r="E949" s="3" t="str">
        <f t="shared" si="1"/>
        <v>adult</v>
      </c>
      <c r="F949" s="3">
        <v>50.0</v>
      </c>
      <c r="G949" s="3" t="s">
        <v>18</v>
      </c>
      <c r="H949" s="1">
        <f t="shared" si="2"/>
        <v>6</v>
      </c>
    </row>
    <row r="950">
      <c r="A950" s="3">
        <f>data!A950</f>
        <v>1580</v>
      </c>
      <c r="B950" s="3" t="str">
        <f>data!B950</f>
        <v>רז עידן</v>
      </c>
      <c r="C950" s="3">
        <f>data!C950</f>
        <v>20</v>
      </c>
      <c r="D950" s="3" t="str">
        <f>data!F950</f>
        <v>צה"ל</v>
      </c>
      <c r="E950" s="3" t="str">
        <f t="shared" si="1"/>
        <v>adult</v>
      </c>
      <c r="F950" s="3">
        <v>50.0</v>
      </c>
      <c r="G950" s="3" t="s">
        <v>1601</v>
      </c>
      <c r="H950" s="1">
        <f t="shared" si="2"/>
        <v>6</v>
      </c>
    </row>
    <row r="951">
      <c r="A951" s="3">
        <f>data!A951</f>
        <v>244</v>
      </c>
      <c r="B951" s="3" t="str">
        <f>data!B951</f>
        <v>שיינקמן סטניסלב</v>
      </c>
      <c r="C951" s="3">
        <f>data!C951</f>
        <v>40</v>
      </c>
      <c r="D951" s="3" t="str">
        <f>data!F951</f>
        <v>משטרה</v>
      </c>
      <c r="E951" s="3" t="str">
        <f t="shared" si="1"/>
        <v>adult</v>
      </c>
      <c r="F951" s="3">
        <v>50.0</v>
      </c>
      <c r="G951" s="3" t="s">
        <v>18</v>
      </c>
      <c r="H951" s="1">
        <f t="shared" si="2"/>
        <v>6</v>
      </c>
    </row>
    <row r="952">
      <c r="A952" s="3">
        <f>data!A952</f>
        <v>1066</v>
      </c>
      <c r="B952" s="3" t="str">
        <f>data!B952</f>
        <v>שמעיה אושר</v>
      </c>
      <c r="C952" s="3">
        <f>data!C952</f>
        <v>19</v>
      </c>
      <c r="D952" s="3" t="str">
        <f>data!F952</f>
        <v>צה"ל</v>
      </c>
      <c r="E952" s="3" t="str">
        <f t="shared" si="1"/>
        <v>adult</v>
      </c>
      <c r="F952" s="3">
        <v>50.0</v>
      </c>
      <c r="G952" s="3" t="s">
        <v>142</v>
      </c>
      <c r="H952" s="1">
        <f t="shared" si="2"/>
        <v>6</v>
      </c>
    </row>
    <row r="953">
      <c r="A953" s="3">
        <f>data!A953</f>
        <v>737</v>
      </c>
      <c r="B953" s="3" t="str">
        <f>data!B953</f>
        <v>אדרי עידו</v>
      </c>
      <c r="C953" s="3">
        <f>data!C953</f>
        <v>24</v>
      </c>
      <c r="D953" s="3" t="str">
        <f>data!F953</f>
        <v>שב"כ</v>
      </c>
      <c r="E953" s="3" t="str">
        <f t="shared" si="1"/>
        <v>adult</v>
      </c>
      <c r="F953" s="3">
        <v>50.0</v>
      </c>
      <c r="G953" s="3" t="s">
        <v>136</v>
      </c>
      <c r="H953" s="1">
        <f t="shared" si="2"/>
        <v>6</v>
      </c>
    </row>
    <row r="954">
      <c r="A954" s="3">
        <f>data!A954</f>
        <v>742</v>
      </c>
      <c r="B954" s="3" t="str">
        <f>data!B954</f>
        <v>אליהו אביב</v>
      </c>
      <c r="C954" s="3">
        <f>data!C954</f>
        <v>38</v>
      </c>
      <c r="D954" s="3" t="str">
        <f>data!F954</f>
        <v>אזרחים</v>
      </c>
      <c r="E954" s="3" t="str">
        <f t="shared" si="1"/>
        <v>adult</v>
      </c>
      <c r="F954" s="3">
        <v>50.0</v>
      </c>
      <c r="G954" s="3" t="s">
        <v>136</v>
      </c>
      <c r="H954" s="1">
        <f t="shared" si="2"/>
        <v>6</v>
      </c>
    </row>
    <row r="955">
      <c r="A955" s="3">
        <f>data!A955</f>
        <v>746</v>
      </c>
      <c r="B955" s="3" t="str">
        <f>data!B955</f>
        <v>אלמלם מתן (קידו)</v>
      </c>
      <c r="C955" s="3">
        <f>data!C955</f>
        <v>42</v>
      </c>
      <c r="D955" s="3" t="str">
        <f>data!F955</f>
        <v>אזרחים</v>
      </c>
      <c r="E955" s="3" t="str">
        <f t="shared" si="1"/>
        <v>adult</v>
      </c>
      <c r="F955" s="3">
        <v>50.0</v>
      </c>
      <c r="G955" s="3" t="s">
        <v>1601</v>
      </c>
      <c r="H955" s="1">
        <f t="shared" si="2"/>
        <v>6</v>
      </c>
    </row>
    <row r="956">
      <c r="A956" s="3">
        <f>data!A956</f>
        <v>256</v>
      </c>
      <c r="B956" s="3" t="str">
        <f>data!B956</f>
        <v>ארביב אופק</v>
      </c>
      <c r="C956" s="3">
        <f>data!C956</f>
        <v>21</v>
      </c>
      <c r="D956" s="3" t="str">
        <f>data!F956</f>
        <v>צה"ל</v>
      </c>
      <c r="E956" s="3" t="str">
        <f t="shared" si="1"/>
        <v>adult</v>
      </c>
      <c r="F956" s="3">
        <v>51.0</v>
      </c>
      <c r="G956" s="3" t="s">
        <v>18</v>
      </c>
      <c r="H956" s="1">
        <f t="shared" si="2"/>
        <v>6</v>
      </c>
    </row>
    <row r="957">
      <c r="A957" s="3">
        <f>data!A957</f>
        <v>1708</v>
      </c>
      <c r="B957" s="3" t="str">
        <f>data!B957</f>
        <v>באוסי איתי יהודה</v>
      </c>
      <c r="C957" s="3">
        <f>data!C957</f>
        <v>22</v>
      </c>
      <c r="D957" s="3" t="str">
        <f>data!F957</f>
        <v>צה"ל</v>
      </c>
      <c r="E957" s="3" t="str">
        <f t="shared" si="1"/>
        <v>adult</v>
      </c>
      <c r="F957" s="3">
        <v>51.0</v>
      </c>
      <c r="G957" s="3" t="s">
        <v>18</v>
      </c>
      <c r="H957" s="1">
        <f t="shared" si="2"/>
        <v>6</v>
      </c>
    </row>
    <row r="958">
      <c r="A958" s="3">
        <f>data!A958</f>
        <v>1569</v>
      </c>
      <c r="B958" s="3" t="str">
        <f>data!B958</f>
        <v>דוקרקר קים</v>
      </c>
      <c r="C958" s="3">
        <f>data!C958</f>
        <v>22</v>
      </c>
      <c r="D958" s="3" t="str">
        <f>data!F958</f>
        <v>משטרה</v>
      </c>
      <c r="E958" s="3" t="str">
        <f t="shared" si="1"/>
        <v>adult</v>
      </c>
      <c r="F958" s="3">
        <v>51.0</v>
      </c>
      <c r="G958" s="3" t="s">
        <v>18</v>
      </c>
      <c r="H958" s="1">
        <f t="shared" si="2"/>
        <v>6</v>
      </c>
    </row>
    <row r="959">
      <c r="A959" s="3">
        <f>data!A959</f>
        <v>1468</v>
      </c>
      <c r="B959" s="3" t="str">
        <f>data!B959</f>
        <v>דראושה עווד</v>
      </c>
      <c r="C959" s="3">
        <f>data!C959</f>
        <v>23</v>
      </c>
      <c r="D959" s="3" t="str">
        <f>data!F959</f>
        <v>מגן דוד אדום</v>
      </c>
      <c r="E959" s="3" t="str">
        <f t="shared" si="1"/>
        <v>adult</v>
      </c>
      <c r="F959" s="3">
        <v>51.0</v>
      </c>
      <c r="G959" s="3" t="s">
        <v>18</v>
      </c>
      <c r="H959" s="1">
        <f t="shared" si="2"/>
        <v>6</v>
      </c>
    </row>
    <row r="960">
      <c r="A960" s="3">
        <f>data!A960</f>
        <v>956</v>
      </c>
      <c r="B960" s="3" t="str">
        <f>data!B960</f>
        <v>ווקסר דאונוב יוליה</v>
      </c>
      <c r="C960" s="3">
        <f>data!C960</f>
        <v>37</v>
      </c>
      <c r="D960" s="3" t="str">
        <f>data!F960</f>
        <v>משטרה</v>
      </c>
      <c r="E960" s="3" t="str">
        <f t="shared" si="1"/>
        <v>adult</v>
      </c>
      <c r="F960" s="3">
        <v>51.0</v>
      </c>
      <c r="G960" s="3" t="s">
        <v>18</v>
      </c>
      <c r="H960" s="1">
        <f t="shared" si="2"/>
        <v>6</v>
      </c>
    </row>
    <row r="961">
      <c r="A961" s="3">
        <f>data!A961</f>
        <v>774</v>
      </c>
      <c r="B961" s="3" t="str">
        <f>data!B961</f>
        <v>חושן הדר</v>
      </c>
      <c r="C961" s="3">
        <f>data!C961</f>
        <v>28</v>
      </c>
      <c r="D961" s="3" t="str">
        <f>data!F961</f>
        <v>אזרחים</v>
      </c>
      <c r="E961" s="3" t="str">
        <f t="shared" si="1"/>
        <v>adult</v>
      </c>
      <c r="F961" s="3">
        <v>51.0</v>
      </c>
      <c r="G961" s="3" t="s">
        <v>18</v>
      </c>
      <c r="H961" s="1">
        <f t="shared" si="2"/>
        <v>6</v>
      </c>
    </row>
    <row r="962">
      <c r="A962" s="3">
        <f>data!A962</f>
        <v>1425</v>
      </c>
      <c r="B962" s="3" t="str">
        <f>data!B962</f>
        <v>חנום חזי (יחזקאל)</v>
      </c>
      <c r="C962" s="3">
        <f>data!C962</f>
        <v>31</v>
      </c>
      <c r="D962" s="3" t="str">
        <f>data!F962</f>
        <v>אזרחים</v>
      </c>
      <c r="E962" s="3" t="str">
        <f t="shared" si="1"/>
        <v>adult</v>
      </c>
      <c r="F962" s="3">
        <v>51.0</v>
      </c>
      <c r="G962" s="3" t="s">
        <v>18</v>
      </c>
      <c r="H962" s="1">
        <f t="shared" si="2"/>
        <v>6</v>
      </c>
    </row>
    <row r="963">
      <c r="A963" s="3">
        <f>data!A963</f>
        <v>916</v>
      </c>
      <c r="B963" s="3" t="str">
        <f>data!B963</f>
        <v>טוויג יפתח דן</v>
      </c>
      <c r="C963" s="3">
        <f>data!C963</f>
        <v>27</v>
      </c>
      <c r="D963" s="3" t="str">
        <f>data!F963</f>
        <v>אזרחים</v>
      </c>
      <c r="E963" s="3" t="str">
        <f t="shared" si="1"/>
        <v>adult</v>
      </c>
      <c r="F963" s="3">
        <v>51.0</v>
      </c>
      <c r="G963" s="3" t="s">
        <v>18</v>
      </c>
      <c r="H963" s="1">
        <f t="shared" si="2"/>
        <v>6</v>
      </c>
    </row>
    <row r="964">
      <c r="A964" s="3">
        <f>data!A964</f>
        <v>881</v>
      </c>
      <c r="B964" s="3" t="str">
        <f>data!B964</f>
        <v>טויטו עדיאל</v>
      </c>
      <c r="C964" s="3">
        <f>data!C964</f>
        <v>32</v>
      </c>
      <c r="D964" s="3" t="str">
        <f>data!F964</f>
        <v>אזרחים</v>
      </c>
      <c r="E964" s="3" t="str">
        <f t="shared" si="1"/>
        <v>adult</v>
      </c>
      <c r="F964" s="3">
        <v>51.0</v>
      </c>
      <c r="G964" s="3" t="s">
        <v>18</v>
      </c>
      <c r="H964" s="1">
        <f t="shared" si="2"/>
        <v>6</v>
      </c>
    </row>
    <row r="965">
      <c r="A965" s="3">
        <f>data!A965</f>
        <v>877</v>
      </c>
      <c r="B965" s="3" t="str">
        <f>data!B965</f>
        <v>טיברג אברהם גלעד</v>
      </c>
      <c r="C965" s="3">
        <f>data!C965</f>
        <v>24</v>
      </c>
      <c r="D965" s="3" t="str">
        <f>data!F965</f>
        <v>אזרחים</v>
      </c>
      <c r="E965" s="3" t="str">
        <f t="shared" si="1"/>
        <v>adult</v>
      </c>
      <c r="F965" s="3">
        <v>51.0</v>
      </c>
      <c r="G965" s="3" t="s">
        <v>1809</v>
      </c>
      <c r="H965" s="1">
        <f t="shared" si="2"/>
        <v>6</v>
      </c>
    </row>
    <row r="966">
      <c r="A966" s="3">
        <f>data!A966</f>
        <v>910</v>
      </c>
      <c r="B966" s="3" t="str">
        <f>data!B966</f>
        <v>טשרניחובסקי אורי</v>
      </c>
      <c r="C966" s="3">
        <f>data!C966</f>
        <v>29</v>
      </c>
      <c r="D966" s="3" t="str">
        <f>data!F966</f>
        <v>אזרחים</v>
      </c>
      <c r="E966" s="3" t="str">
        <f t="shared" si="1"/>
        <v>adult</v>
      </c>
      <c r="F966" s="3">
        <v>51.0</v>
      </c>
      <c r="G966" s="3" t="s">
        <v>136</v>
      </c>
      <c r="H966" s="1">
        <f t="shared" si="2"/>
        <v>6</v>
      </c>
    </row>
    <row r="967">
      <c r="A967" s="3">
        <f>data!A967</f>
        <v>894</v>
      </c>
      <c r="B967" s="3" t="str">
        <f>data!B967</f>
        <v>לוק אלכסנדר (אלכס)</v>
      </c>
      <c r="C967" s="3">
        <f>data!C967</f>
        <v>35</v>
      </c>
      <c r="D967" s="3" t="str">
        <f>data!F967</f>
        <v>אזרחים</v>
      </c>
      <c r="E967" s="3" t="str">
        <f t="shared" si="1"/>
        <v>adult</v>
      </c>
      <c r="F967" s="3">
        <v>51.0</v>
      </c>
      <c r="G967" s="3" t="s">
        <v>136</v>
      </c>
      <c r="H967" s="1">
        <f t="shared" si="2"/>
        <v>6</v>
      </c>
    </row>
    <row r="968">
      <c r="A968" s="3">
        <f>data!A968</f>
        <v>998</v>
      </c>
      <c r="B968" s="3" t="str">
        <f>data!B968</f>
        <v>ליבוביץ' שרון</v>
      </c>
      <c r="C968" s="3">
        <f>data!C968</f>
        <v>42</v>
      </c>
      <c r="D968" s="3" t="str">
        <f>data!F968</f>
        <v>משטרה</v>
      </c>
      <c r="E968" s="3" t="str">
        <f t="shared" si="1"/>
        <v>adult</v>
      </c>
      <c r="F968" s="3">
        <v>51.0</v>
      </c>
      <c r="G968" s="3" t="s">
        <v>169</v>
      </c>
      <c r="H968" s="1">
        <f t="shared" si="2"/>
        <v>6</v>
      </c>
    </row>
    <row r="969">
      <c r="A969" s="3">
        <f>data!A969</f>
        <v>893</v>
      </c>
      <c r="B969" s="3" t="str">
        <f>data!B969</f>
        <v>מרלו ג'ייק</v>
      </c>
      <c r="C969" s="3">
        <f>data!C969</f>
        <v>26</v>
      </c>
      <c r="D969" s="3" t="str">
        <f>data!F969</f>
        <v>אזרחים</v>
      </c>
      <c r="E969" s="3" t="str">
        <f t="shared" si="1"/>
        <v>adult</v>
      </c>
      <c r="F969" s="3">
        <v>51.0</v>
      </c>
      <c r="G969" s="3" t="s">
        <v>18</v>
      </c>
      <c r="H969" s="1">
        <f t="shared" si="2"/>
        <v>6</v>
      </c>
    </row>
    <row r="970">
      <c r="A970" s="3">
        <f>data!A970</f>
        <v>1477</v>
      </c>
      <c r="B970" s="3" t="str">
        <f>data!B970</f>
        <v>נחמן עילי</v>
      </c>
      <c r="C970" s="3">
        <f>data!C970</f>
        <v>23</v>
      </c>
      <c r="D970" s="3" t="str">
        <f>data!F970</f>
        <v>שב"כ</v>
      </c>
      <c r="E970" s="3" t="str">
        <f t="shared" si="1"/>
        <v>adult</v>
      </c>
      <c r="F970" s="3">
        <v>52.0</v>
      </c>
      <c r="G970" s="3" t="s">
        <v>18</v>
      </c>
      <c r="H970" s="1">
        <f t="shared" si="2"/>
        <v>6</v>
      </c>
    </row>
    <row r="971">
      <c r="A971" s="3">
        <f>data!A971</f>
        <v>847</v>
      </c>
      <c r="B971" s="3" t="str">
        <f>data!B971</f>
        <v>סאסי אבי</v>
      </c>
      <c r="C971" s="3">
        <f>data!C971</f>
        <v>64</v>
      </c>
      <c r="D971" s="3" t="str">
        <f>data!F971</f>
        <v>אזרחים</v>
      </c>
      <c r="E971" s="3" t="str">
        <f t="shared" si="1"/>
        <v>adult</v>
      </c>
      <c r="F971" s="3">
        <v>52.0</v>
      </c>
      <c r="G971" s="3" t="s">
        <v>18</v>
      </c>
      <c r="H971" s="1">
        <f t="shared" si="2"/>
        <v>6</v>
      </c>
    </row>
    <row r="972">
      <c r="A972" s="3">
        <f>data!A972</f>
        <v>1057</v>
      </c>
      <c r="B972" s="3" t="str">
        <f>data!B972</f>
        <v>קנפו שי אל</v>
      </c>
      <c r="C972" s="3">
        <f>data!C972</f>
        <v>30</v>
      </c>
      <c r="D972" s="3" t="str">
        <f>data!F972</f>
        <v>משטרה</v>
      </c>
      <c r="E972" s="3" t="str">
        <f t="shared" si="1"/>
        <v>adult</v>
      </c>
      <c r="F972" s="3">
        <v>52.0</v>
      </c>
      <c r="G972" s="3" t="s">
        <v>18</v>
      </c>
      <c r="H972" s="1">
        <f t="shared" si="2"/>
        <v>6</v>
      </c>
    </row>
    <row r="973">
      <c r="A973" s="3">
        <f>data!A973</f>
        <v>1188</v>
      </c>
      <c r="B973" s="3" t="str">
        <f>data!B973</f>
        <v>קרסיק ויטלי</v>
      </c>
      <c r="C973" s="3">
        <f>data!C973</f>
        <v>38</v>
      </c>
      <c r="D973" s="3" t="str">
        <f>data!F973</f>
        <v>משטרה</v>
      </c>
      <c r="E973" s="3" t="str">
        <f t="shared" si="1"/>
        <v>adult</v>
      </c>
      <c r="F973" s="3">
        <v>52.0</v>
      </c>
      <c r="G973" s="3" t="s">
        <v>18</v>
      </c>
      <c r="H973" s="1">
        <f t="shared" si="2"/>
        <v>6</v>
      </c>
    </row>
    <row r="974">
      <c r="A974" s="3">
        <f>data!A974</f>
        <v>1729</v>
      </c>
      <c r="B974" s="3" t="str">
        <f>data!B974</f>
        <v>רחמני שרון</v>
      </c>
      <c r="C974" s="3">
        <f>data!C974</f>
        <v>34</v>
      </c>
      <c r="D974" s="3" t="str">
        <f>data!F974</f>
        <v>משטרה</v>
      </c>
      <c r="E974" s="3" t="str">
        <f t="shared" si="1"/>
        <v>adult</v>
      </c>
      <c r="F974" s="3">
        <v>52.0</v>
      </c>
      <c r="G974" s="3" t="s">
        <v>18</v>
      </c>
      <c r="H974" s="1">
        <f t="shared" si="2"/>
        <v>6</v>
      </c>
    </row>
    <row r="975">
      <c r="A975" s="3">
        <f>data!A975</f>
        <v>1643</v>
      </c>
      <c r="B975" s="3" t="str">
        <f>data!B975</f>
        <v>ריבלין אביעד שר שלום</v>
      </c>
      <c r="C975" s="3">
        <f>data!C975</f>
        <v>23</v>
      </c>
      <c r="D975" s="3" t="str">
        <f>data!F975</f>
        <v>צה"ל</v>
      </c>
      <c r="E975" s="3" t="str">
        <f t="shared" si="1"/>
        <v>adult</v>
      </c>
      <c r="F975" s="3">
        <v>52.0</v>
      </c>
      <c r="G975" s="3" t="s">
        <v>18</v>
      </c>
      <c r="H975" s="1">
        <f t="shared" si="2"/>
        <v>6</v>
      </c>
    </row>
    <row r="976">
      <c r="A976" s="3">
        <f>data!A976</f>
        <v>921</v>
      </c>
      <c r="B976" s="3" t="str">
        <f>data!B976</f>
        <v>ריבלין גדעון הראל</v>
      </c>
      <c r="C976" s="3">
        <f>data!C976</f>
        <v>18</v>
      </c>
      <c r="D976" s="3" t="str">
        <f>data!F976</f>
        <v>אזרחים</v>
      </c>
      <c r="E976" s="3" t="str">
        <f t="shared" si="1"/>
        <v>teen</v>
      </c>
      <c r="F976" s="3">
        <v>52.0</v>
      </c>
      <c r="G976" s="3" t="s">
        <v>1601</v>
      </c>
      <c r="H976" s="1">
        <f t="shared" si="2"/>
        <v>6</v>
      </c>
    </row>
    <row r="977">
      <c r="A977" s="3">
        <f>data!A977</f>
        <v>839</v>
      </c>
      <c r="B977" s="3" t="str">
        <f>data!B977</f>
        <v>ריכטר יונתן (שפיק)</v>
      </c>
      <c r="C977" s="3">
        <f>data!C977</f>
        <v>49</v>
      </c>
      <c r="D977" s="3" t="str">
        <f>data!F977</f>
        <v>אזרחים</v>
      </c>
      <c r="E977" s="3" t="str">
        <f t="shared" si="1"/>
        <v>adult</v>
      </c>
      <c r="F977" s="3">
        <v>52.0</v>
      </c>
      <c r="G977" s="3" t="s">
        <v>18</v>
      </c>
      <c r="H977" s="1">
        <f t="shared" si="2"/>
        <v>6</v>
      </c>
    </row>
    <row r="978">
      <c r="A978" s="3">
        <f>data!A978</f>
        <v>831</v>
      </c>
      <c r="B978" s="3" t="str">
        <f>data!B978</f>
        <v>רם עמרי</v>
      </c>
      <c r="C978" s="3">
        <f>data!C978</f>
        <v>29</v>
      </c>
      <c r="D978" s="3" t="str">
        <f>data!F978</f>
        <v>אזרחים</v>
      </c>
      <c r="E978" s="3" t="str">
        <f t="shared" si="1"/>
        <v>adult</v>
      </c>
      <c r="F978" s="3">
        <v>53.0</v>
      </c>
      <c r="G978" s="3" t="s">
        <v>18</v>
      </c>
      <c r="H978" s="1">
        <f t="shared" si="2"/>
        <v>6</v>
      </c>
    </row>
    <row r="979">
      <c r="A979" s="3">
        <f>data!A979</f>
        <v>744</v>
      </c>
      <c r="B979" s="3" t="str">
        <f>data!B979</f>
        <v>שפירא ענר אליקים</v>
      </c>
      <c r="C979" s="3">
        <f>data!C979</f>
        <v>22</v>
      </c>
      <c r="D979" s="3" t="str">
        <f>data!F979</f>
        <v>צה"ל</v>
      </c>
      <c r="E979" s="3" t="str">
        <f t="shared" si="1"/>
        <v>adult</v>
      </c>
      <c r="F979" s="3">
        <v>53.0</v>
      </c>
      <c r="G979" s="3" t="s">
        <v>18</v>
      </c>
      <c r="H979" s="1">
        <f t="shared" si="2"/>
        <v>6</v>
      </c>
    </row>
    <row r="980">
      <c r="A980" s="3">
        <f>data!A980</f>
        <v>206</v>
      </c>
      <c r="B980" s="3" t="str">
        <f>data!B980</f>
        <v>נעים אמיר</v>
      </c>
      <c r="C980" s="3">
        <f>data!C980</f>
        <v>27</v>
      </c>
      <c r="D980" s="3" t="str">
        <f>data!F980</f>
        <v>כיתות כוננות</v>
      </c>
      <c r="E980" s="3" t="str">
        <f t="shared" si="1"/>
        <v>adult</v>
      </c>
      <c r="F980" s="3">
        <v>53.0</v>
      </c>
      <c r="G980" s="3" t="s">
        <v>18</v>
      </c>
      <c r="H980" s="1">
        <f t="shared" si="2"/>
        <v>6</v>
      </c>
    </row>
    <row r="981">
      <c r="A981" s="3">
        <f>data!A981</f>
        <v>35</v>
      </c>
      <c r="B981" s="3" t="str">
        <f>data!B981</f>
        <v>אבני חגי</v>
      </c>
      <c r="C981" s="3">
        <f>data!C981</f>
        <v>50</v>
      </c>
      <c r="D981" s="3" t="str">
        <f>data!F981</f>
        <v>כיתות כוננות</v>
      </c>
      <c r="E981" s="3" t="str">
        <f t="shared" si="1"/>
        <v>adult</v>
      </c>
      <c r="F981" s="3">
        <v>53.0</v>
      </c>
      <c r="G981" s="3" t="s">
        <v>18</v>
      </c>
      <c r="H981" s="1">
        <f t="shared" si="2"/>
        <v>6</v>
      </c>
    </row>
    <row r="982">
      <c r="A982" s="3">
        <f>data!A982</f>
        <v>30</v>
      </c>
      <c r="B982" s="3" t="str">
        <f>data!B982</f>
        <v>אברג'יל אלירן</v>
      </c>
      <c r="C982" s="3">
        <f>data!C982</f>
        <v>29</v>
      </c>
      <c r="D982" s="3" t="str">
        <f>data!F982</f>
        <v>משטרה</v>
      </c>
      <c r="E982" s="3" t="str">
        <f t="shared" si="1"/>
        <v>adult</v>
      </c>
      <c r="F982" s="3">
        <v>53.0</v>
      </c>
      <c r="G982" s="3" t="s">
        <v>18</v>
      </c>
      <c r="H982" s="1">
        <f t="shared" si="2"/>
        <v>6</v>
      </c>
    </row>
    <row r="983">
      <c r="A983" s="3">
        <f>data!A983</f>
        <v>109</v>
      </c>
      <c r="B983" s="3" t="str">
        <f>data!B983</f>
        <v>אוחנה אריאל</v>
      </c>
      <c r="C983" s="3">
        <f>data!C983</f>
        <v>19</v>
      </c>
      <c r="D983" s="3" t="str">
        <f>data!F983</f>
        <v>צה"ל</v>
      </c>
      <c r="E983" s="3" t="str">
        <f t="shared" si="1"/>
        <v>adult</v>
      </c>
      <c r="F983" s="3">
        <v>53.0</v>
      </c>
      <c r="G983" s="3" t="s">
        <v>1809</v>
      </c>
      <c r="H983" s="1">
        <f t="shared" si="2"/>
        <v>6</v>
      </c>
    </row>
    <row r="984">
      <c r="A984" s="3">
        <f>data!A984</f>
        <v>1545</v>
      </c>
      <c r="B984" s="3" t="str">
        <f>data!B984</f>
        <v>אליהו אריאל</v>
      </c>
      <c r="C984" s="3">
        <f>data!C984</f>
        <v>19</v>
      </c>
      <c r="D984" s="3" t="str">
        <f>data!F984</f>
        <v>צה"ל</v>
      </c>
      <c r="E984" s="3" t="str">
        <f t="shared" si="1"/>
        <v>adult</v>
      </c>
      <c r="F984" s="3">
        <v>53.0</v>
      </c>
      <c r="G984" s="3" t="s">
        <v>18</v>
      </c>
      <c r="H984" s="1">
        <f t="shared" si="2"/>
        <v>6</v>
      </c>
    </row>
    <row r="985">
      <c r="A985" s="3">
        <f>data!A985</f>
        <v>54</v>
      </c>
      <c r="B985" s="3" t="str">
        <f>data!B985</f>
        <v>בויום גיל</v>
      </c>
      <c r="C985" s="3">
        <f>data!C985</f>
        <v>55</v>
      </c>
      <c r="D985" s="3" t="str">
        <f>data!F985</f>
        <v>כיתות כוננות</v>
      </c>
      <c r="E985" s="3" t="str">
        <f t="shared" si="1"/>
        <v>adult</v>
      </c>
      <c r="F985" s="3">
        <v>53.0</v>
      </c>
      <c r="G985" s="3" t="s">
        <v>18</v>
      </c>
      <c r="H985" s="1">
        <f t="shared" si="2"/>
        <v>6</v>
      </c>
    </row>
    <row r="986">
      <c r="A986" s="3">
        <f>data!A986</f>
        <v>214</v>
      </c>
      <c r="B986" s="3" t="str">
        <f>data!B986</f>
        <v>בלקין עמרי</v>
      </c>
      <c r="C986" s="3">
        <f>data!C986</f>
        <v>25</v>
      </c>
      <c r="D986" s="3" t="str">
        <f>data!F986</f>
        <v>צה"ל (מיל')</v>
      </c>
      <c r="E986" s="3" t="str">
        <f t="shared" si="1"/>
        <v>adult</v>
      </c>
      <c r="F986" s="3">
        <v>53.0</v>
      </c>
      <c r="G986" s="3" t="s">
        <v>18</v>
      </c>
      <c r="H986" s="1">
        <f t="shared" si="2"/>
        <v>6</v>
      </c>
    </row>
    <row r="987">
      <c r="A987" s="3">
        <f>data!A987</f>
        <v>215</v>
      </c>
      <c r="B987" s="3" t="str">
        <f>data!B987</f>
        <v>בן דוד נריה</v>
      </c>
      <c r="C987" s="3">
        <f>data!C987</f>
        <v>22</v>
      </c>
      <c r="D987" s="3" t="str">
        <f>data!F987</f>
        <v>צה"ל</v>
      </c>
      <c r="E987" s="3" t="str">
        <f t="shared" si="1"/>
        <v>adult</v>
      </c>
      <c r="F987" s="3">
        <v>53.0</v>
      </c>
      <c r="G987" s="3" t="s">
        <v>18</v>
      </c>
      <c r="H987" s="1">
        <f t="shared" si="2"/>
        <v>6</v>
      </c>
    </row>
    <row r="988">
      <c r="A988" s="3">
        <f>data!A988</f>
        <v>231</v>
      </c>
      <c r="B988" s="3" t="str">
        <f>data!B988</f>
        <v>גוטין יונתן</v>
      </c>
      <c r="C988" s="3">
        <f>data!C988</f>
        <v>20</v>
      </c>
      <c r="D988" s="3" t="str">
        <f>data!F988</f>
        <v>צה"ל</v>
      </c>
      <c r="E988" s="3" t="str">
        <f t="shared" si="1"/>
        <v>adult</v>
      </c>
      <c r="F988" s="3">
        <v>54.0</v>
      </c>
      <c r="G988" s="3" t="s">
        <v>169</v>
      </c>
      <c r="H988" s="1">
        <f t="shared" si="2"/>
        <v>6</v>
      </c>
    </row>
    <row r="989">
      <c r="A989" s="3">
        <f>data!A989</f>
        <v>79</v>
      </c>
      <c r="B989" s="3" t="str">
        <f>data!B989</f>
        <v>גולן שגיא</v>
      </c>
      <c r="C989" s="3">
        <f>data!C989</f>
        <v>30</v>
      </c>
      <c r="D989" s="3" t="str">
        <f>data!F989</f>
        <v>צה"ל</v>
      </c>
      <c r="E989" s="3" t="str">
        <f t="shared" si="1"/>
        <v>adult</v>
      </c>
      <c r="F989" s="3">
        <v>54.0</v>
      </c>
      <c r="G989" s="3" t="s">
        <v>18</v>
      </c>
      <c r="H989" s="1">
        <f t="shared" si="2"/>
        <v>6</v>
      </c>
    </row>
    <row r="990">
      <c r="A990" s="3">
        <f>data!A990</f>
        <v>1178</v>
      </c>
      <c r="B990" s="3" t="str">
        <f>data!B990</f>
        <v>גינסברג אלי</v>
      </c>
      <c r="C990" s="3">
        <f>data!C990</f>
        <v>42</v>
      </c>
      <c r="D990" s="3" t="str">
        <f>data!F990</f>
        <v>צה"ל</v>
      </c>
      <c r="E990" s="3" t="str">
        <f t="shared" si="1"/>
        <v>adult</v>
      </c>
      <c r="F990" s="3">
        <v>54.0</v>
      </c>
      <c r="G990" s="3" t="s">
        <v>18</v>
      </c>
      <c r="H990" s="1">
        <f t="shared" si="2"/>
        <v>6</v>
      </c>
    </row>
    <row r="991">
      <c r="A991" s="3">
        <f>data!A991</f>
        <v>1578</v>
      </c>
      <c r="B991" s="3" t="str">
        <f>data!B991</f>
        <v>גנות דן</v>
      </c>
      <c r="C991" s="3">
        <f>data!C991</f>
        <v>41</v>
      </c>
      <c r="D991" s="3" t="str">
        <f>data!F991</f>
        <v>משטרה</v>
      </c>
      <c r="E991" s="3" t="str">
        <f t="shared" si="1"/>
        <v>adult</v>
      </c>
      <c r="F991" s="3">
        <v>54.0</v>
      </c>
      <c r="G991" s="3" t="s">
        <v>18</v>
      </c>
      <c r="H991" s="1">
        <f t="shared" si="2"/>
        <v>6</v>
      </c>
    </row>
    <row r="992">
      <c r="A992" s="3">
        <f>data!A992</f>
        <v>76</v>
      </c>
      <c r="B992" s="3" t="str">
        <f>data!B992</f>
        <v>גנסיה ולנטין (אלי)</v>
      </c>
      <c r="C992" s="3">
        <f>data!C992</f>
        <v>22</v>
      </c>
      <c r="D992" s="3" t="str">
        <f>data!F992</f>
        <v>צה"ל</v>
      </c>
      <c r="E992" s="3" t="str">
        <f t="shared" si="1"/>
        <v>adult</v>
      </c>
      <c r="F992" s="3">
        <v>54.0</v>
      </c>
      <c r="G992" s="3" t="s">
        <v>18</v>
      </c>
      <c r="H992" s="1">
        <f t="shared" si="2"/>
        <v>6</v>
      </c>
    </row>
    <row r="993">
      <c r="A993" s="3">
        <f>data!A993</f>
        <v>979</v>
      </c>
      <c r="B993" s="3" t="str">
        <f>data!B993</f>
        <v>דוידוב ג'יאר</v>
      </c>
      <c r="C993" s="3">
        <f>data!C993</f>
        <v>43</v>
      </c>
      <c r="D993" s="3" t="str">
        <f>data!F993</f>
        <v>משטרה</v>
      </c>
      <c r="E993" s="3" t="str">
        <f t="shared" si="1"/>
        <v>adult</v>
      </c>
      <c r="F993" s="3">
        <v>54.0</v>
      </c>
      <c r="G993" s="3" t="s">
        <v>18</v>
      </c>
      <c r="H993" s="1">
        <f t="shared" si="2"/>
        <v>6</v>
      </c>
    </row>
    <row r="994">
      <c r="A994" s="3">
        <f>data!A994</f>
        <v>149</v>
      </c>
      <c r="B994" s="3" t="str">
        <f>data!B994</f>
        <v>דנילוב בוריס</v>
      </c>
      <c r="C994" s="3">
        <f>data!C994</f>
        <v>34</v>
      </c>
      <c r="D994" s="3" t="str">
        <f>data!F994</f>
        <v>משטרה</v>
      </c>
      <c r="E994" s="3" t="str">
        <f t="shared" si="1"/>
        <v>adult</v>
      </c>
      <c r="F994" s="3">
        <v>54.0</v>
      </c>
      <c r="G994" s="3" t="s">
        <v>18</v>
      </c>
      <c r="H994" s="1">
        <f t="shared" si="2"/>
        <v>6</v>
      </c>
    </row>
    <row r="995">
      <c r="A995" s="3">
        <f>data!A995</f>
        <v>80</v>
      </c>
      <c r="B995" s="3" t="str">
        <f>data!B995</f>
        <v>חדד איתן</v>
      </c>
      <c r="C995" s="3">
        <f>data!C995</f>
        <v>43</v>
      </c>
      <c r="D995" s="3" t="str">
        <f>data!F995</f>
        <v>כיתות כוננות</v>
      </c>
      <c r="E995" s="3" t="str">
        <f t="shared" si="1"/>
        <v>adult</v>
      </c>
      <c r="F995" s="3">
        <v>54.0</v>
      </c>
      <c r="G995" s="3" t="s">
        <v>18</v>
      </c>
      <c r="H995" s="1">
        <f t="shared" si="2"/>
        <v>6</v>
      </c>
    </row>
    <row r="996">
      <c r="A996" s="3">
        <f>data!A996</f>
        <v>138</v>
      </c>
      <c r="B996" s="3" t="str">
        <f>data!B996</f>
        <v>טרקינסקי בנימין (בנג׳י)</v>
      </c>
      <c r="C996" s="3">
        <f>data!C996</f>
        <v>32</v>
      </c>
      <c r="D996" s="3" t="str">
        <f>data!F996</f>
        <v>צה"ל</v>
      </c>
      <c r="E996" s="3" t="str">
        <f t="shared" si="1"/>
        <v>adult</v>
      </c>
      <c r="F996" s="3">
        <v>54.0</v>
      </c>
      <c r="G996" s="3" t="s">
        <v>18</v>
      </c>
      <c r="H996" s="1">
        <f t="shared" si="2"/>
        <v>6</v>
      </c>
    </row>
    <row r="997">
      <c r="A997" s="3">
        <f>data!A997</f>
        <v>186</v>
      </c>
      <c r="B997" s="3" t="str">
        <f>data!B997</f>
        <v>יהושע איתי</v>
      </c>
      <c r="C997" s="3">
        <f>data!C997</f>
        <v>36</v>
      </c>
      <c r="D997" s="3" t="str">
        <f>data!F997</f>
        <v>צה"ל</v>
      </c>
      <c r="E997" s="3" t="str">
        <f t="shared" si="1"/>
        <v>adult</v>
      </c>
      <c r="F997" s="3">
        <v>54.0</v>
      </c>
      <c r="G997" s="3" t="s">
        <v>136</v>
      </c>
      <c r="H997" s="1">
        <f t="shared" si="2"/>
        <v>6</v>
      </c>
    </row>
    <row r="998">
      <c r="A998" s="3">
        <f>data!A998</f>
        <v>219</v>
      </c>
      <c r="B998" s="3" t="str">
        <f>data!B998</f>
        <v>כהן אהד (בודי)</v>
      </c>
      <c r="C998" s="3">
        <f>data!C998</f>
        <v>20</v>
      </c>
      <c r="D998" s="3" t="str">
        <f>data!F998</f>
        <v>צה"ל</v>
      </c>
      <c r="E998" s="3" t="str">
        <f t="shared" si="1"/>
        <v>adult</v>
      </c>
      <c r="F998" s="3">
        <v>54.0</v>
      </c>
      <c r="G998" s="3" t="s">
        <v>18</v>
      </c>
      <c r="H998" s="1">
        <f t="shared" si="2"/>
        <v>6</v>
      </c>
    </row>
    <row r="999">
      <c r="A999" s="3">
        <f>data!A999</f>
        <v>1138</v>
      </c>
      <c r="B999" s="3" t="str">
        <f>data!B999</f>
        <v>כהן שילה</v>
      </c>
      <c r="C999" s="3">
        <f>data!C999</f>
        <v>24</v>
      </c>
      <c r="D999" s="3" t="str">
        <f>data!F999</f>
        <v>צה"ל</v>
      </c>
      <c r="E999" s="3" t="str">
        <f t="shared" si="1"/>
        <v>adult</v>
      </c>
      <c r="F999" s="3">
        <v>55.0</v>
      </c>
      <c r="G999" s="3" t="s">
        <v>18</v>
      </c>
      <c r="H999" s="1">
        <f t="shared" si="2"/>
        <v>6</v>
      </c>
    </row>
    <row r="1000">
      <c r="A1000" s="3">
        <f>data!A1000</f>
        <v>223</v>
      </c>
      <c r="B1000" s="3" t="str">
        <f>data!B1000</f>
        <v>לקס נווה אלעזר</v>
      </c>
      <c r="C1000" s="3">
        <f>data!C1000</f>
        <v>21</v>
      </c>
      <c r="D1000" s="3" t="str">
        <f>data!F1000</f>
        <v>צה"ל</v>
      </c>
      <c r="E1000" s="3" t="str">
        <f t="shared" si="1"/>
        <v>adult</v>
      </c>
      <c r="F1000" s="3">
        <v>55.0</v>
      </c>
      <c r="G1000" s="3" t="s">
        <v>136</v>
      </c>
      <c r="H1000" s="1">
        <f t="shared" si="2"/>
        <v>6</v>
      </c>
    </row>
    <row r="1001">
      <c r="A1001" s="3">
        <f>data!A1001</f>
        <v>154</v>
      </c>
      <c r="B1001" s="3" t="str">
        <f>data!B1001</f>
        <v>מאיר דוד חיים</v>
      </c>
      <c r="C1001" s="3">
        <f>data!C1001</f>
        <v>31</v>
      </c>
      <c r="D1001" s="3" t="str">
        <f>data!F1001</f>
        <v>צה"ל (מיל')</v>
      </c>
      <c r="E1001" s="3" t="str">
        <f t="shared" si="1"/>
        <v>adult</v>
      </c>
      <c r="F1001" s="3">
        <v>55.0</v>
      </c>
      <c r="G1001" s="3" t="s">
        <v>1601</v>
      </c>
      <c r="H1001" s="1">
        <f t="shared" si="2"/>
        <v>6</v>
      </c>
    </row>
    <row r="1002">
      <c r="A1002" s="3">
        <f>data!A1002</f>
        <v>150</v>
      </c>
      <c r="B1002" s="3" t="str">
        <f>data!B1002</f>
        <v>מולוגטה גדיף</v>
      </c>
      <c r="C1002" s="3">
        <f>data!C1002</f>
        <v>29</v>
      </c>
      <c r="D1002" s="3" t="str">
        <f>data!F1002</f>
        <v>משטרה</v>
      </c>
      <c r="E1002" s="3" t="str">
        <f t="shared" si="1"/>
        <v>adult</v>
      </c>
      <c r="F1002" s="3">
        <v>55.0</v>
      </c>
      <c r="G1002" s="3" t="s">
        <v>1601</v>
      </c>
      <c r="H1002" s="1">
        <f t="shared" si="2"/>
        <v>6</v>
      </c>
    </row>
    <row r="1003">
      <c r="A1003" s="3">
        <f>data!A1003</f>
        <v>151</v>
      </c>
      <c r="B1003" s="3" t="str">
        <f>data!B1003</f>
        <v>מנגדי דור</v>
      </c>
      <c r="C1003" s="3">
        <f>data!C1003</f>
        <v>24</v>
      </c>
      <c r="D1003" s="3" t="str">
        <f>data!F1003</f>
        <v>משטרה</v>
      </c>
      <c r="E1003" s="3" t="str">
        <f t="shared" si="1"/>
        <v>adult</v>
      </c>
      <c r="F1003" s="3">
        <v>56.0</v>
      </c>
      <c r="G1003" s="3" t="s">
        <v>18</v>
      </c>
      <c r="H1003" s="1">
        <f t="shared" si="2"/>
        <v>6</v>
      </c>
    </row>
    <row r="1004">
      <c r="A1004" s="3">
        <f>data!A1004</f>
        <v>107</v>
      </c>
      <c r="B1004" s="3" t="str">
        <f>data!B1004</f>
        <v>נגרי רועי</v>
      </c>
      <c r="C1004" s="3">
        <f>data!C1004</f>
        <v>28</v>
      </c>
      <c r="D1004" s="3" t="str">
        <f>data!F1004</f>
        <v>צה"ל (מיל')</v>
      </c>
      <c r="E1004" s="3" t="str">
        <f t="shared" si="1"/>
        <v>adult</v>
      </c>
      <c r="F1004" s="3">
        <v>56.0</v>
      </c>
      <c r="G1004" s="3" t="s">
        <v>18</v>
      </c>
      <c r="H1004" s="1">
        <f t="shared" si="2"/>
        <v>6</v>
      </c>
    </row>
    <row r="1005">
      <c r="A1005" s="3">
        <f>data!A1005</f>
        <v>1705</v>
      </c>
      <c r="B1005" s="3" t="str">
        <f>data!B1005</f>
        <v>עמר אבי</v>
      </c>
      <c r="C1005" s="3">
        <f>data!C1005</f>
        <v>55</v>
      </c>
      <c r="D1005" s="3" t="str">
        <f>data!F1005</f>
        <v>משטרה</v>
      </c>
      <c r="E1005" s="3" t="str">
        <f t="shared" si="1"/>
        <v>adult</v>
      </c>
      <c r="F1005" s="3">
        <v>56.0</v>
      </c>
      <c r="G1005" s="3" t="s">
        <v>18</v>
      </c>
      <c r="H1005" s="1">
        <f t="shared" si="2"/>
        <v>6</v>
      </c>
    </row>
    <row r="1006">
      <c r="A1006" s="3">
        <f>data!A1006</f>
        <v>187</v>
      </c>
      <c r="B1006" s="3" t="str">
        <f>data!B1006</f>
        <v>צמח שחר</v>
      </c>
      <c r="C1006" s="3">
        <f>data!C1006</f>
        <v>39</v>
      </c>
      <c r="D1006" s="3" t="str">
        <f>data!F1006</f>
        <v>כיתות כוננות</v>
      </c>
      <c r="E1006" s="3" t="str">
        <f t="shared" si="1"/>
        <v>adult</v>
      </c>
      <c r="F1006" s="3">
        <v>56.0</v>
      </c>
      <c r="G1006" s="3" t="s">
        <v>18</v>
      </c>
      <c r="H1006" s="1">
        <f t="shared" si="2"/>
        <v>6</v>
      </c>
    </row>
    <row r="1007">
      <c r="A1007" s="3">
        <f>data!A1007</f>
        <v>59</v>
      </c>
      <c r="B1007" s="3" t="str">
        <f>data!B1007</f>
        <v>קלמנזון אלחנן מאיר</v>
      </c>
      <c r="C1007" s="3">
        <f>data!C1007</f>
        <v>41</v>
      </c>
      <c r="D1007" s="3" t="str">
        <f>data!F1007</f>
        <v>צה"ל (מיל')</v>
      </c>
      <c r="E1007" s="3" t="str">
        <f t="shared" si="1"/>
        <v>adult</v>
      </c>
      <c r="F1007" s="3">
        <v>56.0</v>
      </c>
      <c r="G1007" s="3" t="s">
        <v>18</v>
      </c>
      <c r="H1007" s="1">
        <f t="shared" si="2"/>
        <v>6</v>
      </c>
    </row>
    <row r="1008">
      <c r="A1008" s="3">
        <f>data!A1008</f>
        <v>97</v>
      </c>
      <c r="B1008" s="3" t="str">
        <f>data!B1008</f>
        <v>קראוניק אריה (אריק)</v>
      </c>
      <c r="C1008" s="3">
        <f>data!C1008</f>
        <v>54</v>
      </c>
      <c r="D1008" s="3" t="str">
        <f>data!F1008</f>
        <v>כיתות כוננות</v>
      </c>
      <c r="E1008" s="3" t="str">
        <f t="shared" si="1"/>
        <v>adult</v>
      </c>
      <c r="F1008" s="3">
        <v>56.0</v>
      </c>
      <c r="G1008" s="3" t="s">
        <v>18</v>
      </c>
      <c r="H1008" s="1">
        <f t="shared" si="2"/>
        <v>6</v>
      </c>
    </row>
    <row r="1009">
      <c r="A1009" s="3">
        <f>data!A1009</f>
        <v>116</v>
      </c>
      <c r="B1009" s="3" t="str">
        <f>data!B1009</f>
        <v>רוסו אופק</v>
      </c>
      <c r="C1009" s="3">
        <f>data!C1009</f>
        <v>21</v>
      </c>
      <c r="D1009" s="3" t="str">
        <f>data!F1009</f>
        <v>צה"ל</v>
      </c>
      <c r="E1009" s="3" t="str">
        <f t="shared" si="1"/>
        <v>adult</v>
      </c>
      <c r="F1009" s="3">
        <v>56.0</v>
      </c>
      <c r="G1009" s="3" t="s">
        <v>1601</v>
      </c>
      <c r="H1009" s="1">
        <f t="shared" si="2"/>
        <v>6</v>
      </c>
    </row>
    <row r="1010">
      <c r="A1010" s="3">
        <f>data!A1010</f>
        <v>142</v>
      </c>
      <c r="B1010" s="3" t="str">
        <f>data!B1010</f>
        <v>אלון אוראל שלום</v>
      </c>
      <c r="C1010" s="3">
        <f>data!C1010</f>
        <v>23</v>
      </c>
      <c r="D1010" s="3" t="str">
        <f>data!F1010</f>
        <v>משטרה</v>
      </c>
      <c r="E1010" s="3" t="str">
        <f t="shared" si="1"/>
        <v>adult</v>
      </c>
      <c r="F1010" s="3">
        <v>56.0</v>
      </c>
      <c r="G1010" s="3" t="s">
        <v>136</v>
      </c>
      <c r="H1010" s="1">
        <f t="shared" si="2"/>
        <v>6</v>
      </c>
    </row>
    <row r="1011">
      <c r="A1011" s="3">
        <f>data!A1011</f>
        <v>267</v>
      </c>
      <c r="B1011" s="3" t="str">
        <f>data!B1011</f>
        <v>מונס אלמוסנינו לירן</v>
      </c>
      <c r="C1011" s="3">
        <f>data!C1011</f>
        <v>42</v>
      </c>
      <c r="D1011" s="3" t="str">
        <f>data!F1011</f>
        <v>צה"ל (מיל')</v>
      </c>
      <c r="E1011" s="3" t="str">
        <f t="shared" si="1"/>
        <v>adult</v>
      </c>
      <c r="F1011" s="3">
        <v>56.0</v>
      </c>
      <c r="G1011" s="3" t="s">
        <v>136</v>
      </c>
      <c r="H1011" s="1">
        <f t="shared" si="2"/>
        <v>6</v>
      </c>
    </row>
    <row r="1012">
      <c r="A1012" s="3">
        <f>data!A1012</f>
        <v>1561</v>
      </c>
      <c r="B1012" s="3" t="str">
        <f>data!B1012</f>
        <v>גורני יפתח</v>
      </c>
      <c r="C1012" s="3">
        <f>data!C1012</f>
        <v>51</v>
      </c>
      <c r="D1012" s="3" t="str">
        <f>data!F1012</f>
        <v>צה"ל (מיל')</v>
      </c>
      <c r="E1012" s="3" t="str">
        <f t="shared" si="1"/>
        <v>adult</v>
      </c>
      <c r="F1012" s="3">
        <v>56.0</v>
      </c>
      <c r="G1012" s="3" t="s">
        <v>136</v>
      </c>
      <c r="H1012" s="1">
        <f t="shared" si="2"/>
        <v>6</v>
      </c>
    </row>
    <row r="1013">
      <c r="A1013" s="3">
        <f>data!A1013</f>
        <v>274</v>
      </c>
      <c r="B1013" s="3" t="str">
        <f>data!B1013</f>
        <v>כצמן חיים ישורון</v>
      </c>
      <c r="C1013" s="3">
        <f>data!C1013</f>
        <v>32</v>
      </c>
      <c r="D1013" s="3" t="str">
        <f>data!F1013</f>
        <v>כיתות כוננות</v>
      </c>
      <c r="E1013" s="3" t="str">
        <f t="shared" si="1"/>
        <v>adult</v>
      </c>
      <c r="F1013" s="3">
        <v>56.0</v>
      </c>
      <c r="G1013" s="3" t="s">
        <v>18</v>
      </c>
      <c r="H1013" s="1">
        <f t="shared" si="2"/>
        <v>6</v>
      </c>
    </row>
    <row r="1014">
      <c r="A1014" s="3">
        <f>data!A1014</f>
        <v>276</v>
      </c>
      <c r="B1014" s="3" t="str">
        <f>data!B1014</f>
        <v>קורין אברהם גבריאל</v>
      </c>
      <c r="C1014" s="3">
        <f>data!C1014</f>
        <v>56</v>
      </c>
      <c r="D1014" s="3" t="str">
        <f>data!F1014</f>
        <v>כיתות כוננות</v>
      </c>
      <c r="E1014" s="3" t="str">
        <f t="shared" si="1"/>
        <v>adult</v>
      </c>
      <c r="F1014" s="3">
        <v>56.0</v>
      </c>
      <c r="G1014" s="3" t="s">
        <v>18</v>
      </c>
      <c r="H1014" s="1">
        <f t="shared" si="2"/>
        <v>6</v>
      </c>
    </row>
    <row r="1015">
      <c r="A1015" s="3">
        <f>data!A1015</f>
        <v>1176</v>
      </c>
      <c r="B1015" s="3" t="str">
        <f>data!B1015</f>
        <v>חוברה עידו</v>
      </c>
      <c r="C1015" s="3">
        <f>data!C1015</f>
        <v>36</v>
      </c>
      <c r="D1015" s="3" t="str">
        <f>data!F1015</f>
        <v>כיתות כוננות</v>
      </c>
      <c r="E1015" s="3" t="str">
        <f t="shared" si="1"/>
        <v>adult</v>
      </c>
      <c r="F1015" s="3">
        <v>56.0</v>
      </c>
      <c r="G1015" s="3" t="s">
        <v>18</v>
      </c>
      <c r="H1015" s="1">
        <f t="shared" si="2"/>
        <v>6</v>
      </c>
    </row>
    <row r="1016">
      <c r="A1016" s="3">
        <f>data!A1016</f>
        <v>261</v>
      </c>
      <c r="B1016" s="3" t="str">
        <f>data!B1016</f>
        <v>מלכה מתן</v>
      </c>
      <c r="C1016" s="3">
        <f>data!C1016</f>
        <v>19</v>
      </c>
      <c r="D1016" s="3" t="str">
        <f>data!F1016</f>
        <v>צה"ל</v>
      </c>
      <c r="E1016" s="3" t="str">
        <f t="shared" si="1"/>
        <v>adult</v>
      </c>
      <c r="F1016" s="3">
        <v>57.0</v>
      </c>
      <c r="G1016" s="3" t="s">
        <v>18</v>
      </c>
      <c r="H1016" s="1">
        <f t="shared" si="2"/>
        <v>6</v>
      </c>
    </row>
    <row r="1017">
      <c r="A1017" s="3">
        <f>data!A1017</f>
        <v>396</v>
      </c>
      <c r="B1017" s="3" t="str">
        <f>data!B1017</f>
        <v>מרגוליס סער</v>
      </c>
      <c r="C1017" s="3">
        <f>data!C1017</f>
        <v>37</v>
      </c>
      <c r="D1017" s="3" t="str">
        <f>data!F1017</f>
        <v>כיתות כוננות</v>
      </c>
      <c r="E1017" s="3" t="str">
        <f t="shared" si="1"/>
        <v>adult</v>
      </c>
      <c r="F1017" s="3">
        <v>57.0</v>
      </c>
      <c r="G1017" s="3" t="s">
        <v>56</v>
      </c>
      <c r="H1017" s="1">
        <f t="shared" si="2"/>
        <v>6</v>
      </c>
    </row>
    <row r="1018">
      <c r="A1018" s="3">
        <f>data!A1018</f>
        <v>291</v>
      </c>
      <c r="B1018" s="3" t="str">
        <f>data!B1018</f>
        <v>אביאני שחר</v>
      </c>
      <c r="C1018" s="3">
        <f>data!C1018</f>
        <v>56</v>
      </c>
      <c r="D1018" s="3" t="str">
        <f>data!F1018</f>
        <v>כיתות כוננות</v>
      </c>
      <c r="E1018" s="3" t="str">
        <f t="shared" si="1"/>
        <v>adult</v>
      </c>
      <c r="F1018" s="3">
        <v>57.0</v>
      </c>
      <c r="G1018" s="3" t="s">
        <v>18</v>
      </c>
      <c r="H1018" s="1">
        <f t="shared" si="2"/>
        <v>6</v>
      </c>
    </row>
    <row r="1019">
      <c r="A1019" s="3">
        <f>data!A1019</f>
        <v>299</v>
      </c>
      <c r="B1019" s="3" t="str">
        <f>data!B1019</f>
        <v>אילון טל</v>
      </c>
      <c r="C1019" s="3">
        <f>data!C1019</f>
        <v>46</v>
      </c>
      <c r="D1019" s="3" t="str">
        <f>data!F1019</f>
        <v>כיתות כוננות</v>
      </c>
      <c r="E1019" s="3" t="str">
        <f t="shared" si="1"/>
        <v>adult</v>
      </c>
      <c r="F1019" s="3">
        <v>57.0</v>
      </c>
      <c r="G1019" s="3" t="s">
        <v>18</v>
      </c>
      <c r="H1019" s="1">
        <f t="shared" si="2"/>
        <v>6</v>
      </c>
    </row>
    <row r="1020">
      <c r="A1020" s="3">
        <f>data!A1020</f>
        <v>296</v>
      </c>
      <c r="B1020" s="3" t="str">
        <f>data!B1020</f>
        <v>ברגשטיין שחף</v>
      </c>
      <c r="C1020" s="3">
        <f>data!C1020</f>
        <v>33</v>
      </c>
      <c r="D1020" s="3" t="str">
        <f>data!F1020</f>
        <v>כיתות כוננות</v>
      </c>
      <c r="E1020" s="3" t="str">
        <f t="shared" si="1"/>
        <v>adult</v>
      </c>
      <c r="F1020" s="3">
        <v>57.0</v>
      </c>
      <c r="G1020" s="3" t="s">
        <v>18</v>
      </c>
      <c r="H1020" s="1">
        <f t="shared" si="2"/>
        <v>6</v>
      </c>
    </row>
    <row r="1021">
      <c r="A1021" s="3">
        <f>data!A1021</f>
        <v>1472</v>
      </c>
      <c r="B1021" s="3" t="str">
        <f>data!B1021</f>
        <v>ברונשטיין בן</v>
      </c>
      <c r="C1021" s="3">
        <f>data!C1021</f>
        <v>24</v>
      </c>
      <c r="D1021" s="3" t="str">
        <f>data!F1021</f>
        <v>צה"ל</v>
      </c>
      <c r="E1021" s="3" t="str">
        <f t="shared" si="1"/>
        <v>adult</v>
      </c>
      <c r="F1021" s="3">
        <v>57.0</v>
      </c>
      <c r="G1021" s="3" t="s">
        <v>18</v>
      </c>
      <c r="H1021" s="1">
        <f t="shared" si="2"/>
        <v>6</v>
      </c>
    </row>
    <row r="1022">
      <c r="A1022" s="3">
        <f>data!A1022</f>
        <v>293</v>
      </c>
      <c r="B1022" s="3" t="str">
        <f>data!B1022</f>
        <v>ברעם אביב</v>
      </c>
      <c r="C1022" s="3">
        <f>data!C1022</f>
        <v>33</v>
      </c>
      <c r="D1022" s="3" t="str">
        <f>data!F1022</f>
        <v>כיתות כוננות</v>
      </c>
      <c r="E1022" s="3" t="str">
        <f t="shared" si="1"/>
        <v>adult</v>
      </c>
      <c r="F1022" s="3">
        <v>57.0</v>
      </c>
      <c r="G1022" s="3" t="s">
        <v>136</v>
      </c>
      <c r="H1022" s="1">
        <f t="shared" si="2"/>
        <v>6</v>
      </c>
    </row>
    <row r="1023">
      <c r="A1023" s="3">
        <f>data!A1023</f>
        <v>1588</v>
      </c>
      <c r="B1023" s="3" t="str">
        <f>data!B1023</f>
        <v>דושי רותם</v>
      </c>
      <c r="C1023" s="3">
        <f>data!C1023</f>
        <v>20</v>
      </c>
      <c r="D1023" s="3" t="str">
        <f>data!F1023</f>
        <v>צה"ל</v>
      </c>
      <c r="E1023" s="3" t="str">
        <f t="shared" si="1"/>
        <v>adult</v>
      </c>
      <c r="F1023" s="3">
        <v>57.0</v>
      </c>
      <c r="G1023" s="3" t="s">
        <v>136</v>
      </c>
      <c r="H1023" s="1">
        <f t="shared" si="2"/>
        <v>6</v>
      </c>
    </row>
    <row r="1024">
      <c r="A1024" s="3">
        <f>data!A1024</f>
        <v>311</v>
      </c>
      <c r="B1024" s="3" t="str">
        <f>data!B1024</f>
        <v>הנדי אברהם חננאל</v>
      </c>
      <c r="C1024" s="3">
        <f>data!C1024</f>
        <v>37</v>
      </c>
      <c r="D1024" s="3" t="str">
        <f>data!F1024</f>
        <v>כיתות כוננות</v>
      </c>
      <c r="E1024" s="3" t="str">
        <f t="shared" si="1"/>
        <v>adult</v>
      </c>
      <c r="F1024" s="3">
        <v>58.0</v>
      </c>
      <c r="G1024" s="3" t="s">
        <v>18</v>
      </c>
      <c r="H1024" s="1">
        <f t="shared" si="2"/>
        <v>6</v>
      </c>
    </row>
    <row r="1025">
      <c r="A1025" s="3">
        <f>data!A1025</f>
        <v>370</v>
      </c>
      <c r="B1025" s="3" t="str">
        <f>data!B1025</f>
        <v>ונינו עמיחי יעקב</v>
      </c>
      <c r="C1025" s="3">
        <f>data!C1025</f>
        <v>22</v>
      </c>
      <c r="D1025" s="3" t="str">
        <f>data!F1025</f>
        <v>צה"ל</v>
      </c>
      <c r="E1025" s="3" t="str">
        <f t="shared" si="1"/>
        <v>adult</v>
      </c>
      <c r="F1025" s="3">
        <v>58.0</v>
      </c>
      <c r="G1025" s="3" t="s">
        <v>18</v>
      </c>
      <c r="H1025" s="1">
        <f t="shared" si="2"/>
        <v>6</v>
      </c>
    </row>
    <row r="1026">
      <c r="A1026" s="3">
        <f>data!A1026</f>
        <v>1710</v>
      </c>
      <c r="B1026" s="3" t="str">
        <f>data!B1026</f>
        <v>זיסר עילי</v>
      </c>
      <c r="C1026" s="3">
        <f>data!C1026</f>
        <v>27</v>
      </c>
      <c r="D1026" s="3" t="str">
        <f>data!F1026</f>
        <v>צה"ל</v>
      </c>
      <c r="E1026" s="3" t="str">
        <f t="shared" si="1"/>
        <v>adult</v>
      </c>
      <c r="F1026" s="3">
        <v>58.0</v>
      </c>
      <c r="G1026" s="3" t="s">
        <v>18</v>
      </c>
      <c r="H1026" s="1">
        <f t="shared" si="2"/>
        <v>6</v>
      </c>
    </row>
    <row r="1027">
      <c r="A1027" s="3">
        <f>data!A1027</f>
        <v>297</v>
      </c>
      <c r="B1027" s="3" t="str">
        <f>data!B1027</f>
        <v>כהן טל</v>
      </c>
      <c r="C1027" s="3">
        <f>data!C1027</f>
        <v>30</v>
      </c>
      <c r="D1027" s="3" t="str">
        <f>data!F1027</f>
        <v>צה"ל</v>
      </c>
      <c r="E1027" s="3" t="str">
        <f t="shared" si="1"/>
        <v>adult</v>
      </c>
      <c r="F1027" s="3">
        <v>58.0</v>
      </c>
      <c r="G1027" s="3" t="s">
        <v>18</v>
      </c>
      <c r="H1027" s="1">
        <f t="shared" si="2"/>
        <v>6</v>
      </c>
    </row>
    <row r="1028">
      <c r="A1028" s="3">
        <f>data!A1028</f>
        <v>327</v>
      </c>
      <c r="B1028" s="3" t="str">
        <f>data!B1028</f>
        <v>ליבשטיין אופיר</v>
      </c>
      <c r="C1028" s="3">
        <f>data!C1028</f>
        <v>50</v>
      </c>
      <c r="D1028" s="3" t="str">
        <f>data!F1028</f>
        <v>כיתות כוננות</v>
      </c>
      <c r="E1028" s="3" t="str">
        <f t="shared" si="1"/>
        <v>adult</v>
      </c>
      <c r="F1028" s="3">
        <v>58.0</v>
      </c>
      <c r="G1028" s="3" t="s">
        <v>18</v>
      </c>
      <c r="H1028" s="1">
        <f t="shared" si="2"/>
        <v>6</v>
      </c>
    </row>
    <row r="1029">
      <c r="A1029" s="3">
        <f>data!A1029</f>
        <v>328</v>
      </c>
      <c r="B1029" s="3" t="str">
        <f>data!B1029</f>
        <v>מיכאלי עמרי</v>
      </c>
      <c r="C1029" s="3">
        <f>data!C1029</f>
        <v>35</v>
      </c>
      <c r="D1029" s="3" t="str">
        <f>data!F1029</f>
        <v>צה"ל (מיל')</v>
      </c>
      <c r="E1029" s="3" t="str">
        <f t="shared" si="1"/>
        <v>adult</v>
      </c>
      <c r="F1029" s="3">
        <v>58.0</v>
      </c>
      <c r="G1029" s="3" t="s">
        <v>1601</v>
      </c>
      <c r="H1029" s="1">
        <f t="shared" si="2"/>
        <v>6</v>
      </c>
    </row>
    <row r="1030">
      <c r="A1030" s="3">
        <f>data!A1030</f>
        <v>329</v>
      </c>
      <c r="B1030" s="3" t="str">
        <f>data!B1030</f>
        <v>נהרי רועי</v>
      </c>
      <c r="C1030" s="3">
        <f>data!C1030</f>
        <v>23</v>
      </c>
      <c r="D1030" s="3" t="str">
        <f>data!F1030</f>
        <v>צה"ל</v>
      </c>
      <c r="E1030" s="3" t="str">
        <f t="shared" si="1"/>
        <v>adult</v>
      </c>
      <c r="F1030" s="3">
        <v>59.0</v>
      </c>
      <c r="G1030" s="3" t="s">
        <v>18</v>
      </c>
      <c r="H1030" s="1">
        <f t="shared" si="2"/>
        <v>6</v>
      </c>
    </row>
    <row r="1031">
      <c r="A1031" s="3">
        <f>data!A1031</f>
        <v>343</v>
      </c>
      <c r="B1031" s="3" t="str">
        <f>data!B1031</f>
        <v>סלומון יובל</v>
      </c>
      <c r="C1031" s="3">
        <f>data!C1031</f>
        <v>29</v>
      </c>
      <c r="D1031" s="3" t="str">
        <f>data!F1031</f>
        <v>אזרחים</v>
      </c>
      <c r="E1031" s="3" t="str">
        <f t="shared" si="1"/>
        <v>adult</v>
      </c>
      <c r="F1031" s="3">
        <v>59.0</v>
      </c>
      <c r="G1031" s="3" t="s">
        <v>18</v>
      </c>
      <c r="H1031" s="1">
        <f t="shared" si="2"/>
        <v>6</v>
      </c>
    </row>
    <row r="1032">
      <c r="A1032" s="3">
        <f>data!A1032</f>
        <v>1571</v>
      </c>
      <c r="B1032" s="3" t="str">
        <f>data!B1032</f>
        <v>עדני איליי</v>
      </c>
      <c r="C1032" s="3">
        <f>data!C1032</f>
        <v>21</v>
      </c>
      <c r="D1032" s="3" t="str">
        <f>data!F1032</f>
        <v>צה"ל</v>
      </c>
      <c r="E1032" s="3" t="str">
        <f t="shared" si="1"/>
        <v>adult</v>
      </c>
      <c r="F1032" s="3">
        <v>59.0</v>
      </c>
      <c r="G1032" s="3" t="s">
        <v>18</v>
      </c>
      <c r="H1032" s="1">
        <f t="shared" si="2"/>
        <v>6</v>
      </c>
    </row>
    <row r="1033">
      <c r="A1033" s="3">
        <f>data!A1033</f>
        <v>290</v>
      </c>
      <c r="B1033" s="3" t="str">
        <f>data!B1033</f>
        <v>עמיקם נדב</v>
      </c>
      <c r="C1033" s="3">
        <f>data!C1033</f>
        <v>39</v>
      </c>
      <c r="D1033" s="3" t="str">
        <f>data!F1033</f>
        <v>כיתות כוננות</v>
      </c>
      <c r="E1033" s="3" t="str">
        <f t="shared" si="1"/>
        <v>adult</v>
      </c>
      <c r="F1033" s="3">
        <v>59.0</v>
      </c>
      <c r="G1033" s="3" t="s">
        <v>18</v>
      </c>
      <c r="H1033" s="1">
        <f t="shared" si="2"/>
        <v>6</v>
      </c>
    </row>
    <row r="1034">
      <c r="A1034" s="3">
        <f>data!A1034</f>
        <v>225</v>
      </c>
      <c r="B1034" s="3" t="str">
        <f>data!B1034</f>
        <v>פישר אמיר</v>
      </c>
      <c r="C1034" s="3">
        <f>data!C1034</f>
        <v>22</v>
      </c>
      <c r="D1034" s="3" t="str">
        <f>data!F1034</f>
        <v>צה"ל</v>
      </c>
      <c r="E1034" s="3" t="str">
        <f t="shared" si="1"/>
        <v>adult</v>
      </c>
      <c r="F1034" s="3">
        <v>59.0</v>
      </c>
      <c r="G1034" s="3" t="s">
        <v>18</v>
      </c>
      <c r="H1034" s="1">
        <f t="shared" si="2"/>
        <v>6</v>
      </c>
    </row>
    <row r="1035">
      <c r="A1035" s="3">
        <f>data!A1035</f>
        <v>1711</v>
      </c>
      <c r="B1035" s="3" t="str">
        <f>data!B1035</f>
        <v>צור אמיר</v>
      </c>
      <c r="C1035" s="3">
        <f>data!C1035</f>
        <v>23</v>
      </c>
      <c r="D1035" s="3" t="str">
        <f>data!F1035</f>
        <v>צה"ל</v>
      </c>
      <c r="E1035" s="3" t="str">
        <f t="shared" si="1"/>
        <v>adult</v>
      </c>
      <c r="F1035" s="3">
        <v>59.0</v>
      </c>
      <c r="G1035" s="3" t="s">
        <v>18</v>
      </c>
      <c r="H1035" s="1">
        <f t="shared" si="2"/>
        <v>6</v>
      </c>
    </row>
    <row r="1036">
      <c r="A1036" s="3">
        <f>data!A1036</f>
        <v>319</v>
      </c>
      <c r="B1036" s="3" t="str">
        <f>data!B1036</f>
        <v>קמה הדר</v>
      </c>
      <c r="C1036" s="3">
        <f>data!C1036</f>
        <v>24</v>
      </c>
      <c r="D1036" s="3" t="str">
        <f>data!F1036</f>
        <v>צה"ל</v>
      </c>
      <c r="E1036" s="3" t="str">
        <f t="shared" si="1"/>
        <v>adult</v>
      </c>
      <c r="F1036" s="3">
        <v>60.0</v>
      </c>
      <c r="G1036" s="3" t="s">
        <v>18</v>
      </c>
      <c r="H1036" s="1">
        <f t="shared" si="2"/>
        <v>7</v>
      </c>
    </row>
    <row r="1037">
      <c r="A1037" s="3">
        <f>data!A1037</f>
        <v>337</v>
      </c>
      <c r="B1037" s="3" t="str">
        <f>data!B1037</f>
        <v>רוסו אורי שמעון</v>
      </c>
      <c r="C1037" s="3">
        <f>data!C1037</f>
        <v>44</v>
      </c>
      <c r="D1037" s="3" t="str">
        <f>data!F1037</f>
        <v>כיתות כוננות</v>
      </c>
      <c r="E1037" s="3" t="str">
        <f t="shared" si="1"/>
        <v>adult</v>
      </c>
      <c r="F1037" s="3">
        <v>60.0</v>
      </c>
      <c r="G1037" s="3" t="s">
        <v>18</v>
      </c>
      <c r="H1037" s="1">
        <f t="shared" si="2"/>
        <v>7</v>
      </c>
    </row>
    <row r="1038">
      <c r="A1038" s="3">
        <f>data!A1038</f>
        <v>334</v>
      </c>
      <c r="B1038" s="3" t="str">
        <f>data!B1038</f>
        <v>רן אור יוסף</v>
      </c>
      <c r="C1038" s="3">
        <f>data!C1038</f>
        <v>29</v>
      </c>
      <c r="D1038" s="3" t="str">
        <f>data!F1038</f>
        <v>צה"ל</v>
      </c>
      <c r="E1038" s="3" t="str">
        <f t="shared" si="1"/>
        <v>adult</v>
      </c>
      <c r="F1038" s="3">
        <v>60.0</v>
      </c>
      <c r="G1038" s="3" t="s">
        <v>18</v>
      </c>
      <c r="H1038" s="1">
        <f t="shared" si="2"/>
        <v>7</v>
      </c>
    </row>
    <row r="1039">
      <c r="A1039" s="3">
        <f>data!A1039</f>
        <v>1707</v>
      </c>
      <c r="B1039" s="3" t="str">
        <f>data!B1039</f>
        <v>בן הרוש שהם משה</v>
      </c>
      <c r="C1039" s="3">
        <f>data!C1039</f>
        <v>20</v>
      </c>
      <c r="D1039" s="3" t="str">
        <f>data!F1039</f>
        <v>צה"ל</v>
      </c>
      <c r="E1039" s="3" t="str">
        <f t="shared" si="1"/>
        <v>adult</v>
      </c>
      <c r="F1039" s="3">
        <v>60.0</v>
      </c>
      <c r="G1039" s="3" t="s">
        <v>18</v>
      </c>
      <c r="H1039" s="1">
        <f t="shared" si="2"/>
        <v>7</v>
      </c>
    </row>
    <row r="1040">
      <c r="A1040" s="3">
        <f>data!A1040</f>
        <v>1439</v>
      </c>
      <c r="B1040" s="3" t="str">
        <f>data!B1040</f>
        <v>וייזר רועי חיים</v>
      </c>
      <c r="C1040" s="3">
        <f>data!C1040</f>
        <v>21</v>
      </c>
      <c r="D1040" s="3" t="str">
        <f>data!F1040</f>
        <v>צה"ל</v>
      </c>
      <c r="E1040" s="3" t="str">
        <f t="shared" si="1"/>
        <v>adult</v>
      </c>
      <c r="F1040" s="3">
        <v>60.0</v>
      </c>
      <c r="G1040" s="3" t="s">
        <v>18</v>
      </c>
      <c r="H1040" s="1">
        <f t="shared" si="2"/>
        <v>7</v>
      </c>
    </row>
    <row r="1041">
      <c r="A1041" s="3">
        <f>data!A1041</f>
        <v>287</v>
      </c>
      <c r="B1041" s="3" t="str">
        <f>data!B1041</f>
        <v>ויצן ישראל עמיחי</v>
      </c>
      <c r="C1041" s="3">
        <f>data!C1041</f>
        <v>33</v>
      </c>
      <c r="D1041" s="3" t="str">
        <f>data!F1041</f>
        <v>כיתות כוננות</v>
      </c>
      <c r="E1041" s="3" t="str">
        <f t="shared" si="1"/>
        <v>adult</v>
      </c>
      <c r="F1041" s="3">
        <v>60.0</v>
      </c>
      <c r="G1041" s="3" t="s">
        <v>18</v>
      </c>
      <c r="H1041" s="1">
        <f t="shared" si="2"/>
        <v>7</v>
      </c>
    </row>
    <row r="1042">
      <c r="A1042" s="3">
        <f>data!A1042</f>
        <v>283</v>
      </c>
      <c r="B1042" s="3" t="str">
        <f>data!B1042</f>
        <v>רזיאל (רוזנברג) ידידיה משה</v>
      </c>
      <c r="C1042" s="3">
        <f>data!C1042</f>
        <v>31</v>
      </c>
      <c r="D1042" s="3" t="str">
        <f>data!F1042</f>
        <v>כיתות כוננות</v>
      </c>
      <c r="E1042" s="3" t="str">
        <f t="shared" si="1"/>
        <v>adult</v>
      </c>
      <c r="F1042" s="3">
        <v>60.0</v>
      </c>
      <c r="G1042" s="3" t="s">
        <v>18</v>
      </c>
      <c r="H1042" s="1">
        <f t="shared" si="2"/>
        <v>7</v>
      </c>
    </row>
    <row r="1043">
      <c r="A1043" s="3">
        <f>data!A1043</f>
        <v>285</v>
      </c>
      <c r="B1043" s="3" t="str">
        <f>data!B1043</f>
        <v>שוהם תומר</v>
      </c>
      <c r="C1043" s="3">
        <f>data!C1043</f>
        <v>23</v>
      </c>
      <c r="D1043" s="3" t="str">
        <f>data!F1043</f>
        <v>צה"ל</v>
      </c>
      <c r="E1043" s="3" t="str">
        <f t="shared" si="1"/>
        <v>adult</v>
      </c>
      <c r="F1043" s="3">
        <v>60.0</v>
      </c>
      <c r="G1043" s="3" t="s">
        <v>18</v>
      </c>
      <c r="H1043" s="1">
        <f t="shared" si="2"/>
        <v>7</v>
      </c>
    </row>
    <row r="1044">
      <c r="A1044" s="3">
        <f>data!A1044</f>
        <v>284</v>
      </c>
      <c r="B1044" s="3" t="str">
        <f>data!B1044</f>
        <v>שטיינברג יהונתן</v>
      </c>
      <c r="C1044" s="3">
        <f>data!C1044</f>
        <v>42</v>
      </c>
      <c r="D1044" s="3" t="str">
        <f>data!F1044</f>
        <v>צה"ל</v>
      </c>
      <c r="E1044" s="3" t="str">
        <f t="shared" si="1"/>
        <v>adult</v>
      </c>
      <c r="F1044" s="3">
        <v>60.0</v>
      </c>
      <c r="G1044" s="3" t="s">
        <v>18</v>
      </c>
      <c r="H1044" s="1">
        <f t="shared" si="2"/>
        <v>7</v>
      </c>
    </row>
    <row r="1045">
      <c r="A1045" s="3">
        <f>data!A1045</f>
        <v>400</v>
      </c>
      <c r="B1045" s="3" t="str">
        <f>data!B1045</f>
        <v>ירון אופיר מרדכי</v>
      </c>
      <c r="C1045" s="3">
        <f>data!C1045</f>
        <v>51</v>
      </c>
      <c r="D1045" s="3" t="str">
        <f>data!F1045</f>
        <v>כיתות כוננות</v>
      </c>
      <c r="E1045" s="3" t="str">
        <f t="shared" si="1"/>
        <v>adult</v>
      </c>
      <c r="F1045" s="3">
        <v>60.0</v>
      </c>
      <c r="G1045" s="3" t="s">
        <v>142</v>
      </c>
      <c r="H1045" s="1">
        <f t="shared" si="2"/>
        <v>7</v>
      </c>
    </row>
    <row r="1046">
      <c r="A1046" s="3">
        <f>data!A1046</f>
        <v>399</v>
      </c>
      <c r="B1046" s="3" t="str">
        <f>data!B1046</f>
        <v>פליישר אברהם (אבי)</v>
      </c>
      <c r="C1046" s="3">
        <f>data!C1046</f>
        <v>63</v>
      </c>
      <c r="D1046" s="3" t="str">
        <f>data!F1046</f>
        <v>כיתות כוננות</v>
      </c>
      <c r="E1046" s="3" t="str">
        <f t="shared" si="1"/>
        <v>adult</v>
      </c>
      <c r="F1046" s="3">
        <v>61.0</v>
      </c>
      <c r="G1046" s="3" t="s">
        <v>18</v>
      </c>
      <c r="H1046" s="1">
        <f t="shared" si="2"/>
        <v>7</v>
      </c>
    </row>
    <row r="1047">
      <c r="A1047" s="3">
        <f>data!A1047</f>
        <v>218</v>
      </c>
      <c r="B1047" s="3" t="str">
        <f>data!B1047</f>
        <v>בוכריס חן</v>
      </c>
      <c r="C1047" s="3">
        <f>data!C1047</f>
        <v>26</v>
      </c>
      <c r="D1047" s="3" t="str">
        <f>data!F1047</f>
        <v>צה"ל</v>
      </c>
      <c r="E1047" s="3" t="str">
        <f t="shared" si="1"/>
        <v>adult</v>
      </c>
      <c r="F1047" s="3">
        <v>61.0</v>
      </c>
      <c r="G1047" s="3" t="s">
        <v>18</v>
      </c>
      <c r="H1047" s="1">
        <f t="shared" si="2"/>
        <v>7</v>
      </c>
    </row>
    <row r="1048">
      <c r="A1048" s="3">
        <f>data!A1048</f>
        <v>1538</v>
      </c>
      <c r="B1048" s="3" t="str">
        <f>data!B1048</f>
        <v>ברקת רועי</v>
      </c>
      <c r="C1048" s="3">
        <f>data!C1048</f>
        <v>20</v>
      </c>
      <c r="D1048" s="3" t="str">
        <f>data!F1048</f>
        <v>צה"ל</v>
      </c>
      <c r="E1048" s="3" t="str">
        <f t="shared" si="1"/>
        <v>adult</v>
      </c>
      <c r="F1048" s="3">
        <v>61.0</v>
      </c>
      <c r="G1048" s="3" t="s">
        <v>18</v>
      </c>
      <c r="H1048" s="1">
        <f t="shared" si="2"/>
        <v>7</v>
      </c>
    </row>
    <row r="1049">
      <c r="A1049" s="3">
        <f>data!A1049</f>
        <v>1508</v>
      </c>
      <c r="B1049" s="3" t="str">
        <f>data!B1049</f>
        <v>ירחי דור</v>
      </c>
      <c r="C1049" s="3">
        <f>data!C1049</f>
        <v>21</v>
      </c>
      <c r="D1049" s="3" t="str">
        <f>data!F1049</f>
        <v>צה"ל</v>
      </c>
      <c r="E1049" s="3" t="str">
        <f t="shared" si="1"/>
        <v>adult</v>
      </c>
      <c r="F1049" s="3">
        <v>61.0</v>
      </c>
      <c r="G1049" s="3" t="s">
        <v>18</v>
      </c>
      <c r="H1049" s="1">
        <f t="shared" si="2"/>
        <v>7</v>
      </c>
    </row>
    <row r="1050">
      <c r="A1050" s="3">
        <f>data!A1050</f>
        <v>423</v>
      </c>
      <c r="B1050" s="3" t="str">
        <f>data!B1050</f>
        <v>פוסלושני רן</v>
      </c>
      <c r="C1050" s="3">
        <f>data!C1050</f>
        <v>48</v>
      </c>
      <c r="D1050" s="3" t="str">
        <f>data!F1050</f>
        <v>כיתות כוננות</v>
      </c>
      <c r="E1050" s="3" t="str">
        <f t="shared" si="1"/>
        <v>adult</v>
      </c>
      <c r="F1050" s="3">
        <v>61.0</v>
      </c>
      <c r="G1050" s="3" t="s">
        <v>18</v>
      </c>
      <c r="H1050" s="1">
        <f t="shared" si="2"/>
        <v>7</v>
      </c>
    </row>
    <row r="1051">
      <c r="A1051" s="3">
        <f>data!A1051</f>
        <v>413</v>
      </c>
      <c r="B1051" s="3" t="str">
        <f>data!B1051</f>
        <v>פיורנטינו אילן</v>
      </c>
      <c r="C1051" s="3">
        <f>data!C1051</f>
        <v>38</v>
      </c>
      <c r="D1051" s="3" t="str">
        <f>data!F1051</f>
        <v>כיתות כוננות</v>
      </c>
      <c r="E1051" s="3" t="str">
        <f t="shared" si="1"/>
        <v>adult</v>
      </c>
      <c r="F1051" s="3">
        <v>61.0</v>
      </c>
      <c r="G1051" s="3" t="s">
        <v>136</v>
      </c>
      <c r="H1051" s="1">
        <f t="shared" si="2"/>
        <v>7</v>
      </c>
    </row>
    <row r="1052">
      <c r="A1052" s="3">
        <f>data!A1052</f>
        <v>265</v>
      </c>
      <c r="B1052" s="3" t="str">
        <f>data!B1052</f>
        <v>רוזנטל אפיק</v>
      </c>
      <c r="C1052" s="3">
        <f>data!C1052</f>
        <v>20</v>
      </c>
      <c r="D1052" s="3" t="str">
        <f>data!F1052</f>
        <v>צה"ל</v>
      </c>
      <c r="E1052" s="3" t="str">
        <f t="shared" si="1"/>
        <v>adult</v>
      </c>
      <c r="F1052" s="3">
        <v>61.0</v>
      </c>
      <c r="G1052" s="3" t="s">
        <v>18</v>
      </c>
      <c r="H1052" s="1">
        <f t="shared" si="2"/>
        <v>7</v>
      </c>
    </row>
    <row r="1053">
      <c r="A1053" s="3">
        <f>data!A1053</f>
        <v>651</v>
      </c>
      <c r="B1053" s="3" t="str">
        <f>data!B1053</f>
        <v>אברהם בועז</v>
      </c>
      <c r="C1053" s="3">
        <f>data!C1053</f>
        <v>61</v>
      </c>
      <c r="D1053" s="3" t="str">
        <f>data!F1053</f>
        <v>כיתות כוננות</v>
      </c>
      <c r="E1053" s="3" t="str">
        <f t="shared" si="1"/>
        <v>adult</v>
      </c>
      <c r="F1053" s="3">
        <v>62.0</v>
      </c>
      <c r="G1053" s="3" t="s">
        <v>18</v>
      </c>
      <c r="H1053" s="1">
        <f t="shared" si="2"/>
        <v>7</v>
      </c>
    </row>
    <row r="1054">
      <c r="A1054" s="3">
        <f>data!A1054</f>
        <v>650</v>
      </c>
      <c r="B1054" s="3" t="str">
        <f>data!B1054</f>
        <v>ארזי אופק</v>
      </c>
      <c r="C1054" s="3">
        <f>data!C1054</f>
        <v>28</v>
      </c>
      <c r="D1054" s="3" t="str">
        <f>data!F1054</f>
        <v>כיתות כוננות</v>
      </c>
      <c r="E1054" s="3" t="str">
        <f t="shared" si="1"/>
        <v>adult</v>
      </c>
      <c r="F1054" s="3">
        <v>62.0</v>
      </c>
      <c r="G1054" s="3" t="s">
        <v>18</v>
      </c>
      <c r="H1054" s="1">
        <f t="shared" si="2"/>
        <v>7</v>
      </c>
    </row>
    <row r="1055">
      <c r="A1055" s="3">
        <f>data!A1055</f>
        <v>653</v>
      </c>
      <c r="B1055" s="3" t="str">
        <f>data!B1055</f>
        <v>חיימי טל</v>
      </c>
      <c r="C1055" s="3">
        <f>data!C1055</f>
        <v>41</v>
      </c>
      <c r="D1055" s="3" t="str">
        <f>data!F1055</f>
        <v>כיתות כוננות</v>
      </c>
      <c r="E1055" s="3" t="str">
        <f t="shared" si="1"/>
        <v>adult</v>
      </c>
      <c r="F1055" s="3">
        <v>62.0</v>
      </c>
      <c r="G1055" s="3" t="s">
        <v>18</v>
      </c>
      <c r="H1055" s="1">
        <f t="shared" si="2"/>
        <v>7</v>
      </c>
    </row>
    <row r="1056">
      <c r="A1056" s="3">
        <f>data!A1056</f>
        <v>660</v>
      </c>
      <c r="B1056" s="3" t="str">
        <f>data!B1056</f>
        <v>שחר ירון ויקטור</v>
      </c>
      <c r="C1056" s="3">
        <f>data!C1056</f>
        <v>51</v>
      </c>
      <c r="D1056" s="3" t="str">
        <f>data!F1056</f>
        <v>כיתות כוננות</v>
      </c>
      <c r="E1056" s="3" t="str">
        <f t="shared" si="1"/>
        <v>adult</v>
      </c>
      <c r="F1056" s="3">
        <v>62.0</v>
      </c>
      <c r="G1056" s="3" t="s">
        <v>18</v>
      </c>
      <c r="H1056" s="1">
        <f t="shared" si="2"/>
        <v>7</v>
      </c>
    </row>
    <row r="1057">
      <c r="A1057" s="3">
        <f>data!A1057</f>
        <v>546</v>
      </c>
      <c r="B1057" s="3" t="str">
        <f>data!B1057</f>
        <v>אצילי אביב</v>
      </c>
      <c r="C1057" s="3">
        <f>data!C1057</f>
        <v>49</v>
      </c>
      <c r="D1057" s="3" t="str">
        <f>data!F1057</f>
        <v>כיתות כוננות</v>
      </c>
      <c r="E1057" s="3" t="str">
        <f t="shared" si="1"/>
        <v>adult</v>
      </c>
      <c r="F1057" s="3">
        <v>62.0</v>
      </c>
      <c r="G1057" s="3" t="s">
        <v>136</v>
      </c>
      <c r="H1057" s="1">
        <f t="shared" si="2"/>
        <v>7</v>
      </c>
    </row>
    <row r="1058">
      <c r="A1058" s="3">
        <f>data!A1058</f>
        <v>535</v>
      </c>
      <c r="B1058" s="3" t="str">
        <f>data!B1058</f>
        <v>אברג'יל מתן</v>
      </c>
      <c r="C1058" s="3">
        <f>data!C1058</f>
        <v>19</v>
      </c>
      <c r="D1058" s="3" t="str">
        <f>data!F1058</f>
        <v>צה"ל</v>
      </c>
      <c r="E1058" s="3" t="str">
        <f t="shared" si="1"/>
        <v>adult</v>
      </c>
      <c r="F1058" s="3">
        <v>63.0</v>
      </c>
      <c r="G1058" s="3" t="s">
        <v>18</v>
      </c>
      <c r="H1058" s="1">
        <f t="shared" si="2"/>
        <v>7</v>
      </c>
    </row>
    <row r="1059">
      <c r="A1059" s="3">
        <f>data!A1059</f>
        <v>536</v>
      </c>
      <c r="B1059" s="3" t="str">
        <f>data!B1059</f>
        <v>גנדל רומן</v>
      </c>
      <c r="C1059" s="3">
        <f>data!C1059</f>
        <v>47</v>
      </c>
      <c r="D1059" s="3" t="str">
        <f>data!F1059</f>
        <v>משטרה</v>
      </c>
      <c r="E1059" s="3" t="str">
        <f t="shared" si="1"/>
        <v>adult</v>
      </c>
      <c r="F1059" s="3">
        <v>63.0</v>
      </c>
      <c r="G1059" s="3" t="s">
        <v>18</v>
      </c>
      <c r="H1059" s="1">
        <f t="shared" si="2"/>
        <v>7</v>
      </c>
    </row>
    <row r="1060">
      <c r="A1060" s="3">
        <f>data!A1060</f>
        <v>1551</v>
      </c>
      <c r="B1060" s="3" t="str">
        <f>data!B1060</f>
        <v>אגמון אדם</v>
      </c>
      <c r="C1060" s="3">
        <f>data!C1060</f>
        <v>21</v>
      </c>
      <c r="D1060" s="3" t="str">
        <f>data!F1060</f>
        <v>צה"ל</v>
      </c>
      <c r="E1060" s="3" t="str">
        <f t="shared" si="1"/>
        <v>adult</v>
      </c>
      <c r="F1060" s="3">
        <v>63.0</v>
      </c>
      <c r="G1060" s="3" t="s">
        <v>18</v>
      </c>
      <c r="H1060" s="1">
        <f t="shared" si="2"/>
        <v>7</v>
      </c>
    </row>
    <row r="1061">
      <c r="A1061" s="3">
        <f>data!A1061</f>
        <v>1664</v>
      </c>
      <c r="B1061" s="3" t="str">
        <f>data!B1061</f>
        <v>אחימס תומר יעקב</v>
      </c>
      <c r="C1061" s="3">
        <f>data!C1061</f>
        <v>20</v>
      </c>
      <c r="D1061" s="3" t="str">
        <f>data!F1061</f>
        <v>צה"ל</v>
      </c>
      <c r="E1061" s="3" t="str">
        <f t="shared" si="1"/>
        <v>adult</v>
      </c>
      <c r="F1061" s="3">
        <v>63.0</v>
      </c>
      <c r="G1061" s="3" t="s">
        <v>18</v>
      </c>
      <c r="H1061" s="1">
        <f t="shared" si="2"/>
        <v>7</v>
      </c>
    </row>
    <row r="1062">
      <c r="A1062" s="3">
        <f>data!A1062</f>
        <v>661</v>
      </c>
      <c r="B1062" s="3" t="str">
        <f>data!B1062</f>
        <v>אלפסי אורן</v>
      </c>
      <c r="C1062" s="3">
        <f>data!C1062</f>
        <v>24</v>
      </c>
      <c r="D1062" s="3" t="str">
        <f>data!F1062</f>
        <v>אזרחים</v>
      </c>
      <c r="E1062" s="3" t="str">
        <f t="shared" si="1"/>
        <v>adult</v>
      </c>
      <c r="F1062" s="3">
        <v>63.0</v>
      </c>
      <c r="G1062" s="3" t="s">
        <v>18</v>
      </c>
      <c r="H1062" s="1">
        <f t="shared" si="2"/>
        <v>7</v>
      </c>
    </row>
    <row r="1063">
      <c r="A1063" s="3">
        <f>data!A1063</f>
        <v>1665</v>
      </c>
      <c r="B1063" s="3" t="str">
        <f>data!B1063</f>
        <v>ברודסקי קיריל</v>
      </c>
      <c r="C1063" s="3">
        <f>data!C1063</f>
        <v>19</v>
      </c>
      <c r="D1063" s="3" t="str">
        <f>data!F1063</f>
        <v>צה"ל</v>
      </c>
      <c r="E1063" s="3" t="str">
        <f t="shared" si="1"/>
        <v>adult</v>
      </c>
      <c r="F1063" s="3">
        <v>63.0</v>
      </c>
      <c r="G1063" s="3" t="s">
        <v>18</v>
      </c>
      <c r="H1063" s="1">
        <f t="shared" si="2"/>
        <v>7</v>
      </c>
    </row>
    <row r="1064">
      <c r="A1064" s="3">
        <f>data!A1064</f>
        <v>1668</v>
      </c>
      <c r="B1064" s="3" t="str">
        <f>data!B1064</f>
        <v>חממי אסף</v>
      </c>
      <c r="C1064" s="3">
        <f>data!C1064</f>
        <v>41</v>
      </c>
      <c r="D1064" s="3" t="str">
        <f>data!F1064</f>
        <v>צה"ל</v>
      </c>
      <c r="E1064" s="3" t="str">
        <f t="shared" si="1"/>
        <v>adult</v>
      </c>
      <c r="F1064" s="3">
        <v>63.0</v>
      </c>
      <c r="G1064" s="3" t="s">
        <v>18</v>
      </c>
      <c r="H1064" s="1">
        <f t="shared" si="2"/>
        <v>7</v>
      </c>
    </row>
    <row r="1065">
      <c r="A1065" s="3">
        <f>data!A1065</f>
        <v>1190</v>
      </c>
      <c r="B1065" s="3" t="str">
        <f>data!B1065</f>
        <v>פוזדניאקוב אליק</v>
      </c>
      <c r="C1065" s="3">
        <f>data!C1065</f>
        <v>38</v>
      </c>
      <c r="D1065" s="3" t="str">
        <f>data!F1065</f>
        <v>משטרה</v>
      </c>
      <c r="E1065" s="3" t="str">
        <f t="shared" si="1"/>
        <v>adult</v>
      </c>
      <c r="F1065" s="3">
        <v>63.0</v>
      </c>
      <c r="G1065" s="3" t="s">
        <v>18</v>
      </c>
      <c r="H1065" s="1">
        <f t="shared" si="2"/>
        <v>7</v>
      </c>
    </row>
    <row r="1066">
      <c r="A1066" s="3">
        <f>data!A1066</f>
        <v>1175</v>
      </c>
      <c r="B1066" s="3" t="str">
        <f>data!B1066</f>
        <v>ארז אופיר</v>
      </c>
      <c r="C1066" s="3">
        <f>data!C1066</f>
        <v>57</v>
      </c>
      <c r="D1066" s="3" t="str">
        <f>data!F1066</f>
        <v>כיתות כוננות</v>
      </c>
      <c r="E1066" s="3" t="str">
        <f t="shared" si="1"/>
        <v>adult</v>
      </c>
      <c r="F1066" s="3">
        <v>63.0</v>
      </c>
      <c r="G1066" s="3" t="s">
        <v>136</v>
      </c>
      <c r="H1066" s="1">
        <f t="shared" si="2"/>
        <v>7</v>
      </c>
    </row>
    <row r="1067">
      <c r="A1067" s="3">
        <f>data!A1067</f>
        <v>1574</v>
      </c>
      <c r="B1067" s="3" t="str">
        <f>data!B1067</f>
        <v>יעקב מזרחי תומר</v>
      </c>
      <c r="C1067" s="3">
        <f>data!C1067</f>
        <v>21</v>
      </c>
      <c r="D1067" s="3" t="str">
        <f>data!F1067</f>
        <v>צה"ל</v>
      </c>
      <c r="E1067" s="3" t="str">
        <f t="shared" si="1"/>
        <v>adult</v>
      </c>
      <c r="F1067" s="3">
        <v>64.0</v>
      </c>
      <c r="G1067" s="3" t="s">
        <v>18</v>
      </c>
      <c r="H1067" s="1">
        <f t="shared" si="2"/>
        <v>7</v>
      </c>
    </row>
    <row r="1068">
      <c r="A1068" s="3">
        <f>data!A1068</f>
        <v>1713</v>
      </c>
      <c r="B1068" s="3" t="str">
        <f>data!B1068</f>
        <v>קליין אייל</v>
      </c>
      <c r="C1068" s="3">
        <f>data!C1068</f>
        <v>22</v>
      </c>
      <c r="D1068" s="3" t="str">
        <f>data!F1068</f>
        <v>צה"ל</v>
      </c>
      <c r="E1068" s="3" t="str">
        <f t="shared" si="1"/>
        <v>adult</v>
      </c>
      <c r="F1068" s="3">
        <v>64.0</v>
      </c>
      <c r="G1068" s="3" t="s">
        <v>18</v>
      </c>
      <c r="H1068" s="1">
        <f t="shared" si="2"/>
        <v>7</v>
      </c>
    </row>
    <row r="1069">
      <c r="A1069" s="3">
        <f>data!A1069</f>
        <v>204</v>
      </c>
      <c r="B1069" s="3" t="str">
        <f>data!B1069</f>
        <v>נגבי רם</v>
      </c>
      <c r="C1069" s="3">
        <f>data!C1069</f>
        <v>57</v>
      </c>
      <c r="D1069" s="3" t="str">
        <f>data!F1069</f>
        <v>כיתות כוננות</v>
      </c>
      <c r="E1069" s="3" t="str">
        <f t="shared" si="1"/>
        <v>adult</v>
      </c>
      <c r="F1069" s="3">
        <v>64.0</v>
      </c>
      <c r="G1069" s="3" t="s">
        <v>18</v>
      </c>
      <c r="H1069" s="1">
        <f t="shared" si="2"/>
        <v>7</v>
      </c>
    </row>
    <row r="1070">
      <c r="A1070" s="3">
        <f>data!A1070</f>
        <v>1038</v>
      </c>
      <c r="B1070" s="3" t="str">
        <f>data!B1070</f>
        <v>כהן איתי</v>
      </c>
      <c r="C1070" s="3">
        <f>data!C1070</f>
        <v>22</v>
      </c>
      <c r="D1070" s="3" t="str">
        <f>data!F1070</f>
        <v>צה"ל</v>
      </c>
      <c r="E1070" s="3" t="str">
        <f t="shared" si="1"/>
        <v>adult</v>
      </c>
      <c r="F1070" s="3">
        <v>64.0</v>
      </c>
      <c r="G1070" s="3" t="s">
        <v>18</v>
      </c>
      <c r="H1070" s="1">
        <f t="shared" si="2"/>
        <v>7</v>
      </c>
    </row>
    <row r="1071">
      <c r="A1071" s="3">
        <f>data!A1071</f>
        <v>28</v>
      </c>
      <c r="B1071" s="3" t="str">
        <f>data!B1071</f>
        <v>סלוטקי ישי</v>
      </c>
      <c r="C1071" s="3">
        <f>data!C1071</f>
        <v>24</v>
      </c>
      <c r="D1071" s="3" t="str">
        <f>data!F1071</f>
        <v>צה"ל</v>
      </c>
      <c r="E1071" s="3" t="str">
        <f t="shared" si="1"/>
        <v>adult</v>
      </c>
      <c r="F1071" s="3">
        <v>64.0</v>
      </c>
      <c r="G1071" s="3" t="s">
        <v>18</v>
      </c>
      <c r="H1071" s="1">
        <f t="shared" si="2"/>
        <v>7</v>
      </c>
    </row>
    <row r="1072">
      <c r="A1072" s="3">
        <f>data!A1072</f>
        <v>27</v>
      </c>
      <c r="B1072" s="3" t="str">
        <f>data!B1072</f>
        <v>סלוטקי נועם</v>
      </c>
      <c r="C1072" s="3">
        <f>data!C1072</f>
        <v>31</v>
      </c>
      <c r="D1072" s="3" t="str">
        <f>data!F1072</f>
        <v>צה"ל (מיל')</v>
      </c>
      <c r="E1072" s="3" t="str">
        <f t="shared" si="1"/>
        <v>adult</v>
      </c>
      <c r="F1072" s="3">
        <v>64.0</v>
      </c>
      <c r="G1072" s="3" t="s">
        <v>18</v>
      </c>
      <c r="H1072" s="1">
        <f t="shared" si="2"/>
        <v>7</v>
      </c>
    </row>
    <row r="1073">
      <c r="A1073" s="3">
        <f>data!A1073</f>
        <v>1079</v>
      </c>
      <c r="B1073" s="3" t="str">
        <f>data!B1073</f>
        <v>רוזנטל עידו</v>
      </c>
      <c r="C1073" s="3">
        <f>data!C1073</f>
        <v>45</v>
      </c>
      <c r="D1073" s="3" t="str">
        <f>data!F1073</f>
        <v>צה"ל</v>
      </c>
      <c r="E1073" s="3" t="str">
        <f t="shared" si="1"/>
        <v>adult</v>
      </c>
      <c r="F1073" s="3">
        <v>65.0</v>
      </c>
      <c r="G1073" s="3" t="s">
        <v>18</v>
      </c>
      <c r="H1073" s="1">
        <f t="shared" si="2"/>
        <v>7</v>
      </c>
    </row>
    <row r="1074">
      <c r="A1074" s="3">
        <f>data!A1074</f>
        <v>1064</v>
      </c>
      <c r="B1074" s="3" t="str">
        <f>data!B1074</f>
        <v>אוחנדוב אמין</v>
      </c>
      <c r="C1074" s="3">
        <f>data!C1074</f>
        <v>36</v>
      </c>
      <c r="D1074" s="3" t="str">
        <f>data!F1074</f>
        <v>משטרה</v>
      </c>
      <c r="E1074" s="3" t="str">
        <f t="shared" si="1"/>
        <v>adult</v>
      </c>
      <c r="F1074" s="3">
        <v>65.0</v>
      </c>
      <c r="G1074" s="3" t="s">
        <v>18</v>
      </c>
      <c r="H1074" s="1">
        <f t="shared" si="2"/>
        <v>7</v>
      </c>
    </row>
    <row r="1075">
      <c r="A1075" s="3">
        <f>data!A1075</f>
        <v>1183</v>
      </c>
      <c r="B1075" s="3" t="str">
        <f>data!B1075</f>
        <v>בודובסקי אלכסיי</v>
      </c>
      <c r="C1075" s="3">
        <f>data!C1075</f>
        <v>39</v>
      </c>
      <c r="D1075" s="3" t="str">
        <f>data!F1075</f>
        <v>משטרה</v>
      </c>
      <c r="E1075" s="3" t="str">
        <f t="shared" si="1"/>
        <v>adult</v>
      </c>
      <c r="F1075" s="3">
        <v>65.0</v>
      </c>
      <c r="G1075" s="3" t="s">
        <v>18</v>
      </c>
      <c r="H1075" s="1">
        <f t="shared" si="2"/>
        <v>7</v>
      </c>
    </row>
    <row r="1076">
      <c r="A1076" s="3">
        <f>data!A1076</f>
        <v>975</v>
      </c>
      <c r="B1076" s="3" t="str">
        <f>data!B1076</f>
        <v>בוזוקושווילי יצחק (בוזוקה)</v>
      </c>
      <c r="C1076" s="3">
        <f>data!C1076</f>
        <v>43</v>
      </c>
      <c r="D1076" s="3" t="str">
        <f>data!F1076</f>
        <v>משטרה</v>
      </c>
      <c r="E1076" s="3" t="str">
        <f t="shared" si="1"/>
        <v>adult</v>
      </c>
      <c r="F1076" s="3">
        <v>65.0</v>
      </c>
      <c r="G1076" s="3" t="s">
        <v>18</v>
      </c>
      <c r="H1076" s="1">
        <f t="shared" si="2"/>
        <v>7</v>
      </c>
    </row>
    <row r="1077">
      <c r="A1077" s="3">
        <f>data!A1077</f>
        <v>1053</v>
      </c>
      <c r="B1077" s="3" t="str">
        <f>data!B1077</f>
        <v>בן בסט יותם</v>
      </c>
      <c r="C1077" s="3">
        <f>data!C1077</f>
        <v>24</v>
      </c>
      <c r="D1077" s="3" t="str">
        <f>data!F1077</f>
        <v>צה"ל</v>
      </c>
      <c r="E1077" s="3" t="str">
        <f t="shared" si="1"/>
        <v>adult</v>
      </c>
      <c r="F1077" s="3">
        <v>65.0</v>
      </c>
      <c r="G1077" s="3" t="s">
        <v>18</v>
      </c>
      <c r="H1077" s="1">
        <f t="shared" si="2"/>
        <v>7</v>
      </c>
    </row>
    <row r="1078">
      <c r="A1078" s="3">
        <f>data!A1078</f>
        <v>1692</v>
      </c>
      <c r="B1078" s="3" t="str">
        <f>data!B1078</f>
        <v>בן משה אריאל</v>
      </c>
      <c r="C1078" s="3">
        <f>data!C1078</f>
        <v>27</v>
      </c>
      <c r="D1078" s="3" t="str">
        <f>data!F1078</f>
        <v>צה"ל</v>
      </c>
      <c r="E1078" s="3" t="str">
        <f t="shared" si="1"/>
        <v>adult</v>
      </c>
      <c r="F1078" s="3">
        <v>65.0</v>
      </c>
      <c r="G1078" s="3" t="s">
        <v>18</v>
      </c>
      <c r="H1078" s="1">
        <f t="shared" si="2"/>
        <v>7</v>
      </c>
    </row>
    <row r="1079">
      <c r="A1079" s="3">
        <f>data!A1079</f>
        <v>1052</v>
      </c>
      <c r="B1079" s="3" t="str">
        <f>data!B1079</f>
        <v>ברד אלון</v>
      </c>
      <c r="C1079" s="3">
        <f>data!C1079</f>
        <v>38</v>
      </c>
      <c r="D1079" s="3" t="str">
        <f>data!F1079</f>
        <v>משטרה</v>
      </c>
      <c r="E1079" s="3" t="str">
        <f t="shared" si="1"/>
        <v>adult</v>
      </c>
      <c r="F1079" s="3">
        <v>65.0</v>
      </c>
      <c r="G1079" s="3" t="s">
        <v>18</v>
      </c>
      <c r="H1079" s="1">
        <f t="shared" si="2"/>
        <v>7</v>
      </c>
    </row>
    <row r="1080">
      <c r="A1080" s="3">
        <f>data!A1080</f>
        <v>1063</v>
      </c>
      <c r="B1080" s="3" t="str">
        <f>data!B1080</f>
        <v>לוי רועי יוסף</v>
      </c>
      <c r="C1080" s="3">
        <f>data!C1080</f>
        <v>44</v>
      </c>
      <c r="D1080" s="3" t="str">
        <f>data!F1080</f>
        <v>צה"ל</v>
      </c>
      <c r="E1080" s="3" t="str">
        <f t="shared" si="1"/>
        <v>adult</v>
      </c>
      <c r="F1080" s="3">
        <v>65.0</v>
      </c>
      <c r="G1080" s="3" t="s">
        <v>18</v>
      </c>
      <c r="H1080" s="1">
        <f t="shared" si="2"/>
        <v>7</v>
      </c>
    </row>
    <row r="1081">
      <c r="A1081" s="3">
        <f>data!A1081</f>
        <v>1611</v>
      </c>
      <c r="B1081" s="3" t="str">
        <f>data!B1081</f>
        <v>מרקוביצ'י אהרון ארתור</v>
      </c>
      <c r="C1081" s="3">
        <f>data!C1081</f>
        <v>46</v>
      </c>
      <c r="D1081" s="3" t="str">
        <f>data!F1081</f>
        <v>משטרה</v>
      </c>
      <c r="E1081" s="3" t="str">
        <f t="shared" si="1"/>
        <v>adult</v>
      </c>
      <c r="F1081" s="3">
        <v>65.0</v>
      </c>
      <c r="G1081" s="3" t="s">
        <v>18</v>
      </c>
      <c r="H1081" s="1">
        <f t="shared" si="2"/>
        <v>7</v>
      </c>
    </row>
    <row r="1082">
      <c r="A1082" s="3">
        <f>data!A1082</f>
        <v>241</v>
      </c>
      <c r="B1082" s="3" t="str">
        <f>data!B1082</f>
        <v>פושיבאי אנדריי</v>
      </c>
      <c r="C1082" s="3">
        <f>data!C1082</f>
        <v>39</v>
      </c>
      <c r="D1082" s="3" t="str">
        <f>data!F1082</f>
        <v>משטרה</v>
      </c>
      <c r="E1082" s="3" t="str">
        <f t="shared" si="1"/>
        <v>adult</v>
      </c>
      <c r="F1082" s="3">
        <v>65.0</v>
      </c>
      <c r="G1082" s="3" t="s">
        <v>18</v>
      </c>
      <c r="H1082" s="1">
        <f t="shared" si="2"/>
        <v>7</v>
      </c>
    </row>
    <row r="1083">
      <c r="A1083" s="3">
        <f>data!A1083</f>
        <v>1062</v>
      </c>
      <c r="B1083" s="3" t="str">
        <f>data!B1083</f>
        <v>קרים מליק</v>
      </c>
      <c r="C1083" s="3">
        <f>data!C1083</f>
        <v>32</v>
      </c>
      <c r="D1083" s="3" t="str">
        <f>data!F1083</f>
        <v>משטרה</v>
      </c>
      <c r="E1083" s="3" t="str">
        <f t="shared" si="1"/>
        <v>adult</v>
      </c>
      <c r="F1083" s="3">
        <v>66.0</v>
      </c>
      <c r="G1083" s="3" t="s">
        <v>18</v>
      </c>
      <c r="H1083" s="1">
        <f t="shared" si="2"/>
        <v>7</v>
      </c>
    </row>
    <row r="1084">
      <c r="A1084" s="3">
        <f>data!A1084</f>
        <v>1286</v>
      </c>
      <c r="B1084" s="3" t="str">
        <f>data!B1084</f>
        <v>רוטנברג נועם אלימלך</v>
      </c>
      <c r="C1084" s="3">
        <f>data!C1084</f>
        <v>24</v>
      </c>
      <c r="D1084" s="3" t="str">
        <f>data!F1084</f>
        <v>צה"ל</v>
      </c>
      <c r="E1084" s="3" t="str">
        <f t="shared" si="1"/>
        <v>adult</v>
      </c>
      <c r="F1084" s="3">
        <v>66.0</v>
      </c>
      <c r="G1084" s="3" t="s">
        <v>18</v>
      </c>
      <c r="H1084" s="1">
        <f t="shared" si="2"/>
        <v>7</v>
      </c>
    </row>
    <row r="1085">
      <c r="A1085" s="3">
        <f>data!A1085</f>
        <v>1447</v>
      </c>
      <c r="B1085" s="3" t="str">
        <f>data!B1085</f>
        <v>שמחי גיא</v>
      </c>
      <c r="C1085" s="3">
        <f>data!C1085</f>
        <v>20</v>
      </c>
      <c r="D1085" s="3" t="str">
        <f>data!F1085</f>
        <v>צה"ל</v>
      </c>
      <c r="E1085" s="3" t="str">
        <f t="shared" si="1"/>
        <v>adult</v>
      </c>
      <c r="F1085" s="3">
        <v>66.0</v>
      </c>
      <c r="G1085" s="3" t="s">
        <v>18</v>
      </c>
      <c r="H1085" s="1">
        <f t="shared" si="2"/>
        <v>7</v>
      </c>
    </row>
    <row r="1086">
      <c r="A1086" s="3">
        <f>data!A1086</f>
        <v>1290</v>
      </c>
      <c r="B1086" s="3" t="str">
        <f>data!B1086</f>
        <v>שמיר מרדכי (מוטי)</v>
      </c>
      <c r="C1086" s="3">
        <f>data!C1086</f>
        <v>29</v>
      </c>
      <c r="D1086" s="3" t="str">
        <f>data!F1086</f>
        <v>צה"ל</v>
      </c>
      <c r="E1086" s="3" t="str">
        <f t="shared" si="1"/>
        <v>adult</v>
      </c>
      <c r="F1086" s="3">
        <v>66.0</v>
      </c>
      <c r="G1086" s="3" t="s">
        <v>18</v>
      </c>
      <c r="H1086" s="1">
        <f t="shared" si="2"/>
        <v>7</v>
      </c>
    </row>
    <row r="1087">
      <c r="A1087" s="3">
        <f>data!A1087</f>
        <v>1065</v>
      </c>
      <c r="B1087" s="3" t="str">
        <f>data!B1087</f>
        <v>שמעיה יעקב (קובי)</v>
      </c>
      <c r="C1087" s="3">
        <f>data!C1087</f>
        <v>47</v>
      </c>
      <c r="D1087" s="3" t="str">
        <f>data!F1087</f>
        <v>אזרחים</v>
      </c>
      <c r="E1087" s="3" t="str">
        <f t="shared" si="1"/>
        <v>adult</v>
      </c>
      <c r="F1087" s="3">
        <v>66.0</v>
      </c>
      <c r="G1087" s="3" t="s">
        <v>18</v>
      </c>
      <c r="H1087" s="1">
        <f t="shared" si="2"/>
        <v>7</v>
      </c>
    </row>
    <row r="1088">
      <c r="A1088" s="3">
        <f>data!A1088</f>
        <v>1385</v>
      </c>
      <c r="B1088" s="3" t="str">
        <f>data!B1088</f>
        <v>אבו סבילה עאמר</v>
      </c>
      <c r="C1088" s="3">
        <f>data!C1088</f>
        <v>25</v>
      </c>
      <c r="D1088" s="3" t="str">
        <f>data!F1088</f>
        <v>אזרחים</v>
      </c>
      <c r="E1088" s="3" t="str">
        <f t="shared" si="1"/>
        <v>adult</v>
      </c>
      <c r="F1088" s="3">
        <v>66.0</v>
      </c>
      <c r="G1088" s="3" t="s">
        <v>18</v>
      </c>
      <c r="H1088" s="1">
        <f t="shared" si="2"/>
        <v>7</v>
      </c>
    </row>
    <row r="1089">
      <c r="A1089" s="3">
        <f>data!A1089</f>
        <v>208</v>
      </c>
      <c r="B1089" s="3" t="str">
        <f>data!B1089</f>
        <v>אברג'ל מאיר</v>
      </c>
      <c r="C1089" s="3">
        <f>data!C1089</f>
        <v>55</v>
      </c>
      <c r="D1089" s="3" t="str">
        <f>data!F1089</f>
        <v>משטרה</v>
      </c>
      <c r="E1089" s="3" t="str">
        <f t="shared" si="1"/>
        <v>adult</v>
      </c>
      <c r="F1089" s="3">
        <v>66.0</v>
      </c>
      <c r="G1089" s="3" t="s">
        <v>18</v>
      </c>
      <c r="H1089" s="1">
        <f t="shared" si="2"/>
        <v>7</v>
      </c>
    </row>
    <row r="1090">
      <c r="A1090" s="3">
        <f>data!A1090</f>
        <v>1135</v>
      </c>
      <c r="B1090" s="3" t="str">
        <f>data!B1090</f>
        <v>בלנקי דניס</v>
      </c>
      <c r="C1090" s="3">
        <f>data!C1090</f>
        <v>47</v>
      </c>
      <c r="D1090" s="3" t="str">
        <f>data!F1090</f>
        <v>משטרה</v>
      </c>
      <c r="E1090" s="3" t="str">
        <f t="shared" si="1"/>
        <v>adult</v>
      </c>
      <c r="F1090" s="3">
        <v>66.0</v>
      </c>
      <c r="G1090" s="3" t="s">
        <v>18</v>
      </c>
      <c r="H1090" s="1">
        <f t="shared" si="2"/>
        <v>7</v>
      </c>
    </row>
    <row r="1091">
      <c r="A1091" s="3">
        <f>data!A1091</f>
        <v>1136</v>
      </c>
      <c r="B1091" s="3" t="str">
        <f>data!B1091</f>
        <v>בן דיין דוד</v>
      </c>
      <c r="C1091" s="3">
        <f>data!C1091</f>
        <v>58</v>
      </c>
      <c r="D1091" s="3" t="str">
        <f>data!F1091</f>
        <v>משטרה</v>
      </c>
      <c r="E1091" s="3" t="str">
        <f t="shared" si="1"/>
        <v>adult</v>
      </c>
      <c r="F1091" s="3">
        <v>66.0</v>
      </c>
      <c r="G1091" s="3" t="s">
        <v>18</v>
      </c>
      <c r="H1091" s="1">
        <f t="shared" si="2"/>
        <v>7</v>
      </c>
    </row>
    <row r="1092">
      <c r="A1092" s="3">
        <f>data!A1092</f>
        <v>1078</v>
      </c>
      <c r="B1092" s="3" t="str">
        <f>data!B1092</f>
        <v>ברוכים יוסף איתמר</v>
      </c>
      <c r="C1092" s="3">
        <f>data!C1092</f>
        <v>20</v>
      </c>
      <c r="D1092" s="3" t="str">
        <f>data!F1092</f>
        <v>צה"ל</v>
      </c>
      <c r="E1092" s="3" t="str">
        <f t="shared" si="1"/>
        <v>adult</v>
      </c>
      <c r="F1092" s="3">
        <v>66.0</v>
      </c>
      <c r="G1092" s="3" t="s">
        <v>18</v>
      </c>
      <c r="H1092" s="1">
        <f t="shared" si="2"/>
        <v>7</v>
      </c>
    </row>
    <row r="1093">
      <c r="A1093" s="3">
        <f>data!A1093</f>
        <v>1566</v>
      </c>
      <c r="B1093" s="3" t="str">
        <f>data!B1093</f>
        <v>גולימה סמצאו שמואל</v>
      </c>
      <c r="C1093" s="3">
        <f>data!C1093</f>
        <v>48</v>
      </c>
      <c r="D1093" s="3" t="str">
        <f>data!F1093</f>
        <v>משטרה</v>
      </c>
      <c r="E1093" s="3" t="str">
        <f t="shared" si="1"/>
        <v>adult</v>
      </c>
      <c r="F1093" s="3">
        <v>67.0</v>
      </c>
      <c r="G1093" s="3" t="s">
        <v>18</v>
      </c>
      <c r="H1093" s="1">
        <f t="shared" si="2"/>
        <v>7</v>
      </c>
    </row>
    <row r="1094">
      <c r="A1094" s="3">
        <f>data!A1094</f>
        <v>309</v>
      </c>
      <c r="B1094" s="3" t="str">
        <f>data!B1094</f>
        <v>גרושקה טל</v>
      </c>
      <c r="C1094" s="3">
        <f>data!C1094</f>
        <v>25</v>
      </c>
      <c r="D1094" s="3" t="str">
        <f>data!F1094</f>
        <v>צה"ל</v>
      </c>
      <c r="E1094" s="3" t="str">
        <f t="shared" si="1"/>
        <v>adult</v>
      </c>
      <c r="F1094" s="3">
        <v>67.0</v>
      </c>
      <c r="G1094" s="3" t="s">
        <v>18</v>
      </c>
      <c r="H1094" s="1">
        <f t="shared" si="2"/>
        <v>7</v>
      </c>
    </row>
    <row r="1095">
      <c r="A1095" s="3">
        <f>data!A1095</f>
        <v>1565</v>
      </c>
      <c r="B1095" s="3" t="str">
        <f>data!B1095</f>
        <v>הרוש אליהו מיכאל</v>
      </c>
      <c r="C1095" s="3">
        <f>data!C1095</f>
        <v>28</v>
      </c>
      <c r="D1095" s="3" t="str">
        <f>data!F1095</f>
        <v>משטרה</v>
      </c>
      <c r="E1095" s="3" t="str">
        <f t="shared" si="1"/>
        <v>adult</v>
      </c>
      <c r="F1095" s="3">
        <v>67.0</v>
      </c>
      <c r="G1095" s="3" t="s">
        <v>18</v>
      </c>
      <c r="H1095" s="1">
        <f t="shared" si="2"/>
        <v>7</v>
      </c>
    </row>
    <row r="1096">
      <c r="A1096" s="3">
        <f>data!A1096</f>
        <v>1633</v>
      </c>
      <c r="B1096" s="3" t="str">
        <f>data!B1096</f>
        <v>מרציאנו איתי אליהו</v>
      </c>
      <c r="C1096" s="3">
        <f>data!C1096</f>
        <v>20</v>
      </c>
      <c r="D1096" s="3" t="str">
        <f>data!F1096</f>
        <v>צה"ל</v>
      </c>
      <c r="E1096" s="3" t="str">
        <f t="shared" si="1"/>
        <v>adult</v>
      </c>
      <c r="F1096" s="3">
        <v>67.0</v>
      </c>
      <c r="G1096" s="3" t="s">
        <v>18</v>
      </c>
      <c r="H1096" s="1">
        <f t="shared" si="2"/>
        <v>7</v>
      </c>
    </row>
    <row r="1097">
      <c r="A1097" s="3">
        <f>data!A1097</f>
        <v>1283</v>
      </c>
      <c r="B1097" s="3" t="str">
        <f>data!B1097</f>
        <v>נאמן איתן מנחם</v>
      </c>
      <c r="C1097" s="3">
        <f>data!C1097</f>
        <v>44</v>
      </c>
      <c r="D1097" s="3" t="str">
        <f>data!F1097</f>
        <v>צה"ל (מיל')</v>
      </c>
      <c r="E1097" s="3" t="str">
        <f t="shared" si="1"/>
        <v>adult</v>
      </c>
      <c r="F1097" s="3">
        <v>67.0</v>
      </c>
      <c r="G1097" s="3" t="s">
        <v>18</v>
      </c>
      <c r="H1097" s="1">
        <f t="shared" si="2"/>
        <v>7</v>
      </c>
    </row>
    <row r="1098">
      <c r="A1098" s="3">
        <f>data!A1098</f>
        <v>240</v>
      </c>
      <c r="B1098" s="3" t="str">
        <f>data!B1098</f>
        <v>נחמיאס חן</v>
      </c>
      <c r="C1098" s="3">
        <f>data!C1098</f>
        <v>43</v>
      </c>
      <c r="D1098" s="3" t="str">
        <f>data!F1098</f>
        <v>משטרה</v>
      </c>
      <c r="E1098" s="3" t="str">
        <f t="shared" si="1"/>
        <v>adult</v>
      </c>
      <c r="F1098" s="3">
        <v>67.0</v>
      </c>
      <c r="G1098" s="3" t="s">
        <v>18</v>
      </c>
      <c r="H1098" s="1">
        <f t="shared" si="2"/>
        <v>7</v>
      </c>
    </row>
    <row r="1099">
      <c r="A1099" s="3">
        <f>data!A1099</f>
        <v>1369</v>
      </c>
      <c r="B1099" s="3" t="str">
        <f>data!B1099</f>
        <v>צבאן שלום</v>
      </c>
      <c r="C1099" s="3">
        <f>data!C1099</f>
        <v>60</v>
      </c>
      <c r="D1099" s="3" t="str">
        <f>data!F1099</f>
        <v>כבאות והצלה</v>
      </c>
      <c r="E1099" s="3" t="str">
        <f t="shared" si="1"/>
        <v>adult</v>
      </c>
      <c r="F1099" s="3">
        <v>67.0</v>
      </c>
      <c r="G1099" s="3" t="s">
        <v>18</v>
      </c>
      <c r="H1099" s="1">
        <f t="shared" si="2"/>
        <v>7</v>
      </c>
    </row>
    <row r="1100">
      <c r="A1100" s="3">
        <f>data!A1100</f>
        <v>1189</v>
      </c>
      <c r="B1100" s="3" t="str">
        <f>data!B1100</f>
        <v>קאדר יהודה</v>
      </c>
      <c r="C1100" s="3">
        <f>data!C1100</f>
        <v>50</v>
      </c>
      <c r="D1100" s="3" t="str">
        <f>data!F1100</f>
        <v>משטרה</v>
      </c>
      <c r="E1100" s="3" t="str">
        <f t="shared" si="1"/>
        <v>adult</v>
      </c>
      <c r="F1100" s="3">
        <v>68.0</v>
      </c>
      <c r="G1100" s="3" t="s">
        <v>18</v>
      </c>
      <c r="H1100" s="1">
        <f t="shared" si="2"/>
        <v>7</v>
      </c>
    </row>
    <row r="1101">
      <c r="A1101" s="3">
        <f>data!A1101</f>
        <v>1141</v>
      </c>
      <c r="B1101" s="3" t="str">
        <f>data!B1101</f>
        <v>קוזמיצקס מרטין</v>
      </c>
      <c r="C1101" s="3">
        <f>data!C1101</f>
        <v>46</v>
      </c>
      <c r="D1101" s="3" t="str">
        <f>data!F1101</f>
        <v>משטרה</v>
      </c>
      <c r="E1101" s="3" t="str">
        <f t="shared" si="1"/>
        <v>adult</v>
      </c>
      <c r="F1101" s="3">
        <v>68.0</v>
      </c>
      <c r="G1101" s="3" t="s">
        <v>18</v>
      </c>
      <c r="H1101" s="1">
        <f t="shared" si="2"/>
        <v>7</v>
      </c>
    </row>
    <row r="1102">
      <c r="A1102" s="3">
        <f>data!A1102</f>
        <v>115</v>
      </c>
      <c r="B1102" s="3" t="str">
        <f>data!B1102</f>
        <v>רובינשטיין בן</v>
      </c>
      <c r="C1102" s="3">
        <f>data!C1102</f>
        <v>20</v>
      </c>
      <c r="D1102" s="3" t="str">
        <f>data!F1102</f>
        <v>צה"ל</v>
      </c>
      <c r="E1102" s="3" t="str">
        <f t="shared" si="1"/>
        <v>adult</v>
      </c>
      <c r="F1102" s="3">
        <v>68.0</v>
      </c>
      <c r="G1102" s="3" t="s">
        <v>18</v>
      </c>
      <c r="H1102" s="1">
        <f t="shared" si="2"/>
        <v>7</v>
      </c>
    </row>
    <row r="1103">
      <c r="A1103" s="3">
        <f>data!A1103</f>
        <v>1142</v>
      </c>
      <c r="B1103" s="3" t="str">
        <f>data!B1103</f>
        <v>שלמה אדיר</v>
      </c>
      <c r="C1103" s="3">
        <f>data!C1103</f>
        <v>47</v>
      </c>
      <c r="D1103" s="3" t="str">
        <f>data!F1103</f>
        <v>משטרה</v>
      </c>
      <c r="E1103" s="3" t="str">
        <f t="shared" si="1"/>
        <v>adult</v>
      </c>
      <c r="F1103" s="3">
        <v>68.0</v>
      </c>
      <c r="G1103" s="3" t="s">
        <v>18</v>
      </c>
      <c r="H1103" s="1">
        <f t="shared" si="2"/>
        <v>7</v>
      </c>
    </row>
    <row r="1104">
      <c r="A1104" s="3">
        <f>data!A1104</f>
        <v>243</v>
      </c>
      <c r="B1104" s="3" t="str">
        <f>data!B1104</f>
        <v>שמקלוב אלכסיי</v>
      </c>
      <c r="C1104" s="3">
        <f>data!C1104</f>
        <v>34</v>
      </c>
      <c r="D1104" s="3" t="str">
        <f>data!F1104</f>
        <v>משטרה</v>
      </c>
      <c r="E1104" s="3" t="str">
        <f t="shared" si="1"/>
        <v>adult</v>
      </c>
      <c r="F1104" s="3">
        <v>68.0</v>
      </c>
      <c r="G1104" s="3" t="s">
        <v>18</v>
      </c>
      <c r="H1104" s="1">
        <f t="shared" si="2"/>
        <v>7</v>
      </c>
    </row>
    <row r="1105">
      <c r="A1105" s="3">
        <f>data!A1105</f>
        <v>1459</v>
      </c>
      <c r="B1105" s="3" t="str">
        <f>data!B1105</f>
        <v>שקורי מור</v>
      </c>
      <c r="C1105" s="3">
        <f>data!C1105</f>
        <v>28</v>
      </c>
      <c r="D1105" s="3" t="str">
        <f>data!F1105</f>
        <v>משטרה</v>
      </c>
      <c r="E1105" s="3" t="str">
        <f t="shared" si="1"/>
        <v>adult</v>
      </c>
      <c r="F1105" s="3">
        <v>68.0</v>
      </c>
      <c r="G1105" s="3" t="s">
        <v>18</v>
      </c>
      <c r="H1105" s="1">
        <f t="shared" si="2"/>
        <v>7</v>
      </c>
    </row>
    <row r="1106">
      <c r="A1106" s="3">
        <f>data!A1106</f>
        <v>775</v>
      </c>
      <c r="B1106" s="3" t="str">
        <f>data!B1106</f>
        <v>אילוז גיא</v>
      </c>
      <c r="C1106" s="3">
        <f>data!C1106</f>
        <v>26</v>
      </c>
      <c r="D1106" s="3" t="str">
        <f>data!F1106</f>
        <v>אזרחים</v>
      </c>
      <c r="E1106" s="3" t="str">
        <f t="shared" si="1"/>
        <v>adult</v>
      </c>
      <c r="F1106" s="3">
        <v>68.0</v>
      </c>
      <c r="G1106" s="3" t="s">
        <v>18</v>
      </c>
      <c r="H1106" s="1">
        <f t="shared" si="2"/>
        <v>7</v>
      </c>
    </row>
    <row r="1107">
      <c r="A1107" s="3">
        <f>data!A1107</f>
        <v>1690</v>
      </c>
      <c r="B1107" s="3" t="str">
        <f>data!B1107</f>
        <v>טאללקה סאמר פואד</v>
      </c>
      <c r="C1107" s="3">
        <f>data!C1107</f>
        <v>24</v>
      </c>
      <c r="D1107" s="3" t="str">
        <f>data!F1107</f>
        <v>אזרחים</v>
      </c>
      <c r="E1107" s="3" t="str">
        <f t="shared" si="1"/>
        <v>adult</v>
      </c>
      <c r="F1107" s="3">
        <v>68.0</v>
      </c>
      <c r="G1107" s="3" t="s">
        <v>18</v>
      </c>
      <c r="H1107" s="1">
        <f t="shared" si="2"/>
        <v>7</v>
      </c>
    </row>
    <row r="1108">
      <c r="A1108" s="3">
        <f>data!A1108</f>
        <v>543</v>
      </c>
      <c r="B1108" s="3" t="str">
        <f>data!B1108</f>
        <v>אנגל רונן</v>
      </c>
      <c r="C1108" s="3">
        <f>data!C1108</f>
        <v>54</v>
      </c>
      <c r="D1108" s="3" t="str">
        <f>data!F1108</f>
        <v>אזרחים</v>
      </c>
      <c r="E1108" s="3" t="str">
        <f t="shared" si="1"/>
        <v>adult</v>
      </c>
      <c r="F1108" s="3">
        <v>68.0</v>
      </c>
      <c r="G1108" s="3" t="s">
        <v>18</v>
      </c>
      <c r="H1108" s="1">
        <f t="shared" si="2"/>
        <v>7</v>
      </c>
    </row>
    <row r="1109">
      <c r="A1109" s="3">
        <f>data!A1109</f>
        <v>192</v>
      </c>
      <c r="B1109" s="3" t="str">
        <f>data!B1109</f>
        <v>בייזר ניק</v>
      </c>
      <c r="C1109" s="3">
        <f>data!C1109</f>
        <v>19</v>
      </c>
      <c r="D1109" s="3" t="str">
        <f>data!F1109</f>
        <v>צה"ל</v>
      </c>
      <c r="E1109" s="3" t="str">
        <f t="shared" si="1"/>
        <v>adult</v>
      </c>
      <c r="F1109" s="3">
        <v>68.0</v>
      </c>
      <c r="G1109" s="3" t="s">
        <v>18</v>
      </c>
      <c r="H1109" s="1">
        <f t="shared" si="2"/>
        <v>7</v>
      </c>
    </row>
    <row r="1110">
      <c r="A1110" s="3">
        <f>data!A1110</f>
        <v>1452</v>
      </c>
      <c r="B1110" s="3" t="str">
        <f>data!B1110</f>
        <v>ברוך סהר</v>
      </c>
      <c r="C1110" s="3">
        <f>data!C1110</f>
        <v>25</v>
      </c>
      <c r="D1110" s="3" t="str">
        <f>data!F1110</f>
        <v>אזרחים</v>
      </c>
      <c r="E1110" s="3" t="str">
        <f t="shared" si="1"/>
        <v>adult</v>
      </c>
      <c r="F1110" s="3">
        <v>68.0</v>
      </c>
      <c r="G1110" s="3" t="s">
        <v>18</v>
      </c>
      <c r="H1110" s="1">
        <f t="shared" si="2"/>
        <v>7</v>
      </c>
    </row>
    <row r="1111">
      <c r="A1111" s="3">
        <f>data!A1111</f>
        <v>569</v>
      </c>
      <c r="B1111" s="3" t="str">
        <f>data!B1111</f>
        <v>גורן מיה</v>
      </c>
      <c r="C1111" s="3">
        <f>data!C1111</f>
        <v>56</v>
      </c>
      <c r="D1111" s="3" t="str">
        <f>data!F1111</f>
        <v>אזרחים</v>
      </c>
      <c r="E1111" s="3" t="str">
        <f t="shared" si="1"/>
        <v>adult</v>
      </c>
      <c r="F1111" s="3">
        <v>69.0</v>
      </c>
      <c r="G1111" s="3" t="s">
        <v>18</v>
      </c>
      <c r="H1111" s="1">
        <f t="shared" si="2"/>
        <v>7</v>
      </c>
    </row>
    <row r="1112">
      <c r="A1112" s="3">
        <f>data!A1112</f>
        <v>183</v>
      </c>
      <c r="B1112" s="3" t="str">
        <f>data!B1112</f>
        <v>וייס יהודית</v>
      </c>
      <c r="C1112" s="3">
        <f>data!C1112</f>
        <v>64</v>
      </c>
      <c r="D1112" s="3" t="str">
        <f>data!F1112</f>
        <v>אזרחים</v>
      </c>
      <c r="E1112" s="3" t="str">
        <f t="shared" si="1"/>
        <v>adult</v>
      </c>
      <c r="F1112" s="3">
        <v>69.0</v>
      </c>
      <c r="G1112" s="3" t="s">
        <v>18</v>
      </c>
      <c r="H1112" s="1">
        <f t="shared" si="2"/>
        <v>7</v>
      </c>
    </row>
    <row r="1113">
      <c r="A1113" s="3">
        <f>data!A1113</f>
        <v>968</v>
      </c>
      <c r="B1113" s="3" t="str">
        <f>data!B1113</f>
        <v>זכריה עדן</v>
      </c>
      <c r="C1113" s="3">
        <f>data!C1113</f>
        <v>28</v>
      </c>
      <c r="D1113" s="3" t="str">
        <f>data!F1113</f>
        <v>אזרחים</v>
      </c>
      <c r="E1113" s="3" t="str">
        <f t="shared" si="1"/>
        <v>adult</v>
      </c>
      <c r="F1113" s="3">
        <v>69.0</v>
      </c>
      <c r="G1113" s="3" t="s">
        <v>18</v>
      </c>
      <c r="H1113" s="1">
        <f t="shared" si="2"/>
        <v>7</v>
      </c>
    </row>
    <row r="1114">
      <c r="A1114" s="3">
        <f>data!A1114</f>
        <v>648</v>
      </c>
      <c r="B1114" s="3" t="str">
        <f>data!B1114</f>
        <v>זלמנוביץ' אריה</v>
      </c>
      <c r="C1114" s="3">
        <f>data!C1114</f>
        <v>86</v>
      </c>
      <c r="D1114" s="3" t="str">
        <f>data!F1114</f>
        <v>אזרחים</v>
      </c>
      <c r="E1114" s="3" t="str">
        <f t="shared" si="1"/>
        <v>senior</v>
      </c>
      <c r="F1114" s="3">
        <v>69.0</v>
      </c>
      <c r="G1114" s="3" t="s">
        <v>56</v>
      </c>
      <c r="H1114" s="1">
        <f t="shared" si="2"/>
        <v>7</v>
      </c>
    </row>
    <row r="1115">
      <c r="A1115" s="3">
        <f>data!A1115</f>
        <v>310</v>
      </c>
      <c r="B1115" s="3" t="str">
        <f>data!B1115</f>
        <v>חיים יותם</v>
      </c>
      <c r="C1115" s="3">
        <f>data!C1115</f>
        <v>28</v>
      </c>
      <c r="D1115" s="3" t="str">
        <f>data!F1115</f>
        <v>אזרחים</v>
      </c>
      <c r="E1115" s="3" t="str">
        <f t="shared" si="1"/>
        <v>adult</v>
      </c>
      <c r="F1115" s="3">
        <v>69.0</v>
      </c>
      <c r="G1115" s="3" t="s">
        <v>18</v>
      </c>
      <c r="H1115" s="1">
        <f t="shared" si="2"/>
        <v>7</v>
      </c>
    </row>
    <row r="1116">
      <c r="A1116" s="3">
        <f>data!A1116</f>
        <v>878</v>
      </c>
      <c r="B1116" s="3" t="str">
        <f>data!B1116</f>
        <v>טולדנו אליה</v>
      </c>
      <c r="C1116" s="3">
        <f>data!C1116</f>
        <v>28</v>
      </c>
      <c r="D1116" s="3" t="str">
        <f>data!F1116</f>
        <v>אזרחים</v>
      </c>
      <c r="E1116" s="3" t="str">
        <f t="shared" si="1"/>
        <v>adult</v>
      </c>
      <c r="F1116" s="3">
        <v>69.0</v>
      </c>
      <c r="G1116" s="3" t="s">
        <v>18</v>
      </c>
      <c r="H1116" s="1">
        <f t="shared" si="2"/>
        <v>7</v>
      </c>
    </row>
    <row r="1117">
      <c r="A1117" s="3">
        <f>data!A1117</f>
        <v>98</v>
      </c>
      <c r="B1117" s="3" t="str">
        <f>data!B1117</f>
        <v>לוי איתן</v>
      </c>
      <c r="C1117" s="3">
        <f>data!C1117</f>
        <v>53</v>
      </c>
      <c r="D1117" s="3" t="str">
        <f>data!F1117</f>
        <v>אזרחים</v>
      </c>
      <c r="E1117" s="3" t="str">
        <f t="shared" si="1"/>
        <v>adult</v>
      </c>
      <c r="F1117" s="3">
        <v>69.0</v>
      </c>
      <c r="G1117" s="3" t="s">
        <v>18</v>
      </c>
      <c r="H1117" s="1">
        <f t="shared" si="2"/>
        <v>7</v>
      </c>
    </row>
    <row r="1118">
      <c r="A1118" s="3">
        <f>data!A1118</f>
        <v>801</v>
      </c>
      <c r="B1118" s="3" t="str">
        <f>data!B1118</f>
        <v>לוק שני ניקול</v>
      </c>
      <c r="C1118" s="3">
        <f>data!C1118</f>
        <v>23</v>
      </c>
      <c r="D1118" s="3" t="str">
        <f>data!F1118</f>
        <v>אזרחים</v>
      </c>
      <c r="E1118" s="3" t="str">
        <f t="shared" si="1"/>
        <v>adult</v>
      </c>
      <c r="F1118" s="3">
        <v>70.0</v>
      </c>
      <c r="G1118" s="3" t="s">
        <v>18</v>
      </c>
      <c r="H1118" s="1">
        <f t="shared" si="2"/>
        <v>8</v>
      </c>
    </row>
    <row r="1119">
      <c r="A1119" s="3">
        <f>data!A1119</f>
        <v>565</v>
      </c>
      <c r="B1119" s="3" t="str">
        <f>data!B1119</f>
        <v>מרגלית אליהו (צ'רצ'יל)</v>
      </c>
      <c r="C1119" s="3">
        <f>data!C1119</f>
        <v>75</v>
      </c>
      <c r="D1119" s="3" t="str">
        <f>data!F1119</f>
        <v>אזרחים</v>
      </c>
      <c r="E1119" s="3" t="str">
        <f t="shared" si="1"/>
        <v>senior</v>
      </c>
      <c r="F1119" s="3">
        <v>70.0</v>
      </c>
      <c r="G1119" s="3" t="s">
        <v>18</v>
      </c>
      <c r="H1119" s="1">
        <f t="shared" si="2"/>
        <v>8</v>
      </c>
    </row>
    <row r="1120">
      <c r="A1120" s="3">
        <f>data!A1120</f>
        <v>482</v>
      </c>
      <c r="B1120" s="3" t="str">
        <f>data!B1120</f>
        <v>מרציאנו נועה</v>
      </c>
      <c r="C1120" s="3">
        <f>data!C1120</f>
        <v>19</v>
      </c>
      <c r="D1120" s="3" t="str">
        <f>data!F1120</f>
        <v>צה"ל</v>
      </c>
      <c r="E1120" s="3" t="str">
        <f t="shared" si="1"/>
        <v>adult</v>
      </c>
      <c r="F1120" s="3">
        <v>70.0</v>
      </c>
      <c r="G1120" s="3" t="s">
        <v>18</v>
      </c>
      <c r="H1120" s="1">
        <f t="shared" si="2"/>
        <v>8</v>
      </c>
    </row>
    <row r="1121">
      <c r="A1121" s="3">
        <f>data!A1121</f>
        <v>1326</v>
      </c>
      <c r="B1121" s="3" t="str">
        <f>data!B1121</f>
        <v>סמרנו יונתן מרדכי</v>
      </c>
      <c r="C1121" s="3">
        <f>data!C1121</f>
        <v>21</v>
      </c>
      <c r="D1121" s="3" t="str">
        <f>data!F1121</f>
        <v>אזרחים</v>
      </c>
      <c r="E1121" s="3" t="str">
        <f t="shared" si="1"/>
        <v>adult</v>
      </c>
      <c r="F1121" s="3">
        <v>70.0</v>
      </c>
      <c r="G1121" s="3" t="s">
        <v>18</v>
      </c>
      <c r="H1121" s="1">
        <f t="shared" si="2"/>
        <v>8</v>
      </c>
    </row>
    <row r="1122">
      <c r="A1122" s="3">
        <f>data!A1122</f>
        <v>1601</v>
      </c>
      <c r="B1122" s="3" t="str">
        <f>data!B1122</f>
        <v>קידר עופרה</v>
      </c>
      <c r="C1122" s="3">
        <f>data!C1122</f>
        <v>70</v>
      </c>
      <c r="D1122" s="3" t="str">
        <f>data!F1122</f>
        <v>אזרחים</v>
      </c>
      <c r="E1122" s="3" t="str">
        <f t="shared" si="1"/>
        <v>senior</v>
      </c>
      <c r="F1122" s="3">
        <v>70.0</v>
      </c>
      <c r="G1122" s="3" t="s">
        <v>18</v>
      </c>
      <c r="H1122" s="1">
        <f t="shared" si="2"/>
        <v>8</v>
      </c>
    </row>
    <row r="1123">
      <c r="A1123" s="3">
        <f>data!A1123</f>
        <v>1327</v>
      </c>
      <c r="B1123" s="3" t="str">
        <f>data!B1123</f>
        <v>שמריז אלון (לולו)</v>
      </c>
      <c r="C1123" s="3">
        <f>data!C1123</f>
        <v>26</v>
      </c>
      <c r="D1123" s="3" t="str">
        <f>data!F1123</f>
        <v>אזרחים</v>
      </c>
      <c r="E1123" s="3" t="str">
        <f t="shared" si="1"/>
        <v>adult</v>
      </c>
      <c r="F1123" s="3">
        <v>70.0</v>
      </c>
      <c r="G1123" s="3" t="s">
        <v>18</v>
      </c>
      <c r="H1123" s="1">
        <f t="shared" si="2"/>
        <v>8</v>
      </c>
    </row>
    <row r="1124">
      <c r="A1124" s="3">
        <f>data!A1124</f>
        <v>193</v>
      </c>
      <c r="B1124" s="3" t="str">
        <f>data!B1124</f>
        <v>שרמן רון</v>
      </c>
      <c r="C1124" s="3">
        <f>data!C1124</f>
        <v>19</v>
      </c>
      <c r="D1124" s="3" t="str">
        <f>data!F1124</f>
        <v>צה"ל</v>
      </c>
      <c r="E1124" s="3" t="str">
        <f t="shared" si="1"/>
        <v>adult</v>
      </c>
      <c r="F1124" s="3">
        <v>70.0</v>
      </c>
      <c r="G1124" s="3" t="s">
        <v>18</v>
      </c>
      <c r="H1124" s="1">
        <f t="shared" si="2"/>
        <v>8</v>
      </c>
    </row>
    <row r="1125">
      <c r="A1125" s="3">
        <f>data!A1125</f>
        <v>1694</v>
      </c>
      <c r="B1125" s="3" t="str">
        <f>data!B1125</f>
        <v>Mollel Joshua Loitu</v>
      </c>
      <c r="C1125" s="3">
        <f>data!C1125</f>
        <v>21</v>
      </c>
      <c r="D1125" s="3" t="str">
        <f>data!F1125</f>
        <v>אזרחים זרים</v>
      </c>
      <c r="E1125" s="3" t="str">
        <f t="shared" si="1"/>
        <v>adult</v>
      </c>
      <c r="F1125" s="3">
        <v>70.0</v>
      </c>
      <c r="G1125" s="3" t="s">
        <v>18</v>
      </c>
      <c r="H1125" s="1">
        <f t="shared" si="2"/>
        <v>8</v>
      </c>
    </row>
    <row r="1126">
      <c r="A1126" s="3">
        <f>data!A1126</f>
        <v>2013</v>
      </c>
      <c r="B1126" s="3" t="str">
        <f>data!B1126</f>
        <v>אברהים מאג'ד</v>
      </c>
      <c r="C1126" s="3">
        <f>data!C1126</f>
        <v>19</v>
      </c>
      <c r="D1126" s="3" t="str">
        <f>data!F1126</f>
        <v>אזרחים</v>
      </c>
      <c r="E1126" s="3" t="str">
        <f t="shared" si="1"/>
        <v>adult</v>
      </c>
      <c r="F1126" s="3">
        <v>71.0</v>
      </c>
      <c r="G1126" s="3" t="s">
        <v>18</v>
      </c>
      <c r="H1126" s="1">
        <f t="shared" si="2"/>
        <v>8</v>
      </c>
    </row>
    <row r="1127">
      <c r="A1127" s="3">
        <f>data!A1127</f>
        <v>2014</v>
      </c>
      <c r="B1127" s="3" t="str">
        <f>data!B1127</f>
        <v>אבו קרינאת נעאמה</v>
      </c>
      <c r="C1127" s="3">
        <f>data!C1127</f>
        <v>0</v>
      </c>
      <c r="D1127" s="3" t="str">
        <f>data!F1127</f>
        <v>אזרחים</v>
      </c>
      <c r="E1127" s="3" t="str">
        <f t="shared" si="1"/>
        <v>child</v>
      </c>
      <c r="F1127" s="3">
        <v>71.0</v>
      </c>
      <c r="G1127" s="3" t="s">
        <v>18</v>
      </c>
      <c r="H1127" s="1">
        <f t="shared" si="2"/>
        <v>8</v>
      </c>
    </row>
    <row r="1128">
      <c r="A1128" s="3">
        <f>data!A1128</f>
        <v>2015</v>
      </c>
      <c r="B1128" s="3" t="str">
        <f>data!B1128</f>
        <v>Natalia Demidova</v>
      </c>
      <c r="C1128" s="3">
        <f>data!C1128</f>
        <v>39</v>
      </c>
      <c r="D1128" s="3" t="str">
        <f>data!F1128</f>
        <v>אזרחים זרים</v>
      </c>
      <c r="E1128" s="3" t="str">
        <f t="shared" si="1"/>
        <v>adult</v>
      </c>
      <c r="F1128" s="3">
        <v>71.0</v>
      </c>
      <c r="G1128" s="3" t="s">
        <v>18</v>
      </c>
      <c r="H1128" s="1">
        <f t="shared" si="2"/>
        <v>8</v>
      </c>
    </row>
    <row r="1129">
      <c r="A1129" s="3">
        <f>data!A1129</f>
        <v>376</v>
      </c>
      <c r="B1129" s="3" t="str">
        <f>data!B1129</f>
        <v>הייניק ראובן</v>
      </c>
      <c r="C1129" s="3">
        <f>data!C1129</f>
        <v>56</v>
      </c>
      <c r="D1129" s="3" t="str">
        <f>data!F1129</f>
        <v>אזרחים</v>
      </c>
      <c r="E1129" s="3" t="str">
        <f t="shared" si="1"/>
        <v>adult</v>
      </c>
      <c r="F1129" s="3">
        <v>71.0</v>
      </c>
      <c r="G1129" s="3" t="s">
        <v>18</v>
      </c>
      <c r="H1129" s="1">
        <f t="shared" si="2"/>
        <v>8</v>
      </c>
    </row>
    <row r="1130">
      <c r="A1130" s="3">
        <f>data!A1130</f>
        <v>1333</v>
      </c>
      <c r="B1130" s="3" t="str">
        <f>data!B1130</f>
        <v>וייס אילן</v>
      </c>
      <c r="C1130" s="3">
        <f>data!C1130</f>
        <v>56</v>
      </c>
      <c r="D1130" s="3" t="str">
        <f>data!F1130</f>
        <v>אזרחים</v>
      </c>
      <c r="E1130" s="3" t="str">
        <f t="shared" si="1"/>
        <v>adult</v>
      </c>
      <c r="F1130" s="3">
        <v>71.0</v>
      </c>
      <c r="G1130" s="3" t="s">
        <v>18</v>
      </c>
      <c r="H1130" s="1">
        <f t="shared" si="2"/>
        <v>8</v>
      </c>
    </row>
    <row r="1131">
      <c r="A1131" s="3">
        <f>data!A1131</f>
        <v>1187</v>
      </c>
      <c r="B1131" s="3" t="str">
        <f>data!B1131</f>
        <v>הלל יותם</v>
      </c>
      <c r="C1131" s="3">
        <f>data!C1131</f>
        <v>19</v>
      </c>
      <c r="D1131" s="3" t="str">
        <f>data!F1131</f>
        <v>צה"ל</v>
      </c>
      <c r="E1131" s="3" t="str">
        <f t="shared" si="1"/>
        <v>adult</v>
      </c>
      <c r="F1131" s="3">
        <v>72.0</v>
      </c>
      <c r="G1131" s="3" t="s">
        <v>18</v>
      </c>
      <c r="H1131" s="1">
        <f t="shared" si="2"/>
        <v>8</v>
      </c>
    </row>
    <row r="1132">
      <c r="A1132" s="3">
        <f>data!A1132</f>
        <v>720</v>
      </c>
      <c r="B1132" s="3" t="str">
        <f>data!B1132</f>
        <v>כהן עמית</v>
      </c>
      <c r="C1132" s="3">
        <f>data!C1132</f>
        <v>25</v>
      </c>
      <c r="D1132" s="3" t="str">
        <f>data!F1132</f>
        <v>אזרחים</v>
      </c>
      <c r="E1132" s="3" t="str">
        <f t="shared" si="1"/>
        <v>adult</v>
      </c>
      <c r="F1132" s="3">
        <v>72.0</v>
      </c>
      <c r="G1132" s="3" t="s">
        <v>18</v>
      </c>
      <c r="H1132" s="1">
        <f t="shared" si="2"/>
        <v>8</v>
      </c>
    </row>
    <row r="1133">
      <c r="A1133" s="3">
        <f>data!A1133</f>
        <v>1273</v>
      </c>
      <c r="B1133" s="3" t="str">
        <f>data!B1133</f>
        <v>אמסלם אביחי</v>
      </c>
      <c r="C1133" s="3">
        <f>data!C1133</f>
        <v>30</v>
      </c>
      <c r="D1133" s="3" t="str">
        <f>data!F1133</f>
        <v>צה"ל (מיל')</v>
      </c>
      <c r="E1133" s="3" t="str">
        <f t="shared" si="1"/>
        <v>adult</v>
      </c>
      <c r="F1133" s="3">
        <v>72.0</v>
      </c>
      <c r="G1133" s="3" t="s">
        <v>18</v>
      </c>
      <c r="H1133" s="1">
        <f t="shared" si="2"/>
        <v>8</v>
      </c>
    </row>
    <row r="1134">
      <c r="A1134" s="3">
        <f>data!A1134</f>
        <v>767</v>
      </c>
      <c r="B1134" s="3" t="str">
        <f>data!B1134</f>
        <v>הימן ענבר</v>
      </c>
      <c r="C1134" s="3">
        <f>data!C1134</f>
        <v>27</v>
      </c>
      <c r="D1134" s="3" t="str">
        <f>data!F1134</f>
        <v>אזרחים</v>
      </c>
      <c r="E1134" s="3" t="str">
        <f t="shared" si="1"/>
        <v>adult</v>
      </c>
      <c r="F1134" s="3">
        <v>72.0</v>
      </c>
      <c r="G1134" s="3" t="s">
        <v>18</v>
      </c>
      <c r="H1134" s="1">
        <f t="shared" si="2"/>
        <v>8</v>
      </c>
    </row>
    <row r="1135">
      <c r="A1135" s="3">
        <f>data!A1135</f>
        <v>485</v>
      </c>
      <c r="B1135" s="3" t="str">
        <f>data!B1135</f>
        <v>דנינו דניאל משה</v>
      </c>
      <c r="C1135" s="3">
        <f>data!C1135</f>
        <v>21</v>
      </c>
      <c r="D1135" s="3" t="str">
        <f>data!F1135</f>
        <v>צה"ל</v>
      </c>
      <c r="E1135" s="3" t="str">
        <f t="shared" si="1"/>
        <v>adult</v>
      </c>
      <c r="F1135" s="3">
        <v>72.0</v>
      </c>
      <c r="G1135" s="3" t="s">
        <v>18</v>
      </c>
      <c r="H1135" s="1">
        <f t="shared" si="2"/>
        <v>8</v>
      </c>
    </row>
    <row r="1136">
      <c r="A1136" s="3">
        <f>data!A1136</f>
        <v>2016</v>
      </c>
      <c r="B1136" s="3" t="str">
        <f>data!B1136</f>
        <v>איוס ניב</v>
      </c>
      <c r="C1136" s="3">
        <f>data!C1136</f>
        <v>25</v>
      </c>
      <c r="D1136" s="3" t="str">
        <f>data!F1136</f>
        <v>אזרחים</v>
      </c>
      <c r="E1136" s="3" t="str">
        <f t="shared" si="1"/>
        <v>adult</v>
      </c>
      <c r="F1136" s="3">
        <v>72.0</v>
      </c>
      <c r="G1136" s="3" t="s">
        <v>18</v>
      </c>
      <c r="H1136" s="1">
        <f t="shared" si="2"/>
        <v>8</v>
      </c>
    </row>
    <row r="1137">
      <c r="A1137" s="3">
        <f>data!A1137</f>
        <v>1278</v>
      </c>
      <c r="B1137" s="3" t="str">
        <f>data!B1137</f>
        <v>הליבני יובל</v>
      </c>
      <c r="C1137" s="3">
        <f>data!C1137</f>
        <v>30</v>
      </c>
      <c r="D1137" s="3" t="str">
        <f>data!F1137</f>
        <v>צה"ל (מיל')</v>
      </c>
      <c r="E1137" s="3" t="str">
        <f t="shared" si="1"/>
        <v>adult</v>
      </c>
      <c r="F1137" s="3">
        <v>72.0</v>
      </c>
      <c r="G1137" s="3" t="s">
        <v>18</v>
      </c>
      <c r="H1137" s="1">
        <f t="shared" si="2"/>
        <v>8</v>
      </c>
    </row>
    <row r="1138">
      <c r="A1138" s="3">
        <f>data!A1138</f>
        <v>639</v>
      </c>
      <c r="B1138" s="3" t="str">
        <f>data!B1138</f>
        <v>ויינשטיין ג'ודי</v>
      </c>
      <c r="C1138" s="3">
        <f>data!C1138</f>
        <v>70</v>
      </c>
      <c r="D1138" s="3" t="str">
        <f>data!F1138</f>
        <v>אזרחים</v>
      </c>
      <c r="E1138" s="3" t="str">
        <f t="shared" si="1"/>
        <v>senior</v>
      </c>
      <c r="F1138" s="3">
        <v>72.0</v>
      </c>
      <c r="G1138" s="3" t="s">
        <v>18</v>
      </c>
      <c r="H1138" s="1">
        <f t="shared" si="2"/>
        <v>8</v>
      </c>
    </row>
    <row r="1139">
      <c r="A1139" s="3">
        <f>data!A1139</f>
        <v>567</v>
      </c>
      <c r="B1139" s="3" t="str">
        <f>data!B1139</f>
        <v>חגי גדי</v>
      </c>
      <c r="C1139" s="3">
        <f>data!C1139</f>
        <v>73</v>
      </c>
      <c r="D1139" s="3" t="str">
        <f>data!F1139</f>
        <v>אזרחים</v>
      </c>
      <c r="E1139" s="3" t="str">
        <f t="shared" si="1"/>
        <v>senior</v>
      </c>
      <c r="F1139" s="3">
        <v>73.0</v>
      </c>
      <c r="G1139" s="3" t="s">
        <v>18</v>
      </c>
      <c r="H1139" s="1">
        <f t="shared" si="2"/>
        <v>8</v>
      </c>
    </row>
    <row r="1140">
      <c r="A1140" s="3">
        <f>data!A1140</f>
        <v>538</v>
      </c>
      <c r="B1140" s="3" t="str">
        <f>data!B1140</f>
        <v>אדר תמיר</v>
      </c>
      <c r="C1140" s="3">
        <f>data!C1140</f>
        <v>38</v>
      </c>
      <c r="D1140" s="3" t="str">
        <f>data!F1140</f>
        <v>כיתות כוננות</v>
      </c>
      <c r="E1140" s="3" t="str">
        <f t="shared" si="1"/>
        <v>adult</v>
      </c>
      <c r="F1140" s="3">
        <v>73.0</v>
      </c>
      <c r="G1140" s="3" t="s">
        <v>18</v>
      </c>
      <c r="H1140" s="1">
        <f t="shared" si="2"/>
        <v>8</v>
      </c>
    </row>
    <row r="1141">
      <c r="A1141" s="3">
        <f>data!A1141</f>
        <v>263</v>
      </c>
      <c r="B1141" s="3" t="str">
        <f>data!B1141</f>
        <v>מאסלי אלכסנדר</v>
      </c>
      <c r="C1141" s="3">
        <f>data!C1141</f>
        <v>21</v>
      </c>
      <c r="D1141" s="3" t="str">
        <f>data!F1141</f>
        <v>צה"ל</v>
      </c>
      <c r="E1141" s="3" t="str">
        <f t="shared" si="1"/>
        <v>adult</v>
      </c>
      <c r="F1141" s="3">
        <v>73.0</v>
      </c>
      <c r="G1141" s="3" t="s">
        <v>18</v>
      </c>
      <c r="H1141" s="1">
        <f t="shared" si="2"/>
        <v>8</v>
      </c>
    </row>
    <row r="1142">
      <c r="A1142" s="3">
        <f>data!A1142</f>
        <v>2017</v>
      </c>
      <c r="B1142" s="3" t="str">
        <f>data!B1142</f>
        <v>שדה דור</v>
      </c>
      <c r="C1142" s="3">
        <f>data!C1142</f>
        <v>22</v>
      </c>
      <c r="D1142" s="3" t="str">
        <f>data!F1142</f>
        <v>צה"ל</v>
      </c>
      <c r="E1142" s="3" t="str">
        <f t="shared" si="1"/>
        <v>adult</v>
      </c>
      <c r="F1142" s="3">
        <v>73.0</v>
      </c>
      <c r="G1142" s="3" t="s">
        <v>18</v>
      </c>
      <c r="H1142" s="1">
        <f t="shared" si="2"/>
        <v>8</v>
      </c>
    </row>
    <row r="1143">
      <c r="A1143" s="3">
        <f>data!A1143</f>
        <v>1587</v>
      </c>
      <c r="B1143" s="3" t="str">
        <f>data!B1143</f>
        <v>מלקמו אביאל</v>
      </c>
      <c r="C1143" s="3">
        <f>data!C1143</f>
        <v>21</v>
      </c>
      <c r="D1143" s="3" t="str">
        <f>data!F1143</f>
        <v>צה"ל</v>
      </c>
      <c r="E1143" s="3" t="str">
        <f t="shared" si="1"/>
        <v>adult</v>
      </c>
      <c r="F1143" s="3">
        <v>73.0</v>
      </c>
      <c r="G1143" s="3" t="s">
        <v>18</v>
      </c>
      <c r="H1143" s="1">
        <f t="shared" si="2"/>
        <v>8</v>
      </c>
    </row>
    <row r="1144">
      <c r="A1144" s="3">
        <f>data!A1144</f>
        <v>1678</v>
      </c>
      <c r="B1144" s="3" t="str">
        <f>data!B1144</f>
        <v>Diawthaisong Jakkapan</v>
      </c>
      <c r="C1144" s="3">
        <f>data!C1144</f>
        <v>37</v>
      </c>
      <c r="D1144" s="3" t="str">
        <f>data!F1144</f>
        <v>אזרחים זרים</v>
      </c>
      <c r="E1144" s="3" t="str">
        <f t="shared" si="1"/>
        <v>adult</v>
      </c>
      <c r="F1144" s="3">
        <v>73.0</v>
      </c>
      <c r="G1144" s="3" t="s">
        <v>18</v>
      </c>
      <c r="H1144" s="1">
        <f t="shared" si="2"/>
        <v>8</v>
      </c>
    </row>
    <row r="1145">
      <c r="A1145" s="3">
        <f>data!A1145</f>
        <v>1680</v>
      </c>
      <c r="B1145" s="3" t="str">
        <f>data!B1145</f>
        <v>Champasim Saksit</v>
      </c>
      <c r="C1145" s="36">
        <v>40.0</v>
      </c>
      <c r="D1145" s="3" t="str">
        <f>data!F1145</f>
        <v>אזרחים זרים</v>
      </c>
      <c r="E1145" s="3" t="str">
        <f t="shared" si="1"/>
        <v>adult</v>
      </c>
      <c r="F1145" s="3">
        <v>74.0</v>
      </c>
      <c r="G1145" s="3" t="s">
        <v>18</v>
      </c>
      <c r="H1145" s="1">
        <f t="shared" si="2"/>
        <v>8</v>
      </c>
    </row>
    <row r="1146">
      <c r="A1146" s="3">
        <f>data!A1146</f>
        <v>1679</v>
      </c>
      <c r="B1146" s="3" t="str">
        <f>data!B1146</f>
        <v>Raksanon Chaiya</v>
      </c>
      <c r="C1146" s="36">
        <v>40.0</v>
      </c>
      <c r="D1146" s="3" t="str">
        <f>data!F1146</f>
        <v>אזרחים זרים</v>
      </c>
      <c r="E1146" s="3" t="str">
        <f t="shared" si="1"/>
        <v>adult</v>
      </c>
      <c r="F1146" s="3">
        <v>74.0</v>
      </c>
      <c r="G1146" s="3" t="s">
        <v>18</v>
      </c>
      <c r="H1146" s="1">
        <f t="shared" si="2"/>
        <v>8</v>
      </c>
    </row>
    <row r="1147">
      <c r="A1147" s="3">
        <f>data!A1147</f>
        <v>1686</v>
      </c>
      <c r="B1147" s="3" t="str">
        <f>data!B1147</f>
        <v>Homsorn Settha</v>
      </c>
      <c r="C1147" s="3">
        <f>data!C1147</f>
        <v>36</v>
      </c>
      <c r="D1147" s="3" t="str">
        <f>data!F1147</f>
        <v>אזרחים זרים</v>
      </c>
      <c r="E1147" s="3" t="str">
        <f t="shared" si="1"/>
        <v>adult</v>
      </c>
      <c r="F1147" s="3">
        <v>74.0</v>
      </c>
      <c r="G1147" s="3" t="s">
        <v>18</v>
      </c>
      <c r="H1147" s="1">
        <f t="shared" si="2"/>
        <v>8</v>
      </c>
    </row>
    <row r="1148">
      <c r="A1148" s="3">
        <f>data!A1148</f>
        <v>1685</v>
      </c>
      <c r="B1148" s="3" t="str">
        <f>data!B1148</f>
        <v>Kraisorn Thumyoma</v>
      </c>
      <c r="C1148" s="3">
        <f>data!C1148</f>
        <v>29</v>
      </c>
      <c r="D1148" s="3" t="str">
        <f>data!F1148</f>
        <v>אזרחים זרים</v>
      </c>
      <c r="E1148" s="3" t="str">
        <f t="shared" si="1"/>
        <v>adult</v>
      </c>
      <c r="F1148" s="3">
        <v>74.0</v>
      </c>
      <c r="G1148" s="3" t="s">
        <v>18</v>
      </c>
      <c r="H1148" s="1">
        <f t="shared" si="2"/>
        <v>8</v>
      </c>
    </row>
    <row r="1149">
      <c r="A1149" s="3">
        <f>data!A1149</f>
        <v>1677</v>
      </c>
      <c r="B1149" s="3" t="str">
        <f>data!B1149</f>
        <v>Yotthongdee Tianchai</v>
      </c>
      <c r="C1149" s="36">
        <v>25.0</v>
      </c>
      <c r="D1149" s="3" t="str">
        <f>data!F1149</f>
        <v>אזרחים זרים</v>
      </c>
      <c r="E1149" s="3" t="str">
        <f t="shared" si="1"/>
        <v>adult</v>
      </c>
      <c r="F1149" s="3">
        <v>74.0</v>
      </c>
      <c r="G1149" s="3" t="s">
        <v>18</v>
      </c>
      <c r="H1149" s="1">
        <f t="shared" si="2"/>
        <v>8</v>
      </c>
    </row>
    <row r="1150">
      <c r="A1150" s="3">
        <f>data!A1150</f>
        <v>1684</v>
      </c>
      <c r="B1150" s="3" t="str">
        <f>data!B1150</f>
        <v>Seayang Dua</v>
      </c>
      <c r="C1150" s="36">
        <v>25.0</v>
      </c>
      <c r="D1150" s="3" t="str">
        <f>data!F1150</f>
        <v>אזרחים זרים</v>
      </c>
      <c r="E1150" s="3" t="s">
        <v>2879</v>
      </c>
      <c r="F1150" s="3">
        <v>75.0</v>
      </c>
      <c r="G1150" s="3" t="s">
        <v>18</v>
      </c>
      <c r="H1150" s="1">
        <f t="shared" si="2"/>
        <v>8</v>
      </c>
    </row>
    <row r="1151">
      <c r="A1151" s="3">
        <f>data!A1151</f>
        <v>1683</v>
      </c>
      <c r="B1151" s="3" t="str">
        <f>data!B1151</f>
        <v>Saethao Thawatchai</v>
      </c>
      <c r="C1151" s="3">
        <f>data!C1151</f>
        <v>26</v>
      </c>
      <c r="D1151" s="3" t="str">
        <f>data!F1151</f>
        <v>אזרחים זרים</v>
      </c>
      <c r="E1151" s="3" t="s">
        <v>2879</v>
      </c>
      <c r="F1151" s="3">
        <v>75.0</v>
      </c>
      <c r="G1151" s="3" t="s">
        <v>18</v>
      </c>
      <c r="H1151" s="1">
        <f t="shared" si="2"/>
        <v>8</v>
      </c>
    </row>
    <row r="1152">
      <c r="A1152" s="3">
        <f>data!A1152</f>
        <v>2019</v>
      </c>
      <c r="B1152" s="3" t="str">
        <f>data!B1152</f>
        <v>Pongkhrurea Paphonthanai</v>
      </c>
      <c r="C1152" s="36">
        <v>25.0</v>
      </c>
      <c r="D1152" s="3" t="str">
        <f>data!F1152</f>
        <v>אזרחים זרים</v>
      </c>
      <c r="E1152" s="3" t="s">
        <v>2879</v>
      </c>
      <c r="F1152" s="3">
        <v>75.0</v>
      </c>
      <c r="G1152" s="3" t="s">
        <v>18</v>
      </c>
      <c r="H1152" s="1">
        <f t="shared" si="2"/>
        <v>8</v>
      </c>
    </row>
    <row r="1153">
      <c r="A1153" s="3">
        <f>data!A1153</f>
        <v>1689</v>
      </c>
      <c r="B1153" s="3" t="str">
        <f>data!B1153</f>
        <v>Pankitvanitjaroen Sarayuth</v>
      </c>
      <c r="C1153" s="3">
        <f>data!C1153</f>
        <v>33</v>
      </c>
      <c r="D1153" s="3" t="str">
        <f>data!F1153</f>
        <v>אזרחים זרים</v>
      </c>
      <c r="E1153" s="3" t="s">
        <v>2879</v>
      </c>
      <c r="F1153" s="3">
        <v>75.0</v>
      </c>
      <c r="G1153" s="3" t="s">
        <v>18</v>
      </c>
      <c r="H1153" s="1">
        <f t="shared" si="2"/>
        <v>8</v>
      </c>
    </row>
    <row r="1154">
      <c r="A1154" s="3">
        <f>data!A1154</f>
        <v>1688</v>
      </c>
      <c r="B1154" s="3" t="str">
        <f>data!B1154</f>
        <v>Patee Kiattisak</v>
      </c>
      <c r="C1154" s="3">
        <f>data!C1154</f>
        <v>35</v>
      </c>
      <c r="D1154" s="3" t="str">
        <f>data!F1154</f>
        <v>אזרחים זרים</v>
      </c>
      <c r="E1154" s="3" t="s">
        <v>2879</v>
      </c>
      <c r="F1154" s="3">
        <v>75.0</v>
      </c>
      <c r="G1154" s="3" t="s">
        <v>18</v>
      </c>
      <c r="H1154" s="1">
        <f t="shared" si="2"/>
        <v>8</v>
      </c>
    </row>
    <row r="1155">
      <c r="A1155" s="3">
        <f>data!A1155</f>
        <v>2020</v>
      </c>
      <c r="B1155" s="3" t="str">
        <f>data!B1155</f>
        <v>עלוש דני</v>
      </c>
      <c r="C1155" s="3">
        <f>data!C1155</f>
        <v>52</v>
      </c>
      <c r="D1155" s="3" t="str">
        <f>data!F1155</f>
        <v>אזרחים</v>
      </c>
      <c r="E1155" s="3" t="s">
        <v>2879</v>
      </c>
      <c r="F1155" s="3">
        <v>75.0</v>
      </c>
      <c r="G1155" s="3" t="s">
        <v>18</v>
      </c>
      <c r="H1155" s="1">
        <f t="shared" si="2"/>
        <v>8</v>
      </c>
    </row>
    <row r="1156">
      <c r="A1156" s="3">
        <f>data!A1156</f>
        <v>2021</v>
      </c>
      <c r="B1156" s="3" t="str">
        <f>data!B1156</f>
        <v>דניאלי טל</v>
      </c>
      <c r="C1156" s="29">
        <v>25.0</v>
      </c>
      <c r="D1156" s="3" t="str">
        <f>data!F1156</f>
        <v>אזרחים</v>
      </c>
      <c r="E1156" s="3" t="s">
        <v>2879</v>
      </c>
      <c r="F1156" s="3">
        <v>75.0</v>
      </c>
      <c r="G1156" s="3" t="s">
        <v>18</v>
      </c>
      <c r="H1156" s="1">
        <f t="shared" si="2"/>
        <v>8</v>
      </c>
    </row>
    <row r="1157">
      <c r="A1157" s="3">
        <f>data!A1157</f>
        <v>135</v>
      </c>
      <c r="B1157" s="3" t="str">
        <f>data!B1157</f>
        <v>סבירסקי איתי</v>
      </c>
      <c r="C1157" s="29">
        <v>35.0</v>
      </c>
      <c r="D1157" s="3" t="str">
        <f>data!F1157</f>
        <v>אזרחים</v>
      </c>
      <c r="E1157" s="3" t="s">
        <v>2879</v>
      </c>
      <c r="F1157" s="3">
        <v>75.0</v>
      </c>
      <c r="G1157" s="3" t="s">
        <v>18</v>
      </c>
      <c r="H1157" s="1">
        <f t="shared" si="2"/>
        <v>8</v>
      </c>
    </row>
    <row r="1158">
      <c r="A1158" s="3">
        <f>data!A1158</f>
        <v>122</v>
      </c>
      <c r="B1158" s="3" t="str">
        <f>data!B1158</f>
        <v>שרעבי יוסי</v>
      </c>
      <c r="C1158" s="3">
        <f>data!C1158</f>
        <v>53</v>
      </c>
      <c r="D1158" s="3" t="str">
        <f>data!F1158</f>
        <v>אזרחים</v>
      </c>
      <c r="E1158" s="3" t="s">
        <v>2879</v>
      </c>
      <c r="F1158" s="3">
        <v>75.0</v>
      </c>
      <c r="G1158" s="3" t="s">
        <v>18</v>
      </c>
      <c r="H1158" s="1">
        <f t="shared" si="2"/>
        <v>8</v>
      </c>
    </row>
    <row r="1159">
      <c r="A1159" s="3">
        <f>data!A1159</f>
        <v>1706</v>
      </c>
      <c r="B1159" s="3" t="str">
        <f>data!B1159</f>
        <v>לוינסון שי</v>
      </c>
      <c r="C1159" s="3">
        <f>data!C1159</f>
        <v>19</v>
      </c>
      <c r="D1159" s="3" t="str">
        <f>data!F1159</f>
        <v>צה"ל</v>
      </c>
      <c r="E1159" s="3" t="s">
        <v>2879</v>
      </c>
      <c r="F1159" s="3">
        <v>75.0</v>
      </c>
      <c r="G1159" s="3" t="s">
        <v>18</v>
      </c>
      <c r="H1159" s="1">
        <f t="shared" si="2"/>
        <v>8</v>
      </c>
    </row>
    <row r="1160">
      <c r="A1160" s="3">
        <f>data!A1160</f>
        <v>1697</v>
      </c>
      <c r="B1160" s="3" t="str">
        <f>data!B1160</f>
        <v>Goyitom Gebrehiyet</v>
      </c>
      <c r="C1160" s="36">
        <v>40.0</v>
      </c>
      <c r="D1160" s="3" t="str">
        <f>data!F1160</f>
        <v>אזרחים זרים</v>
      </c>
      <c r="E1160" s="3" t="str">
        <f t="shared" ref="E1160:E1203" si="8">if(C1160&lt;13,"child",if(and(C1160&lt;19, D1160="אזרחים"),"teen",if(C1160&gt;64,"senior","adult")))</f>
        <v>adult</v>
      </c>
      <c r="F1160" s="3">
        <v>75.0</v>
      </c>
      <c r="G1160" s="3" t="s">
        <v>18</v>
      </c>
      <c r="H1160" s="1">
        <f t="shared" si="2"/>
        <v>8</v>
      </c>
    </row>
    <row r="1161">
      <c r="A1161" s="3">
        <f>data!A1161</f>
        <v>2023</v>
      </c>
      <c r="B1161" s="3" t="str">
        <f>data!B1161</f>
        <v>Berhe Wolderaphael Hagos</v>
      </c>
      <c r="C1161" s="36">
        <v>40.0</v>
      </c>
      <c r="D1161" s="3" t="str">
        <f>data!F1161</f>
        <v>אזרחים זרים</v>
      </c>
      <c r="E1161" s="3" t="str">
        <f t="shared" si="8"/>
        <v>adult</v>
      </c>
      <c r="F1161" s="3">
        <v>76.0</v>
      </c>
      <c r="G1161" s="3" t="s">
        <v>18</v>
      </c>
      <c r="H1161" s="1">
        <f t="shared" si="2"/>
        <v>8</v>
      </c>
    </row>
    <row r="1162">
      <c r="A1162" s="3">
        <f>data!A1162</f>
        <v>23</v>
      </c>
      <c r="B1162" s="3" t="str">
        <f>data!B1162</f>
        <v>גואילי רן</v>
      </c>
      <c r="C1162" s="3">
        <f>data!C1162</f>
        <v>24</v>
      </c>
      <c r="D1162" s="3" t="str">
        <f>data!F1162</f>
        <v>משטרה</v>
      </c>
      <c r="E1162" s="3" t="str">
        <f t="shared" si="8"/>
        <v>adult</v>
      </c>
      <c r="F1162" s="3">
        <v>76.0</v>
      </c>
      <c r="G1162" s="3" t="s">
        <v>18</v>
      </c>
      <c r="H1162" s="1">
        <f t="shared" si="2"/>
        <v>8</v>
      </c>
    </row>
    <row r="1163">
      <c r="A1163" s="3">
        <f>data!A1163</f>
        <v>644</v>
      </c>
      <c r="B1163" s="3" t="str">
        <f>data!B1163</f>
        <v>יעקב יאיר</v>
      </c>
      <c r="C1163" s="3">
        <f>data!C1163</f>
        <v>59</v>
      </c>
      <c r="D1163" s="3" t="str">
        <f>data!F1163</f>
        <v>אזרחים</v>
      </c>
      <c r="E1163" s="3" t="str">
        <f t="shared" si="8"/>
        <v>adult</v>
      </c>
      <c r="F1163" s="3">
        <v>76.0</v>
      </c>
      <c r="G1163" s="3" t="s">
        <v>18</v>
      </c>
      <c r="H1163" s="1">
        <f t="shared" si="2"/>
        <v>8</v>
      </c>
    </row>
    <row r="1164">
      <c r="A1164" s="3">
        <f>data!A1164</f>
        <v>1726</v>
      </c>
      <c r="B1164" s="3" t="str">
        <f>data!B1164</f>
        <v>דניאל עוז</v>
      </c>
      <c r="C1164" s="29">
        <v>35.0</v>
      </c>
      <c r="D1164" s="3" t="str">
        <f>data!F1164</f>
        <v>צה"ל</v>
      </c>
      <c r="E1164" s="3" t="str">
        <f t="shared" si="8"/>
        <v>adult</v>
      </c>
      <c r="F1164" s="3">
        <v>76.0</v>
      </c>
      <c r="G1164" s="3" t="s">
        <v>18</v>
      </c>
      <c r="H1164" s="1">
        <f t="shared" si="2"/>
        <v>8</v>
      </c>
    </row>
    <row r="1165">
      <c r="A1165" s="3">
        <f>data!A1165</f>
        <v>428</v>
      </c>
      <c r="B1165" s="3" t="str">
        <f>data!B1165</f>
        <v>חן איתי</v>
      </c>
      <c r="C1165" s="29">
        <v>45.0</v>
      </c>
      <c r="D1165" s="3" t="str">
        <f>data!F1165</f>
        <v>צה"ל</v>
      </c>
      <c r="E1165" s="3" t="str">
        <f t="shared" si="8"/>
        <v>adult</v>
      </c>
      <c r="F1165" s="3">
        <v>76.0</v>
      </c>
      <c r="G1165" s="3" t="s">
        <v>18</v>
      </c>
      <c r="H1165" s="1">
        <f t="shared" si="2"/>
        <v>8</v>
      </c>
    </row>
    <row r="1166">
      <c r="A1166" s="3">
        <f>data!A1166</f>
        <v>1599</v>
      </c>
      <c r="B1166" s="3" t="str">
        <f>data!B1166</f>
        <v>פרץ דניאל</v>
      </c>
      <c r="C1166" s="3">
        <f>data!C1166</f>
        <v>22</v>
      </c>
      <c r="D1166" s="3" t="str">
        <f>data!F1166</f>
        <v>צה"ל</v>
      </c>
      <c r="E1166" s="3" t="str">
        <f t="shared" si="8"/>
        <v>adult</v>
      </c>
      <c r="F1166" s="3">
        <v>76.0</v>
      </c>
      <c r="G1166" s="3" t="s">
        <v>18</v>
      </c>
      <c r="H1166" s="1">
        <f t="shared" si="2"/>
        <v>8</v>
      </c>
    </row>
    <row r="1167">
      <c r="A1167" s="3">
        <f>data!A1167</f>
        <v>1338</v>
      </c>
      <c r="B1167" s="3" t="str">
        <f>data!B1167</f>
        <v>ברוך אוריאל</v>
      </c>
      <c r="C1167" s="3">
        <f>data!C1167</f>
        <v>35</v>
      </c>
      <c r="D1167" s="3" t="str">
        <f>data!F1167</f>
        <v>אזרחים</v>
      </c>
      <c r="E1167" s="3" t="str">
        <f t="shared" si="8"/>
        <v>adult</v>
      </c>
      <c r="F1167" s="3">
        <v>76.0</v>
      </c>
      <c r="G1167" s="3" t="s">
        <v>18</v>
      </c>
      <c r="H1167" s="1">
        <f t="shared" si="2"/>
        <v>8</v>
      </c>
    </row>
    <row r="1168">
      <c r="A1168" s="3">
        <f>data!A1168</f>
        <v>2024</v>
      </c>
      <c r="B1168" s="3" t="str">
        <f>data!B1168</f>
        <v>בראווי האשם</v>
      </c>
      <c r="C1168" s="36">
        <v>40.0</v>
      </c>
      <c r="D1168" s="3" t="str">
        <f>data!F1168</f>
        <v>אזרחים זרים</v>
      </c>
      <c r="E1168" s="3" t="str">
        <f t="shared" si="8"/>
        <v>adult</v>
      </c>
      <c r="F1168" s="3">
        <v>77.0</v>
      </c>
      <c r="G1168" s="3" t="s">
        <v>18</v>
      </c>
      <c r="H1168" s="1">
        <f t="shared" si="2"/>
        <v>8</v>
      </c>
    </row>
    <row r="1169">
      <c r="A1169" s="3">
        <f>data!A1169</f>
        <v>2027</v>
      </c>
      <c r="B1169" s="3" t="str">
        <f>data!B1169</f>
        <v>מסרי סוהייל</v>
      </c>
      <c r="C1169" s="36">
        <v>40.0</v>
      </c>
      <c r="D1169" s="3" t="str">
        <f>data!F1169</f>
        <v>אזרחים זרים</v>
      </c>
      <c r="E1169" s="3" t="str">
        <f t="shared" si="8"/>
        <v>adult</v>
      </c>
      <c r="F1169" s="3">
        <v>77.0</v>
      </c>
      <c r="G1169" s="3" t="s">
        <v>18</v>
      </c>
      <c r="H1169" s="1">
        <f t="shared" si="2"/>
        <v>8</v>
      </c>
    </row>
    <row r="1170">
      <c r="A1170" s="3">
        <f>data!A1170</f>
        <v>2028</v>
      </c>
      <c r="B1170" s="3" t="str">
        <f>data!B1170</f>
        <v>אלמסרי חורי</v>
      </c>
      <c r="C1170" s="36">
        <v>40.0</v>
      </c>
      <c r="D1170" s="3" t="str">
        <f>data!F1170</f>
        <v>אזרחים זרים</v>
      </c>
      <c r="E1170" s="3" t="str">
        <f t="shared" si="8"/>
        <v>adult</v>
      </c>
      <c r="F1170" s="3">
        <v>77.0</v>
      </c>
      <c r="G1170" s="3" t="s">
        <v>18</v>
      </c>
      <c r="H1170" s="1">
        <f t="shared" si="2"/>
        <v>8</v>
      </c>
    </row>
    <row r="1171">
      <c r="A1171" s="3">
        <f>data!A1171</f>
        <v>2029</v>
      </c>
      <c r="B1171" s="3" t="str">
        <f>data!B1171</f>
        <v>אלעטאר סלימאן</v>
      </c>
      <c r="C1171" s="36">
        <v>40.0</v>
      </c>
      <c r="D1171" s="3" t="str">
        <f>data!F1171</f>
        <v>אזרחים זרים</v>
      </c>
      <c r="E1171" s="3" t="str">
        <f t="shared" si="8"/>
        <v>adult</v>
      </c>
      <c r="F1171" s="3">
        <v>77.0</v>
      </c>
      <c r="G1171" s="3" t="s">
        <v>18</v>
      </c>
      <c r="H1171" s="1">
        <f t="shared" si="2"/>
        <v>8</v>
      </c>
    </row>
    <row r="1172">
      <c r="A1172" s="3">
        <f>data!A1172</f>
        <v>2030</v>
      </c>
      <c r="B1172" s="3" t="str">
        <f>data!B1172</f>
        <v>גאנם זיאד</v>
      </c>
      <c r="C1172" s="36">
        <v>40.0</v>
      </c>
      <c r="D1172" s="3" t="str">
        <f>data!F1172</f>
        <v>אזרחים זרים</v>
      </c>
      <c r="E1172" s="3" t="str">
        <f t="shared" si="8"/>
        <v>adult</v>
      </c>
      <c r="F1172" s="3">
        <v>78.0</v>
      </c>
      <c r="G1172" s="3" t="s">
        <v>18</v>
      </c>
      <c r="H1172" s="1">
        <f t="shared" si="2"/>
        <v>8</v>
      </c>
    </row>
    <row r="1173">
      <c r="A1173" s="3">
        <f>data!A1173</f>
        <v>584</v>
      </c>
      <c r="B1173" s="3" t="str">
        <f>data!B1173</f>
        <v>קציר אלעד</v>
      </c>
      <c r="C1173" s="3">
        <f>data!C1173</f>
        <v>47</v>
      </c>
      <c r="D1173" s="3" t="str">
        <f>data!F1173</f>
        <v>אזרחים</v>
      </c>
      <c r="E1173" s="3" t="str">
        <f t="shared" si="8"/>
        <v>adult</v>
      </c>
      <c r="F1173" s="3">
        <v>78.0</v>
      </c>
      <c r="G1173" s="3" t="s">
        <v>18</v>
      </c>
      <c r="H1173" s="1">
        <f t="shared" si="2"/>
        <v>8</v>
      </c>
    </row>
    <row r="1174">
      <c r="A1174" s="3">
        <f>data!A1174</f>
        <v>1320</v>
      </c>
      <c r="B1174" s="3" t="str">
        <f>data!B1174</f>
        <v>אור דרור</v>
      </c>
      <c r="C1174" s="3">
        <f>data!C1174</f>
        <v>48</v>
      </c>
      <c r="D1174" s="3" t="str">
        <f>data!F1174</f>
        <v>אזרחים</v>
      </c>
      <c r="E1174" s="3" t="str">
        <f t="shared" si="8"/>
        <v>adult</v>
      </c>
      <c r="F1174" s="3">
        <v>78.0</v>
      </c>
      <c r="G1174" s="3" t="s">
        <v>18</v>
      </c>
      <c r="H1174" s="1">
        <f t="shared" si="2"/>
        <v>8</v>
      </c>
    </row>
    <row r="1175">
      <c r="A1175" s="3">
        <f>data!A1175</f>
        <v>798</v>
      </c>
      <c r="B1175" s="3" t="str">
        <f>data!B1175</f>
        <v>ליבמן אליקים</v>
      </c>
      <c r="C1175" s="3">
        <f>data!C1175</f>
        <v>24</v>
      </c>
      <c r="D1175" s="3" t="str">
        <f>data!F1175</f>
        <v>אזרחים</v>
      </c>
      <c r="E1175" s="3" t="str">
        <f t="shared" si="8"/>
        <v>adult</v>
      </c>
      <c r="F1175" s="3">
        <v>78.0</v>
      </c>
      <c r="G1175" s="3" t="s">
        <v>18</v>
      </c>
      <c r="H1175" s="1">
        <f t="shared" si="2"/>
        <v>8</v>
      </c>
    </row>
    <row r="1176">
      <c r="A1176" s="3">
        <f>data!A1176</f>
        <v>659</v>
      </c>
      <c r="B1176" s="3" t="str">
        <f>data!B1176</f>
        <v>רודאיף ליאור</v>
      </c>
      <c r="C1176" s="3">
        <f>data!C1176</f>
        <v>61</v>
      </c>
      <c r="D1176" s="3" t="str">
        <f>data!F1176</f>
        <v>אזרחים</v>
      </c>
      <c r="E1176" s="3" t="str">
        <f t="shared" si="8"/>
        <v>adult</v>
      </c>
      <c r="F1176" s="3">
        <v>78.0</v>
      </c>
      <c r="G1176" s="3" t="s">
        <v>18</v>
      </c>
      <c r="H1176" s="1">
        <f t="shared" si="2"/>
        <v>8</v>
      </c>
    </row>
    <row r="1177">
      <c r="A1177" s="3">
        <f>data!A1177</f>
        <v>1702</v>
      </c>
      <c r="B1177" s="3" t="str">
        <f>data!B1177</f>
        <v>Shi Zhenhong</v>
      </c>
      <c r="C1177" s="3">
        <f>data!C1177</f>
        <v>47</v>
      </c>
      <c r="D1177" s="3" t="str">
        <f>data!F1177</f>
        <v>אזרחים זרים</v>
      </c>
      <c r="E1177" s="3" t="str">
        <f t="shared" si="8"/>
        <v>adult</v>
      </c>
      <c r="F1177" s="3">
        <v>78.0</v>
      </c>
      <c r="G1177" s="3" t="s">
        <v>18</v>
      </c>
      <c r="H1177" s="1">
        <f t="shared" si="2"/>
        <v>8</v>
      </c>
    </row>
    <row r="1178">
      <c r="A1178" s="3">
        <f>data!A1178</f>
        <v>2031</v>
      </c>
      <c r="B1178" s="3" t="str">
        <f>data!B1178</f>
        <v>Liu Jianhe</v>
      </c>
      <c r="C1178" s="3">
        <f>data!C1178</f>
        <v>51</v>
      </c>
      <c r="D1178" s="3" t="str">
        <f>data!F1178</f>
        <v>אזרחים זרים</v>
      </c>
      <c r="E1178" s="3" t="str">
        <f t="shared" si="8"/>
        <v>adult</v>
      </c>
      <c r="F1178" s="3">
        <v>78.0</v>
      </c>
      <c r="G1178" s="3" t="s">
        <v>18</v>
      </c>
      <c r="H1178" s="1">
        <f t="shared" si="2"/>
        <v>8</v>
      </c>
    </row>
    <row r="1179">
      <c r="A1179" s="3">
        <f>data!A1179</f>
        <v>2032</v>
      </c>
      <c r="B1179" s="3" t="str">
        <f>data!B1179</f>
        <v>Liu Zhiguo</v>
      </c>
      <c r="C1179" s="3">
        <f>data!C1179</f>
        <v>43</v>
      </c>
      <c r="D1179" s="3" t="str">
        <f>data!F1179</f>
        <v>אזרחים זרים</v>
      </c>
      <c r="E1179" s="3" t="str">
        <f t="shared" si="8"/>
        <v>adult</v>
      </c>
      <c r="F1179" s="3">
        <v>78.0</v>
      </c>
      <c r="G1179" s="3" t="s">
        <v>18</v>
      </c>
      <c r="H1179" s="1">
        <f t="shared" si="2"/>
        <v>8</v>
      </c>
    </row>
    <row r="1180">
      <c r="A1180" s="3">
        <f>data!A1180</f>
        <v>1734</v>
      </c>
      <c r="B1180" s="3" t="str">
        <f>data!B1180</f>
        <v>Oakkharasri Sonthaya</v>
      </c>
      <c r="C1180" s="29">
        <v>40.0</v>
      </c>
      <c r="D1180" s="3" t="str">
        <f>data!F1180</f>
        <v>אזרחים זרים</v>
      </c>
      <c r="E1180" s="3" t="str">
        <f t="shared" si="8"/>
        <v>adult</v>
      </c>
      <c r="F1180" s="3">
        <v>79.0</v>
      </c>
      <c r="G1180" s="3" t="s">
        <v>18</v>
      </c>
      <c r="H1180" s="1">
        <f t="shared" si="2"/>
        <v>8</v>
      </c>
    </row>
    <row r="1181">
      <c r="A1181" s="3">
        <f>data!A1181</f>
        <v>1735</v>
      </c>
      <c r="B1181" s="3" t="str">
        <f>data!B1181</f>
        <v>Rinthalak Sudthisak</v>
      </c>
      <c r="C1181" s="29">
        <v>40.0</v>
      </c>
      <c r="D1181" s="3" t="str">
        <f>data!F1181</f>
        <v>אזרחים זרים</v>
      </c>
      <c r="E1181" s="3" t="str">
        <f t="shared" si="8"/>
        <v>adult</v>
      </c>
      <c r="F1181" s="3">
        <v>79.0</v>
      </c>
      <c r="G1181" s="3" t="s">
        <v>18</v>
      </c>
      <c r="H1181" s="1">
        <f t="shared" si="2"/>
        <v>8</v>
      </c>
    </row>
    <row r="1182">
      <c r="A1182" s="3">
        <f>data!A1182</f>
        <v>716</v>
      </c>
      <c r="B1182" s="3" t="str">
        <f>data!B1182</f>
        <v>בוסקילה עמית</v>
      </c>
      <c r="C1182" s="3">
        <f>data!C1182</f>
        <v>28</v>
      </c>
      <c r="D1182" s="3" t="str">
        <f>data!F1182</f>
        <v>אזרחים</v>
      </c>
      <c r="E1182" s="3" t="str">
        <f t="shared" si="8"/>
        <v>adult</v>
      </c>
      <c r="F1182" s="3">
        <v>80.0</v>
      </c>
      <c r="G1182" s="3" t="s">
        <v>18</v>
      </c>
      <c r="H1182" s="1">
        <f t="shared" si="2"/>
        <v>9</v>
      </c>
    </row>
    <row r="1183">
      <c r="A1183" s="3">
        <f>data!A1183</f>
        <v>1600</v>
      </c>
      <c r="B1183" s="3" t="str">
        <f>data!B1183</f>
        <v>גלרנטר יצחק (איציק)</v>
      </c>
      <c r="C1183" s="3">
        <f>data!C1183</f>
        <v>53</v>
      </c>
      <c r="D1183" s="3" t="str">
        <f>data!F1183</f>
        <v>אזרחים</v>
      </c>
      <c r="E1183" s="3" t="str">
        <f t="shared" si="8"/>
        <v>adult</v>
      </c>
      <c r="F1183" s="3">
        <v>80.0</v>
      </c>
      <c r="G1183" s="3" t="s">
        <v>18</v>
      </c>
      <c r="H1183" s="1">
        <f t="shared" si="2"/>
        <v>9</v>
      </c>
    </row>
    <row r="1184">
      <c r="A1184" s="3">
        <f>data!A1184</f>
        <v>402</v>
      </c>
      <c r="B1184" s="3" t="str">
        <f>data!B1184</f>
        <v>בנימין רון</v>
      </c>
      <c r="C1184" s="3">
        <f>data!C1184</f>
        <v>59</v>
      </c>
      <c r="D1184" s="3" t="str">
        <f>data!F1184</f>
        <v>אזרחים</v>
      </c>
      <c r="E1184" s="3" t="str">
        <f t="shared" si="8"/>
        <v>adult</v>
      </c>
      <c r="F1184" s="3">
        <v>80.0</v>
      </c>
      <c r="G1184" s="3" t="s">
        <v>18</v>
      </c>
      <c r="H1184" s="1">
        <f t="shared" si="2"/>
        <v>9</v>
      </c>
    </row>
    <row r="1185">
      <c r="A1185" s="3">
        <f>data!A1185</f>
        <v>605</v>
      </c>
      <c r="B1185" s="3" t="str">
        <f>data!B1185</f>
        <v>ניסנבאום מישל</v>
      </c>
      <c r="C1185" s="3">
        <f>data!C1185</f>
        <v>59</v>
      </c>
      <c r="D1185" s="3" t="str">
        <f>data!F1185</f>
        <v>אזרחים</v>
      </c>
      <c r="E1185" s="3" t="str">
        <f t="shared" si="8"/>
        <v>adult</v>
      </c>
      <c r="F1185" s="3">
        <v>80.0</v>
      </c>
      <c r="G1185" s="3" t="s">
        <v>18</v>
      </c>
      <c r="H1185" s="1">
        <f t="shared" si="2"/>
        <v>9</v>
      </c>
    </row>
    <row r="1186">
      <c r="A1186" s="3">
        <f>data!A1186</f>
        <v>1589</v>
      </c>
      <c r="B1186" s="3" t="str">
        <f>data!B1186</f>
        <v>ראדו אוריון הרננדס</v>
      </c>
      <c r="C1186" s="3">
        <f>data!C1186</f>
        <v>30</v>
      </c>
      <c r="D1186" s="3" t="str">
        <f>data!F1186</f>
        <v>אזרחים זרים</v>
      </c>
      <c r="E1186" s="3" t="str">
        <f t="shared" si="8"/>
        <v>adult</v>
      </c>
      <c r="F1186" s="3">
        <v>80.0</v>
      </c>
      <c r="G1186" s="3" t="s">
        <v>18</v>
      </c>
      <c r="H1186" s="1">
        <f t="shared" si="2"/>
        <v>9</v>
      </c>
    </row>
    <row r="1187">
      <c r="A1187" s="3">
        <f>data!A1187</f>
        <v>1335</v>
      </c>
      <c r="B1187" s="3" t="str">
        <f>data!B1187</f>
        <v>יבלונקה חנן</v>
      </c>
      <c r="C1187" s="3">
        <f>data!C1187</f>
        <v>42</v>
      </c>
      <c r="D1187" s="3" t="str">
        <f>data!F1187</f>
        <v>אזרחים</v>
      </c>
      <c r="E1187" s="3" t="str">
        <f t="shared" si="8"/>
        <v>adult</v>
      </c>
      <c r="F1187" s="3">
        <v>80.0</v>
      </c>
      <c r="G1187" s="3" t="s">
        <v>18</v>
      </c>
      <c r="H1187" s="1">
        <f t="shared" si="2"/>
        <v>9</v>
      </c>
    </row>
    <row r="1188">
      <c r="A1188" s="3">
        <f>data!A1188</f>
        <v>562</v>
      </c>
      <c r="B1188" s="3" t="str">
        <f>data!B1188</f>
        <v>יהוד דולב</v>
      </c>
      <c r="C1188" s="3">
        <f>data!C1188</f>
        <v>35</v>
      </c>
      <c r="D1188" s="3" t="str">
        <f>data!F1188</f>
        <v>מגן דוד אדום</v>
      </c>
      <c r="E1188" s="3" t="str">
        <f t="shared" si="8"/>
        <v>adult</v>
      </c>
      <c r="F1188" s="3">
        <v>80.0</v>
      </c>
      <c r="G1188" s="3" t="s">
        <v>18</v>
      </c>
      <c r="H1188" s="1">
        <f t="shared" si="2"/>
        <v>9</v>
      </c>
    </row>
    <row r="1189">
      <c r="A1189" s="3">
        <f>data!A1189</f>
        <v>666</v>
      </c>
      <c r="B1189" s="3" t="str">
        <f>data!B1189</f>
        <v>פופלוול נדב</v>
      </c>
      <c r="C1189" s="3">
        <f>data!C1189</f>
        <v>51</v>
      </c>
      <c r="D1189" s="3" t="str">
        <f>data!F1189</f>
        <v>אזרחים</v>
      </c>
      <c r="E1189" s="3" t="str">
        <f t="shared" si="8"/>
        <v>adult</v>
      </c>
      <c r="F1189" s="3">
        <v>80.0</v>
      </c>
      <c r="G1189" s="3" t="s">
        <v>18</v>
      </c>
      <c r="H1189" s="1">
        <f t="shared" si="2"/>
        <v>9</v>
      </c>
    </row>
    <row r="1190">
      <c r="A1190" s="3">
        <f>data!A1190</f>
        <v>556</v>
      </c>
      <c r="B1190" s="3" t="str">
        <f>data!B1190</f>
        <v>קופר עמירם</v>
      </c>
      <c r="C1190" s="3">
        <f>data!C1190</f>
        <v>84</v>
      </c>
      <c r="D1190" s="3" t="str">
        <f>data!F1190</f>
        <v>אזרחים</v>
      </c>
      <c r="E1190" s="3" t="str">
        <f t="shared" si="8"/>
        <v>senior</v>
      </c>
      <c r="F1190" s="3">
        <v>81.0</v>
      </c>
      <c r="G1190" s="3" t="s">
        <v>18</v>
      </c>
      <c r="H1190" s="1">
        <f t="shared" si="2"/>
        <v>9</v>
      </c>
    </row>
    <row r="1191">
      <c r="A1191" s="3">
        <f>data!A1191</f>
        <v>608</v>
      </c>
      <c r="B1191" s="3" t="str">
        <f>data!B1191</f>
        <v>פרי חיים</v>
      </c>
      <c r="C1191" s="3">
        <f>data!C1191</f>
        <v>79</v>
      </c>
      <c r="D1191" s="3" t="str">
        <f>data!F1191</f>
        <v>אזרחים</v>
      </c>
      <c r="E1191" s="3" t="str">
        <f t="shared" si="8"/>
        <v>senior</v>
      </c>
      <c r="F1191" s="3">
        <v>81.0</v>
      </c>
      <c r="G1191" s="3" t="s">
        <v>18</v>
      </c>
      <c r="H1191" s="1">
        <f t="shared" si="2"/>
        <v>9</v>
      </c>
    </row>
    <row r="1192">
      <c r="A1192" s="3">
        <f>data!A1192</f>
        <v>595</v>
      </c>
      <c r="B1192" s="3" t="str">
        <f>data!B1192</f>
        <v>מצגר יורם</v>
      </c>
      <c r="C1192" s="3">
        <f>data!C1192</f>
        <v>80</v>
      </c>
      <c r="D1192" s="3" t="str">
        <f>data!F1192</f>
        <v>אזרחים</v>
      </c>
      <c r="E1192" s="3" t="str">
        <f t="shared" si="8"/>
        <v>senior</v>
      </c>
      <c r="F1192" s="3">
        <v>81.0</v>
      </c>
      <c r="G1192" s="3" t="s">
        <v>18</v>
      </c>
      <c r="H1192" s="1">
        <f t="shared" si="2"/>
        <v>9</v>
      </c>
    </row>
    <row r="1193">
      <c r="A1193" s="3">
        <f>data!A1193</f>
        <v>2038</v>
      </c>
      <c r="B1193" s="3" t="str">
        <f>data!B1193</f>
        <v>חסיד שרגא</v>
      </c>
      <c r="C1193" s="3">
        <f>data!C1193</f>
        <v>77</v>
      </c>
      <c r="D1193" s="3" t="str">
        <f>data!F1193</f>
        <v>אזרחים</v>
      </c>
      <c r="E1193" s="3" t="str">
        <f t="shared" si="8"/>
        <v>senior</v>
      </c>
      <c r="F1193" s="3">
        <v>81.0</v>
      </c>
      <c r="G1193" s="3" t="s">
        <v>18</v>
      </c>
      <c r="H1193" s="1">
        <f t="shared" si="2"/>
        <v>9</v>
      </c>
    </row>
    <row r="1194">
      <c r="A1194" s="3">
        <f>data!A1194</f>
        <v>1695</v>
      </c>
      <c r="B1194" s="3" t="str">
        <f>data!B1194</f>
        <v>אלאטרש מחמד</v>
      </c>
      <c r="C1194" s="3">
        <f>data!C1194</f>
        <v>40</v>
      </c>
      <c r="D1194" s="3" t="str">
        <f>data!F1194</f>
        <v>צה"ל</v>
      </c>
      <c r="E1194" s="3" t="str">
        <f t="shared" si="8"/>
        <v>adult</v>
      </c>
      <c r="F1194" s="3">
        <v>81.0</v>
      </c>
      <c r="G1194" s="3" t="s">
        <v>18</v>
      </c>
      <c r="H1194" s="1">
        <f t="shared" si="2"/>
        <v>9</v>
      </c>
    </row>
    <row r="1195">
      <c r="A1195" s="3">
        <f>data!A1195</f>
        <v>560</v>
      </c>
      <c r="B1195" s="3" t="str">
        <f>data!B1195</f>
        <v>אלכסנדר דנציג</v>
      </c>
      <c r="C1195" s="3">
        <f>data!C1195</f>
        <v>75</v>
      </c>
      <c r="D1195" s="3" t="str">
        <f>data!F1195</f>
        <v>אזרחים</v>
      </c>
      <c r="E1195" s="3" t="str">
        <f t="shared" si="8"/>
        <v>senior</v>
      </c>
      <c r="F1195" s="3">
        <v>84.0</v>
      </c>
      <c r="G1195" s="3" t="s">
        <v>18</v>
      </c>
      <c r="H1195" s="1">
        <f t="shared" si="2"/>
        <v>9</v>
      </c>
    </row>
    <row r="1196">
      <c r="A1196" s="3">
        <f>data!A1196</f>
        <v>1347</v>
      </c>
      <c r="B1196" s="3" t="str">
        <f>data!B1196</f>
        <v>בוכשטב יגב</v>
      </c>
      <c r="C1196" s="3">
        <f>data!C1196</f>
        <v>34</v>
      </c>
      <c r="D1196" s="3" t="str">
        <f>data!F1196</f>
        <v>אזרחים</v>
      </c>
      <c r="E1196" s="3" t="str">
        <f t="shared" si="8"/>
        <v>adult</v>
      </c>
      <c r="F1196" s="3">
        <v>84.0</v>
      </c>
      <c r="G1196" s="3" t="s">
        <v>18</v>
      </c>
      <c r="H1196" s="1">
        <f t="shared" si="2"/>
        <v>9</v>
      </c>
    </row>
    <row r="1197">
      <c r="A1197" s="3">
        <f>data!A1197</f>
        <v>600</v>
      </c>
      <c r="B1197" s="3" t="str">
        <f>data!B1197</f>
        <v>מונדר אברהם</v>
      </c>
      <c r="C1197" s="3">
        <f>data!C1197</f>
        <v>78</v>
      </c>
      <c r="D1197" s="3" t="str">
        <f>data!F1197</f>
        <v>אזרחים</v>
      </c>
      <c r="E1197" s="3" t="str">
        <f t="shared" si="8"/>
        <v>senior</v>
      </c>
      <c r="F1197" s="3">
        <v>85.0</v>
      </c>
      <c r="G1197" s="3" t="s">
        <v>18</v>
      </c>
      <c r="H1197" s="1">
        <f t="shared" si="2"/>
        <v>9</v>
      </c>
    </row>
    <row r="1198">
      <c r="A1198" s="3">
        <f>data!A1198</f>
        <v>74</v>
      </c>
      <c r="B1198" s="3" t="str">
        <f>data!B1198</f>
        <v>גת כרמל</v>
      </c>
      <c r="C1198" s="3">
        <f>data!C1198</f>
        <v>39</v>
      </c>
      <c r="D1198" s="3" t="str">
        <f>data!F1198</f>
        <v>אזרחים</v>
      </c>
      <c r="E1198" s="3" t="str">
        <f t="shared" si="8"/>
        <v>adult</v>
      </c>
      <c r="F1198" s="3">
        <v>86.0</v>
      </c>
      <c r="G1198" s="3" t="s">
        <v>18</v>
      </c>
      <c r="H1198" s="1">
        <f t="shared" si="2"/>
        <v>9</v>
      </c>
    </row>
    <row r="1199">
      <c r="A1199" s="3">
        <f>data!A1199</f>
        <v>1336</v>
      </c>
      <c r="B1199" s="3" t="str">
        <f>data!B1199</f>
        <v>ירושלמי עדן</v>
      </c>
      <c r="C1199" s="3">
        <f>data!C1199</f>
        <v>24</v>
      </c>
      <c r="D1199" s="3" t="str">
        <f>data!F1199</f>
        <v>אזרחים</v>
      </c>
      <c r="E1199" s="3" t="str">
        <f t="shared" si="8"/>
        <v>adult</v>
      </c>
      <c r="F1199" s="3">
        <v>86.0</v>
      </c>
      <c r="G1199" s="3" t="s">
        <v>18</v>
      </c>
      <c r="H1199" s="1">
        <f t="shared" si="2"/>
        <v>9</v>
      </c>
    </row>
    <row r="1200">
      <c r="A1200" s="3">
        <f>data!A1200</f>
        <v>773</v>
      </c>
      <c r="B1200" s="3" t="str">
        <f>data!B1200</f>
        <v>גולדברג-פולין הירש</v>
      </c>
      <c r="C1200" s="3">
        <f>data!C1200</f>
        <v>23</v>
      </c>
      <c r="D1200" s="3" t="str">
        <f>data!F1200</f>
        <v>אזרחים</v>
      </c>
      <c r="E1200" s="3" t="str">
        <f t="shared" si="8"/>
        <v>adult</v>
      </c>
      <c r="F1200" s="3">
        <v>86.0</v>
      </c>
      <c r="G1200" s="3" t="s">
        <v>18</v>
      </c>
      <c r="H1200" s="1">
        <f t="shared" si="2"/>
        <v>9</v>
      </c>
    </row>
    <row r="1201">
      <c r="A1201" s="3">
        <f>data!A1201</f>
        <v>100</v>
      </c>
      <c r="B1201" s="3" t="str">
        <f>data!B1201</f>
        <v>לובנוב אלכסנדר</v>
      </c>
      <c r="C1201" s="3">
        <f>data!C1201</f>
        <v>32</v>
      </c>
      <c r="D1201" s="3" t="str">
        <f>data!F1201</f>
        <v>אזרחים</v>
      </c>
      <c r="E1201" s="3" t="str">
        <f t="shared" si="8"/>
        <v>adult</v>
      </c>
      <c r="F1201" s="3">
        <v>87.0</v>
      </c>
      <c r="G1201" s="3" t="s">
        <v>18</v>
      </c>
      <c r="H1201" s="1">
        <f t="shared" si="2"/>
        <v>9</v>
      </c>
    </row>
    <row r="1202">
      <c r="A1202" s="3">
        <f>data!A1202</f>
        <v>1458</v>
      </c>
      <c r="B1202" s="3" t="str">
        <f>data!B1202</f>
        <v>סרוסי אלמוג</v>
      </c>
      <c r="C1202" s="3">
        <f>data!C1202</f>
        <v>26</v>
      </c>
      <c r="D1202" s="3" t="str">
        <f>data!F1202</f>
        <v>אזרחים</v>
      </c>
      <c r="E1202" s="3" t="str">
        <f t="shared" si="8"/>
        <v>adult</v>
      </c>
      <c r="F1202" s="3">
        <v>88.0</v>
      </c>
      <c r="G1202" s="3" t="s">
        <v>18</v>
      </c>
      <c r="H1202" s="1">
        <f t="shared" si="2"/>
        <v>9</v>
      </c>
    </row>
    <row r="1203">
      <c r="A1203" s="3">
        <f>data!A1203</f>
        <v>726</v>
      </c>
      <c r="B1203" s="3" t="str">
        <f>data!B1203</f>
        <v>דנינו אורי</v>
      </c>
      <c r="C1203" s="3">
        <f>data!C1203</f>
        <v>25</v>
      </c>
      <c r="D1203" s="3" t="str">
        <f>data!F1203</f>
        <v>אזרחים</v>
      </c>
      <c r="E1203" s="3" t="str">
        <f t="shared" si="8"/>
        <v>adult</v>
      </c>
      <c r="F1203" s="3">
        <v>90.0</v>
      </c>
      <c r="G1203" s="3" t="s">
        <v>18</v>
      </c>
      <c r="H1203" s="1">
        <f t="shared" si="2"/>
        <v>10</v>
      </c>
    </row>
    <row r="1204">
      <c r="C1204" s="3">
        <f>data!C1204</f>
        <v>28</v>
      </c>
      <c r="D1204" s="3" t="str">
        <f>data!F1204</f>
        <v>אזרחים</v>
      </c>
      <c r="F1204" s="3">
        <v>91.0</v>
      </c>
      <c r="G1204" s="3" t="s">
        <v>18</v>
      </c>
    </row>
    <row r="1205">
      <c r="C1205" s="3" t="str">
        <f>data!C1205</f>
        <v/>
      </c>
      <c r="D1205" s="3" t="str">
        <f>data!F1205</f>
        <v/>
      </c>
      <c r="F1205" s="3"/>
      <c r="G1205" s="3"/>
    </row>
    <row r="1206">
      <c r="C1206" s="3" t="str">
        <f>data!C1206</f>
        <v/>
      </c>
      <c r="D1206" s="3" t="str">
        <f>data!F1206</f>
        <v/>
      </c>
      <c r="F1206" s="3"/>
      <c r="G1206" s="3"/>
    </row>
    <row r="1207">
      <c r="C1207" s="3" t="str">
        <f>data!C1207</f>
        <v/>
      </c>
      <c r="D1207" s="3" t="str">
        <f>data!F1207</f>
        <v/>
      </c>
      <c r="F1207" s="3"/>
      <c r="G1207" s="3"/>
    </row>
    <row r="1208">
      <c r="C1208" s="3" t="str">
        <f>data!C1208</f>
        <v/>
      </c>
      <c r="D1208" s="3" t="str">
        <f>data!F1208</f>
        <v/>
      </c>
      <c r="F1208" s="3"/>
      <c r="G1208" s="3"/>
    </row>
    <row r="1209">
      <c r="C1209" s="3" t="str">
        <f>data!C1209</f>
        <v/>
      </c>
      <c r="D1209" s="3" t="str">
        <f>data!F1209</f>
        <v/>
      </c>
      <c r="F1209" s="3"/>
      <c r="G1209" s="3"/>
    </row>
    <row r="1210">
      <c r="C1210" s="3" t="str">
        <f>data!C1210</f>
        <v/>
      </c>
      <c r="D1210" s="3" t="str">
        <f>data!F1210</f>
        <v/>
      </c>
      <c r="F1210" s="3"/>
      <c r="G1210" s="3"/>
    </row>
    <row r="1211">
      <c r="C1211" s="3" t="str">
        <f>data!C1211</f>
        <v/>
      </c>
      <c r="D1211" s="3" t="str">
        <f>data!F1211</f>
        <v/>
      </c>
      <c r="F1211" s="3"/>
      <c r="G1211" s="3"/>
    </row>
    <row r="1212">
      <c r="C1212" s="3" t="str">
        <f>data!C1212</f>
        <v/>
      </c>
      <c r="D1212" s="3" t="str">
        <f>data!F1212</f>
        <v/>
      </c>
      <c r="F1212" s="3"/>
      <c r="G1212" s="3"/>
    </row>
    <row r="1213">
      <c r="C1213" s="3" t="str">
        <f>data!C1213</f>
        <v/>
      </c>
      <c r="D1213" s="3" t="str">
        <f>data!F1213</f>
        <v/>
      </c>
      <c r="F1213" s="3"/>
      <c r="G1213" s="3"/>
    </row>
    <row r="1214">
      <c r="C1214" s="3" t="str">
        <f>data!C1214</f>
        <v/>
      </c>
      <c r="D1214" s="3" t="str">
        <f>data!F1214</f>
        <v/>
      </c>
      <c r="F1214" s="3"/>
      <c r="G1214" s="3"/>
    </row>
    <row r="1215">
      <c r="C1215" s="3" t="str">
        <f>data!C1215</f>
        <v/>
      </c>
      <c r="D1215" s="3" t="str">
        <f>data!F1215</f>
        <v/>
      </c>
      <c r="F1215" s="3"/>
      <c r="G1215" s="3"/>
    </row>
    <row r="1216">
      <c r="C1216" s="3" t="str">
        <f>data!C1216</f>
        <v/>
      </c>
      <c r="D1216" s="3" t="str">
        <f>data!F1216</f>
        <v/>
      </c>
      <c r="F1216" s="3"/>
      <c r="G1216" s="3"/>
    </row>
    <row r="1217">
      <c r="C1217" s="3" t="str">
        <f>data!C1217</f>
        <v/>
      </c>
      <c r="D1217" s="3" t="str">
        <f>data!F1217</f>
        <v/>
      </c>
      <c r="F1217" s="3"/>
      <c r="G1217" s="3"/>
    </row>
    <row r="1218">
      <c r="C1218" s="3" t="str">
        <f>data!C1218</f>
        <v/>
      </c>
      <c r="D1218" s="3" t="str">
        <f>data!F1218</f>
        <v/>
      </c>
      <c r="F1218" s="3"/>
      <c r="G1218" s="3"/>
    </row>
    <row r="1219">
      <c r="C1219" s="3" t="str">
        <f>data!C1219</f>
        <v/>
      </c>
      <c r="D1219" s="3" t="str">
        <f>data!F1219</f>
        <v/>
      </c>
      <c r="F1219" s="3"/>
      <c r="G1219" s="3"/>
    </row>
    <row r="1220">
      <c r="C1220" s="3" t="str">
        <f>data!C1220</f>
        <v/>
      </c>
      <c r="D1220" s="3" t="str">
        <f>data!F1220</f>
        <v/>
      </c>
      <c r="F1220" s="3"/>
      <c r="G1220" s="3"/>
    </row>
    <row r="1221">
      <c r="C1221" s="3" t="str">
        <f>data!C1221</f>
        <v/>
      </c>
      <c r="D1221" s="3" t="str">
        <f>data!F1221</f>
        <v/>
      </c>
      <c r="F1221" s="3"/>
      <c r="G1221" s="3"/>
    </row>
    <row r="1222">
      <c r="C1222" s="3" t="str">
        <f>data!C1222</f>
        <v/>
      </c>
      <c r="D1222" s="3" t="str">
        <f>data!F1222</f>
        <v/>
      </c>
      <c r="F1222" s="3"/>
      <c r="G1222" s="3"/>
    </row>
    <row r="1223">
      <c r="C1223" s="3" t="str">
        <f>data!C1223</f>
        <v/>
      </c>
      <c r="D1223" s="3" t="str">
        <f>data!F1223</f>
        <v/>
      </c>
      <c r="F1223" s="3"/>
      <c r="G1223" s="3"/>
    </row>
    <row r="1224">
      <c r="C1224" s="3" t="str">
        <f>data!C1224</f>
        <v/>
      </c>
      <c r="D1224" s="3" t="str">
        <f>data!F1224</f>
        <v/>
      </c>
      <c r="F1224" s="3"/>
      <c r="G1224" s="3"/>
    </row>
    <row r="1225">
      <c r="C1225" s="3" t="str">
        <f>data!C1225</f>
        <v/>
      </c>
      <c r="D1225" s="3" t="str">
        <f>data!F1225</f>
        <v/>
      </c>
      <c r="F1225" s="3"/>
      <c r="G1225" s="3"/>
    </row>
    <row r="1226">
      <c r="C1226" s="3" t="str">
        <f>data!C1226</f>
        <v/>
      </c>
      <c r="D1226" s="3" t="str">
        <f>data!F1226</f>
        <v/>
      </c>
      <c r="F1226" s="3"/>
      <c r="G1226" s="3"/>
    </row>
    <row r="1227">
      <c r="F1227" s="3"/>
      <c r="G1227" s="3"/>
    </row>
    <row r="1228">
      <c r="F1228" s="3"/>
      <c r="G1228" s="3"/>
    </row>
    <row r="1229">
      <c r="F1229" s="3"/>
      <c r="G1229" s="3"/>
    </row>
    <row r="1230">
      <c r="F1230" s="3"/>
      <c r="G1230" s="3"/>
    </row>
    <row r="1231">
      <c r="F1231" s="3"/>
      <c r="G1231" s="3"/>
    </row>
    <row r="1232">
      <c r="F1232" s="3"/>
      <c r="G1232" s="3"/>
    </row>
    <row r="1233">
      <c r="F1233" s="3"/>
      <c r="G1233" s="3"/>
    </row>
    <row r="1234">
      <c r="F1234" s="3"/>
      <c r="G1234" s="3"/>
    </row>
    <row r="1235">
      <c r="F1235" s="3"/>
      <c r="G1235" s="3"/>
    </row>
    <row r="1236">
      <c r="F1236" s="3"/>
      <c r="G1236" s="3"/>
    </row>
    <row r="1237">
      <c r="F1237" s="3"/>
      <c r="G1237" s="3"/>
    </row>
    <row r="1238">
      <c r="F1238" s="3"/>
      <c r="G1238" s="3"/>
    </row>
    <row r="1239">
      <c r="F1239" s="3"/>
      <c r="G1239" s="3"/>
    </row>
    <row r="1240">
      <c r="F1240" s="3"/>
      <c r="G1240" s="3"/>
    </row>
    <row r="1241">
      <c r="F1241" s="3"/>
      <c r="G1241" s="3"/>
    </row>
    <row r="1242">
      <c r="F1242" s="3"/>
      <c r="G1242" s="3"/>
    </row>
    <row r="1243">
      <c r="F1243" s="3"/>
      <c r="G1243" s="3"/>
    </row>
    <row r="1244">
      <c r="F1244" s="3"/>
      <c r="G1244" s="3"/>
    </row>
    <row r="1245">
      <c r="F1245" s="3"/>
      <c r="G1245" s="3"/>
    </row>
    <row r="1246">
      <c r="F1246" s="3"/>
      <c r="G1246" s="3"/>
    </row>
    <row r="1247">
      <c r="F1247" s="3"/>
      <c r="G1247" s="3"/>
    </row>
    <row r="1248">
      <c r="F1248" s="3"/>
      <c r="G1248" s="3"/>
    </row>
    <row r="1249">
      <c r="F1249" s="3"/>
      <c r="G1249" s="3"/>
    </row>
    <row r="1250">
      <c r="F1250" s="3"/>
      <c r="G1250" s="3"/>
    </row>
    <row r="1251">
      <c r="F1251" s="3"/>
      <c r="G1251" s="3"/>
    </row>
    <row r="1252">
      <c r="F1252" s="3"/>
      <c r="G1252" s="3"/>
    </row>
    <row r="1253">
      <c r="F1253" s="3"/>
      <c r="G1253" s="3"/>
    </row>
    <row r="1254">
      <c r="F1254" s="3"/>
      <c r="G1254" s="3"/>
    </row>
    <row r="1255">
      <c r="F1255" s="3"/>
      <c r="G1255" s="3"/>
    </row>
    <row r="1256">
      <c r="F1256" s="3"/>
      <c r="G1256" s="3"/>
    </row>
    <row r="1257">
      <c r="F1257" s="3"/>
      <c r="G1257" s="3"/>
    </row>
    <row r="1258">
      <c r="F1258" s="3"/>
      <c r="G1258" s="3"/>
    </row>
    <row r="1259">
      <c r="F1259" s="3"/>
      <c r="G1259" s="3"/>
    </row>
    <row r="1260">
      <c r="F1260" s="3"/>
      <c r="G1260" s="3"/>
    </row>
    <row r="1261">
      <c r="F1261" s="3"/>
      <c r="G1261" s="3"/>
    </row>
    <row r="1262">
      <c r="F1262" s="3"/>
      <c r="G1262" s="3"/>
    </row>
    <row r="1263">
      <c r="F1263" s="3"/>
      <c r="G1263" s="3"/>
    </row>
    <row r="1264">
      <c r="F1264" s="3"/>
      <c r="G1264" s="3"/>
    </row>
    <row r="1265">
      <c r="F1265" s="3"/>
      <c r="G1265" s="3"/>
    </row>
    <row r="1266">
      <c r="F1266" s="3"/>
      <c r="G1266" s="3"/>
    </row>
    <row r="1267">
      <c r="F1267" s="3"/>
      <c r="G1267" s="3"/>
    </row>
    <row r="1268">
      <c r="F1268" s="3"/>
      <c r="G1268" s="3"/>
    </row>
    <row r="1269">
      <c r="F1269" s="3"/>
      <c r="G1269" s="3"/>
    </row>
    <row r="1270">
      <c r="F1270" s="3"/>
      <c r="G1270" s="3"/>
    </row>
    <row r="1271">
      <c r="F1271" s="3"/>
      <c r="G1271" s="3"/>
    </row>
    <row r="1272">
      <c r="F1272" s="3"/>
      <c r="G1272" s="3"/>
    </row>
    <row r="1273">
      <c r="F1273" s="3"/>
      <c r="G1273" s="3"/>
    </row>
    <row r="1274">
      <c r="F1274" s="3"/>
      <c r="G1274" s="3"/>
    </row>
    <row r="1275">
      <c r="F1275" s="3"/>
      <c r="G1275" s="3"/>
    </row>
    <row r="1276">
      <c r="F1276" s="3"/>
      <c r="G1276" s="3"/>
    </row>
    <row r="1277">
      <c r="F1277" s="3"/>
      <c r="G1277" s="3"/>
    </row>
    <row r="1278">
      <c r="F1278" s="3"/>
      <c r="G1278" s="3"/>
    </row>
    <row r="1279">
      <c r="F1279" s="3"/>
      <c r="G1279" s="3"/>
    </row>
    <row r="1280">
      <c r="F1280" s="3"/>
      <c r="G1280" s="3"/>
    </row>
    <row r="1281">
      <c r="F1281" s="3"/>
      <c r="G1281" s="3"/>
    </row>
    <row r="1282">
      <c r="F1282" s="3"/>
      <c r="G1282" s="3"/>
    </row>
    <row r="1283">
      <c r="F1283" s="3"/>
      <c r="G1283" s="3"/>
    </row>
    <row r="1284">
      <c r="F1284" s="3"/>
      <c r="G1284" s="3"/>
    </row>
    <row r="1285">
      <c r="F1285" s="3"/>
      <c r="G1285" s="3"/>
    </row>
    <row r="1286">
      <c r="F1286" s="3"/>
      <c r="G1286" s="3"/>
    </row>
    <row r="1287">
      <c r="F1287" s="3"/>
      <c r="G1287" s="3"/>
    </row>
    <row r="1288">
      <c r="F1288" s="3"/>
      <c r="G1288" s="3"/>
    </row>
    <row r="1289">
      <c r="F1289" s="3"/>
      <c r="G1289" s="3"/>
    </row>
    <row r="1290">
      <c r="F1290" s="3"/>
      <c r="G1290" s="3"/>
    </row>
    <row r="1291">
      <c r="F1291" s="3"/>
      <c r="G1291" s="3"/>
    </row>
    <row r="1292">
      <c r="F1292" s="3"/>
      <c r="G1292" s="3"/>
    </row>
    <row r="1293">
      <c r="F1293" s="3"/>
      <c r="G1293" s="3"/>
    </row>
    <row r="1294">
      <c r="F1294" s="3"/>
      <c r="G1294" s="3"/>
    </row>
    <row r="1295">
      <c r="F1295" s="3"/>
      <c r="G1295" s="3"/>
    </row>
    <row r="1296">
      <c r="F1296" s="3"/>
      <c r="G1296" s="3"/>
    </row>
    <row r="1297">
      <c r="F1297" s="3"/>
      <c r="G1297" s="3"/>
    </row>
    <row r="1298">
      <c r="F1298" s="3"/>
      <c r="G1298" s="3"/>
    </row>
    <row r="1299">
      <c r="F1299" s="3"/>
      <c r="G1299" s="3"/>
    </row>
    <row r="1300">
      <c r="F1300" s="3"/>
      <c r="G1300" s="3"/>
    </row>
    <row r="1301">
      <c r="F1301" s="3"/>
      <c r="G1301" s="3"/>
    </row>
    <row r="1302">
      <c r="F1302" s="3"/>
      <c r="G1302" s="3"/>
    </row>
    <row r="1303">
      <c r="F1303" s="3"/>
      <c r="G1303" s="3"/>
    </row>
    <row r="1304">
      <c r="F1304" s="3"/>
      <c r="G1304" s="3"/>
    </row>
    <row r="1305">
      <c r="F1305" s="3"/>
      <c r="G1305" s="3"/>
    </row>
    <row r="1306">
      <c r="F1306" s="3"/>
      <c r="G1306" s="3"/>
    </row>
    <row r="1307">
      <c r="F1307" s="3"/>
      <c r="G1307" s="3"/>
    </row>
    <row r="1308">
      <c r="F1308" s="3"/>
      <c r="G1308" s="3"/>
    </row>
    <row r="1309">
      <c r="F1309" s="3"/>
      <c r="G1309" s="3"/>
    </row>
    <row r="1310">
      <c r="F1310" s="3"/>
      <c r="G1310" s="3"/>
    </row>
    <row r="1311">
      <c r="F1311" s="3"/>
      <c r="G1311" s="3"/>
    </row>
    <row r="1312">
      <c r="F1312" s="3"/>
      <c r="G1312" s="3"/>
    </row>
    <row r="1313">
      <c r="F1313" s="3"/>
      <c r="G1313" s="3"/>
    </row>
    <row r="1314">
      <c r="F1314" s="3"/>
      <c r="G1314" s="3"/>
    </row>
    <row r="1315">
      <c r="F1315" s="3"/>
      <c r="G1315" s="3"/>
    </row>
    <row r="1316">
      <c r="F1316" s="3"/>
      <c r="G1316" s="3"/>
    </row>
    <row r="1317">
      <c r="F1317" s="3"/>
      <c r="G1317" s="3"/>
    </row>
    <row r="1318">
      <c r="F1318" s="3"/>
      <c r="G1318" s="3"/>
    </row>
    <row r="1319">
      <c r="F1319" s="3"/>
      <c r="G1319" s="3"/>
    </row>
    <row r="1320">
      <c r="F1320" s="3"/>
      <c r="G1320" s="3"/>
    </row>
    <row r="1321">
      <c r="F1321" s="3"/>
      <c r="G1321" s="3"/>
    </row>
    <row r="1322">
      <c r="F1322" s="3"/>
      <c r="G1322" s="3"/>
    </row>
    <row r="1323">
      <c r="F1323" s="3"/>
      <c r="G1323" s="3"/>
    </row>
    <row r="1324">
      <c r="F1324" s="3"/>
      <c r="G1324" s="3"/>
    </row>
    <row r="1325">
      <c r="F1325" s="3"/>
      <c r="G1325" s="3"/>
    </row>
    <row r="1326">
      <c r="F1326" s="3"/>
      <c r="G1326" s="3"/>
    </row>
    <row r="1327">
      <c r="F1327" s="3"/>
      <c r="G1327" s="3"/>
    </row>
    <row r="1328">
      <c r="F1328" s="3"/>
      <c r="G1328" s="3"/>
    </row>
    <row r="1329">
      <c r="F1329" s="3"/>
      <c r="G1329" s="3"/>
    </row>
    <row r="1330">
      <c r="F1330" s="3"/>
      <c r="G1330" s="3"/>
    </row>
    <row r="1331">
      <c r="F1331" s="3"/>
      <c r="G1331" s="3"/>
    </row>
    <row r="1332">
      <c r="F1332" s="3"/>
      <c r="G1332" s="3"/>
    </row>
    <row r="1333">
      <c r="F1333" s="3"/>
      <c r="G1333" s="3"/>
    </row>
    <row r="1334">
      <c r="F1334" s="3"/>
      <c r="G1334" s="3"/>
    </row>
    <row r="1335">
      <c r="F1335" s="3"/>
      <c r="G1335" s="3"/>
    </row>
    <row r="1336">
      <c r="F1336" s="3"/>
      <c r="G1336" s="3"/>
    </row>
    <row r="1337">
      <c r="F1337" s="3"/>
      <c r="G1337" s="3"/>
    </row>
    <row r="1338">
      <c r="F1338" s="3"/>
      <c r="G1338" s="3"/>
    </row>
    <row r="1339">
      <c r="F1339" s="3"/>
      <c r="G1339" s="3"/>
    </row>
    <row r="1340">
      <c r="F1340" s="3"/>
      <c r="G1340" s="3"/>
    </row>
    <row r="1341">
      <c r="F1341" s="3"/>
      <c r="G1341" s="3"/>
    </row>
    <row r="1342">
      <c r="F1342" s="3"/>
      <c r="G1342" s="3"/>
    </row>
    <row r="1343">
      <c r="F1343" s="3"/>
      <c r="G1343" s="3"/>
    </row>
    <row r="1344">
      <c r="F1344" s="3"/>
      <c r="G1344" s="3"/>
    </row>
    <row r="1345">
      <c r="F1345" s="3"/>
      <c r="G1345" s="3"/>
    </row>
    <row r="1346">
      <c r="F1346" s="3"/>
      <c r="G1346" s="3"/>
    </row>
    <row r="1347">
      <c r="F1347" s="3"/>
      <c r="G1347" s="3"/>
    </row>
    <row r="1348">
      <c r="F1348" s="3"/>
      <c r="G1348" s="3"/>
    </row>
    <row r="1349">
      <c r="F1349" s="3"/>
      <c r="G1349" s="3"/>
    </row>
    <row r="1350">
      <c r="F1350" s="3"/>
      <c r="G1350" s="3"/>
    </row>
    <row r="1351">
      <c r="F1351" s="3"/>
      <c r="G1351" s="3"/>
    </row>
    <row r="1352">
      <c r="F1352" s="3"/>
      <c r="G1352" s="3"/>
    </row>
    <row r="1353">
      <c r="F1353" s="3"/>
      <c r="G1353" s="3"/>
    </row>
    <row r="1354">
      <c r="F1354" s="3"/>
      <c r="G1354" s="3"/>
    </row>
    <row r="1355">
      <c r="F1355" s="3"/>
      <c r="G1355" s="3"/>
    </row>
    <row r="1356">
      <c r="F1356" s="3"/>
      <c r="G1356" s="3"/>
    </row>
    <row r="1357">
      <c r="F1357" s="3"/>
      <c r="G1357" s="3"/>
    </row>
    <row r="1358">
      <c r="F1358" s="3"/>
      <c r="G1358" s="3"/>
    </row>
    <row r="1359">
      <c r="F1359" s="3"/>
      <c r="G1359" s="3"/>
    </row>
    <row r="1360">
      <c r="F1360" s="3"/>
      <c r="G1360" s="3"/>
    </row>
    <row r="1361">
      <c r="F1361" s="3"/>
      <c r="G1361" s="3"/>
    </row>
    <row r="1362">
      <c r="F1362" s="3"/>
      <c r="G1362" s="3"/>
    </row>
    <row r="1363">
      <c r="F1363" s="3"/>
      <c r="G1363" s="3"/>
    </row>
    <row r="1364">
      <c r="F1364" s="3"/>
      <c r="G1364" s="3"/>
    </row>
    <row r="1365">
      <c r="F1365" s="3"/>
      <c r="G1365" s="3"/>
    </row>
    <row r="1366">
      <c r="F1366" s="3"/>
      <c r="G1366" s="3"/>
    </row>
    <row r="1367">
      <c r="F1367" s="3"/>
      <c r="G1367" s="3"/>
    </row>
    <row r="1368">
      <c r="F1368" s="3"/>
      <c r="G1368" s="3"/>
    </row>
    <row r="1369">
      <c r="F1369" s="3"/>
      <c r="G1369" s="3"/>
    </row>
    <row r="1370">
      <c r="F1370" s="3"/>
      <c r="G1370" s="3"/>
    </row>
    <row r="1371">
      <c r="F1371" s="3"/>
      <c r="G1371" s="3"/>
    </row>
    <row r="1372">
      <c r="F1372" s="3"/>
      <c r="G1372" s="3"/>
    </row>
    <row r="1373">
      <c r="F1373" s="3"/>
      <c r="G1373" s="3"/>
    </row>
    <row r="1374">
      <c r="F1374" s="3"/>
      <c r="G1374" s="3"/>
    </row>
    <row r="1375">
      <c r="F1375" s="3"/>
      <c r="G1375" s="3"/>
    </row>
    <row r="1376">
      <c r="F1376" s="3"/>
      <c r="G1376" s="3"/>
    </row>
    <row r="1377">
      <c r="F1377" s="3"/>
      <c r="G1377" s="3"/>
    </row>
    <row r="1378">
      <c r="F1378" s="3"/>
      <c r="G1378" s="3"/>
    </row>
    <row r="1379">
      <c r="F1379" s="3"/>
      <c r="G1379" s="3"/>
    </row>
    <row r="1380">
      <c r="F1380" s="3"/>
      <c r="G1380" s="3"/>
    </row>
    <row r="1381">
      <c r="F1381" s="3"/>
      <c r="G1381" s="3"/>
    </row>
    <row r="1382">
      <c r="F1382" s="3"/>
      <c r="G1382" s="3"/>
    </row>
    <row r="1383">
      <c r="F1383" s="3"/>
      <c r="G1383" s="3"/>
    </row>
    <row r="1384">
      <c r="F1384" s="3"/>
      <c r="G1384" s="3"/>
    </row>
    <row r="1385">
      <c r="F1385" s="3"/>
      <c r="G1385" s="3"/>
    </row>
    <row r="1386">
      <c r="F1386" s="3"/>
      <c r="G1386" s="3"/>
    </row>
    <row r="1387">
      <c r="F1387" s="3"/>
      <c r="G1387" s="3"/>
    </row>
    <row r="1388">
      <c r="F1388" s="3"/>
      <c r="G1388" s="3"/>
    </row>
    <row r="1389">
      <c r="F1389" s="3"/>
      <c r="G1389" s="3"/>
    </row>
    <row r="1390">
      <c r="F1390" s="3"/>
      <c r="G1390" s="3"/>
    </row>
    <row r="1391">
      <c r="F1391" s="3"/>
      <c r="G1391" s="3"/>
    </row>
    <row r="1392">
      <c r="F1392" s="3"/>
      <c r="G1392" s="3"/>
    </row>
    <row r="1393">
      <c r="F1393" s="3"/>
      <c r="G1393" s="3"/>
    </row>
    <row r="1394">
      <c r="F1394" s="3"/>
      <c r="G1394" s="3"/>
    </row>
    <row r="1395">
      <c r="F1395" s="3"/>
      <c r="G1395" s="3"/>
    </row>
    <row r="1396">
      <c r="F1396" s="3"/>
      <c r="G1396" s="3"/>
    </row>
    <row r="1397">
      <c r="F1397" s="3"/>
      <c r="G1397" s="3"/>
    </row>
    <row r="1398">
      <c r="F1398" s="3"/>
      <c r="G1398" s="3"/>
    </row>
    <row r="1399">
      <c r="F1399" s="3"/>
      <c r="G1399" s="3"/>
    </row>
    <row r="1400">
      <c r="F1400" s="3"/>
      <c r="G1400" s="3"/>
    </row>
    <row r="1401">
      <c r="F1401" s="3"/>
      <c r="G1401" s="3"/>
    </row>
    <row r="1402">
      <c r="F1402" s="3"/>
      <c r="G1402" s="3"/>
    </row>
    <row r="1403">
      <c r="F1403" s="3"/>
      <c r="G1403" s="3"/>
    </row>
    <row r="1404">
      <c r="F1404" s="3"/>
      <c r="G1404" s="3"/>
    </row>
    <row r="1405">
      <c r="F1405" s="3"/>
      <c r="G1405" s="3"/>
    </row>
    <row r="1406">
      <c r="F1406" s="3"/>
      <c r="G1406" s="3"/>
    </row>
    <row r="1407">
      <c r="F1407" s="3"/>
      <c r="G1407" s="3"/>
    </row>
    <row r="1408">
      <c r="F1408" s="3"/>
      <c r="G1408" s="3"/>
    </row>
    <row r="1409">
      <c r="F1409" s="3"/>
      <c r="G1409" s="3"/>
    </row>
    <row r="1410">
      <c r="F1410" s="3"/>
      <c r="G1410" s="3"/>
    </row>
    <row r="1411">
      <c r="F1411" s="3"/>
      <c r="G1411" s="3"/>
    </row>
    <row r="1412">
      <c r="F1412" s="3"/>
      <c r="G1412" s="3"/>
    </row>
    <row r="1413">
      <c r="F1413" s="3"/>
      <c r="G1413" s="3"/>
    </row>
    <row r="1414">
      <c r="F1414" s="3"/>
      <c r="G1414" s="3"/>
    </row>
    <row r="1415">
      <c r="F1415" s="3"/>
      <c r="G1415" s="3"/>
    </row>
    <row r="1416">
      <c r="F1416" s="3"/>
      <c r="G1416" s="3"/>
    </row>
    <row r="1417">
      <c r="F1417" s="3"/>
      <c r="G1417" s="3"/>
    </row>
    <row r="1418">
      <c r="F1418" s="3"/>
      <c r="G1418" s="3"/>
    </row>
    <row r="1419">
      <c r="F1419" s="3"/>
      <c r="G1419" s="3"/>
    </row>
    <row r="1420">
      <c r="F1420" s="3"/>
      <c r="G1420" s="3"/>
    </row>
    <row r="1421">
      <c r="F1421" s="3"/>
      <c r="G1421" s="3"/>
    </row>
    <row r="1422">
      <c r="F1422" s="3"/>
      <c r="G1422" s="3"/>
    </row>
    <row r="1423">
      <c r="F1423" s="3"/>
      <c r="G1423" s="3"/>
    </row>
    <row r="1424">
      <c r="F1424" s="3"/>
      <c r="G1424" s="3"/>
    </row>
    <row r="1425">
      <c r="F1425" s="3"/>
      <c r="G1425" s="3"/>
    </row>
    <row r="1426">
      <c r="F1426" s="3"/>
      <c r="G1426" s="3"/>
    </row>
    <row r="1427">
      <c r="F1427" s="3"/>
      <c r="G1427" s="3"/>
    </row>
    <row r="1428">
      <c r="F1428" s="3"/>
      <c r="G1428" s="3"/>
    </row>
    <row r="1429">
      <c r="F1429" s="3"/>
      <c r="G1429" s="3"/>
    </row>
    <row r="1430">
      <c r="F1430" s="3"/>
      <c r="G1430" s="3"/>
    </row>
    <row r="1431">
      <c r="F1431" s="3"/>
      <c r="G1431" s="3"/>
    </row>
    <row r="1432">
      <c r="F1432" s="3"/>
      <c r="G1432" s="3"/>
    </row>
    <row r="1433">
      <c r="F1433" s="3"/>
      <c r="G1433" s="3"/>
    </row>
    <row r="1434">
      <c r="F1434" s="3"/>
      <c r="G1434" s="3"/>
    </row>
    <row r="1435">
      <c r="F1435" s="3"/>
      <c r="G1435" s="3"/>
    </row>
    <row r="1436">
      <c r="F1436" s="3"/>
      <c r="G1436" s="3"/>
    </row>
    <row r="1437">
      <c r="F1437" s="3"/>
      <c r="G1437" s="3"/>
    </row>
    <row r="1438">
      <c r="F1438" s="3"/>
      <c r="G1438" s="3"/>
    </row>
    <row r="1439">
      <c r="F1439" s="3"/>
      <c r="G1439" s="3"/>
    </row>
    <row r="1440">
      <c r="F1440" s="3"/>
      <c r="G1440" s="3"/>
    </row>
    <row r="1441">
      <c r="F1441" s="3"/>
      <c r="G1441" s="3"/>
    </row>
    <row r="1442">
      <c r="F1442" s="3"/>
      <c r="G1442" s="3"/>
    </row>
    <row r="1443">
      <c r="F1443" s="3"/>
      <c r="G1443" s="3"/>
    </row>
    <row r="1444">
      <c r="F1444" s="3"/>
      <c r="G1444" s="3"/>
    </row>
    <row r="1445">
      <c r="F1445" s="3"/>
      <c r="G1445" s="3"/>
    </row>
    <row r="1446">
      <c r="F1446" s="3"/>
      <c r="G1446" s="3"/>
    </row>
    <row r="1447">
      <c r="F1447" s="3"/>
      <c r="G1447" s="3"/>
    </row>
    <row r="1448">
      <c r="F1448" s="3"/>
      <c r="G1448" s="3"/>
    </row>
    <row r="1449">
      <c r="F1449" s="3"/>
      <c r="G1449" s="3"/>
    </row>
    <row r="1450">
      <c r="F1450" s="3"/>
      <c r="G1450" s="3"/>
    </row>
    <row r="1451">
      <c r="F1451" s="3"/>
      <c r="G1451" s="3"/>
    </row>
    <row r="1452">
      <c r="F1452" s="3"/>
      <c r="G1452" s="3"/>
    </row>
    <row r="1453">
      <c r="F1453" s="3"/>
      <c r="G1453" s="3"/>
    </row>
    <row r="1454">
      <c r="F1454" s="3"/>
      <c r="G1454" s="3"/>
    </row>
    <row r="1455">
      <c r="F1455" s="3"/>
      <c r="G1455" s="3"/>
    </row>
    <row r="1456">
      <c r="F1456" s="3"/>
      <c r="G1456" s="3"/>
    </row>
    <row r="1457">
      <c r="F1457" s="3"/>
      <c r="G1457" s="3"/>
    </row>
    <row r="1458">
      <c r="F1458" s="3"/>
      <c r="G1458" s="3"/>
    </row>
    <row r="1459">
      <c r="F1459" s="3"/>
      <c r="G1459" s="3"/>
    </row>
    <row r="1460">
      <c r="F1460" s="3"/>
      <c r="G1460" s="3"/>
    </row>
    <row r="1461">
      <c r="F1461" s="3"/>
      <c r="G1461" s="3"/>
    </row>
    <row r="1462">
      <c r="F1462" s="3"/>
      <c r="G1462" s="3"/>
    </row>
    <row r="1463">
      <c r="F1463" s="3"/>
      <c r="G1463" s="3"/>
    </row>
    <row r="1464">
      <c r="F1464" s="3"/>
      <c r="G1464" s="3"/>
    </row>
    <row r="1465">
      <c r="F1465" s="3"/>
      <c r="G1465" s="3"/>
    </row>
    <row r="1466">
      <c r="F1466" s="3"/>
      <c r="G1466" s="3"/>
    </row>
    <row r="1467">
      <c r="F1467" s="3"/>
      <c r="G1467" s="3"/>
    </row>
    <row r="1468">
      <c r="F1468" s="3"/>
      <c r="G1468" s="3"/>
    </row>
    <row r="1469">
      <c r="F1469" s="3"/>
      <c r="G1469" s="3"/>
    </row>
    <row r="1470">
      <c r="F1470" s="3"/>
      <c r="G1470" s="3"/>
    </row>
    <row r="1471">
      <c r="F1471" s="3"/>
      <c r="G1471" s="3"/>
    </row>
    <row r="1472">
      <c r="F1472" s="3"/>
      <c r="G1472" s="3"/>
    </row>
    <row r="1473">
      <c r="F1473" s="3"/>
      <c r="G1473" s="3"/>
    </row>
    <row r="1474">
      <c r="F1474" s="3"/>
      <c r="G1474" s="3"/>
    </row>
    <row r="1475">
      <c r="F1475" s="3"/>
      <c r="G1475" s="3"/>
    </row>
    <row r="1476">
      <c r="F1476" s="3"/>
      <c r="G1476" s="3"/>
    </row>
    <row r="1477">
      <c r="F1477" s="3"/>
      <c r="G1477" s="3"/>
    </row>
    <row r="1478">
      <c r="F1478" s="3"/>
      <c r="G1478" s="3"/>
    </row>
    <row r="1479">
      <c r="F1479" s="3"/>
      <c r="G1479" s="3"/>
    </row>
    <row r="1480">
      <c r="F1480" s="3"/>
      <c r="G1480" s="3"/>
    </row>
    <row r="1481">
      <c r="F1481" s="3"/>
      <c r="G1481" s="3"/>
    </row>
    <row r="1482">
      <c r="F1482" s="3"/>
      <c r="G1482" s="3"/>
    </row>
    <row r="1483">
      <c r="F1483" s="3"/>
      <c r="G1483" s="3"/>
    </row>
    <row r="1484">
      <c r="F1484" s="3"/>
      <c r="G1484" s="3"/>
    </row>
    <row r="1485">
      <c r="F1485" s="3"/>
      <c r="G1485" s="3"/>
    </row>
    <row r="1486">
      <c r="F1486" s="3"/>
      <c r="G1486" s="3"/>
    </row>
    <row r="1487">
      <c r="F1487" s="3"/>
      <c r="G1487" s="3"/>
    </row>
    <row r="1488">
      <c r="F1488" s="3"/>
      <c r="G1488" s="3"/>
    </row>
    <row r="1489">
      <c r="F1489" s="3"/>
      <c r="G1489" s="3"/>
    </row>
    <row r="1490">
      <c r="F1490" s="3"/>
      <c r="G1490" s="3"/>
    </row>
    <row r="1491">
      <c r="F1491" s="3"/>
      <c r="G1491" s="3"/>
    </row>
    <row r="1492">
      <c r="F1492" s="3"/>
      <c r="G1492" s="3"/>
    </row>
    <row r="1493">
      <c r="F1493" s="3"/>
      <c r="G1493" s="3"/>
    </row>
    <row r="1494">
      <c r="F1494" s="3"/>
      <c r="G1494" s="3"/>
    </row>
    <row r="1495">
      <c r="F1495" s="3"/>
      <c r="G1495" s="3"/>
    </row>
    <row r="1496">
      <c r="F1496" s="3"/>
      <c r="G1496" s="3"/>
    </row>
    <row r="1497">
      <c r="F1497" s="3"/>
      <c r="G1497" s="3"/>
    </row>
    <row r="1498">
      <c r="F1498" s="3"/>
      <c r="G1498" s="3"/>
    </row>
    <row r="1499">
      <c r="F1499" s="3"/>
      <c r="G1499" s="3"/>
    </row>
    <row r="1500">
      <c r="F1500" s="3"/>
      <c r="G1500" s="3"/>
    </row>
    <row r="1501">
      <c r="F1501" s="3"/>
      <c r="G1501" s="3"/>
    </row>
    <row r="1502">
      <c r="F1502" s="3"/>
      <c r="G1502" s="3"/>
    </row>
    <row r="1503">
      <c r="F1503" s="3"/>
      <c r="G1503" s="3"/>
    </row>
    <row r="1504">
      <c r="F1504" s="3"/>
      <c r="G1504" s="3"/>
    </row>
    <row r="1505">
      <c r="F1505" s="3"/>
      <c r="G1505" s="3"/>
    </row>
    <row r="1506">
      <c r="F1506" s="3"/>
      <c r="G1506" s="3"/>
    </row>
    <row r="1507">
      <c r="F1507" s="3"/>
      <c r="G1507" s="3"/>
    </row>
    <row r="1508">
      <c r="F1508" s="3"/>
      <c r="G1508" s="3"/>
    </row>
    <row r="1509">
      <c r="F1509" s="3"/>
      <c r="G1509" s="3"/>
    </row>
    <row r="1510">
      <c r="F1510" s="3"/>
      <c r="G1510" s="3"/>
    </row>
    <row r="1511">
      <c r="F1511" s="3"/>
      <c r="G1511" s="3"/>
    </row>
    <row r="1512">
      <c r="F1512" s="3"/>
      <c r="G1512" s="3"/>
    </row>
    <row r="1513">
      <c r="F1513" s="3"/>
      <c r="G1513" s="3"/>
    </row>
    <row r="1514">
      <c r="F1514" s="3"/>
      <c r="G1514" s="3"/>
    </row>
    <row r="1515">
      <c r="F1515" s="3"/>
      <c r="G1515" s="3"/>
    </row>
    <row r="1516">
      <c r="F1516" s="3"/>
      <c r="G1516" s="3"/>
    </row>
    <row r="1517">
      <c r="F1517" s="3"/>
      <c r="G1517" s="3"/>
    </row>
    <row r="1518">
      <c r="F1518" s="3"/>
      <c r="G1518" s="3"/>
    </row>
    <row r="1519">
      <c r="F1519" s="3"/>
      <c r="G1519" s="3"/>
    </row>
    <row r="1520">
      <c r="F1520" s="3"/>
      <c r="G1520" s="3"/>
    </row>
    <row r="1521">
      <c r="F1521" s="3"/>
      <c r="G1521" s="3"/>
    </row>
    <row r="1522">
      <c r="F1522" s="3"/>
      <c r="G1522" s="3"/>
    </row>
    <row r="1523">
      <c r="F1523" s="3"/>
      <c r="G1523" s="3"/>
    </row>
    <row r="1524">
      <c r="F1524" s="3"/>
      <c r="G1524" s="3"/>
    </row>
    <row r="1525">
      <c r="F1525" s="3"/>
      <c r="G1525" s="3"/>
    </row>
    <row r="1526">
      <c r="F1526" s="3"/>
      <c r="G1526" s="3"/>
    </row>
    <row r="1527">
      <c r="F1527" s="3"/>
      <c r="G1527" s="3"/>
    </row>
    <row r="1528">
      <c r="F1528" s="3"/>
      <c r="G1528" s="3"/>
    </row>
    <row r="1529">
      <c r="F1529" s="3"/>
      <c r="G1529" s="3"/>
    </row>
    <row r="1530">
      <c r="F1530" s="3"/>
      <c r="G1530" s="3"/>
    </row>
    <row r="1531">
      <c r="F1531" s="3"/>
      <c r="G1531" s="3"/>
    </row>
    <row r="1532">
      <c r="F1532" s="3"/>
      <c r="G1532" s="3"/>
    </row>
    <row r="1533">
      <c r="F1533" s="3"/>
      <c r="G1533" s="3"/>
    </row>
    <row r="1534">
      <c r="F1534" s="3"/>
      <c r="G1534" s="3"/>
    </row>
    <row r="1535">
      <c r="F1535" s="3"/>
      <c r="G1535" s="3"/>
    </row>
    <row r="1536">
      <c r="F1536" s="3"/>
      <c r="G1536" s="3"/>
    </row>
    <row r="1537">
      <c r="F1537" s="3"/>
      <c r="G1537" s="3"/>
    </row>
    <row r="1538">
      <c r="F1538" s="3"/>
      <c r="G1538" s="3"/>
    </row>
    <row r="1539">
      <c r="F1539" s="3"/>
      <c r="G1539" s="3"/>
    </row>
    <row r="1540">
      <c r="F1540" s="3"/>
      <c r="G1540" s="3"/>
    </row>
    <row r="1541">
      <c r="F1541" s="3"/>
      <c r="G1541" s="3"/>
    </row>
    <row r="1542">
      <c r="F1542" s="3"/>
      <c r="G1542" s="3"/>
    </row>
    <row r="1543">
      <c r="F1543" s="3"/>
      <c r="G1543" s="3"/>
    </row>
    <row r="1544">
      <c r="F1544" s="3"/>
      <c r="G1544" s="3"/>
    </row>
    <row r="1545">
      <c r="F1545" s="3"/>
      <c r="G1545" s="3"/>
    </row>
    <row r="1546">
      <c r="F1546" s="3"/>
      <c r="G1546" s="3"/>
    </row>
    <row r="1547">
      <c r="F1547" s="3"/>
      <c r="G1547" s="3"/>
    </row>
    <row r="1548">
      <c r="F1548" s="3"/>
      <c r="G1548" s="3"/>
    </row>
    <row r="1549">
      <c r="F1549" s="3"/>
      <c r="G1549" s="3"/>
    </row>
    <row r="1550">
      <c r="F1550" s="3"/>
      <c r="G1550" s="3"/>
    </row>
    <row r="1551">
      <c r="F1551" s="3"/>
      <c r="G1551" s="3"/>
    </row>
    <row r="1552">
      <c r="F1552" s="3"/>
      <c r="G1552" s="3"/>
    </row>
    <row r="1553">
      <c r="F1553" s="3"/>
      <c r="G1553" s="3"/>
    </row>
    <row r="1554">
      <c r="F1554" s="3"/>
      <c r="G1554" s="3"/>
    </row>
    <row r="1555">
      <c r="F1555" s="3"/>
      <c r="G1555" s="3"/>
    </row>
    <row r="1556">
      <c r="F1556" s="3"/>
      <c r="G1556" s="3"/>
    </row>
    <row r="1557">
      <c r="F1557" s="3"/>
      <c r="G1557" s="3"/>
    </row>
    <row r="1558">
      <c r="F1558" s="3"/>
      <c r="G1558" s="3"/>
    </row>
    <row r="1559">
      <c r="F1559" s="3"/>
      <c r="G1559" s="3"/>
    </row>
    <row r="1560">
      <c r="F1560" s="3"/>
      <c r="G1560" s="3"/>
    </row>
    <row r="1561">
      <c r="F1561" s="3"/>
      <c r="G1561" s="3"/>
    </row>
    <row r="1562">
      <c r="F1562" s="3"/>
      <c r="G1562" s="3"/>
    </row>
    <row r="1563">
      <c r="F1563" s="3"/>
      <c r="G1563" s="3"/>
    </row>
    <row r="1564">
      <c r="F1564" s="3"/>
      <c r="G1564" s="3"/>
    </row>
    <row r="1565">
      <c r="F1565" s="3"/>
      <c r="G1565" s="3"/>
    </row>
    <row r="1566">
      <c r="F1566" s="3"/>
      <c r="G1566" s="3"/>
    </row>
    <row r="1567">
      <c r="F1567" s="3"/>
      <c r="G1567" s="3"/>
    </row>
    <row r="1568">
      <c r="F1568" s="3"/>
      <c r="G1568" s="3"/>
    </row>
    <row r="1569">
      <c r="F1569" s="3"/>
      <c r="G1569" s="3"/>
    </row>
    <row r="1570">
      <c r="F1570" s="3"/>
      <c r="G1570" s="3"/>
    </row>
    <row r="1571">
      <c r="F1571" s="3"/>
      <c r="G1571" s="3"/>
    </row>
    <row r="1572">
      <c r="F1572" s="3"/>
      <c r="G1572" s="3"/>
    </row>
    <row r="1573">
      <c r="F1573" s="3"/>
      <c r="G1573" s="3"/>
    </row>
    <row r="1574">
      <c r="F1574" s="3"/>
      <c r="G1574" s="3"/>
    </row>
    <row r="1575">
      <c r="F1575" s="3"/>
      <c r="G1575" s="3"/>
    </row>
    <row r="1576">
      <c r="F1576" s="3"/>
      <c r="G1576" s="3"/>
    </row>
    <row r="1577">
      <c r="F1577" s="3"/>
      <c r="G1577" s="3"/>
    </row>
    <row r="1578">
      <c r="F1578" s="3"/>
      <c r="G1578" s="3"/>
    </row>
    <row r="1579">
      <c r="F1579" s="3"/>
      <c r="G1579" s="3"/>
    </row>
    <row r="1580">
      <c r="F1580" s="3"/>
      <c r="G1580" s="3"/>
    </row>
    <row r="1581">
      <c r="F1581" s="3"/>
      <c r="G1581" s="3"/>
    </row>
    <row r="1582">
      <c r="F1582" s="3"/>
      <c r="G1582" s="3"/>
    </row>
    <row r="1583">
      <c r="F1583" s="3"/>
      <c r="G1583" s="3"/>
    </row>
    <row r="1584">
      <c r="F1584" s="3"/>
      <c r="G1584" s="3"/>
    </row>
    <row r="1585">
      <c r="F1585" s="3"/>
      <c r="G1585" s="3"/>
    </row>
    <row r="1586">
      <c r="F1586" s="3"/>
      <c r="G1586" s="3"/>
    </row>
    <row r="1587">
      <c r="F1587" s="3"/>
      <c r="G1587" s="3"/>
    </row>
    <row r="1588">
      <c r="F1588" s="3"/>
      <c r="G1588" s="3"/>
    </row>
    <row r="1589">
      <c r="F1589" s="3"/>
      <c r="G1589" s="3"/>
    </row>
    <row r="1590">
      <c r="F1590" s="3"/>
      <c r="G1590" s="3"/>
    </row>
    <row r="1591">
      <c r="F1591" s="3"/>
      <c r="G1591" s="3"/>
    </row>
    <row r="1592">
      <c r="F1592" s="3"/>
      <c r="G1592" s="3"/>
    </row>
    <row r="1593">
      <c r="F1593" s="3"/>
      <c r="G1593" s="3"/>
    </row>
    <row r="1594">
      <c r="F1594" s="3"/>
      <c r="G1594" s="3"/>
    </row>
    <row r="1595">
      <c r="F1595" s="3"/>
      <c r="G1595" s="3"/>
    </row>
    <row r="1596">
      <c r="F1596" s="3"/>
      <c r="G1596" s="3"/>
    </row>
    <row r="1597">
      <c r="F1597" s="3"/>
      <c r="G1597" s="3"/>
    </row>
    <row r="1598">
      <c r="F1598" s="3"/>
      <c r="G1598" s="3"/>
    </row>
    <row r="1599">
      <c r="F1599" s="3"/>
      <c r="G1599" s="3"/>
    </row>
    <row r="1600">
      <c r="F1600" s="3"/>
      <c r="G1600" s="3"/>
    </row>
    <row r="1601">
      <c r="F1601" s="3"/>
      <c r="G1601" s="3"/>
    </row>
    <row r="1602">
      <c r="F1602" s="3"/>
      <c r="G1602" s="3"/>
    </row>
    <row r="1603">
      <c r="F1603" s="3"/>
      <c r="G1603" s="3"/>
    </row>
    <row r="1604">
      <c r="F1604" s="3"/>
      <c r="G1604" s="3"/>
    </row>
    <row r="1605">
      <c r="F1605" s="3"/>
      <c r="G1605" s="3"/>
    </row>
    <row r="1606">
      <c r="F1606" s="3"/>
      <c r="G1606" s="3"/>
    </row>
    <row r="1607">
      <c r="F1607" s="3"/>
      <c r="G1607" s="3"/>
    </row>
    <row r="1608">
      <c r="F1608" s="3"/>
      <c r="G1608" s="3"/>
    </row>
    <row r="1609">
      <c r="F1609" s="3"/>
      <c r="G1609" s="3"/>
    </row>
    <row r="1610">
      <c r="F1610" s="3"/>
      <c r="G1610" s="3"/>
    </row>
    <row r="1611">
      <c r="F1611" s="3"/>
      <c r="G1611" s="3"/>
    </row>
    <row r="1612">
      <c r="F1612" s="3"/>
      <c r="G1612" s="3"/>
    </row>
    <row r="1613">
      <c r="F1613" s="3"/>
      <c r="G1613" s="3"/>
    </row>
    <row r="1614">
      <c r="F1614" s="3"/>
      <c r="G1614" s="3"/>
    </row>
    <row r="1615">
      <c r="F1615" s="3"/>
      <c r="G1615" s="3"/>
    </row>
    <row r="1616">
      <c r="F1616" s="3"/>
      <c r="G1616" s="3"/>
    </row>
    <row r="1617">
      <c r="F1617" s="3"/>
      <c r="G1617" s="3"/>
    </row>
    <row r="1618">
      <c r="F1618" s="3"/>
      <c r="G1618" s="3"/>
    </row>
    <row r="1619">
      <c r="F1619" s="3"/>
      <c r="G1619" s="3"/>
    </row>
    <row r="1620">
      <c r="F1620" s="3"/>
      <c r="G1620" s="3"/>
    </row>
    <row r="1621">
      <c r="F1621" s="3"/>
      <c r="G1621" s="3"/>
    </row>
    <row r="1622">
      <c r="F1622" s="3"/>
      <c r="G1622" s="3"/>
    </row>
    <row r="1623">
      <c r="F1623" s="3"/>
      <c r="G1623" s="3"/>
    </row>
    <row r="1624">
      <c r="F1624" s="3"/>
      <c r="G1624" s="3"/>
    </row>
    <row r="1625">
      <c r="F1625" s="3"/>
      <c r="G1625" s="3"/>
    </row>
    <row r="1626">
      <c r="F1626" s="3"/>
      <c r="G1626" s="3"/>
    </row>
    <row r="1627">
      <c r="F1627" s="3"/>
      <c r="G1627" s="3"/>
    </row>
    <row r="1628">
      <c r="F1628" s="3"/>
      <c r="G1628" s="3"/>
    </row>
    <row r="1629">
      <c r="F1629" s="3"/>
      <c r="G1629" s="3"/>
    </row>
    <row r="1630">
      <c r="F1630" s="3"/>
      <c r="G1630" s="3"/>
    </row>
    <row r="1631">
      <c r="F1631" s="3"/>
      <c r="G1631" s="3"/>
    </row>
    <row r="1632">
      <c r="F1632" s="3"/>
      <c r="G1632" s="3"/>
    </row>
    <row r="1633">
      <c r="F1633" s="3"/>
      <c r="G1633" s="3"/>
    </row>
    <row r="1634">
      <c r="F1634" s="3"/>
      <c r="G1634" s="3"/>
    </row>
    <row r="1635">
      <c r="F1635" s="3"/>
      <c r="G1635" s="3"/>
    </row>
    <row r="1636">
      <c r="F1636" s="3"/>
      <c r="G1636" s="3"/>
    </row>
    <row r="1637">
      <c r="F1637" s="3"/>
      <c r="G1637" s="3"/>
    </row>
    <row r="1638">
      <c r="F1638" s="3"/>
      <c r="G1638" s="3"/>
    </row>
    <row r="1639">
      <c r="F1639" s="3"/>
      <c r="G1639" s="3"/>
    </row>
    <row r="1640">
      <c r="F1640" s="3"/>
      <c r="G1640" s="3"/>
    </row>
    <row r="1641">
      <c r="F1641" s="3"/>
      <c r="G1641" s="3"/>
    </row>
    <row r="1642">
      <c r="F1642" s="3"/>
      <c r="G1642" s="3"/>
    </row>
    <row r="1643">
      <c r="F1643" s="3"/>
      <c r="G1643" s="3"/>
    </row>
    <row r="1644">
      <c r="F1644" s="3"/>
      <c r="G1644" s="3"/>
    </row>
    <row r="1645">
      <c r="F1645" s="3"/>
      <c r="G1645" s="3"/>
    </row>
    <row r="1646">
      <c r="F1646" s="3"/>
      <c r="G1646" s="3"/>
    </row>
    <row r="1647">
      <c r="F1647" s="3"/>
      <c r="G1647" s="3"/>
    </row>
    <row r="1648">
      <c r="F1648" s="3"/>
      <c r="G1648" s="3"/>
    </row>
    <row r="1649">
      <c r="F1649" s="3"/>
      <c r="G1649" s="3"/>
    </row>
    <row r="1650">
      <c r="F1650" s="3"/>
      <c r="G1650" s="3"/>
    </row>
    <row r="1651">
      <c r="F1651" s="3"/>
      <c r="G1651" s="3"/>
    </row>
    <row r="1652">
      <c r="F1652" s="3"/>
      <c r="G1652" s="3"/>
    </row>
    <row r="1653">
      <c r="F1653" s="3"/>
      <c r="G1653" s="3"/>
    </row>
    <row r="1654">
      <c r="F1654" s="3"/>
      <c r="G1654" s="3"/>
    </row>
    <row r="1655">
      <c r="F1655" s="3"/>
      <c r="G1655" s="3"/>
    </row>
    <row r="1656">
      <c r="F1656" s="3"/>
      <c r="G1656" s="3"/>
    </row>
    <row r="1657">
      <c r="F1657" s="3"/>
      <c r="G1657" s="3"/>
    </row>
    <row r="1658">
      <c r="F1658" s="3"/>
      <c r="G1658" s="3"/>
    </row>
    <row r="1659">
      <c r="F1659" s="3"/>
      <c r="G1659" s="3"/>
    </row>
    <row r="1660">
      <c r="F1660" s="3"/>
      <c r="G1660" s="3"/>
    </row>
    <row r="1661">
      <c r="F1661" s="3"/>
      <c r="G1661" s="3"/>
    </row>
    <row r="1662">
      <c r="F1662" s="3"/>
      <c r="G1662" s="3"/>
    </row>
    <row r="1663">
      <c r="F1663" s="3"/>
      <c r="G1663" s="3"/>
    </row>
    <row r="1664">
      <c r="F1664" s="3"/>
      <c r="G1664" s="3"/>
    </row>
    <row r="1665">
      <c r="F1665" s="3"/>
      <c r="G1665" s="3"/>
    </row>
    <row r="1666">
      <c r="F1666" s="3"/>
      <c r="G1666" s="3"/>
    </row>
    <row r="1667">
      <c r="F1667" s="3"/>
      <c r="G1667" s="3"/>
    </row>
    <row r="1668">
      <c r="F1668" s="3"/>
      <c r="G1668" s="3"/>
    </row>
    <row r="1669">
      <c r="F1669" s="3"/>
      <c r="G1669" s="3"/>
    </row>
    <row r="1670">
      <c r="F1670" s="3"/>
      <c r="G1670" s="3"/>
    </row>
    <row r="1671">
      <c r="F1671" s="3"/>
      <c r="G1671" s="3"/>
    </row>
    <row r="1672">
      <c r="F1672" s="3"/>
      <c r="G1672" s="3"/>
    </row>
    <row r="1673">
      <c r="F1673" s="3"/>
      <c r="G1673" s="3"/>
    </row>
    <row r="1674">
      <c r="F1674" s="3"/>
      <c r="G1674" s="3"/>
    </row>
    <row r="1675">
      <c r="F1675" s="3"/>
      <c r="G1675" s="3"/>
    </row>
    <row r="1676">
      <c r="F1676" s="3"/>
      <c r="G1676" s="3"/>
    </row>
    <row r="1677">
      <c r="F1677" s="3"/>
      <c r="G1677" s="3"/>
    </row>
    <row r="1678">
      <c r="F1678" s="3"/>
      <c r="G1678" s="3"/>
    </row>
    <row r="1679">
      <c r="F1679" s="3"/>
      <c r="G1679" s="3"/>
    </row>
    <row r="1680">
      <c r="F1680" s="3"/>
      <c r="G1680" s="3"/>
    </row>
    <row r="1681">
      <c r="F1681" s="3"/>
      <c r="G1681" s="3"/>
    </row>
    <row r="1682">
      <c r="F1682" s="3"/>
      <c r="G1682" s="3"/>
    </row>
    <row r="1683">
      <c r="F1683" s="3"/>
      <c r="G1683" s="3"/>
    </row>
    <row r="1684">
      <c r="F1684" s="3"/>
      <c r="G1684" s="3"/>
    </row>
    <row r="1685">
      <c r="F1685" s="3"/>
      <c r="G1685" s="3"/>
    </row>
    <row r="1686">
      <c r="F1686" s="3"/>
      <c r="G1686" s="3"/>
    </row>
    <row r="1687">
      <c r="F1687" s="3"/>
      <c r="G1687" s="3"/>
    </row>
    <row r="1688">
      <c r="F1688" s="3"/>
      <c r="G1688" s="3"/>
    </row>
    <row r="1689">
      <c r="F1689" s="3"/>
      <c r="G1689" s="3"/>
    </row>
    <row r="1690">
      <c r="F1690" s="3"/>
      <c r="G1690" s="3"/>
    </row>
    <row r="1691">
      <c r="F1691" s="3"/>
      <c r="G1691" s="3"/>
    </row>
    <row r="1692">
      <c r="F1692" s="3"/>
      <c r="G1692" s="3"/>
    </row>
    <row r="1693">
      <c r="F1693" s="3"/>
      <c r="G1693" s="3"/>
    </row>
    <row r="1694">
      <c r="F1694" s="3"/>
      <c r="G1694" s="3"/>
    </row>
    <row r="1695">
      <c r="F1695" s="3"/>
      <c r="G1695" s="3"/>
    </row>
    <row r="1696">
      <c r="F1696" s="3"/>
      <c r="G1696" s="3"/>
    </row>
    <row r="1697">
      <c r="F1697" s="3"/>
      <c r="G1697" s="3"/>
    </row>
    <row r="1698">
      <c r="F1698" s="3"/>
      <c r="G1698" s="3"/>
    </row>
    <row r="1699">
      <c r="F1699" s="3"/>
      <c r="G1699" s="3"/>
    </row>
    <row r="1700">
      <c r="F1700" s="3"/>
      <c r="G1700" s="3"/>
    </row>
    <row r="1701">
      <c r="F1701" s="3"/>
      <c r="G1701" s="3"/>
    </row>
    <row r="1702">
      <c r="F1702" s="3"/>
      <c r="G1702" s="3"/>
    </row>
    <row r="1703">
      <c r="F1703" s="3"/>
      <c r="G1703" s="3"/>
    </row>
    <row r="1704">
      <c r="F1704" s="3"/>
      <c r="G1704" s="3"/>
    </row>
    <row r="1705">
      <c r="F1705" s="3"/>
      <c r="G1705" s="3"/>
    </row>
    <row r="1706">
      <c r="F1706" s="3"/>
      <c r="G1706" s="3"/>
    </row>
    <row r="1707">
      <c r="F1707" s="3"/>
      <c r="G1707" s="3"/>
    </row>
    <row r="1708">
      <c r="F1708" s="3"/>
      <c r="G1708" s="3"/>
    </row>
    <row r="1709">
      <c r="F1709" s="3"/>
      <c r="G1709" s="3"/>
    </row>
    <row r="1710">
      <c r="F1710" s="3"/>
      <c r="G1710" s="3"/>
    </row>
    <row r="1711">
      <c r="F1711" s="3"/>
      <c r="G1711" s="3"/>
    </row>
    <row r="1712">
      <c r="F1712" s="3"/>
      <c r="G1712" s="3"/>
    </row>
    <row r="1713">
      <c r="F1713" s="3"/>
      <c r="G1713" s="3"/>
    </row>
    <row r="1714">
      <c r="F1714" s="3"/>
      <c r="G1714" s="3"/>
    </row>
    <row r="1715">
      <c r="F1715" s="3"/>
      <c r="G1715" s="3"/>
    </row>
    <row r="1716">
      <c r="F1716" s="3"/>
      <c r="G1716" s="3"/>
    </row>
    <row r="1717">
      <c r="F1717" s="3"/>
      <c r="G1717" s="3"/>
    </row>
    <row r="1718">
      <c r="F1718" s="3"/>
      <c r="G1718" s="3"/>
    </row>
    <row r="1719">
      <c r="F1719" s="3"/>
      <c r="G1719" s="3"/>
    </row>
    <row r="1720">
      <c r="F1720" s="3"/>
      <c r="G1720" s="3"/>
    </row>
    <row r="1721">
      <c r="F1721" s="3"/>
      <c r="G1721" s="3"/>
    </row>
    <row r="1722">
      <c r="F1722" s="3"/>
      <c r="G1722" s="3"/>
    </row>
    <row r="1723">
      <c r="F1723" s="3"/>
      <c r="G1723" s="3"/>
    </row>
    <row r="1724">
      <c r="F1724" s="3"/>
      <c r="G1724" s="3"/>
    </row>
    <row r="1725">
      <c r="F1725" s="3"/>
      <c r="G1725" s="3"/>
    </row>
    <row r="1726">
      <c r="F1726" s="3"/>
      <c r="G1726" s="3"/>
    </row>
    <row r="1727">
      <c r="F1727" s="3"/>
      <c r="G1727" s="3"/>
    </row>
    <row r="1728">
      <c r="F1728" s="3"/>
      <c r="G1728" s="3"/>
    </row>
    <row r="1729">
      <c r="F1729" s="3"/>
      <c r="G1729" s="3"/>
    </row>
    <row r="1730">
      <c r="F1730" s="3"/>
      <c r="G1730" s="3"/>
    </row>
    <row r="1731">
      <c r="F1731" s="3"/>
      <c r="G1731" s="3"/>
    </row>
    <row r="1732">
      <c r="F1732" s="3"/>
      <c r="G1732" s="3"/>
    </row>
    <row r="1733">
      <c r="F1733" s="3"/>
      <c r="G1733" s="3"/>
    </row>
    <row r="1734">
      <c r="F1734" s="3"/>
      <c r="G1734" s="3"/>
    </row>
    <row r="1735">
      <c r="F1735" s="3"/>
      <c r="G1735" s="3"/>
    </row>
    <row r="1736">
      <c r="F1736" s="3"/>
      <c r="G1736" s="3"/>
    </row>
    <row r="1737">
      <c r="F1737" s="3"/>
      <c r="G1737" s="3"/>
    </row>
    <row r="1738">
      <c r="F1738" s="3"/>
      <c r="G1738" s="3"/>
    </row>
    <row r="1739">
      <c r="F1739" s="3"/>
      <c r="G1739" s="3"/>
    </row>
    <row r="1740">
      <c r="F1740" s="3"/>
      <c r="G1740" s="3"/>
    </row>
    <row r="1741">
      <c r="F1741" s="3"/>
      <c r="G1741" s="3"/>
    </row>
    <row r="1742">
      <c r="F1742" s="3"/>
      <c r="G1742" s="3"/>
    </row>
    <row r="1743">
      <c r="F1743" s="3"/>
      <c r="G1743" s="3"/>
    </row>
    <row r="1744">
      <c r="F1744" s="3"/>
      <c r="G1744" s="3"/>
    </row>
    <row r="1745">
      <c r="F1745" s="3"/>
      <c r="G1745" s="3"/>
    </row>
    <row r="1746">
      <c r="F1746" s="3"/>
      <c r="G1746" s="3"/>
    </row>
    <row r="1747">
      <c r="F1747" s="3"/>
      <c r="G1747" s="3"/>
    </row>
    <row r="1748">
      <c r="F1748" s="3"/>
      <c r="G1748" s="3"/>
    </row>
    <row r="1749">
      <c r="F1749" s="3"/>
      <c r="G1749" s="3"/>
    </row>
    <row r="1750">
      <c r="F1750" s="3"/>
      <c r="G1750" s="3"/>
    </row>
    <row r="1751">
      <c r="F1751" s="3"/>
      <c r="G1751" s="3"/>
    </row>
    <row r="1752">
      <c r="F1752" s="3"/>
      <c r="G1752" s="3"/>
    </row>
    <row r="1753">
      <c r="F1753" s="3"/>
      <c r="G1753" s="3"/>
    </row>
    <row r="1754">
      <c r="F1754" s="3"/>
      <c r="G1754" s="3"/>
    </row>
    <row r="1755">
      <c r="F1755" s="3"/>
      <c r="G1755" s="3"/>
    </row>
    <row r="1756">
      <c r="F1756" s="3"/>
      <c r="G1756" s="3"/>
    </row>
    <row r="1757">
      <c r="F1757" s="3"/>
      <c r="G1757" s="3"/>
    </row>
    <row r="1758">
      <c r="F1758" s="3"/>
      <c r="G1758" s="3"/>
    </row>
    <row r="1759">
      <c r="F1759" s="3"/>
      <c r="G1759" s="3"/>
    </row>
    <row r="1760">
      <c r="F1760" s="3"/>
      <c r="G1760" s="3"/>
    </row>
    <row r="1761">
      <c r="F1761" s="3"/>
      <c r="G1761" s="3"/>
    </row>
    <row r="1762">
      <c r="F1762" s="3"/>
      <c r="G1762" s="3"/>
    </row>
    <row r="1763">
      <c r="F1763" s="3"/>
      <c r="G1763" s="3"/>
    </row>
    <row r="1764">
      <c r="F1764" s="3"/>
      <c r="G1764" s="3"/>
    </row>
    <row r="1765">
      <c r="F1765" s="3"/>
      <c r="G1765" s="3"/>
    </row>
    <row r="1766">
      <c r="F1766" s="3"/>
      <c r="G1766" s="3"/>
    </row>
    <row r="1767">
      <c r="F1767" s="3"/>
      <c r="G1767" s="3"/>
    </row>
    <row r="1768">
      <c r="F1768" s="3"/>
      <c r="G1768" s="3"/>
    </row>
    <row r="1769">
      <c r="F1769" s="3"/>
      <c r="G1769" s="3"/>
    </row>
    <row r="1770">
      <c r="F1770" s="3"/>
      <c r="G1770" s="3"/>
    </row>
    <row r="1771">
      <c r="F1771" s="3"/>
      <c r="G1771" s="3"/>
    </row>
    <row r="1772">
      <c r="F1772" s="3"/>
      <c r="G1772" s="3"/>
    </row>
    <row r="1773">
      <c r="F1773" s="3"/>
      <c r="G1773" s="3"/>
    </row>
    <row r="1774">
      <c r="F1774" s="3"/>
      <c r="G1774" s="3"/>
    </row>
    <row r="1775">
      <c r="F1775" s="3"/>
      <c r="G1775" s="3"/>
    </row>
    <row r="1776">
      <c r="F1776" s="3"/>
      <c r="G1776" s="3"/>
    </row>
    <row r="1777">
      <c r="F1777" s="3"/>
      <c r="G1777" s="3"/>
    </row>
    <row r="1778">
      <c r="F1778" s="3"/>
      <c r="G1778" s="3"/>
    </row>
    <row r="1779">
      <c r="F1779" s="3"/>
      <c r="G1779" s="3"/>
    </row>
    <row r="1780">
      <c r="F1780" s="3"/>
      <c r="G1780" s="3"/>
    </row>
    <row r="1781">
      <c r="F1781" s="3"/>
      <c r="G1781" s="3"/>
    </row>
    <row r="1782">
      <c r="F1782" s="3"/>
      <c r="G1782" s="3"/>
    </row>
    <row r="1783">
      <c r="F1783" s="3"/>
      <c r="G1783" s="3"/>
    </row>
    <row r="1784">
      <c r="F1784" s="3"/>
      <c r="G1784" s="3"/>
    </row>
    <row r="1785">
      <c r="F1785" s="3"/>
      <c r="G1785" s="3"/>
    </row>
    <row r="1786">
      <c r="F1786" s="3"/>
      <c r="G1786" s="3"/>
    </row>
    <row r="1787">
      <c r="F1787" s="3"/>
      <c r="G1787" s="3"/>
    </row>
    <row r="1788">
      <c r="F1788" s="3"/>
      <c r="G1788" s="3"/>
    </row>
    <row r="1789">
      <c r="F1789" s="3"/>
      <c r="G1789" s="3"/>
    </row>
    <row r="1790">
      <c r="F1790" s="3"/>
      <c r="G1790" s="3"/>
    </row>
    <row r="1791">
      <c r="F1791" s="3"/>
      <c r="G1791" s="3"/>
    </row>
    <row r="1792">
      <c r="F1792" s="3"/>
      <c r="G1792" s="3"/>
    </row>
    <row r="1793">
      <c r="F1793" s="3"/>
      <c r="G1793" s="3"/>
    </row>
    <row r="1794">
      <c r="F1794" s="3"/>
      <c r="G1794" s="3"/>
    </row>
    <row r="1795">
      <c r="F1795" s="3"/>
      <c r="G1795" s="3"/>
    </row>
    <row r="1796">
      <c r="F1796" s="3"/>
      <c r="G1796" s="3"/>
    </row>
    <row r="1797">
      <c r="F1797" s="3"/>
      <c r="G1797" s="3"/>
    </row>
    <row r="1798">
      <c r="F1798" s="3"/>
      <c r="G1798" s="3"/>
    </row>
    <row r="1799">
      <c r="F1799" s="3"/>
      <c r="G1799" s="3"/>
    </row>
    <row r="1800">
      <c r="F1800" s="3"/>
      <c r="G1800" s="3"/>
    </row>
    <row r="1801">
      <c r="F1801" s="3"/>
      <c r="G1801" s="3"/>
    </row>
    <row r="1802">
      <c r="F1802" s="3"/>
      <c r="G1802" s="3"/>
    </row>
    <row r="1803">
      <c r="F1803" s="3"/>
      <c r="G1803" s="3"/>
    </row>
    <row r="1804">
      <c r="F1804" s="3"/>
      <c r="G1804" s="3"/>
    </row>
    <row r="1805">
      <c r="F1805" s="3"/>
      <c r="G1805" s="3"/>
    </row>
    <row r="1806">
      <c r="F1806" s="3"/>
      <c r="G1806" s="3"/>
    </row>
    <row r="1807">
      <c r="F1807" s="3"/>
      <c r="G1807" s="3"/>
    </row>
    <row r="1808">
      <c r="F1808" s="3"/>
      <c r="G1808" s="3"/>
    </row>
    <row r="1809">
      <c r="F1809" s="3"/>
      <c r="G1809" s="3"/>
    </row>
    <row r="1810">
      <c r="F1810" s="3"/>
      <c r="G1810" s="3"/>
    </row>
    <row r="1811">
      <c r="F1811" s="3"/>
      <c r="G1811" s="3"/>
    </row>
    <row r="1812">
      <c r="F1812" s="3"/>
      <c r="G1812" s="3"/>
    </row>
    <row r="1813">
      <c r="F1813" s="3"/>
      <c r="G1813" s="3"/>
    </row>
    <row r="1814">
      <c r="F1814" s="3"/>
      <c r="G1814" s="3"/>
    </row>
    <row r="1815">
      <c r="F1815" s="3"/>
      <c r="G1815" s="3"/>
    </row>
    <row r="1816">
      <c r="F1816" s="3"/>
      <c r="G1816" s="3"/>
    </row>
    <row r="1817">
      <c r="F1817" s="3"/>
      <c r="G1817" s="3"/>
    </row>
    <row r="1818">
      <c r="F1818" s="3"/>
      <c r="G1818" s="3"/>
    </row>
    <row r="1819">
      <c r="F1819" s="3"/>
      <c r="G1819" s="3"/>
    </row>
    <row r="1820">
      <c r="F1820" s="3"/>
      <c r="G1820" s="3"/>
    </row>
    <row r="1821">
      <c r="F1821" s="3"/>
      <c r="G1821" s="3"/>
    </row>
    <row r="1822">
      <c r="F1822" s="3"/>
      <c r="G1822" s="3"/>
    </row>
    <row r="1823">
      <c r="F1823" s="3"/>
      <c r="G1823" s="3"/>
    </row>
    <row r="1824">
      <c r="F1824" s="3"/>
      <c r="G1824" s="3"/>
    </row>
    <row r="1825">
      <c r="F1825" s="3"/>
      <c r="G1825" s="3"/>
    </row>
    <row r="1826">
      <c r="F1826" s="3"/>
      <c r="G1826" s="3"/>
    </row>
    <row r="1827">
      <c r="F1827" s="3"/>
      <c r="G1827" s="3"/>
    </row>
    <row r="1828">
      <c r="F1828" s="3"/>
      <c r="G1828" s="3"/>
    </row>
    <row r="1829">
      <c r="F1829" s="3"/>
      <c r="G1829" s="3"/>
    </row>
    <row r="1830">
      <c r="F1830" s="3"/>
      <c r="G1830" s="3"/>
    </row>
    <row r="1831">
      <c r="F1831" s="3"/>
      <c r="G1831" s="3"/>
    </row>
    <row r="1832">
      <c r="F1832" s="3"/>
      <c r="G1832" s="3"/>
    </row>
    <row r="1833">
      <c r="F1833" s="3"/>
      <c r="G1833" s="3"/>
    </row>
    <row r="1834">
      <c r="F1834" s="3"/>
      <c r="G1834" s="3"/>
    </row>
    <row r="1835">
      <c r="F1835" s="3"/>
      <c r="G1835" s="3"/>
    </row>
    <row r="1836">
      <c r="F1836" s="3"/>
      <c r="G1836" s="3"/>
    </row>
    <row r="1837">
      <c r="F1837" s="3"/>
      <c r="G1837" s="3"/>
    </row>
    <row r="1838">
      <c r="F1838" s="3"/>
      <c r="G1838" s="3"/>
    </row>
    <row r="1839">
      <c r="F1839" s="3"/>
      <c r="G1839" s="3"/>
    </row>
    <row r="1840">
      <c r="F1840" s="3"/>
      <c r="G1840" s="3"/>
    </row>
    <row r="1841">
      <c r="F1841" s="3"/>
      <c r="G1841" s="3"/>
    </row>
    <row r="1842">
      <c r="F1842" s="3"/>
      <c r="G1842" s="3"/>
    </row>
    <row r="1843">
      <c r="F1843" s="3"/>
      <c r="G1843" s="3"/>
    </row>
    <row r="1844">
      <c r="F1844" s="3"/>
      <c r="G1844" s="3"/>
    </row>
    <row r="1845">
      <c r="F1845" s="3"/>
      <c r="G1845" s="3"/>
    </row>
    <row r="1846">
      <c r="F1846" s="3"/>
      <c r="G1846" s="3"/>
    </row>
    <row r="1847">
      <c r="F1847" s="3"/>
      <c r="G1847" s="3"/>
    </row>
    <row r="1848">
      <c r="F1848" s="3"/>
      <c r="G1848" s="3"/>
    </row>
    <row r="1849">
      <c r="F1849" s="3"/>
      <c r="G1849" s="3"/>
    </row>
    <row r="1850">
      <c r="F1850" s="3"/>
      <c r="G1850" s="3"/>
    </row>
    <row r="1851">
      <c r="F1851" s="3"/>
      <c r="G1851" s="3"/>
    </row>
    <row r="1852">
      <c r="F1852" s="3"/>
      <c r="G1852" s="3"/>
    </row>
    <row r="1853">
      <c r="F1853" s="3"/>
      <c r="G1853" s="3"/>
    </row>
    <row r="1854">
      <c r="F1854" s="3"/>
      <c r="G1854" s="3"/>
    </row>
    <row r="1855">
      <c r="F1855" s="3"/>
      <c r="G1855" s="3"/>
    </row>
    <row r="1856">
      <c r="F1856" s="3"/>
      <c r="G1856" s="3"/>
    </row>
    <row r="1857">
      <c r="F1857" s="3"/>
      <c r="G1857" s="3"/>
    </row>
    <row r="1858">
      <c r="F1858" s="3"/>
      <c r="G1858" s="3"/>
    </row>
    <row r="1859">
      <c r="F1859" s="3"/>
      <c r="G1859" s="3"/>
    </row>
    <row r="1860">
      <c r="F1860" s="3"/>
      <c r="G1860" s="3"/>
    </row>
    <row r="1861">
      <c r="F1861" s="3"/>
      <c r="G1861" s="3"/>
    </row>
    <row r="1862">
      <c r="F1862" s="3"/>
      <c r="G1862" s="3"/>
    </row>
    <row r="1863">
      <c r="F1863" s="3"/>
      <c r="G1863" s="3"/>
    </row>
    <row r="1864">
      <c r="F1864" s="3"/>
      <c r="G1864" s="3"/>
    </row>
    <row r="1865">
      <c r="F1865" s="3"/>
      <c r="G1865" s="3"/>
    </row>
    <row r="1866">
      <c r="F1866" s="3"/>
      <c r="G1866" s="3"/>
    </row>
    <row r="1867">
      <c r="F1867" s="3"/>
      <c r="G1867" s="3"/>
    </row>
    <row r="1868">
      <c r="F1868" s="3"/>
      <c r="G1868" s="3"/>
    </row>
    <row r="1869">
      <c r="F1869" s="3"/>
      <c r="G1869" s="3"/>
    </row>
    <row r="1870">
      <c r="F1870" s="3"/>
      <c r="G1870" s="3"/>
    </row>
    <row r="1871">
      <c r="F1871" s="3"/>
      <c r="G1871" s="3"/>
    </row>
    <row r="1872">
      <c r="F1872" s="3"/>
      <c r="G1872" s="3"/>
    </row>
    <row r="1873">
      <c r="F1873" s="3"/>
      <c r="G1873" s="3"/>
    </row>
    <row r="1874">
      <c r="F1874" s="3"/>
      <c r="G1874" s="3"/>
    </row>
    <row r="1875">
      <c r="F1875" s="3"/>
      <c r="G1875" s="3"/>
    </row>
  </sheetData>
  <mergeCells count="1">
    <mergeCell ref="M29:S29"/>
  </mergeCell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s="5" t="s">
        <v>2896</v>
      </c>
      <c r="E1" s="5" t="s">
        <v>2897</v>
      </c>
      <c r="H1" s="5" t="s">
        <v>2896</v>
      </c>
      <c r="I1" s="5" t="s">
        <v>2897</v>
      </c>
    </row>
    <row r="2">
      <c r="D2" s="3">
        <f t="shared" ref="D2:E2" si="1">A2</f>
        <v>0</v>
      </c>
      <c r="E2" s="3">
        <f t="shared" si="1"/>
        <v>2</v>
      </c>
      <c r="H2" s="29" t="s">
        <v>2898</v>
      </c>
      <c r="I2" s="3">
        <f>sum(E2:E10)</f>
        <v>23</v>
      </c>
    </row>
    <row r="3">
      <c r="D3" s="3">
        <f t="shared" ref="D3:E3" si="2">A3</f>
        <v>5</v>
      </c>
      <c r="E3" s="3">
        <f t="shared" si="2"/>
        <v>2</v>
      </c>
      <c r="H3" s="29" t="s">
        <v>2899</v>
      </c>
      <c r="I3" s="3">
        <f>sum(E11:E20)</f>
        <v>157</v>
      </c>
    </row>
    <row r="4">
      <c r="D4" s="3">
        <f t="shared" ref="D4:E4" si="3">A4</f>
        <v>7</v>
      </c>
      <c r="E4" s="3">
        <f t="shared" si="3"/>
        <v>1</v>
      </c>
      <c r="H4" s="29" t="s">
        <v>2900</v>
      </c>
      <c r="I4" s="3">
        <f>sum(E21:E32)</f>
        <v>42</v>
      </c>
    </row>
    <row r="5">
      <c r="D5" s="3">
        <f t="shared" ref="D5:E5" si="4">A5</f>
        <v>12</v>
      </c>
      <c r="E5" s="3">
        <f t="shared" si="4"/>
        <v>2</v>
      </c>
      <c r="H5" s="29" t="s">
        <v>2901</v>
      </c>
      <c r="I5" s="3">
        <f>sum(E33:E42)</f>
        <v>22</v>
      </c>
    </row>
    <row r="6">
      <c r="D6" s="3">
        <f t="shared" ref="D6:E6" si="5">A6</f>
        <v>13</v>
      </c>
      <c r="E6" s="3">
        <f t="shared" si="5"/>
        <v>2</v>
      </c>
      <c r="H6" s="29" t="s">
        <v>2902</v>
      </c>
      <c r="I6" s="3">
        <f>sum(E43:E50)</f>
        <v>20</v>
      </c>
    </row>
    <row r="7">
      <c r="D7" s="3">
        <f t="shared" ref="D7:E7" si="6">A7</f>
        <v>15</v>
      </c>
      <c r="E7" s="3">
        <f t="shared" si="6"/>
        <v>1</v>
      </c>
      <c r="H7" s="29" t="s">
        <v>2903</v>
      </c>
      <c r="I7" s="3">
        <f>sum(E51:E60)</f>
        <v>36</v>
      </c>
    </row>
    <row r="8">
      <c r="D8" s="3">
        <f t="shared" ref="D8:E8" si="7">A8</f>
        <v>16</v>
      </c>
      <c r="E8" s="3">
        <f t="shared" si="7"/>
        <v>1</v>
      </c>
      <c r="H8" s="29" t="s">
        <v>2904</v>
      </c>
      <c r="I8" s="3">
        <f>sum(E61:E69)</f>
        <v>20</v>
      </c>
    </row>
    <row r="9">
      <c r="D9" s="3">
        <f t="shared" ref="D9:E9" si="8">A9</f>
        <v>17</v>
      </c>
      <c r="E9" s="3">
        <f t="shared" si="8"/>
        <v>4</v>
      </c>
      <c r="H9" s="29" t="s">
        <v>2905</v>
      </c>
      <c r="I9" s="3">
        <f>sum(E70:E74)</f>
        <v>11</v>
      </c>
    </row>
    <row r="10">
      <c r="D10" s="3">
        <f t="shared" ref="D10:E10" si="9">A10</f>
        <v>18</v>
      </c>
      <c r="E10" s="3">
        <f t="shared" si="9"/>
        <v>8</v>
      </c>
      <c r="I10" s="3">
        <f>SUM(I2:I9)</f>
        <v>331</v>
      </c>
    </row>
    <row r="11">
      <c r="D11" s="3">
        <f t="shared" ref="D11:E11" si="10">A11</f>
        <v>19</v>
      </c>
      <c r="E11" s="3">
        <f t="shared" si="10"/>
        <v>20</v>
      </c>
    </row>
    <row r="12">
      <c r="D12" s="3">
        <f t="shared" ref="D12:E12" si="11">A12</f>
        <v>20</v>
      </c>
      <c r="E12" s="3">
        <f t="shared" si="11"/>
        <v>15</v>
      </c>
    </row>
    <row r="13">
      <c r="D13" s="3">
        <f t="shared" ref="D13:E13" si="12">A13</f>
        <v>21</v>
      </c>
      <c r="E13" s="3">
        <f t="shared" si="12"/>
        <v>9</v>
      </c>
    </row>
    <row r="14">
      <c r="D14" s="3">
        <f t="shared" ref="D14:E14" si="13">A14</f>
        <v>22</v>
      </c>
      <c r="E14" s="3">
        <f t="shared" si="13"/>
        <v>28</v>
      </c>
    </row>
    <row r="15">
      <c r="D15" s="3">
        <f t="shared" ref="D15:E15" si="14">A15</f>
        <v>23</v>
      </c>
      <c r="E15" s="3">
        <f t="shared" si="14"/>
        <v>22</v>
      </c>
    </row>
    <row r="16">
      <c r="D16" s="3">
        <f t="shared" ref="D16:E16" si="15">A16</f>
        <v>24</v>
      </c>
      <c r="E16" s="3">
        <f t="shared" si="15"/>
        <v>18</v>
      </c>
    </row>
    <row r="17">
      <c r="D17" s="3">
        <f t="shared" ref="D17:E17" si="16">A17</f>
        <v>25</v>
      </c>
      <c r="E17" s="3">
        <f t="shared" si="16"/>
        <v>14</v>
      </c>
    </row>
    <row r="18">
      <c r="D18" s="3">
        <f t="shared" ref="D18:E18" si="17">A18</f>
        <v>26</v>
      </c>
      <c r="E18" s="3">
        <f t="shared" si="17"/>
        <v>7</v>
      </c>
    </row>
    <row r="19">
      <c r="D19" s="3">
        <f t="shared" ref="D19:E19" si="18">A19</f>
        <v>27</v>
      </c>
      <c r="E19" s="3">
        <f t="shared" si="18"/>
        <v>14</v>
      </c>
    </row>
    <row r="20">
      <c r="D20" s="3">
        <f t="shared" ref="D20:E20" si="19">A20</f>
        <v>28</v>
      </c>
      <c r="E20" s="3">
        <f t="shared" si="19"/>
        <v>10</v>
      </c>
    </row>
    <row r="21">
      <c r="D21" s="3">
        <f t="shared" ref="D21:E21" si="20">A21</f>
        <v>29</v>
      </c>
      <c r="E21" s="3">
        <f t="shared" si="20"/>
        <v>2</v>
      </c>
    </row>
    <row r="22">
      <c r="D22" s="3">
        <f t="shared" ref="D22:E22" si="21">A22</f>
        <v>30</v>
      </c>
      <c r="E22" s="3">
        <f t="shared" si="21"/>
        <v>6</v>
      </c>
    </row>
    <row r="23">
      <c r="D23" s="3">
        <f t="shared" ref="D23:E23" si="22">A23</f>
        <v>31</v>
      </c>
      <c r="E23" s="3">
        <f t="shared" si="22"/>
        <v>3</v>
      </c>
    </row>
    <row r="24">
      <c r="D24" s="3">
        <f t="shared" ref="D24:E24" si="23">A24</f>
        <v>32</v>
      </c>
      <c r="E24" s="3">
        <f t="shared" si="23"/>
        <v>6</v>
      </c>
    </row>
    <row r="25">
      <c r="D25" s="3">
        <f t="shared" ref="D25:E25" si="24">A25</f>
        <v>33</v>
      </c>
      <c r="E25" s="3">
        <f t="shared" si="24"/>
        <v>4</v>
      </c>
    </row>
    <row r="26">
      <c r="D26" s="3">
        <f t="shared" ref="D26:E26" si="25">A26</f>
        <v>34</v>
      </c>
      <c r="E26" s="3">
        <f t="shared" si="25"/>
        <v>4</v>
      </c>
    </row>
    <row r="27">
      <c r="D27" s="3">
        <f t="shared" ref="D27:E27" si="26">A27</f>
        <v>35</v>
      </c>
      <c r="E27" s="3">
        <f t="shared" si="26"/>
        <v>4</v>
      </c>
    </row>
    <row r="28">
      <c r="D28" s="3">
        <f t="shared" ref="D28:E28" si="27">A28</f>
        <v>36</v>
      </c>
      <c r="E28" s="3">
        <f t="shared" si="27"/>
        <v>1</v>
      </c>
    </row>
    <row r="29">
      <c r="D29" s="3">
        <f t="shared" ref="D29:E29" si="28">A29</f>
        <v>37</v>
      </c>
      <c r="E29" s="3">
        <f t="shared" si="28"/>
        <v>2</v>
      </c>
    </row>
    <row r="30">
      <c r="D30" s="3">
        <f t="shared" ref="D30:E30" si="29">A30</f>
        <v>38</v>
      </c>
      <c r="E30" s="3">
        <f t="shared" si="29"/>
        <v>5</v>
      </c>
    </row>
    <row r="31">
      <c r="D31" s="3">
        <f t="shared" ref="D31:E31" si="30">A31</f>
        <v>39</v>
      </c>
      <c r="E31" s="3">
        <f t="shared" si="30"/>
        <v>2</v>
      </c>
    </row>
    <row r="32">
      <c r="D32" s="3">
        <f t="shared" ref="D32:E32" si="31">A32</f>
        <v>40</v>
      </c>
      <c r="E32" s="3">
        <f t="shared" si="31"/>
        <v>3</v>
      </c>
    </row>
    <row r="33">
      <c r="D33" s="3">
        <f t="shared" ref="D33:E33" si="32">A33</f>
        <v>41</v>
      </c>
      <c r="E33" s="3">
        <f t="shared" si="32"/>
        <v>1</v>
      </c>
    </row>
    <row r="34">
      <c r="D34" s="3">
        <f t="shared" ref="D34:E34" si="33">A34</f>
        <v>42</v>
      </c>
      <c r="E34" s="3">
        <f t="shared" si="33"/>
        <v>1</v>
      </c>
    </row>
    <row r="35">
      <c r="D35" s="3">
        <f t="shared" ref="D35:E35" si="34">A35</f>
        <v>43</v>
      </c>
      <c r="E35" s="3">
        <f t="shared" si="34"/>
        <v>1</v>
      </c>
    </row>
    <row r="36">
      <c r="D36" s="3">
        <f t="shared" ref="D36:E36" si="35">A36</f>
        <v>44</v>
      </c>
      <c r="E36" s="3">
        <f t="shared" si="35"/>
        <v>1</v>
      </c>
    </row>
    <row r="37">
      <c r="D37" s="3">
        <f t="shared" ref="D37:E37" si="36">A37</f>
        <v>45</v>
      </c>
      <c r="E37" s="3">
        <f t="shared" si="36"/>
        <v>4</v>
      </c>
    </row>
    <row r="38">
      <c r="D38" s="3">
        <f t="shared" ref="D38:E38" si="37">A38</f>
        <v>46</v>
      </c>
      <c r="E38" s="3">
        <f t="shared" si="37"/>
        <v>1</v>
      </c>
    </row>
    <row r="39">
      <c r="D39" s="3">
        <f t="shared" ref="D39:E39" si="38">A39</f>
        <v>47</v>
      </c>
      <c r="E39" s="3">
        <f t="shared" si="38"/>
        <v>2</v>
      </c>
    </row>
    <row r="40">
      <c r="D40" s="3">
        <f t="shared" ref="D40:E40" si="39">A40</f>
        <v>48</v>
      </c>
      <c r="E40" s="3">
        <f t="shared" si="39"/>
        <v>5</v>
      </c>
      <c r="G40" s="29">
        <v>1.0</v>
      </c>
    </row>
    <row r="41">
      <c r="D41" s="3">
        <f t="shared" ref="D41:E41" si="40">A41</f>
        <v>49</v>
      </c>
      <c r="E41" s="3">
        <f t="shared" si="40"/>
        <v>4</v>
      </c>
      <c r="G41" s="29">
        <v>2.0</v>
      </c>
    </row>
    <row r="42">
      <c r="D42" s="3">
        <f t="shared" ref="D42:E42" si="41">A42</f>
        <v>50</v>
      </c>
      <c r="E42" s="3">
        <f t="shared" si="41"/>
        <v>2</v>
      </c>
      <c r="G42" s="3">
        <f t="shared" ref="G42:G78" si="43">G41+1</f>
        <v>3</v>
      </c>
    </row>
    <row r="43">
      <c r="D43" s="3">
        <f t="shared" ref="D43:E43" si="42">A43</f>
        <v>51</v>
      </c>
      <c r="E43" s="3">
        <f t="shared" si="42"/>
        <v>4</v>
      </c>
      <c r="G43" s="3">
        <f t="shared" si="43"/>
        <v>4</v>
      </c>
    </row>
    <row r="44">
      <c r="D44" s="3">
        <f t="shared" ref="D44:E44" si="44">A44</f>
        <v>52</v>
      </c>
      <c r="E44" s="3">
        <f t="shared" si="44"/>
        <v>1</v>
      </c>
      <c r="G44" s="3">
        <f t="shared" si="43"/>
        <v>5</v>
      </c>
    </row>
    <row r="45">
      <c r="D45" s="3">
        <f t="shared" ref="D45:E45" si="45">A45</f>
        <v>54</v>
      </c>
      <c r="E45" s="3">
        <f t="shared" si="45"/>
        <v>4</v>
      </c>
      <c r="G45" s="3">
        <f t="shared" si="43"/>
        <v>6</v>
      </c>
    </row>
    <row r="46">
      <c r="D46" s="3">
        <f t="shared" ref="D46:E46" si="46">A46</f>
        <v>56</v>
      </c>
      <c r="E46" s="3">
        <f t="shared" si="46"/>
        <v>3</v>
      </c>
      <c r="G46" s="3">
        <f t="shared" si="43"/>
        <v>7</v>
      </c>
    </row>
    <row r="47">
      <c r="D47" s="3">
        <f t="shared" ref="D47:E47" si="47">A47</f>
        <v>57</v>
      </c>
      <c r="E47" s="3">
        <f t="shared" si="47"/>
        <v>1</v>
      </c>
      <c r="G47" s="3">
        <f t="shared" si="43"/>
        <v>8</v>
      </c>
    </row>
    <row r="48">
      <c r="D48" s="3">
        <f t="shared" ref="D48:E48" si="48">A48</f>
        <v>58</v>
      </c>
      <c r="E48" s="3">
        <f t="shared" si="48"/>
        <v>1</v>
      </c>
      <c r="G48" s="3">
        <f t="shared" si="43"/>
        <v>9</v>
      </c>
    </row>
    <row r="49">
      <c r="D49" s="3">
        <f t="shared" ref="D49:E49" si="49">A49</f>
        <v>59</v>
      </c>
      <c r="E49" s="3">
        <f t="shared" si="49"/>
        <v>2</v>
      </c>
      <c r="G49" s="3">
        <f t="shared" si="43"/>
        <v>10</v>
      </c>
    </row>
    <row r="50">
      <c r="D50" s="3">
        <f t="shared" ref="D50:E50" si="50">A50</f>
        <v>60</v>
      </c>
      <c r="E50" s="3">
        <f t="shared" si="50"/>
        <v>4</v>
      </c>
      <c r="G50" s="3">
        <f t="shared" si="43"/>
        <v>11</v>
      </c>
    </row>
    <row r="51">
      <c r="D51" s="3">
        <f t="shared" ref="D51:E51" si="51">A51</f>
        <v>61</v>
      </c>
      <c r="E51" s="3">
        <f t="shared" si="51"/>
        <v>3</v>
      </c>
      <c r="G51" s="3">
        <f t="shared" si="43"/>
        <v>12</v>
      </c>
    </row>
    <row r="52">
      <c r="D52" s="3">
        <f t="shared" ref="D52:E52" si="52">A52</f>
        <v>62</v>
      </c>
      <c r="E52" s="3">
        <f t="shared" si="52"/>
        <v>1</v>
      </c>
      <c r="G52" s="3">
        <f t="shared" si="43"/>
        <v>13</v>
      </c>
    </row>
    <row r="53">
      <c r="D53" s="3">
        <f t="shared" ref="D53:E53" si="53">A53</f>
        <v>63</v>
      </c>
      <c r="E53" s="3">
        <f t="shared" si="53"/>
        <v>6</v>
      </c>
      <c r="G53" s="3">
        <f t="shared" si="43"/>
        <v>14</v>
      </c>
    </row>
    <row r="54">
      <c r="D54" s="3">
        <f t="shared" ref="D54:E54" si="54">A54</f>
        <v>64</v>
      </c>
      <c r="E54" s="3">
        <f t="shared" si="54"/>
        <v>3</v>
      </c>
      <c r="G54" s="3">
        <f t="shared" si="43"/>
        <v>15</v>
      </c>
    </row>
    <row r="55">
      <c r="D55" s="3">
        <f t="shared" ref="D55:E55" si="55">A55</f>
        <v>65</v>
      </c>
      <c r="E55" s="3">
        <f t="shared" si="55"/>
        <v>4</v>
      </c>
      <c r="G55" s="3">
        <f t="shared" si="43"/>
        <v>16</v>
      </c>
    </row>
    <row r="56">
      <c r="D56" s="3">
        <f t="shared" ref="D56:E56" si="56">A56</f>
        <v>66</v>
      </c>
      <c r="E56" s="3">
        <f t="shared" si="56"/>
        <v>3</v>
      </c>
      <c r="G56" s="3">
        <f t="shared" si="43"/>
        <v>17</v>
      </c>
    </row>
    <row r="57">
      <c r="D57" s="3">
        <f t="shared" ref="D57:E57" si="57">A57</f>
        <v>67</v>
      </c>
      <c r="E57" s="3">
        <f t="shared" si="57"/>
        <v>3</v>
      </c>
      <c r="G57" s="3">
        <f t="shared" si="43"/>
        <v>18</v>
      </c>
    </row>
    <row r="58">
      <c r="D58" s="3">
        <f t="shared" ref="D58:E58" si="58">A58</f>
        <v>68</v>
      </c>
      <c r="E58" s="3">
        <f t="shared" si="58"/>
        <v>4</v>
      </c>
      <c r="G58" s="3">
        <f t="shared" si="43"/>
        <v>19</v>
      </c>
    </row>
    <row r="59">
      <c r="D59" s="3">
        <f t="shared" ref="D59:E59" si="59">A59</f>
        <v>69</v>
      </c>
      <c r="E59" s="3">
        <f t="shared" si="59"/>
        <v>4</v>
      </c>
      <c r="G59" s="3">
        <f t="shared" si="43"/>
        <v>20</v>
      </c>
    </row>
    <row r="60">
      <c r="D60" s="3">
        <f t="shared" ref="D60:E60" si="60">A60</f>
        <v>70</v>
      </c>
      <c r="E60" s="3">
        <f t="shared" si="60"/>
        <v>5</v>
      </c>
      <c r="G60" s="3">
        <f t="shared" si="43"/>
        <v>21</v>
      </c>
    </row>
    <row r="61">
      <c r="D61" s="3">
        <f t="shared" ref="D61:E61" si="61">A61</f>
        <v>71</v>
      </c>
      <c r="E61" s="3">
        <f t="shared" si="61"/>
        <v>2</v>
      </c>
      <c r="G61" s="3">
        <f t="shared" si="43"/>
        <v>22</v>
      </c>
    </row>
    <row r="62">
      <c r="D62" s="3">
        <f t="shared" ref="D62:E62" si="62">A62</f>
        <v>72</v>
      </c>
      <c r="E62" s="3">
        <f t="shared" si="62"/>
        <v>1</v>
      </c>
      <c r="G62" s="3">
        <f t="shared" si="43"/>
        <v>23</v>
      </c>
    </row>
    <row r="63">
      <c r="D63" s="3">
        <f t="shared" ref="D63:E63" si="63">A63</f>
        <v>73</v>
      </c>
      <c r="E63" s="3">
        <f t="shared" si="63"/>
        <v>3</v>
      </c>
      <c r="G63" s="3">
        <f t="shared" si="43"/>
        <v>24</v>
      </c>
    </row>
    <row r="64">
      <c r="D64" s="3">
        <f t="shared" ref="D64:E64" si="64">A64</f>
        <v>74</v>
      </c>
      <c r="E64" s="3">
        <f t="shared" si="64"/>
        <v>2</v>
      </c>
      <c r="G64" s="3">
        <f t="shared" si="43"/>
        <v>25</v>
      </c>
    </row>
    <row r="65">
      <c r="D65" s="3">
        <f t="shared" ref="D65:E65" si="65">A65</f>
        <v>75</v>
      </c>
      <c r="E65" s="3">
        <f t="shared" si="65"/>
        <v>3</v>
      </c>
      <c r="G65" s="3">
        <f t="shared" si="43"/>
        <v>26</v>
      </c>
    </row>
    <row r="66">
      <c r="D66" s="3">
        <f t="shared" ref="D66:E66" si="66">A66</f>
        <v>76</v>
      </c>
      <c r="E66" s="3">
        <f t="shared" si="66"/>
        <v>4</v>
      </c>
      <c r="G66" s="3">
        <f t="shared" si="43"/>
        <v>27</v>
      </c>
    </row>
    <row r="67">
      <c r="D67" s="3">
        <f t="shared" ref="D67:E67" si="67">A67</f>
        <v>77</v>
      </c>
      <c r="E67" s="3">
        <f t="shared" si="67"/>
        <v>1</v>
      </c>
      <c r="G67" s="3">
        <f t="shared" si="43"/>
        <v>28</v>
      </c>
    </row>
    <row r="68">
      <c r="D68" s="3">
        <f t="shared" ref="D68:E68" si="68">A68</f>
        <v>78</v>
      </c>
      <c r="E68" s="3">
        <f t="shared" si="68"/>
        <v>3</v>
      </c>
      <c r="G68" s="3">
        <f t="shared" si="43"/>
        <v>29</v>
      </c>
    </row>
    <row r="69">
      <c r="D69" s="3">
        <f t="shared" ref="D69:E69" si="69">A69</f>
        <v>79</v>
      </c>
      <c r="E69" s="3">
        <f t="shared" si="69"/>
        <v>1</v>
      </c>
      <c r="G69" s="3">
        <f t="shared" si="43"/>
        <v>30</v>
      </c>
    </row>
    <row r="70">
      <c r="D70" s="3">
        <f t="shared" ref="D70:E70" si="70">A70</f>
        <v>80</v>
      </c>
      <c r="E70" s="3">
        <f t="shared" si="70"/>
        <v>3</v>
      </c>
      <c r="G70" s="3">
        <f t="shared" si="43"/>
        <v>31</v>
      </c>
    </row>
    <row r="71">
      <c r="D71" s="3">
        <f t="shared" ref="D71:E71" si="71">A71</f>
        <v>81</v>
      </c>
      <c r="E71" s="3">
        <f t="shared" si="71"/>
        <v>4</v>
      </c>
      <c r="G71" s="3">
        <f t="shared" si="43"/>
        <v>32</v>
      </c>
    </row>
    <row r="72">
      <c r="D72" s="3">
        <f t="shared" ref="D72:E72" si="72">A72</f>
        <v>86</v>
      </c>
      <c r="E72" s="3">
        <f t="shared" si="72"/>
        <v>2</v>
      </c>
      <c r="G72" s="3">
        <f t="shared" si="43"/>
        <v>33</v>
      </c>
    </row>
    <row r="73">
      <c r="D73" s="3">
        <f t="shared" ref="D73:E73" si="73">A73</f>
        <v>87</v>
      </c>
      <c r="E73" s="3">
        <f t="shared" si="73"/>
        <v>1</v>
      </c>
      <c r="G73" s="3">
        <f t="shared" si="43"/>
        <v>34</v>
      </c>
    </row>
    <row r="74">
      <c r="D74" s="3">
        <f t="shared" ref="D74:E74" si="74">A74</f>
        <v>88</v>
      </c>
      <c r="E74" s="3">
        <f t="shared" si="74"/>
        <v>1</v>
      </c>
      <c r="G74" s="3">
        <f t="shared" si="43"/>
        <v>35</v>
      </c>
    </row>
    <row r="75">
      <c r="E75" s="3">
        <f>SUM(E2:E74)</f>
        <v>331</v>
      </c>
      <c r="G75" s="3">
        <f t="shared" si="43"/>
        <v>36</v>
      </c>
    </row>
    <row r="76">
      <c r="G76" s="3">
        <f t="shared" si="43"/>
        <v>37</v>
      </c>
    </row>
    <row r="77">
      <c r="G77" s="3">
        <f t="shared" si="43"/>
        <v>38</v>
      </c>
    </row>
    <row r="78">
      <c r="G78" s="3">
        <f t="shared" si="43"/>
        <v>39</v>
      </c>
    </row>
  </sheetData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s="29" t="s">
        <v>2906</v>
      </c>
      <c r="K1" s="29" t="s">
        <v>2907</v>
      </c>
    </row>
    <row r="2">
      <c r="D2" s="3" t="str">
        <f t="array" ref="D2:E1000">sort(A2:B1000,2,False)</f>
        <v>ראשון לציון</v>
      </c>
      <c r="E2" s="3">
        <v>24.0</v>
      </c>
      <c r="K2" s="3" t="str">
        <f t="array" ref="K2:L1000">sort(H2:I1000,2,False)</f>
        <v>ישע</v>
      </c>
      <c r="L2" s="3">
        <v>2.0</v>
      </c>
    </row>
    <row r="3">
      <c r="D3" s="3" t="s">
        <v>253</v>
      </c>
      <c r="E3" s="3">
        <v>22.0</v>
      </c>
      <c r="K3" s="3" t="s">
        <v>242</v>
      </c>
      <c r="L3" s="3">
        <v>2.0</v>
      </c>
    </row>
    <row r="4">
      <c r="D4" s="3" t="s">
        <v>299</v>
      </c>
      <c r="E4" s="3">
        <v>15.0</v>
      </c>
      <c r="K4" s="3" t="s">
        <v>100</v>
      </c>
      <c r="L4" s="3">
        <v>2.0</v>
      </c>
    </row>
    <row r="5">
      <c r="D5" s="3" t="s">
        <v>337</v>
      </c>
      <c r="E5" s="3">
        <v>12.0</v>
      </c>
      <c r="K5" s="3" t="s">
        <v>281</v>
      </c>
      <c r="L5" s="3">
        <v>1.0</v>
      </c>
    </row>
    <row r="6">
      <c r="D6" s="3" t="s">
        <v>92</v>
      </c>
      <c r="E6" s="3">
        <v>11.0</v>
      </c>
      <c r="K6" s="3" t="s">
        <v>253</v>
      </c>
      <c r="L6" s="3">
        <v>1.0</v>
      </c>
    </row>
    <row r="7">
      <c r="D7" s="3" t="s">
        <v>95</v>
      </c>
      <c r="E7" s="3">
        <v>11.0</v>
      </c>
      <c r="K7" s="3" t="s">
        <v>284</v>
      </c>
      <c r="L7" s="3">
        <v>1.0</v>
      </c>
    </row>
    <row r="8">
      <c r="D8" s="3" t="s">
        <v>100</v>
      </c>
      <c r="E8" s="3">
        <v>11.0</v>
      </c>
      <c r="K8" s="3" t="s">
        <v>287</v>
      </c>
      <c r="L8" s="3">
        <v>1.0</v>
      </c>
    </row>
    <row r="9">
      <c r="D9" s="3" t="s">
        <v>416</v>
      </c>
      <c r="E9" s="3">
        <v>10.0</v>
      </c>
      <c r="K9" s="3" t="s">
        <v>260</v>
      </c>
      <c r="L9" s="3">
        <v>1.0</v>
      </c>
    </row>
    <row r="10">
      <c r="D10" s="3" t="s">
        <v>530</v>
      </c>
      <c r="E10" s="3">
        <v>7.0</v>
      </c>
      <c r="K10" s="3" t="s">
        <v>246</v>
      </c>
      <c r="L10" s="3">
        <v>1.0</v>
      </c>
    </row>
    <row r="11">
      <c r="D11" s="3" t="s">
        <v>89</v>
      </c>
      <c r="E11" s="3">
        <v>7.0</v>
      </c>
      <c r="K11" s="3" t="s">
        <v>274</v>
      </c>
      <c r="L11" s="3">
        <v>1.0</v>
      </c>
    </row>
    <row r="12">
      <c r="D12" s="3" t="s">
        <v>450</v>
      </c>
      <c r="E12" s="3">
        <v>7.0</v>
      </c>
      <c r="K12" s="3" t="s">
        <v>271</v>
      </c>
      <c r="L12" s="3">
        <v>1.0</v>
      </c>
    </row>
    <row r="13">
      <c r="D13" s="3" t="s">
        <v>438</v>
      </c>
      <c r="E13" s="3">
        <v>7.0</v>
      </c>
      <c r="K13" s="3" t="s">
        <v>268</v>
      </c>
      <c r="L13" s="3">
        <v>1.0</v>
      </c>
    </row>
    <row r="14">
      <c r="D14" s="3" t="s">
        <v>16</v>
      </c>
      <c r="E14" s="3">
        <v>5.0</v>
      </c>
      <c r="K14" s="3"/>
      <c r="L14" s="3"/>
    </row>
    <row r="15">
      <c r="D15" s="3" t="s">
        <v>597</v>
      </c>
      <c r="E15" s="3">
        <v>5.0</v>
      </c>
      <c r="K15" s="3"/>
      <c r="L15" s="3"/>
    </row>
    <row r="16">
      <c r="D16" s="3" t="s">
        <v>431</v>
      </c>
      <c r="E16" s="3">
        <v>5.0</v>
      </c>
      <c r="K16" s="3"/>
      <c r="L16" s="3"/>
    </row>
    <row r="17">
      <c r="D17" s="3" t="s">
        <v>527</v>
      </c>
      <c r="E17" s="3">
        <v>5.0</v>
      </c>
      <c r="K17" s="3"/>
      <c r="L17" s="3"/>
    </row>
    <row r="18">
      <c r="D18" s="3" t="s">
        <v>307</v>
      </c>
      <c r="E18" s="3">
        <v>5.0</v>
      </c>
      <c r="K18" s="3"/>
      <c r="L18" s="3"/>
    </row>
    <row r="19">
      <c r="D19" s="3" t="s">
        <v>508</v>
      </c>
      <c r="E19" s="3">
        <v>5.0</v>
      </c>
      <c r="K19" s="3"/>
      <c r="L19" s="3"/>
    </row>
    <row r="20">
      <c r="D20" s="3" t="s">
        <v>328</v>
      </c>
      <c r="E20" s="3">
        <v>4.0</v>
      </c>
      <c r="K20" s="3"/>
      <c r="L20" s="3"/>
    </row>
    <row r="21">
      <c r="D21" s="3" t="s">
        <v>657</v>
      </c>
      <c r="E21" s="3">
        <v>4.0</v>
      </c>
      <c r="K21" s="3"/>
      <c r="L21" s="3"/>
    </row>
    <row r="22">
      <c r="D22" s="3" t="s">
        <v>281</v>
      </c>
      <c r="E22" s="3">
        <v>4.0</v>
      </c>
      <c r="K22" s="3"/>
      <c r="L22" s="3"/>
    </row>
    <row r="23">
      <c r="D23" s="3" t="s">
        <v>159</v>
      </c>
      <c r="E23" s="3">
        <v>4.0</v>
      </c>
      <c r="K23" s="3"/>
      <c r="L23" s="3"/>
    </row>
    <row r="24">
      <c r="D24" s="3" t="s">
        <v>941</v>
      </c>
      <c r="E24" s="3">
        <v>4.0</v>
      </c>
      <c r="K24" s="3"/>
      <c r="L24" s="3"/>
    </row>
    <row r="25">
      <c r="D25" s="3" t="s">
        <v>535</v>
      </c>
      <c r="E25" s="3">
        <v>4.0</v>
      </c>
      <c r="K25" s="3"/>
      <c r="L25" s="3"/>
    </row>
    <row r="26">
      <c r="D26" s="3" t="s">
        <v>219</v>
      </c>
      <c r="E26" s="3">
        <v>4.0</v>
      </c>
      <c r="K26" s="3"/>
      <c r="L26" s="3"/>
    </row>
    <row r="27">
      <c r="D27" s="3" t="s">
        <v>624</v>
      </c>
      <c r="E27" s="3">
        <v>4.0</v>
      </c>
      <c r="K27" s="3"/>
      <c r="L27" s="3"/>
    </row>
    <row r="28">
      <c r="D28" s="3" t="s">
        <v>355</v>
      </c>
      <c r="E28" s="3">
        <v>4.0</v>
      </c>
      <c r="K28" s="3"/>
      <c r="L28" s="3"/>
    </row>
    <row r="29">
      <c r="D29" s="3" t="s">
        <v>422</v>
      </c>
      <c r="E29" s="3">
        <v>3.0</v>
      </c>
      <c r="K29" s="3"/>
      <c r="L29" s="3"/>
    </row>
    <row r="30">
      <c r="D30" s="3" t="s">
        <v>311</v>
      </c>
      <c r="E30" s="3">
        <v>3.0</v>
      </c>
      <c r="K30" s="3"/>
      <c r="L30" s="3"/>
    </row>
    <row r="31">
      <c r="D31" s="3" t="s">
        <v>635</v>
      </c>
      <c r="E31" s="3">
        <v>3.0</v>
      </c>
      <c r="K31" s="3"/>
      <c r="L31" s="3"/>
    </row>
    <row r="32">
      <c r="D32" s="3" t="s">
        <v>917</v>
      </c>
      <c r="E32" s="3">
        <v>3.0</v>
      </c>
      <c r="K32" s="3"/>
      <c r="L32" s="3"/>
    </row>
    <row r="33">
      <c r="D33" s="3" t="s">
        <v>334</v>
      </c>
      <c r="E33" s="3">
        <v>3.0</v>
      </c>
      <c r="K33" s="3"/>
      <c r="L33" s="3"/>
    </row>
    <row r="34">
      <c r="D34" s="3" t="s">
        <v>570</v>
      </c>
      <c r="E34" s="3">
        <v>3.0</v>
      </c>
      <c r="K34" s="3"/>
      <c r="L34" s="3"/>
    </row>
    <row r="35">
      <c r="D35" s="3" t="s">
        <v>284</v>
      </c>
      <c r="E35" s="3">
        <v>3.0</v>
      </c>
      <c r="K35" s="3"/>
      <c r="L35" s="3"/>
    </row>
    <row r="36">
      <c r="D36" s="3" t="s">
        <v>705</v>
      </c>
      <c r="E36" s="3">
        <v>3.0</v>
      </c>
      <c r="K36" s="3"/>
      <c r="L36" s="3"/>
    </row>
    <row r="37">
      <c r="D37" s="3" t="s">
        <v>324</v>
      </c>
      <c r="E37" s="3">
        <v>3.0</v>
      </c>
      <c r="K37" s="3"/>
      <c r="L37" s="3"/>
    </row>
    <row r="38">
      <c r="D38" s="3" t="s">
        <v>257</v>
      </c>
      <c r="E38" s="3">
        <v>3.0</v>
      </c>
      <c r="K38" s="3"/>
      <c r="L38" s="3"/>
    </row>
    <row r="39">
      <c r="D39" s="3" t="s">
        <v>587</v>
      </c>
      <c r="E39" s="3">
        <v>3.0</v>
      </c>
      <c r="K39" s="3"/>
      <c r="L39" s="3"/>
    </row>
    <row r="40">
      <c r="D40" s="3" t="s">
        <v>331</v>
      </c>
      <c r="E40" s="3">
        <v>3.0</v>
      </c>
      <c r="K40" s="3"/>
      <c r="L40" s="3"/>
    </row>
    <row r="41">
      <c r="D41" s="3" t="s">
        <v>522</v>
      </c>
      <c r="E41" s="3">
        <v>3.0</v>
      </c>
      <c r="K41" s="3"/>
      <c r="L41" s="3"/>
    </row>
    <row r="42">
      <c r="D42" s="3" t="s">
        <v>946</v>
      </c>
      <c r="E42" s="3">
        <v>3.0</v>
      </c>
      <c r="K42" s="3"/>
      <c r="L42" s="3"/>
    </row>
    <row r="43">
      <c r="D43" s="3" t="s">
        <v>711</v>
      </c>
      <c r="E43" s="3">
        <v>3.0</v>
      </c>
      <c r="K43" s="3"/>
      <c r="L43" s="3"/>
    </row>
    <row r="44">
      <c r="D44" s="3" t="s">
        <v>408</v>
      </c>
      <c r="E44" s="3">
        <v>3.0</v>
      </c>
      <c r="K44" s="3"/>
      <c r="L44" s="3"/>
    </row>
    <row r="45">
      <c r="D45" s="3" t="s">
        <v>632</v>
      </c>
      <c r="E45" s="3">
        <v>2.0</v>
      </c>
      <c r="K45" s="3"/>
      <c r="L45" s="3"/>
    </row>
    <row r="46">
      <c r="D46" s="3" t="s">
        <v>779</v>
      </c>
      <c r="E46" s="3">
        <v>2.0</v>
      </c>
      <c r="K46" s="3"/>
      <c r="L46" s="3"/>
    </row>
    <row r="47">
      <c r="D47" s="3" t="s">
        <v>983</v>
      </c>
      <c r="E47" s="3">
        <v>2.0</v>
      </c>
      <c r="K47" s="3"/>
      <c r="L47" s="3"/>
    </row>
    <row r="48">
      <c r="D48" s="3" t="s">
        <v>667</v>
      </c>
      <c r="E48" s="3">
        <v>2.0</v>
      </c>
      <c r="K48" s="3"/>
      <c r="L48" s="3"/>
    </row>
    <row r="49">
      <c r="D49" s="3" t="s">
        <v>317</v>
      </c>
      <c r="E49" s="3">
        <v>2.0</v>
      </c>
      <c r="K49" s="3"/>
      <c r="L49" s="3"/>
    </row>
    <row r="50">
      <c r="D50" s="3" t="s">
        <v>371</v>
      </c>
      <c r="E50" s="3">
        <v>2.0</v>
      </c>
      <c r="K50" s="3"/>
      <c r="L50" s="3"/>
    </row>
    <row r="51">
      <c r="D51" s="3" t="s">
        <v>495</v>
      </c>
      <c r="E51" s="3">
        <v>2.0</v>
      </c>
      <c r="K51" s="3"/>
      <c r="L51" s="3"/>
    </row>
    <row r="52">
      <c r="D52" s="3" t="s">
        <v>662</v>
      </c>
      <c r="E52" s="3">
        <v>2.0</v>
      </c>
      <c r="K52" s="3"/>
      <c r="L52" s="3"/>
    </row>
    <row r="53">
      <c r="D53" s="3" t="s">
        <v>413</v>
      </c>
      <c r="E53" s="3">
        <v>2.0</v>
      </c>
      <c r="K53" s="3"/>
      <c r="L53" s="3"/>
    </row>
    <row r="54">
      <c r="D54" s="3" t="s">
        <v>435</v>
      </c>
      <c r="E54" s="3">
        <v>2.0</v>
      </c>
      <c r="K54" s="3"/>
      <c r="L54" s="3"/>
    </row>
    <row r="55">
      <c r="D55" s="3" t="s">
        <v>2325</v>
      </c>
      <c r="E55" s="3">
        <v>2.0</v>
      </c>
      <c r="K55" s="3"/>
      <c r="L55" s="3"/>
    </row>
    <row r="56">
      <c r="D56" s="3" t="s">
        <v>810</v>
      </c>
      <c r="E56" s="3">
        <v>2.0</v>
      </c>
      <c r="K56" s="3"/>
      <c r="L56" s="3"/>
    </row>
    <row r="57">
      <c r="D57" s="3" t="s">
        <v>860</v>
      </c>
      <c r="E57" s="3">
        <v>2.0</v>
      </c>
      <c r="K57" s="3"/>
      <c r="L57" s="3"/>
    </row>
    <row r="58">
      <c r="D58" s="3" t="s">
        <v>320</v>
      </c>
      <c r="E58" s="3">
        <v>2.0</v>
      </c>
      <c r="K58" s="3"/>
      <c r="L58" s="3"/>
    </row>
    <row r="59">
      <c r="D59" s="3" t="s">
        <v>274</v>
      </c>
      <c r="E59" s="3">
        <v>2.0</v>
      </c>
      <c r="K59" s="3"/>
      <c r="L59" s="3"/>
    </row>
    <row r="60">
      <c r="D60" s="3" t="s">
        <v>271</v>
      </c>
      <c r="E60" s="3">
        <v>2.0</v>
      </c>
      <c r="K60" s="3"/>
      <c r="L60" s="3"/>
    </row>
    <row r="61">
      <c r="D61" s="3" t="s">
        <v>998</v>
      </c>
      <c r="E61" s="3">
        <v>2.0</v>
      </c>
      <c r="K61" s="3"/>
      <c r="L61" s="3"/>
    </row>
    <row r="62">
      <c r="D62" s="3" t="s">
        <v>748</v>
      </c>
      <c r="E62" s="3">
        <v>2.0</v>
      </c>
      <c r="K62" s="3"/>
      <c r="L62" s="3"/>
    </row>
    <row r="63">
      <c r="D63" s="3" t="s">
        <v>2308</v>
      </c>
      <c r="E63" s="3">
        <v>1.0</v>
      </c>
      <c r="K63" s="3"/>
      <c r="L63" s="3"/>
    </row>
    <row r="64">
      <c r="D64" s="3" t="s">
        <v>517</v>
      </c>
      <c r="E64" s="3">
        <v>1.0</v>
      </c>
      <c r="K64" s="3"/>
      <c r="L64" s="3"/>
    </row>
    <row r="65">
      <c r="D65" s="3" t="s">
        <v>786</v>
      </c>
      <c r="E65" s="3">
        <v>1.0</v>
      </c>
      <c r="K65" s="3"/>
      <c r="L65" s="3"/>
    </row>
    <row r="66">
      <c r="D66" s="3" t="s">
        <v>2287</v>
      </c>
      <c r="E66" s="3">
        <v>1.0</v>
      </c>
      <c r="K66" s="3"/>
      <c r="L66" s="3"/>
    </row>
    <row r="67">
      <c r="D67" s="3" t="s">
        <v>364</v>
      </c>
      <c r="E67" s="3">
        <v>1.0</v>
      </c>
      <c r="K67" s="3"/>
      <c r="L67" s="3"/>
    </row>
    <row r="68">
      <c r="D68" s="3" t="s">
        <v>708</v>
      </c>
      <c r="E68" s="3">
        <v>1.0</v>
      </c>
      <c r="K68" s="3"/>
      <c r="L68" s="3"/>
    </row>
    <row r="69">
      <c r="D69" s="3" t="s">
        <v>673</v>
      </c>
      <c r="E69" s="3">
        <v>1.0</v>
      </c>
      <c r="K69" s="3"/>
      <c r="L69" s="3"/>
    </row>
    <row r="70">
      <c r="D70" s="3" t="s">
        <v>2276</v>
      </c>
      <c r="E70" s="3">
        <v>1.0</v>
      </c>
      <c r="K70" s="3"/>
      <c r="L70" s="3"/>
    </row>
    <row r="71">
      <c r="D71" s="3" t="s">
        <v>991</v>
      </c>
      <c r="E71" s="3">
        <v>1.0</v>
      </c>
      <c r="K71" s="3"/>
      <c r="L71" s="3"/>
    </row>
    <row r="72">
      <c r="D72" s="3" t="s">
        <v>470</v>
      </c>
      <c r="E72" s="3">
        <v>1.0</v>
      </c>
      <c r="K72" s="3"/>
      <c r="L72" s="3"/>
    </row>
    <row r="73">
      <c r="D73" s="3" t="s">
        <v>441</v>
      </c>
      <c r="E73" s="3">
        <v>1.0</v>
      </c>
      <c r="K73" s="3"/>
      <c r="L73" s="3"/>
    </row>
    <row r="74">
      <c r="D74" s="3" t="s">
        <v>1086</v>
      </c>
      <c r="E74" s="3">
        <v>1.0</v>
      </c>
      <c r="K74" s="3"/>
      <c r="L74" s="3"/>
    </row>
    <row r="75">
      <c r="D75" s="3" t="s">
        <v>458</v>
      </c>
      <c r="E75" s="3">
        <v>1.0</v>
      </c>
      <c r="K75" s="3"/>
      <c r="L75" s="3"/>
    </row>
    <row r="76">
      <c r="D76" s="3" t="s">
        <v>492</v>
      </c>
      <c r="E76" s="3">
        <v>1.0</v>
      </c>
      <c r="K76" s="3"/>
      <c r="L76" s="3"/>
    </row>
    <row r="77">
      <c r="D77" s="3" t="s">
        <v>400</v>
      </c>
      <c r="E77" s="3">
        <v>1.0</v>
      </c>
      <c r="K77" s="3"/>
      <c r="L77" s="3"/>
    </row>
    <row r="78">
      <c r="D78" s="3" t="s">
        <v>730</v>
      </c>
      <c r="E78" s="3">
        <v>1.0</v>
      </c>
      <c r="K78" s="3"/>
      <c r="L78" s="3"/>
    </row>
    <row r="79">
      <c r="D79" s="3" t="s">
        <v>648</v>
      </c>
      <c r="E79" s="3">
        <v>1.0</v>
      </c>
      <c r="K79" s="3"/>
      <c r="L79" s="3"/>
    </row>
    <row r="80">
      <c r="D80" s="3" t="s">
        <v>927</v>
      </c>
      <c r="E80" s="3">
        <v>1.0</v>
      </c>
      <c r="K80" s="3"/>
      <c r="L80" s="3"/>
    </row>
    <row r="81">
      <c r="D81" s="3" t="s">
        <v>446</v>
      </c>
      <c r="E81" s="3">
        <v>1.0</v>
      </c>
      <c r="K81" s="3"/>
      <c r="L81" s="3"/>
    </row>
    <row r="82">
      <c r="D82" s="3" t="s">
        <v>584</v>
      </c>
      <c r="E82" s="3">
        <v>1.0</v>
      </c>
      <c r="K82" s="3"/>
      <c r="L82" s="3"/>
    </row>
    <row r="83">
      <c r="D83" s="3" t="s">
        <v>545</v>
      </c>
      <c r="E83" s="3">
        <v>1.0</v>
      </c>
      <c r="K83" s="3"/>
      <c r="L83" s="3"/>
    </row>
    <row r="84">
      <c r="D84" s="3" t="s">
        <v>951</v>
      </c>
      <c r="E84" s="3">
        <v>1.0</v>
      </c>
      <c r="K84" s="3"/>
      <c r="L84" s="3"/>
    </row>
    <row r="85">
      <c r="D85" s="3" t="s">
        <v>968</v>
      </c>
      <c r="E85" s="3">
        <v>1.0</v>
      </c>
      <c r="K85" s="3"/>
      <c r="L85" s="3"/>
    </row>
    <row r="86">
      <c r="D86" s="3" t="s">
        <v>419</v>
      </c>
      <c r="E86" s="3">
        <v>1.0</v>
      </c>
      <c r="K86" s="3"/>
      <c r="L86" s="3"/>
    </row>
    <row r="87">
      <c r="D87" s="3" t="s">
        <v>887</v>
      </c>
      <c r="E87" s="3">
        <v>1.0</v>
      </c>
      <c r="K87" s="3"/>
      <c r="L87" s="3"/>
    </row>
    <row r="88">
      <c r="D88" s="3" t="s">
        <v>840</v>
      </c>
      <c r="E88" s="3">
        <v>1.0</v>
      </c>
      <c r="K88" s="3"/>
      <c r="L88" s="3"/>
    </row>
    <row r="89">
      <c r="D89" s="3" t="s">
        <v>2771</v>
      </c>
      <c r="E89" s="3">
        <v>1.0</v>
      </c>
      <c r="K89" s="3"/>
      <c r="L89" s="3"/>
    </row>
    <row r="90">
      <c r="D90" s="3" t="s">
        <v>344</v>
      </c>
      <c r="E90" s="3">
        <v>1.0</v>
      </c>
      <c r="K90" s="3"/>
      <c r="L90" s="3"/>
    </row>
    <row r="91">
      <c r="D91" s="3" t="s">
        <v>759</v>
      </c>
      <c r="E91" s="3">
        <v>1.0</v>
      </c>
      <c r="K91" s="3"/>
      <c r="L91" s="3"/>
    </row>
    <row r="92">
      <c r="D92" s="3" t="s">
        <v>396</v>
      </c>
      <c r="E92" s="3">
        <v>1.0</v>
      </c>
      <c r="K92" s="3"/>
      <c r="L92" s="3"/>
    </row>
    <row r="93">
      <c r="D93" s="3" t="s">
        <v>573</v>
      </c>
      <c r="E93" s="3">
        <v>1.0</v>
      </c>
      <c r="K93" s="3"/>
      <c r="L93" s="3"/>
    </row>
    <row r="94">
      <c r="D94" s="3" t="s">
        <v>902</v>
      </c>
      <c r="E94" s="3">
        <v>1.0</v>
      </c>
      <c r="K94" s="3"/>
      <c r="L94" s="3"/>
    </row>
    <row r="95">
      <c r="D95" s="3" t="s">
        <v>714</v>
      </c>
      <c r="E95" s="3">
        <v>1.0</v>
      </c>
      <c r="K95" s="3"/>
      <c r="L95" s="3"/>
    </row>
    <row r="96">
      <c r="D96" s="3" t="s">
        <v>453</v>
      </c>
      <c r="E96" s="3">
        <v>1.0</v>
      </c>
      <c r="K96" s="3"/>
      <c r="L96" s="3"/>
    </row>
    <row r="97">
      <c r="D97" s="3" t="s">
        <v>1089</v>
      </c>
      <c r="E97" s="3">
        <v>1.0</v>
      </c>
      <c r="K97" s="3"/>
      <c r="L97" s="3"/>
    </row>
    <row r="98">
      <c r="D98" s="3" t="s">
        <v>651</v>
      </c>
      <c r="E98" s="3">
        <v>1.0</v>
      </c>
      <c r="K98" s="3"/>
      <c r="L98" s="3"/>
    </row>
    <row r="99">
      <c r="D99" s="3" t="s">
        <v>1113</v>
      </c>
      <c r="E99" s="3">
        <v>1.0</v>
      </c>
      <c r="K99" s="3"/>
      <c r="L99" s="3"/>
    </row>
    <row r="100">
      <c r="D100" s="3" t="s">
        <v>2316</v>
      </c>
      <c r="E100" s="3">
        <v>1.0</v>
      </c>
      <c r="K100" s="3"/>
      <c r="L100" s="3"/>
    </row>
    <row r="101">
      <c r="D101" s="3" t="s">
        <v>340</v>
      </c>
      <c r="E101" s="3">
        <v>1.0</v>
      </c>
      <c r="K101" s="3"/>
      <c r="L101" s="3"/>
    </row>
    <row r="102">
      <c r="D102" s="3" t="s">
        <v>2098</v>
      </c>
      <c r="E102" s="3">
        <v>1.0</v>
      </c>
      <c r="K102" s="3"/>
      <c r="L102" s="3"/>
    </row>
    <row r="103">
      <c r="D103" s="3" t="s">
        <v>1056</v>
      </c>
      <c r="E103" s="3">
        <v>1.0</v>
      </c>
      <c r="K103" s="3"/>
      <c r="L103" s="3"/>
    </row>
    <row r="104">
      <c r="D104" s="3" t="s">
        <v>766</v>
      </c>
      <c r="E104" s="3">
        <v>1.0</v>
      </c>
      <c r="K104" s="3"/>
      <c r="L104" s="3"/>
    </row>
    <row r="105">
      <c r="D105" s="3" t="s">
        <v>789</v>
      </c>
      <c r="E105" s="3">
        <v>1.0</v>
      </c>
      <c r="K105" s="3"/>
      <c r="L105" s="3"/>
    </row>
    <row r="106">
      <c r="D106" s="3" t="s">
        <v>795</v>
      </c>
      <c r="E106" s="3">
        <v>1.0</v>
      </c>
      <c r="K106" s="3"/>
      <c r="L106" s="3"/>
    </row>
    <row r="107">
      <c r="D107" s="3" t="s">
        <v>717</v>
      </c>
      <c r="E107" s="3">
        <v>1.0</v>
      </c>
      <c r="K107" s="3"/>
      <c r="L107" s="3"/>
    </row>
    <row r="108">
      <c r="D108" s="3" t="s">
        <v>1131</v>
      </c>
      <c r="E108" s="3">
        <v>1.0</v>
      </c>
      <c r="K108" s="3"/>
      <c r="L108" s="3"/>
    </row>
    <row r="109">
      <c r="D109" s="3" t="s">
        <v>1125</v>
      </c>
      <c r="E109" s="3">
        <v>1.0</v>
      </c>
      <c r="K109" s="3"/>
      <c r="L109" s="3"/>
    </row>
    <row r="110">
      <c r="D110" s="3" t="s">
        <v>287</v>
      </c>
      <c r="E110" s="3">
        <v>1.0</v>
      </c>
      <c r="K110" s="3"/>
      <c r="L110" s="3"/>
    </row>
    <row r="111">
      <c r="D111" s="3" t="s">
        <v>930</v>
      </c>
      <c r="E111" s="3">
        <v>1.0</v>
      </c>
      <c r="K111" s="3"/>
      <c r="L111" s="3"/>
    </row>
    <row r="112">
      <c r="D112" s="3" t="s">
        <v>802</v>
      </c>
      <c r="E112" s="3">
        <v>1.0</v>
      </c>
      <c r="K112" s="3"/>
      <c r="L112" s="3"/>
    </row>
    <row r="113">
      <c r="D113" s="3" t="s">
        <v>1025</v>
      </c>
      <c r="E113" s="3">
        <v>1.0</v>
      </c>
      <c r="K113" s="3"/>
      <c r="L113" s="3"/>
    </row>
    <row r="114">
      <c r="D114" s="3" t="s">
        <v>135</v>
      </c>
      <c r="E114" s="3">
        <v>1.0</v>
      </c>
      <c r="K114" s="3"/>
      <c r="L114" s="3"/>
    </row>
    <row r="115">
      <c r="D115" s="3" t="s">
        <v>1118</v>
      </c>
      <c r="E115" s="3">
        <v>1.0</v>
      </c>
      <c r="K115" s="3"/>
      <c r="L115" s="3"/>
    </row>
    <row r="116">
      <c r="D116" s="3" t="s">
        <v>1049</v>
      </c>
      <c r="E116" s="3">
        <v>1.0</v>
      </c>
      <c r="K116" s="3"/>
      <c r="L116" s="3"/>
    </row>
    <row r="117">
      <c r="D117" s="3" t="s">
        <v>1038</v>
      </c>
      <c r="E117" s="3">
        <v>1.0</v>
      </c>
      <c r="K117" s="3"/>
      <c r="L117" s="3"/>
    </row>
    <row r="118">
      <c r="D118" s="3" t="s">
        <v>428</v>
      </c>
      <c r="E118" s="3">
        <v>1.0</v>
      </c>
      <c r="K118" s="3"/>
      <c r="L118" s="3"/>
    </row>
    <row r="119">
      <c r="D119" s="3" t="s">
        <v>2296</v>
      </c>
      <c r="E119" s="3">
        <v>1.0</v>
      </c>
      <c r="K119" s="3"/>
      <c r="L119" s="3"/>
    </row>
    <row r="120">
      <c r="D120" s="3" t="s">
        <v>2330</v>
      </c>
      <c r="E120" s="3">
        <v>1.0</v>
      </c>
      <c r="K120" s="3"/>
      <c r="L120" s="3"/>
    </row>
    <row r="121">
      <c r="D121" s="3" t="s">
        <v>1128</v>
      </c>
      <c r="E121" s="3">
        <v>1.0</v>
      </c>
      <c r="K121" s="3"/>
      <c r="L121" s="3"/>
    </row>
    <row r="122">
      <c r="D122" s="3" t="s">
        <v>374</v>
      </c>
      <c r="E122" s="3">
        <v>1.0</v>
      </c>
      <c r="K122" s="3"/>
      <c r="L122" s="3"/>
    </row>
    <row r="123">
      <c r="D123" s="3" t="s">
        <v>2245</v>
      </c>
      <c r="E123" s="3">
        <v>1.0</v>
      </c>
      <c r="K123" s="3"/>
      <c r="L123" s="3"/>
    </row>
    <row r="124">
      <c r="D124" s="3" t="s">
        <v>24</v>
      </c>
      <c r="E124" s="3">
        <v>1.0</v>
      </c>
      <c r="K124" s="3"/>
      <c r="L124" s="3"/>
    </row>
    <row r="125">
      <c r="D125" s="3" t="s">
        <v>2333</v>
      </c>
      <c r="E125" s="3">
        <v>1.0</v>
      </c>
      <c r="K125" s="3"/>
      <c r="L125" s="3"/>
    </row>
    <row r="126">
      <c r="D126" s="3" t="s">
        <v>845</v>
      </c>
      <c r="E126" s="3">
        <v>1.0</v>
      </c>
      <c r="K126" s="3"/>
      <c r="L126" s="3"/>
    </row>
    <row r="127">
      <c r="D127" s="3" t="s">
        <v>670</v>
      </c>
      <c r="E127" s="3">
        <v>1.0</v>
      </c>
      <c r="K127" s="3"/>
      <c r="L127" s="3"/>
    </row>
    <row r="128">
      <c r="D128" s="3" t="s">
        <v>213</v>
      </c>
      <c r="E128" s="3">
        <v>1.0</v>
      </c>
      <c r="K128" s="3"/>
      <c r="L128" s="3"/>
    </row>
    <row r="129">
      <c r="D129" s="3" t="s">
        <v>654</v>
      </c>
      <c r="E129" s="3">
        <v>1.0</v>
      </c>
      <c r="K129" s="3"/>
      <c r="L129" s="3"/>
    </row>
    <row r="130">
      <c r="D130" s="3" t="s">
        <v>612</v>
      </c>
      <c r="E130" s="3">
        <v>1.0</v>
      </c>
      <c r="K130" s="3"/>
      <c r="L130" s="3"/>
    </row>
    <row r="131">
      <c r="D131" s="3" t="s">
        <v>514</v>
      </c>
      <c r="E131" s="3">
        <v>1.0</v>
      </c>
      <c r="K131" s="3"/>
      <c r="L131" s="3"/>
    </row>
    <row r="132">
      <c r="D132" s="3" t="s">
        <v>557</v>
      </c>
      <c r="E132" s="3">
        <v>1.0</v>
      </c>
      <c r="K132" s="3"/>
      <c r="L132" s="3"/>
    </row>
    <row r="133">
      <c r="D133" s="3" t="s">
        <v>591</v>
      </c>
      <c r="E133" s="3">
        <v>1.0</v>
      </c>
      <c r="K133" s="3"/>
      <c r="L133" s="3"/>
    </row>
    <row r="134">
      <c r="D134" s="3" t="s">
        <v>2305</v>
      </c>
      <c r="E134" s="3">
        <v>1.0</v>
      </c>
      <c r="K134" s="3"/>
      <c r="L134" s="3"/>
    </row>
    <row r="135">
      <c r="D135" s="3" t="s">
        <v>1096</v>
      </c>
      <c r="E135" s="3">
        <v>1.0</v>
      </c>
      <c r="K135" s="3"/>
      <c r="L135" s="3"/>
    </row>
    <row r="136">
      <c r="D136" s="3" t="s">
        <v>1005</v>
      </c>
      <c r="E136" s="3">
        <v>1.0</v>
      </c>
      <c r="K136" s="3"/>
      <c r="L136" s="3"/>
    </row>
    <row r="137">
      <c r="D137" s="3" t="s">
        <v>405</v>
      </c>
      <c r="E137" s="3">
        <v>1.0</v>
      </c>
      <c r="K137" s="3"/>
      <c r="L137" s="3"/>
    </row>
    <row r="138">
      <c r="D138" s="3" t="s">
        <v>1041</v>
      </c>
      <c r="E138" s="3">
        <v>1.0</v>
      </c>
      <c r="K138" s="3"/>
      <c r="L138" s="3"/>
    </row>
    <row r="139">
      <c r="D139" s="3" t="s">
        <v>1008</v>
      </c>
      <c r="E139" s="3">
        <v>1.0</v>
      </c>
      <c r="K139" s="3"/>
      <c r="L139" s="3"/>
    </row>
    <row r="140">
      <c r="D140" s="3" t="s">
        <v>865</v>
      </c>
      <c r="E140" s="3">
        <v>1.0</v>
      </c>
      <c r="K140" s="3"/>
      <c r="L140" s="3"/>
    </row>
    <row r="141">
      <c r="D141" s="3" t="s">
        <v>1046</v>
      </c>
      <c r="E141" s="3">
        <v>1.0</v>
      </c>
      <c r="K141" s="3"/>
      <c r="L141" s="3"/>
    </row>
    <row r="142">
      <c r="D142" s="3" t="s">
        <v>852</v>
      </c>
      <c r="E142" s="3">
        <v>1.0</v>
      </c>
      <c r="K142" s="3"/>
      <c r="L142" s="3"/>
    </row>
    <row r="143">
      <c r="D143" s="3" t="s">
        <v>164</v>
      </c>
      <c r="E143" s="3">
        <v>1.0</v>
      </c>
      <c r="K143" s="3"/>
      <c r="L143" s="3"/>
    </row>
    <row r="144">
      <c r="D144" s="3" t="s">
        <v>825</v>
      </c>
      <c r="E144" s="3">
        <v>1.0</v>
      </c>
      <c r="K144" s="3"/>
      <c r="L144" s="3"/>
    </row>
    <row r="145">
      <c r="D145" s="3" t="s">
        <v>173</v>
      </c>
      <c r="E145" s="3">
        <v>1.0</v>
      </c>
      <c r="K145" s="3"/>
      <c r="L145" s="3"/>
    </row>
    <row r="146">
      <c r="D146" s="3" t="s">
        <v>874</v>
      </c>
      <c r="E146" s="3">
        <v>1.0</v>
      </c>
      <c r="K146" s="3"/>
      <c r="L146" s="3"/>
    </row>
    <row r="147">
      <c r="D147" s="3" t="s">
        <v>542</v>
      </c>
      <c r="E147" s="3">
        <v>1.0</v>
      </c>
      <c r="K147" s="3"/>
      <c r="L147" s="3"/>
    </row>
    <row r="148">
      <c r="D148" s="3" t="s">
        <v>1063</v>
      </c>
      <c r="E148" s="3">
        <v>1.0</v>
      </c>
      <c r="K148" s="3"/>
      <c r="L148" s="3"/>
    </row>
    <row r="149">
      <c r="D149" s="3" t="s">
        <v>2487</v>
      </c>
      <c r="E149" s="3">
        <v>1.0</v>
      </c>
      <c r="K149" s="3"/>
      <c r="L149" s="3"/>
    </row>
    <row r="150">
      <c r="D150" s="3" t="s">
        <v>988</v>
      </c>
      <c r="E150" s="3">
        <v>1.0</v>
      </c>
      <c r="K150" s="3"/>
      <c r="L150" s="3"/>
    </row>
    <row r="151">
      <c r="D151" s="3"/>
      <c r="E151" s="3"/>
      <c r="K151" s="3"/>
      <c r="L151" s="3"/>
    </row>
    <row r="152">
      <c r="D152" s="3"/>
      <c r="E152" s="3"/>
      <c r="K152" s="3"/>
      <c r="L152" s="3"/>
    </row>
    <row r="153">
      <c r="D153" s="3"/>
      <c r="E153" s="3"/>
      <c r="K153" s="3"/>
      <c r="L153" s="3"/>
    </row>
    <row r="154">
      <c r="D154" s="3"/>
      <c r="E154" s="3"/>
      <c r="K154" s="3"/>
      <c r="L154" s="3"/>
    </row>
    <row r="155">
      <c r="D155" s="3"/>
      <c r="E155" s="3"/>
      <c r="K155" s="3"/>
      <c r="L155" s="3"/>
    </row>
    <row r="156">
      <c r="D156" s="3"/>
      <c r="E156" s="3"/>
      <c r="K156" s="3"/>
      <c r="L156" s="3"/>
    </row>
    <row r="157">
      <c r="D157" s="3"/>
      <c r="E157" s="3"/>
      <c r="K157" s="3"/>
      <c r="L157" s="3"/>
    </row>
    <row r="158">
      <c r="D158" s="3"/>
      <c r="E158" s="3"/>
      <c r="K158" s="3"/>
      <c r="L158" s="3"/>
    </row>
    <row r="159">
      <c r="D159" s="3"/>
      <c r="E159" s="3"/>
      <c r="K159" s="3"/>
      <c r="L159" s="3"/>
    </row>
    <row r="160">
      <c r="D160" s="3"/>
      <c r="E160" s="3"/>
      <c r="K160" s="3"/>
      <c r="L160" s="3"/>
    </row>
    <row r="161">
      <c r="D161" s="3"/>
      <c r="E161" s="3"/>
      <c r="K161" s="3"/>
      <c r="L161" s="3"/>
    </row>
    <row r="162">
      <c r="D162" s="3"/>
      <c r="E162" s="3"/>
      <c r="K162" s="3"/>
      <c r="L162" s="3"/>
    </row>
    <row r="163">
      <c r="D163" s="3"/>
      <c r="E163" s="3"/>
      <c r="K163" s="3"/>
      <c r="L163" s="3"/>
    </row>
    <row r="164">
      <c r="D164" s="3"/>
      <c r="E164" s="3"/>
      <c r="K164" s="3"/>
      <c r="L164" s="3"/>
    </row>
    <row r="165">
      <c r="D165" s="3"/>
      <c r="E165" s="3"/>
      <c r="K165" s="3"/>
      <c r="L165" s="3"/>
    </row>
    <row r="166">
      <c r="D166" s="3"/>
      <c r="E166" s="3"/>
      <c r="K166" s="3"/>
      <c r="L166" s="3"/>
    </row>
    <row r="167">
      <c r="D167" s="3"/>
      <c r="E167" s="3"/>
      <c r="K167" s="3"/>
      <c r="L167" s="3"/>
    </row>
    <row r="168">
      <c r="D168" s="3"/>
      <c r="E168" s="3"/>
      <c r="K168" s="3"/>
      <c r="L168" s="3"/>
    </row>
    <row r="169">
      <c r="D169" s="3"/>
      <c r="E169" s="3"/>
      <c r="K169" s="3"/>
      <c r="L169" s="3"/>
    </row>
    <row r="170">
      <c r="D170" s="3"/>
      <c r="E170" s="3"/>
      <c r="K170" s="3"/>
      <c r="L170" s="3"/>
    </row>
    <row r="171">
      <c r="D171" s="3"/>
      <c r="E171" s="3"/>
      <c r="K171" s="3"/>
      <c r="L171" s="3"/>
    </row>
    <row r="172">
      <c r="D172" s="3"/>
      <c r="E172" s="3"/>
      <c r="K172" s="3"/>
      <c r="L172" s="3"/>
    </row>
    <row r="173">
      <c r="D173" s="3"/>
      <c r="E173" s="3"/>
      <c r="K173" s="3"/>
      <c r="L173" s="3"/>
    </row>
    <row r="174">
      <c r="D174" s="3"/>
      <c r="E174" s="3"/>
      <c r="K174" s="3"/>
      <c r="L174" s="3"/>
    </row>
    <row r="175">
      <c r="D175" s="3"/>
      <c r="E175" s="3"/>
      <c r="K175" s="3"/>
      <c r="L175" s="3"/>
    </row>
    <row r="176">
      <c r="D176" s="3"/>
      <c r="E176" s="3"/>
      <c r="K176" s="3"/>
      <c r="L176" s="3"/>
    </row>
    <row r="177">
      <c r="D177" s="3"/>
      <c r="E177" s="3"/>
      <c r="K177" s="3"/>
      <c r="L177" s="3"/>
    </row>
    <row r="178">
      <c r="D178" s="3"/>
      <c r="E178" s="3"/>
      <c r="K178" s="3"/>
      <c r="L178" s="3"/>
    </row>
    <row r="179">
      <c r="D179" s="3"/>
      <c r="E179" s="3"/>
      <c r="K179" s="3"/>
      <c r="L179" s="3"/>
    </row>
    <row r="180">
      <c r="D180" s="3"/>
      <c r="E180" s="3"/>
      <c r="K180" s="3"/>
      <c r="L180" s="3"/>
    </row>
    <row r="181">
      <c r="D181" s="3"/>
      <c r="E181" s="3"/>
      <c r="K181" s="3"/>
      <c r="L181" s="3"/>
    </row>
    <row r="182">
      <c r="D182" s="3"/>
      <c r="E182" s="3"/>
      <c r="K182" s="3"/>
      <c r="L182" s="3"/>
    </row>
    <row r="183">
      <c r="D183" s="3"/>
      <c r="E183" s="3"/>
      <c r="K183" s="3"/>
      <c r="L183" s="3"/>
    </row>
    <row r="184">
      <c r="D184" s="3"/>
      <c r="E184" s="3"/>
      <c r="K184" s="3"/>
      <c r="L184" s="3"/>
    </row>
    <row r="185">
      <c r="D185" s="3"/>
      <c r="E185" s="3"/>
      <c r="K185" s="3"/>
      <c r="L185" s="3"/>
    </row>
    <row r="186">
      <c r="D186" s="3"/>
      <c r="E186" s="3"/>
      <c r="K186" s="3"/>
      <c r="L186" s="3"/>
    </row>
    <row r="187">
      <c r="D187" s="3"/>
      <c r="E187" s="3"/>
      <c r="K187" s="3"/>
      <c r="L187" s="3"/>
    </row>
    <row r="188">
      <c r="D188" s="3"/>
      <c r="E188" s="3"/>
      <c r="K188" s="3"/>
      <c r="L188" s="3"/>
    </row>
    <row r="189">
      <c r="D189" s="3"/>
      <c r="E189" s="3"/>
      <c r="K189" s="3"/>
      <c r="L189" s="3"/>
    </row>
    <row r="190">
      <c r="D190" s="3"/>
      <c r="E190" s="3"/>
      <c r="K190" s="3"/>
      <c r="L190" s="3"/>
    </row>
    <row r="191">
      <c r="D191" s="3"/>
      <c r="E191" s="3"/>
      <c r="K191" s="3"/>
      <c r="L191" s="3"/>
    </row>
    <row r="192">
      <c r="D192" s="3"/>
      <c r="E192" s="3"/>
      <c r="K192" s="3"/>
      <c r="L192" s="3"/>
    </row>
    <row r="193">
      <c r="D193" s="3"/>
      <c r="E193" s="3"/>
      <c r="K193" s="3"/>
      <c r="L193" s="3"/>
    </row>
    <row r="194">
      <c r="D194" s="3"/>
      <c r="E194" s="3"/>
      <c r="K194" s="3"/>
      <c r="L194" s="3"/>
    </row>
    <row r="195">
      <c r="D195" s="3"/>
      <c r="E195" s="3"/>
      <c r="K195" s="3"/>
      <c r="L195" s="3"/>
    </row>
    <row r="196">
      <c r="D196" s="3"/>
      <c r="E196" s="3"/>
      <c r="K196" s="3"/>
      <c r="L196" s="3"/>
    </row>
    <row r="197">
      <c r="D197" s="3"/>
      <c r="E197" s="3"/>
      <c r="K197" s="3"/>
      <c r="L197" s="3"/>
    </row>
    <row r="198">
      <c r="D198" s="3"/>
      <c r="E198" s="3"/>
      <c r="K198" s="3"/>
      <c r="L198" s="3"/>
    </row>
    <row r="199">
      <c r="D199" s="3"/>
      <c r="E199" s="3"/>
      <c r="K199" s="3"/>
      <c r="L199" s="3"/>
    </row>
    <row r="200">
      <c r="D200" s="3"/>
      <c r="E200" s="3"/>
      <c r="K200" s="3"/>
      <c r="L200" s="3"/>
    </row>
    <row r="201">
      <c r="D201" s="3"/>
      <c r="E201" s="3"/>
      <c r="K201" s="3"/>
      <c r="L201" s="3"/>
    </row>
    <row r="202">
      <c r="D202" s="3"/>
      <c r="E202" s="3"/>
      <c r="K202" s="3"/>
      <c r="L202" s="3"/>
    </row>
    <row r="203">
      <c r="D203" s="3"/>
      <c r="E203" s="3"/>
      <c r="K203" s="3"/>
      <c r="L203" s="3"/>
    </row>
    <row r="204">
      <c r="D204" s="3"/>
      <c r="E204" s="3"/>
      <c r="K204" s="3"/>
      <c r="L204" s="3"/>
    </row>
    <row r="205">
      <c r="D205" s="3"/>
      <c r="E205" s="3"/>
      <c r="K205" s="3"/>
      <c r="L205" s="3"/>
    </row>
    <row r="206">
      <c r="D206" s="3"/>
      <c r="E206" s="3"/>
      <c r="K206" s="3"/>
      <c r="L206" s="3"/>
    </row>
    <row r="207">
      <c r="D207" s="3"/>
      <c r="E207" s="3"/>
      <c r="K207" s="3"/>
      <c r="L207" s="3"/>
    </row>
    <row r="208">
      <c r="D208" s="3"/>
      <c r="E208" s="3"/>
      <c r="K208" s="3"/>
      <c r="L208" s="3"/>
    </row>
    <row r="209">
      <c r="D209" s="3"/>
      <c r="E209" s="3"/>
      <c r="K209" s="3"/>
      <c r="L209" s="3"/>
    </row>
    <row r="210">
      <c r="D210" s="3"/>
      <c r="E210" s="3"/>
      <c r="K210" s="3"/>
      <c r="L210" s="3"/>
    </row>
    <row r="211">
      <c r="D211" s="3"/>
      <c r="E211" s="3"/>
      <c r="K211" s="3"/>
      <c r="L211" s="3"/>
    </row>
    <row r="212">
      <c r="D212" s="3"/>
      <c r="E212" s="3"/>
      <c r="K212" s="3"/>
      <c r="L212" s="3"/>
    </row>
    <row r="213">
      <c r="D213" s="3"/>
      <c r="E213" s="3"/>
      <c r="K213" s="3"/>
      <c r="L213" s="3"/>
    </row>
    <row r="214">
      <c r="D214" s="3"/>
      <c r="E214" s="3"/>
      <c r="K214" s="3"/>
      <c r="L214" s="3"/>
    </row>
    <row r="215">
      <c r="D215" s="3"/>
      <c r="E215" s="3"/>
      <c r="K215" s="3"/>
      <c r="L215" s="3"/>
    </row>
    <row r="216">
      <c r="D216" s="3"/>
      <c r="E216" s="3"/>
      <c r="K216" s="3"/>
      <c r="L216" s="3"/>
    </row>
    <row r="217">
      <c r="D217" s="3"/>
      <c r="E217" s="3"/>
      <c r="K217" s="3"/>
      <c r="L217" s="3"/>
    </row>
    <row r="218">
      <c r="D218" s="3"/>
      <c r="E218" s="3"/>
      <c r="K218" s="3"/>
      <c r="L218" s="3"/>
    </row>
    <row r="219">
      <c r="D219" s="3"/>
      <c r="E219" s="3"/>
      <c r="K219" s="3"/>
      <c r="L219" s="3"/>
    </row>
    <row r="220">
      <c r="D220" s="3"/>
      <c r="E220" s="3"/>
      <c r="K220" s="3"/>
      <c r="L220" s="3"/>
    </row>
    <row r="221">
      <c r="D221" s="3"/>
      <c r="E221" s="3"/>
      <c r="K221" s="3"/>
      <c r="L221" s="3"/>
    </row>
    <row r="222">
      <c r="D222" s="3"/>
      <c r="E222" s="3"/>
      <c r="K222" s="3"/>
      <c r="L222" s="3"/>
    </row>
    <row r="223">
      <c r="D223" s="3"/>
      <c r="E223" s="3"/>
      <c r="K223" s="3"/>
      <c r="L223" s="3"/>
    </row>
    <row r="224">
      <c r="D224" s="3"/>
      <c r="E224" s="3"/>
      <c r="K224" s="3"/>
      <c r="L224" s="3"/>
    </row>
    <row r="225">
      <c r="D225" s="3"/>
      <c r="E225" s="3"/>
      <c r="K225" s="3"/>
      <c r="L225" s="3"/>
    </row>
    <row r="226">
      <c r="D226" s="3"/>
      <c r="E226" s="3"/>
      <c r="K226" s="3"/>
      <c r="L226" s="3"/>
    </row>
    <row r="227">
      <c r="D227" s="3"/>
      <c r="E227" s="3"/>
      <c r="K227" s="3"/>
      <c r="L227" s="3"/>
    </row>
    <row r="228">
      <c r="D228" s="3"/>
      <c r="E228" s="3"/>
      <c r="K228" s="3"/>
      <c r="L228" s="3"/>
    </row>
    <row r="229">
      <c r="D229" s="3"/>
      <c r="E229" s="3"/>
      <c r="K229" s="3"/>
      <c r="L229" s="3"/>
    </row>
    <row r="230">
      <c r="D230" s="3"/>
      <c r="E230" s="3"/>
      <c r="K230" s="3"/>
      <c r="L230" s="3"/>
    </row>
    <row r="231">
      <c r="D231" s="3"/>
      <c r="E231" s="3"/>
      <c r="K231" s="3"/>
      <c r="L231" s="3"/>
    </row>
    <row r="232">
      <c r="D232" s="3"/>
      <c r="E232" s="3"/>
      <c r="K232" s="3"/>
      <c r="L232" s="3"/>
    </row>
    <row r="233">
      <c r="D233" s="3"/>
      <c r="E233" s="3"/>
      <c r="K233" s="3"/>
      <c r="L233" s="3"/>
    </row>
    <row r="234">
      <c r="D234" s="3"/>
      <c r="E234" s="3"/>
      <c r="K234" s="3"/>
      <c r="L234" s="3"/>
    </row>
    <row r="235">
      <c r="D235" s="3"/>
      <c r="E235" s="3"/>
      <c r="K235" s="3"/>
      <c r="L235" s="3"/>
    </row>
    <row r="236">
      <c r="D236" s="3"/>
      <c r="E236" s="3"/>
      <c r="K236" s="3"/>
      <c r="L236" s="3"/>
    </row>
    <row r="237">
      <c r="D237" s="3"/>
      <c r="E237" s="3"/>
      <c r="K237" s="3"/>
      <c r="L237" s="3"/>
    </row>
    <row r="238">
      <c r="D238" s="3"/>
      <c r="E238" s="3"/>
      <c r="K238" s="3"/>
      <c r="L238" s="3"/>
    </row>
    <row r="239">
      <c r="D239" s="3"/>
      <c r="E239" s="3"/>
      <c r="K239" s="3"/>
      <c r="L239" s="3"/>
    </row>
    <row r="240">
      <c r="D240" s="3"/>
      <c r="E240" s="3"/>
      <c r="K240" s="3"/>
      <c r="L240" s="3"/>
    </row>
    <row r="241">
      <c r="D241" s="3"/>
      <c r="E241" s="3"/>
      <c r="K241" s="3"/>
      <c r="L241" s="3"/>
    </row>
    <row r="242">
      <c r="D242" s="3"/>
      <c r="E242" s="3"/>
      <c r="K242" s="3"/>
      <c r="L242" s="3"/>
    </row>
    <row r="243">
      <c r="D243" s="3"/>
      <c r="E243" s="3"/>
      <c r="K243" s="3"/>
      <c r="L243" s="3"/>
    </row>
    <row r="244">
      <c r="D244" s="3"/>
      <c r="E244" s="3"/>
      <c r="K244" s="3"/>
      <c r="L244" s="3"/>
    </row>
    <row r="245">
      <c r="D245" s="3"/>
      <c r="E245" s="3"/>
      <c r="K245" s="3"/>
      <c r="L245" s="3"/>
    </row>
    <row r="246">
      <c r="D246" s="3"/>
      <c r="E246" s="3"/>
      <c r="K246" s="3"/>
      <c r="L246" s="3"/>
    </row>
    <row r="247">
      <c r="D247" s="3"/>
      <c r="E247" s="3"/>
      <c r="K247" s="3"/>
      <c r="L247" s="3"/>
    </row>
    <row r="248">
      <c r="D248" s="3"/>
      <c r="E248" s="3"/>
      <c r="K248" s="3"/>
      <c r="L248" s="3"/>
    </row>
    <row r="249">
      <c r="D249" s="3"/>
      <c r="E249" s="3"/>
      <c r="K249" s="3"/>
      <c r="L249" s="3"/>
    </row>
    <row r="250">
      <c r="D250" s="3"/>
      <c r="E250" s="3"/>
      <c r="K250" s="3"/>
      <c r="L250" s="3"/>
    </row>
    <row r="251">
      <c r="D251" s="3"/>
      <c r="E251" s="3"/>
      <c r="K251" s="3"/>
      <c r="L251" s="3"/>
    </row>
    <row r="252">
      <c r="D252" s="3"/>
      <c r="E252" s="3"/>
      <c r="K252" s="3"/>
      <c r="L252" s="3"/>
    </row>
    <row r="253">
      <c r="D253" s="3"/>
      <c r="E253" s="3"/>
      <c r="K253" s="3"/>
      <c r="L253" s="3"/>
    </row>
    <row r="254">
      <c r="D254" s="3"/>
      <c r="E254" s="3"/>
      <c r="K254" s="3"/>
      <c r="L254" s="3"/>
    </row>
    <row r="255">
      <c r="D255" s="3"/>
      <c r="E255" s="3"/>
      <c r="K255" s="3"/>
      <c r="L255" s="3"/>
    </row>
    <row r="256">
      <c r="D256" s="3"/>
      <c r="E256" s="3"/>
      <c r="K256" s="3"/>
      <c r="L256" s="3"/>
    </row>
    <row r="257">
      <c r="D257" s="3"/>
      <c r="E257" s="3"/>
      <c r="K257" s="3"/>
      <c r="L257" s="3"/>
    </row>
    <row r="258">
      <c r="D258" s="3"/>
      <c r="E258" s="3"/>
      <c r="K258" s="3"/>
      <c r="L258" s="3"/>
    </row>
    <row r="259">
      <c r="D259" s="3"/>
      <c r="E259" s="3"/>
      <c r="K259" s="3"/>
      <c r="L259" s="3"/>
    </row>
    <row r="260">
      <c r="D260" s="3"/>
      <c r="E260" s="3"/>
      <c r="K260" s="3"/>
      <c r="L260" s="3"/>
    </row>
    <row r="261">
      <c r="D261" s="3"/>
      <c r="E261" s="3"/>
      <c r="K261" s="3"/>
      <c r="L261" s="3"/>
    </row>
    <row r="262">
      <c r="D262" s="3"/>
      <c r="E262" s="3"/>
      <c r="K262" s="3"/>
      <c r="L262" s="3"/>
    </row>
    <row r="263">
      <c r="D263" s="3"/>
      <c r="E263" s="3"/>
      <c r="K263" s="3"/>
      <c r="L263" s="3"/>
    </row>
    <row r="264">
      <c r="D264" s="3"/>
      <c r="E264" s="3"/>
      <c r="K264" s="3"/>
      <c r="L264" s="3"/>
    </row>
    <row r="265">
      <c r="D265" s="3"/>
      <c r="E265" s="3"/>
      <c r="K265" s="3"/>
      <c r="L265" s="3"/>
    </row>
    <row r="266">
      <c r="D266" s="3"/>
      <c r="E266" s="3"/>
      <c r="K266" s="3"/>
      <c r="L266" s="3"/>
    </row>
    <row r="267">
      <c r="D267" s="3"/>
      <c r="E267" s="3"/>
      <c r="K267" s="3"/>
      <c r="L267" s="3"/>
    </row>
    <row r="268">
      <c r="D268" s="3"/>
      <c r="E268" s="3"/>
      <c r="K268" s="3"/>
      <c r="L268" s="3"/>
    </row>
    <row r="269">
      <c r="D269" s="3"/>
      <c r="E269" s="3"/>
      <c r="K269" s="3"/>
      <c r="L269" s="3"/>
    </row>
    <row r="270">
      <c r="D270" s="3"/>
      <c r="E270" s="3"/>
      <c r="K270" s="3"/>
      <c r="L270" s="3"/>
    </row>
    <row r="271">
      <c r="D271" s="3"/>
      <c r="E271" s="3"/>
      <c r="K271" s="3"/>
      <c r="L271" s="3"/>
    </row>
    <row r="272">
      <c r="D272" s="3"/>
      <c r="E272" s="3"/>
      <c r="K272" s="3"/>
      <c r="L272" s="3"/>
    </row>
    <row r="273">
      <c r="D273" s="3"/>
      <c r="E273" s="3"/>
      <c r="K273" s="3"/>
      <c r="L273" s="3"/>
    </row>
    <row r="274">
      <c r="D274" s="3"/>
      <c r="E274" s="3"/>
      <c r="K274" s="3"/>
      <c r="L274" s="3"/>
    </row>
    <row r="275">
      <c r="D275" s="3"/>
      <c r="E275" s="3"/>
      <c r="K275" s="3"/>
      <c r="L275" s="3"/>
    </row>
    <row r="276">
      <c r="D276" s="3"/>
      <c r="E276" s="3"/>
      <c r="K276" s="3"/>
      <c r="L276" s="3"/>
    </row>
    <row r="277">
      <c r="D277" s="3"/>
      <c r="E277" s="3"/>
      <c r="K277" s="3"/>
      <c r="L277" s="3"/>
    </row>
    <row r="278">
      <c r="D278" s="3"/>
      <c r="E278" s="3"/>
      <c r="K278" s="3"/>
      <c r="L278" s="3"/>
    </row>
    <row r="279">
      <c r="D279" s="3"/>
      <c r="E279" s="3"/>
      <c r="K279" s="3"/>
      <c r="L279" s="3"/>
    </row>
    <row r="280">
      <c r="D280" s="3"/>
      <c r="E280" s="3"/>
      <c r="K280" s="3"/>
      <c r="L280" s="3"/>
    </row>
    <row r="281">
      <c r="D281" s="3"/>
      <c r="E281" s="3"/>
      <c r="K281" s="3"/>
      <c r="L281" s="3"/>
    </row>
    <row r="282">
      <c r="D282" s="3"/>
      <c r="E282" s="3"/>
      <c r="K282" s="3"/>
      <c r="L282" s="3"/>
    </row>
    <row r="283">
      <c r="D283" s="3"/>
      <c r="E283" s="3"/>
      <c r="K283" s="3"/>
      <c r="L283" s="3"/>
    </row>
    <row r="284">
      <c r="D284" s="3"/>
      <c r="E284" s="3"/>
      <c r="K284" s="3"/>
      <c r="L284" s="3"/>
    </row>
    <row r="285">
      <c r="D285" s="3"/>
      <c r="E285" s="3"/>
      <c r="K285" s="3"/>
      <c r="L285" s="3"/>
    </row>
    <row r="286">
      <c r="D286" s="3"/>
      <c r="E286" s="3"/>
      <c r="K286" s="3"/>
      <c r="L286" s="3"/>
    </row>
    <row r="287">
      <c r="D287" s="3"/>
      <c r="E287" s="3"/>
      <c r="K287" s="3"/>
      <c r="L287" s="3"/>
    </row>
    <row r="288">
      <c r="D288" s="3"/>
      <c r="E288" s="3"/>
      <c r="K288" s="3"/>
      <c r="L288" s="3"/>
    </row>
    <row r="289">
      <c r="D289" s="3"/>
      <c r="E289" s="3"/>
      <c r="K289" s="3"/>
      <c r="L289" s="3"/>
    </row>
    <row r="290">
      <c r="D290" s="3"/>
      <c r="E290" s="3"/>
      <c r="K290" s="3"/>
      <c r="L290" s="3"/>
    </row>
    <row r="291">
      <c r="D291" s="3"/>
      <c r="E291" s="3"/>
      <c r="K291" s="3"/>
      <c r="L291" s="3"/>
    </row>
    <row r="292">
      <c r="D292" s="3"/>
      <c r="E292" s="3"/>
      <c r="K292" s="3"/>
      <c r="L292" s="3"/>
    </row>
    <row r="293">
      <c r="D293" s="3"/>
      <c r="E293" s="3"/>
      <c r="K293" s="3"/>
      <c r="L293" s="3"/>
    </row>
    <row r="294">
      <c r="D294" s="3"/>
      <c r="E294" s="3"/>
      <c r="K294" s="3"/>
      <c r="L294" s="3"/>
    </row>
    <row r="295">
      <c r="D295" s="3"/>
      <c r="E295" s="3"/>
      <c r="K295" s="3"/>
      <c r="L295" s="3"/>
    </row>
    <row r="296">
      <c r="D296" s="3"/>
      <c r="E296" s="3"/>
      <c r="K296" s="3"/>
      <c r="L296" s="3"/>
    </row>
    <row r="297">
      <c r="D297" s="3"/>
      <c r="E297" s="3"/>
      <c r="K297" s="3"/>
      <c r="L297" s="3"/>
    </row>
    <row r="298">
      <c r="D298" s="3"/>
      <c r="E298" s="3"/>
      <c r="K298" s="3"/>
      <c r="L298" s="3"/>
    </row>
    <row r="299">
      <c r="D299" s="3"/>
      <c r="E299" s="3"/>
      <c r="K299" s="3"/>
      <c r="L299" s="3"/>
    </row>
    <row r="300">
      <c r="D300" s="3"/>
      <c r="E300" s="3"/>
      <c r="K300" s="3"/>
      <c r="L300" s="3"/>
    </row>
    <row r="301">
      <c r="D301" s="3"/>
      <c r="E301" s="3"/>
      <c r="K301" s="3"/>
      <c r="L301" s="3"/>
    </row>
    <row r="302">
      <c r="D302" s="3"/>
      <c r="E302" s="3"/>
      <c r="K302" s="3"/>
      <c r="L302" s="3"/>
    </row>
    <row r="303">
      <c r="D303" s="3"/>
      <c r="E303" s="3"/>
      <c r="K303" s="3"/>
      <c r="L303" s="3"/>
    </row>
    <row r="304">
      <c r="D304" s="3"/>
      <c r="E304" s="3"/>
      <c r="K304" s="3"/>
      <c r="L304" s="3"/>
    </row>
    <row r="305">
      <c r="D305" s="3"/>
      <c r="E305" s="3"/>
      <c r="K305" s="3"/>
      <c r="L305" s="3"/>
    </row>
    <row r="306">
      <c r="D306" s="3"/>
      <c r="E306" s="3"/>
      <c r="K306" s="3"/>
      <c r="L306" s="3"/>
    </row>
    <row r="307">
      <c r="D307" s="3"/>
      <c r="E307" s="3"/>
      <c r="K307" s="3"/>
      <c r="L307" s="3"/>
    </row>
    <row r="308">
      <c r="D308" s="3"/>
      <c r="E308" s="3"/>
      <c r="K308" s="3"/>
      <c r="L308" s="3"/>
    </row>
    <row r="309">
      <c r="D309" s="3"/>
      <c r="E309" s="3"/>
      <c r="K309" s="3"/>
      <c r="L309" s="3"/>
    </row>
    <row r="310">
      <c r="D310" s="3"/>
      <c r="E310" s="3"/>
      <c r="K310" s="3"/>
      <c r="L310" s="3"/>
    </row>
    <row r="311">
      <c r="D311" s="3"/>
      <c r="E311" s="3"/>
      <c r="K311" s="3"/>
      <c r="L311" s="3"/>
    </row>
    <row r="312">
      <c r="D312" s="3"/>
      <c r="E312" s="3"/>
      <c r="K312" s="3"/>
      <c r="L312" s="3"/>
    </row>
    <row r="313">
      <c r="D313" s="3"/>
      <c r="E313" s="3"/>
      <c r="K313" s="3"/>
      <c r="L313" s="3"/>
    </row>
    <row r="314">
      <c r="D314" s="3"/>
      <c r="E314" s="3"/>
      <c r="K314" s="3"/>
      <c r="L314" s="3"/>
    </row>
    <row r="315">
      <c r="D315" s="3"/>
      <c r="E315" s="3"/>
      <c r="K315" s="3"/>
      <c r="L315" s="3"/>
    </row>
    <row r="316">
      <c r="D316" s="3"/>
      <c r="E316" s="3"/>
      <c r="K316" s="3"/>
      <c r="L316" s="3"/>
    </row>
    <row r="317">
      <c r="D317" s="3"/>
      <c r="E317" s="3"/>
      <c r="K317" s="3"/>
      <c r="L317" s="3"/>
    </row>
    <row r="318">
      <c r="D318" s="3"/>
      <c r="E318" s="3"/>
      <c r="K318" s="3"/>
      <c r="L318" s="3"/>
    </row>
    <row r="319">
      <c r="D319" s="3"/>
      <c r="E319" s="3"/>
      <c r="K319" s="3"/>
      <c r="L319" s="3"/>
    </row>
    <row r="320">
      <c r="D320" s="3"/>
      <c r="E320" s="3"/>
      <c r="K320" s="3"/>
      <c r="L320" s="3"/>
    </row>
    <row r="321">
      <c r="D321" s="3"/>
      <c r="E321" s="3"/>
      <c r="K321" s="3"/>
      <c r="L321" s="3"/>
    </row>
    <row r="322">
      <c r="D322" s="3"/>
      <c r="E322" s="3"/>
      <c r="K322" s="3"/>
      <c r="L322" s="3"/>
    </row>
    <row r="323">
      <c r="D323" s="3"/>
      <c r="E323" s="3"/>
      <c r="K323" s="3"/>
      <c r="L323" s="3"/>
    </row>
    <row r="324">
      <c r="D324" s="3"/>
      <c r="E324" s="3"/>
      <c r="K324" s="3"/>
      <c r="L324" s="3"/>
    </row>
    <row r="325">
      <c r="D325" s="3"/>
      <c r="E325" s="3"/>
      <c r="K325" s="3"/>
      <c r="L325" s="3"/>
    </row>
    <row r="326">
      <c r="D326" s="3"/>
      <c r="E326" s="3"/>
      <c r="K326" s="3"/>
      <c r="L326" s="3"/>
    </row>
    <row r="327">
      <c r="D327" s="3"/>
      <c r="E327" s="3"/>
      <c r="K327" s="3"/>
      <c r="L327" s="3"/>
    </row>
    <row r="328">
      <c r="D328" s="3"/>
      <c r="E328" s="3"/>
      <c r="K328" s="3"/>
      <c r="L328" s="3"/>
    </row>
    <row r="329">
      <c r="D329" s="3"/>
      <c r="E329" s="3"/>
      <c r="K329" s="3"/>
      <c r="L329" s="3"/>
    </row>
    <row r="330">
      <c r="D330" s="3"/>
      <c r="E330" s="3"/>
      <c r="K330" s="3"/>
      <c r="L330" s="3"/>
    </row>
    <row r="331">
      <c r="D331" s="3"/>
      <c r="E331" s="3"/>
      <c r="K331" s="3"/>
      <c r="L331" s="3"/>
    </row>
    <row r="332">
      <c r="D332" s="3"/>
      <c r="E332" s="3"/>
      <c r="K332" s="3"/>
      <c r="L332" s="3"/>
    </row>
    <row r="333">
      <c r="D333" s="3"/>
      <c r="E333" s="3"/>
      <c r="K333" s="3"/>
      <c r="L333" s="3"/>
    </row>
    <row r="334">
      <c r="D334" s="3"/>
      <c r="E334" s="3"/>
      <c r="K334" s="3"/>
      <c r="L334" s="3"/>
    </row>
    <row r="335">
      <c r="D335" s="3"/>
      <c r="E335" s="3"/>
      <c r="K335" s="3"/>
      <c r="L335" s="3"/>
    </row>
    <row r="336">
      <c r="D336" s="3"/>
      <c r="E336" s="3"/>
      <c r="K336" s="3"/>
      <c r="L336" s="3"/>
    </row>
    <row r="337">
      <c r="D337" s="3"/>
      <c r="E337" s="3"/>
      <c r="K337" s="3"/>
      <c r="L337" s="3"/>
    </row>
    <row r="338">
      <c r="D338" s="3"/>
      <c r="E338" s="3"/>
      <c r="K338" s="3"/>
      <c r="L338" s="3"/>
    </row>
    <row r="339">
      <c r="D339" s="3"/>
      <c r="E339" s="3"/>
      <c r="K339" s="3"/>
      <c r="L339" s="3"/>
    </row>
    <row r="340">
      <c r="D340" s="3"/>
      <c r="E340" s="3"/>
      <c r="K340" s="3"/>
      <c r="L340" s="3"/>
    </row>
    <row r="341">
      <c r="D341" s="3"/>
      <c r="E341" s="3"/>
      <c r="K341" s="3"/>
      <c r="L341" s="3"/>
    </row>
    <row r="342">
      <c r="D342" s="3"/>
      <c r="E342" s="3"/>
      <c r="K342" s="3"/>
      <c r="L342" s="3"/>
    </row>
    <row r="343">
      <c r="D343" s="3"/>
      <c r="E343" s="3"/>
      <c r="K343" s="3"/>
      <c r="L343" s="3"/>
    </row>
    <row r="344">
      <c r="D344" s="3"/>
      <c r="E344" s="3"/>
      <c r="K344" s="3"/>
      <c r="L344" s="3"/>
    </row>
    <row r="345">
      <c r="D345" s="3"/>
      <c r="E345" s="3"/>
      <c r="K345" s="3"/>
      <c r="L345" s="3"/>
    </row>
    <row r="346">
      <c r="D346" s="3"/>
      <c r="E346" s="3"/>
      <c r="K346" s="3"/>
      <c r="L346" s="3"/>
    </row>
    <row r="347">
      <c r="D347" s="3"/>
      <c r="E347" s="3"/>
      <c r="K347" s="3"/>
      <c r="L347" s="3"/>
    </row>
    <row r="348">
      <c r="D348" s="3"/>
      <c r="E348" s="3"/>
      <c r="K348" s="3"/>
      <c r="L348" s="3"/>
    </row>
    <row r="349">
      <c r="D349" s="3"/>
      <c r="E349" s="3"/>
      <c r="K349" s="3"/>
      <c r="L349" s="3"/>
    </row>
    <row r="350">
      <c r="D350" s="3"/>
      <c r="E350" s="3"/>
      <c r="K350" s="3"/>
      <c r="L350" s="3"/>
    </row>
    <row r="351">
      <c r="D351" s="3"/>
      <c r="E351" s="3"/>
      <c r="K351" s="3"/>
      <c r="L351" s="3"/>
    </row>
    <row r="352">
      <c r="D352" s="3"/>
      <c r="E352" s="3"/>
      <c r="K352" s="3"/>
      <c r="L352" s="3"/>
    </row>
    <row r="353">
      <c r="D353" s="3"/>
      <c r="E353" s="3"/>
      <c r="K353" s="3"/>
      <c r="L353" s="3"/>
    </row>
    <row r="354">
      <c r="D354" s="3"/>
      <c r="E354" s="3"/>
      <c r="K354" s="3"/>
      <c r="L354" s="3"/>
    </row>
    <row r="355">
      <c r="D355" s="3"/>
      <c r="E355" s="3"/>
      <c r="K355" s="3"/>
      <c r="L355" s="3"/>
    </row>
    <row r="356">
      <c r="D356" s="3"/>
      <c r="E356" s="3"/>
      <c r="K356" s="3"/>
      <c r="L356" s="3"/>
    </row>
    <row r="357">
      <c r="D357" s="3"/>
      <c r="E357" s="3"/>
      <c r="K357" s="3"/>
      <c r="L357" s="3"/>
    </row>
    <row r="358">
      <c r="D358" s="3"/>
      <c r="E358" s="3"/>
      <c r="K358" s="3"/>
      <c r="L358" s="3"/>
    </row>
    <row r="359">
      <c r="D359" s="3"/>
      <c r="E359" s="3"/>
      <c r="K359" s="3"/>
      <c r="L359" s="3"/>
    </row>
    <row r="360">
      <c r="D360" s="3"/>
      <c r="E360" s="3"/>
      <c r="K360" s="3"/>
      <c r="L360" s="3"/>
    </row>
    <row r="361">
      <c r="D361" s="3"/>
      <c r="E361" s="3"/>
      <c r="K361" s="3"/>
      <c r="L361" s="3"/>
    </row>
    <row r="362">
      <c r="D362" s="3"/>
      <c r="E362" s="3"/>
      <c r="K362" s="3"/>
      <c r="L362" s="3"/>
    </row>
    <row r="363">
      <c r="D363" s="3"/>
      <c r="E363" s="3"/>
      <c r="K363" s="3"/>
      <c r="L363" s="3"/>
    </row>
    <row r="364">
      <c r="D364" s="3"/>
      <c r="E364" s="3"/>
      <c r="K364" s="3"/>
      <c r="L364" s="3"/>
    </row>
    <row r="365">
      <c r="D365" s="3"/>
      <c r="E365" s="3"/>
      <c r="K365" s="3"/>
      <c r="L365" s="3"/>
    </row>
    <row r="366">
      <c r="D366" s="3"/>
      <c r="E366" s="3"/>
      <c r="K366" s="3"/>
      <c r="L366" s="3"/>
    </row>
    <row r="367">
      <c r="D367" s="3"/>
      <c r="E367" s="3"/>
      <c r="K367" s="3"/>
      <c r="L367" s="3"/>
    </row>
    <row r="368">
      <c r="D368" s="3"/>
      <c r="E368" s="3"/>
      <c r="K368" s="3"/>
      <c r="L368" s="3"/>
    </row>
    <row r="369">
      <c r="D369" s="3"/>
      <c r="E369" s="3"/>
      <c r="K369" s="3"/>
      <c r="L369" s="3"/>
    </row>
    <row r="370">
      <c r="D370" s="3"/>
      <c r="E370" s="3"/>
      <c r="K370" s="3"/>
      <c r="L370" s="3"/>
    </row>
    <row r="371">
      <c r="D371" s="3"/>
      <c r="E371" s="3"/>
      <c r="K371" s="3"/>
      <c r="L371" s="3"/>
    </row>
    <row r="372">
      <c r="D372" s="3"/>
      <c r="E372" s="3"/>
      <c r="K372" s="3"/>
      <c r="L372" s="3"/>
    </row>
    <row r="373">
      <c r="D373" s="3"/>
      <c r="E373" s="3"/>
      <c r="K373" s="3"/>
      <c r="L373" s="3"/>
    </row>
    <row r="374">
      <c r="D374" s="3"/>
      <c r="E374" s="3"/>
      <c r="K374" s="3"/>
      <c r="L374" s="3"/>
    </row>
    <row r="375">
      <c r="D375" s="3"/>
      <c r="E375" s="3"/>
      <c r="K375" s="3"/>
      <c r="L375" s="3"/>
    </row>
    <row r="376">
      <c r="D376" s="3"/>
      <c r="E376" s="3"/>
      <c r="K376" s="3"/>
      <c r="L376" s="3"/>
    </row>
    <row r="377">
      <c r="D377" s="3"/>
      <c r="E377" s="3"/>
      <c r="K377" s="3"/>
      <c r="L377" s="3"/>
    </row>
    <row r="378">
      <c r="D378" s="3"/>
      <c r="E378" s="3"/>
      <c r="K378" s="3"/>
      <c r="L378" s="3"/>
    </row>
    <row r="379">
      <c r="D379" s="3"/>
      <c r="E379" s="3"/>
      <c r="K379" s="3"/>
      <c r="L379" s="3"/>
    </row>
    <row r="380">
      <c r="D380" s="3"/>
      <c r="E380" s="3"/>
      <c r="K380" s="3"/>
      <c r="L380" s="3"/>
    </row>
    <row r="381">
      <c r="D381" s="3"/>
      <c r="E381" s="3"/>
      <c r="K381" s="3"/>
      <c r="L381" s="3"/>
    </row>
    <row r="382">
      <c r="D382" s="3"/>
      <c r="E382" s="3"/>
      <c r="K382" s="3"/>
      <c r="L382" s="3"/>
    </row>
    <row r="383">
      <c r="D383" s="3"/>
      <c r="E383" s="3"/>
      <c r="K383" s="3"/>
      <c r="L383" s="3"/>
    </row>
    <row r="384">
      <c r="D384" s="3"/>
      <c r="E384" s="3"/>
      <c r="K384" s="3"/>
      <c r="L384" s="3"/>
    </row>
    <row r="385">
      <c r="D385" s="3"/>
      <c r="E385" s="3"/>
      <c r="K385" s="3"/>
      <c r="L385" s="3"/>
    </row>
    <row r="386">
      <c r="D386" s="3"/>
      <c r="E386" s="3"/>
      <c r="K386" s="3"/>
      <c r="L386" s="3"/>
    </row>
    <row r="387">
      <c r="D387" s="3"/>
      <c r="E387" s="3"/>
      <c r="K387" s="3"/>
      <c r="L387" s="3"/>
    </row>
    <row r="388">
      <c r="D388" s="3"/>
      <c r="E388" s="3"/>
      <c r="K388" s="3"/>
      <c r="L388" s="3"/>
    </row>
    <row r="389">
      <c r="D389" s="3"/>
      <c r="E389" s="3"/>
      <c r="K389" s="3"/>
      <c r="L389" s="3"/>
    </row>
    <row r="390">
      <c r="D390" s="3"/>
      <c r="E390" s="3"/>
      <c r="K390" s="3"/>
      <c r="L390" s="3"/>
    </row>
    <row r="391">
      <c r="D391" s="3"/>
      <c r="E391" s="3"/>
      <c r="K391" s="3"/>
      <c r="L391" s="3"/>
    </row>
    <row r="392">
      <c r="D392" s="3"/>
      <c r="E392" s="3"/>
      <c r="K392" s="3"/>
      <c r="L392" s="3"/>
    </row>
    <row r="393">
      <c r="D393" s="3"/>
      <c r="E393" s="3"/>
      <c r="K393" s="3"/>
      <c r="L393" s="3"/>
    </row>
    <row r="394">
      <c r="D394" s="3"/>
      <c r="E394" s="3"/>
      <c r="K394" s="3"/>
      <c r="L394" s="3"/>
    </row>
    <row r="395">
      <c r="D395" s="3"/>
      <c r="E395" s="3"/>
      <c r="K395" s="3"/>
      <c r="L395" s="3"/>
    </row>
    <row r="396">
      <c r="D396" s="3"/>
      <c r="E396" s="3"/>
      <c r="K396" s="3"/>
      <c r="L396" s="3"/>
    </row>
    <row r="397">
      <c r="D397" s="3"/>
      <c r="E397" s="3"/>
      <c r="K397" s="3"/>
      <c r="L397" s="3"/>
    </row>
    <row r="398">
      <c r="D398" s="3"/>
      <c r="E398" s="3"/>
      <c r="K398" s="3"/>
      <c r="L398" s="3"/>
    </row>
    <row r="399">
      <c r="D399" s="3"/>
      <c r="E399" s="3"/>
      <c r="K399" s="3"/>
      <c r="L399" s="3"/>
    </row>
    <row r="400">
      <c r="D400" s="3"/>
      <c r="E400" s="3"/>
      <c r="K400" s="3"/>
      <c r="L400" s="3"/>
    </row>
    <row r="401">
      <c r="D401" s="3"/>
      <c r="E401" s="3"/>
      <c r="K401" s="3"/>
      <c r="L401" s="3"/>
    </row>
    <row r="402">
      <c r="D402" s="3"/>
      <c r="E402" s="3"/>
      <c r="K402" s="3"/>
      <c r="L402" s="3"/>
    </row>
    <row r="403">
      <c r="D403" s="3"/>
      <c r="E403" s="3"/>
      <c r="K403" s="3"/>
      <c r="L403" s="3"/>
    </row>
    <row r="404">
      <c r="D404" s="3"/>
      <c r="E404" s="3"/>
      <c r="K404" s="3"/>
      <c r="L404" s="3"/>
    </row>
    <row r="405">
      <c r="D405" s="3"/>
      <c r="E405" s="3"/>
      <c r="K405" s="3"/>
      <c r="L405" s="3"/>
    </row>
    <row r="406">
      <c r="D406" s="3"/>
      <c r="E406" s="3"/>
      <c r="K406" s="3"/>
      <c r="L406" s="3"/>
    </row>
    <row r="407">
      <c r="D407" s="3"/>
      <c r="E407" s="3"/>
      <c r="K407" s="3"/>
      <c r="L407" s="3"/>
    </row>
    <row r="408">
      <c r="D408" s="3"/>
      <c r="E408" s="3"/>
      <c r="K408" s="3"/>
      <c r="L408" s="3"/>
    </row>
    <row r="409">
      <c r="D409" s="3"/>
      <c r="E409" s="3"/>
      <c r="K409" s="3"/>
      <c r="L409" s="3"/>
    </row>
    <row r="410">
      <c r="D410" s="3"/>
      <c r="E410" s="3"/>
      <c r="K410" s="3"/>
      <c r="L410" s="3"/>
    </row>
    <row r="411">
      <c r="D411" s="3"/>
      <c r="E411" s="3"/>
      <c r="K411" s="3"/>
      <c r="L411" s="3"/>
    </row>
    <row r="412">
      <c r="D412" s="3"/>
      <c r="E412" s="3"/>
      <c r="K412" s="3"/>
      <c r="L412" s="3"/>
    </row>
    <row r="413">
      <c r="D413" s="3"/>
      <c r="E413" s="3"/>
      <c r="K413" s="3"/>
      <c r="L413" s="3"/>
    </row>
    <row r="414">
      <c r="D414" s="3"/>
      <c r="E414" s="3"/>
      <c r="K414" s="3"/>
      <c r="L414" s="3"/>
    </row>
    <row r="415">
      <c r="D415" s="3"/>
      <c r="E415" s="3"/>
      <c r="K415" s="3"/>
      <c r="L415" s="3"/>
    </row>
    <row r="416">
      <c r="D416" s="3"/>
      <c r="E416" s="3"/>
      <c r="K416" s="3"/>
      <c r="L416" s="3"/>
    </row>
    <row r="417">
      <c r="D417" s="3"/>
      <c r="E417" s="3"/>
      <c r="K417" s="3"/>
      <c r="L417" s="3"/>
    </row>
    <row r="418">
      <c r="D418" s="3"/>
      <c r="E418" s="3"/>
      <c r="K418" s="3"/>
      <c r="L418" s="3"/>
    </row>
    <row r="419">
      <c r="D419" s="3"/>
      <c r="E419" s="3"/>
      <c r="K419" s="3"/>
      <c r="L419" s="3"/>
    </row>
    <row r="420">
      <c r="D420" s="3"/>
      <c r="E420" s="3"/>
      <c r="K420" s="3"/>
      <c r="L420" s="3"/>
    </row>
    <row r="421">
      <c r="D421" s="3"/>
      <c r="E421" s="3"/>
      <c r="K421" s="3"/>
      <c r="L421" s="3"/>
    </row>
    <row r="422">
      <c r="D422" s="3"/>
      <c r="E422" s="3"/>
      <c r="K422" s="3"/>
      <c r="L422" s="3"/>
    </row>
    <row r="423">
      <c r="D423" s="3"/>
      <c r="E423" s="3"/>
      <c r="K423" s="3"/>
      <c r="L423" s="3"/>
    </row>
    <row r="424">
      <c r="D424" s="3"/>
      <c r="E424" s="3"/>
      <c r="K424" s="3"/>
      <c r="L424" s="3"/>
    </row>
    <row r="425">
      <c r="D425" s="3"/>
      <c r="E425" s="3"/>
      <c r="K425" s="3"/>
      <c r="L425" s="3"/>
    </row>
    <row r="426">
      <c r="D426" s="3"/>
      <c r="E426" s="3"/>
      <c r="K426" s="3"/>
      <c r="L426" s="3"/>
    </row>
    <row r="427">
      <c r="D427" s="3"/>
      <c r="E427" s="3"/>
      <c r="K427" s="3"/>
      <c r="L427" s="3"/>
    </row>
    <row r="428">
      <c r="D428" s="3"/>
      <c r="E428" s="3"/>
      <c r="K428" s="3"/>
      <c r="L428" s="3"/>
    </row>
    <row r="429">
      <c r="D429" s="3"/>
      <c r="E429" s="3"/>
      <c r="K429" s="3"/>
      <c r="L429" s="3"/>
    </row>
    <row r="430">
      <c r="D430" s="3"/>
      <c r="E430" s="3"/>
      <c r="K430" s="3"/>
      <c r="L430" s="3"/>
    </row>
    <row r="431">
      <c r="D431" s="3"/>
      <c r="E431" s="3"/>
      <c r="K431" s="3"/>
      <c r="L431" s="3"/>
    </row>
    <row r="432">
      <c r="D432" s="3"/>
      <c r="E432" s="3"/>
      <c r="K432" s="3"/>
      <c r="L432" s="3"/>
    </row>
    <row r="433">
      <c r="D433" s="3"/>
      <c r="E433" s="3"/>
      <c r="K433" s="3"/>
      <c r="L433" s="3"/>
    </row>
    <row r="434">
      <c r="D434" s="3"/>
      <c r="E434" s="3"/>
      <c r="K434" s="3"/>
      <c r="L434" s="3"/>
    </row>
    <row r="435">
      <c r="D435" s="3"/>
      <c r="E435" s="3"/>
      <c r="K435" s="3"/>
      <c r="L435" s="3"/>
    </row>
    <row r="436">
      <c r="D436" s="3"/>
      <c r="E436" s="3"/>
      <c r="K436" s="3"/>
      <c r="L436" s="3"/>
    </row>
    <row r="437">
      <c r="D437" s="3"/>
      <c r="E437" s="3"/>
      <c r="K437" s="3"/>
      <c r="L437" s="3"/>
    </row>
    <row r="438">
      <c r="D438" s="3"/>
      <c r="E438" s="3"/>
      <c r="K438" s="3"/>
      <c r="L438" s="3"/>
    </row>
    <row r="439">
      <c r="D439" s="3"/>
      <c r="E439" s="3"/>
      <c r="K439" s="3"/>
      <c r="L439" s="3"/>
    </row>
    <row r="440">
      <c r="D440" s="3"/>
      <c r="E440" s="3"/>
      <c r="K440" s="3"/>
      <c r="L440" s="3"/>
    </row>
    <row r="441">
      <c r="D441" s="3"/>
      <c r="E441" s="3"/>
      <c r="K441" s="3"/>
      <c r="L441" s="3"/>
    </row>
    <row r="442">
      <c r="D442" s="3"/>
      <c r="E442" s="3"/>
      <c r="K442" s="3"/>
      <c r="L442" s="3"/>
    </row>
    <row r="443">
      <c r="D443" s="3"/>
      <c r="E443" s="3"/>
      <c r="K443" s="3"/>
      <c r="L443" s="3"/>
    </row>
    <row r="444">
      <c r="D444" s="3"/>
      <c r="E444" s="3"/>
      <c r="K444" s="3"/>
      <c r="L444" s="3"/>
    </row>
    <row r="445">
      <c r="D445" s="3"/>
      <c r="E445" s="3"/>
      <c r="K445" s="3"/>
      <c r="L445" s="3"/>
    </row>
    <row r="446">
      <c r="D446" s="3"/>
      <c r="E446" s="3"/>
      <c r="K446" s="3"/>
      <c r="L446" s="3"/>
    </row>
    <row r="447">
      <c r="D447" s="3"/>
      <c r="E447" s="3"/>
      <c r="K447" s="3"/>
      <c r="L447" s="3"/>
    </row>
    <row r="448">
      <c r="D448" s="3"/>
      <c r="E448" s="3"/>
      <c r="K448" s="3"/>
      <c r="L448" s="3"/>
    </row>
    <row r="449">
      <c r="D449" s="3"/>
      <c r="E449" s="3"/>
      <c r="K449" s="3"/>
      <c r="L449" s="3"/>
    </row>
    <row r="450">
      <c r="D450" s="3"/>
      <c r="E450" s="3"/>
      <c r="K450" s="3"/>
      <c r="L450" s="3"/>
    </row>
    <row r="451">
      <c r="D451" s="3"/>
      <c r="E451" s="3"/>
      <c r="K451" s="3"/>
      <c r="L451" s="3"/>
    </row>
    <row r="452">
      <c r="D452" s="3"/>
      <c r="E452" s="3"/>
      <c r="K452" s="3"/>
      <c r="L452" s="3"/>
    </row>
    <row r="453">
      <c r="D453" s="3"/>
      <c r="E453" s="3"/>
      <c r="K453" s="3"/>
      <c r="L453" s="3"/>
    </row>
    <row r="454">
      <c r="D454" s="3"/>
      <c r="E454" s="3"/>
      <c r="K454" s="3"/>
      <c r="L454" s="3"/>
    </row>
    <row r="455">
      <c r="D455" s="3"/>
      <c r="E455" s="3"/>
      <c r="K455" s="3"/>
      <c r="L455" s="3"/>
    </row>
    <row r="456">
      <c r="D456" s="3"/>
      <c r="E456" s="3"/>
      <c r="K456" s="3"/>
      <c r="L456" s="3"/>
    </row>
    <row r="457">
      <c r="D457" s="3"/>
      <c r="E457" s="3"/>
      <c r="K457" s="3"/>
      <c r="L457" s="3"/>
    </row>
    <row r="458">
      <c r="D458" s="3"/>
      <c r="E458" s="3"/>
      <c r="K458" s="3"/>
      <c r="L458" s="3"/>
    </row>
    <row r="459">
      <c r="D459" s="3"/>
      <c r="E459" s="3"/>
      <c r="K459" s="3"/>
      <c r="L459" s="3"/>
    </row>
    <row r="460">
      <c r="D460" s="3"/>
      <c r="E460" s="3"/>
      <c r="K460" s="3"/>
      <c r="L460" s="3"/>
    </row>
    <row r="461">
      <c r="D461" s="3"/>
      <c r="E461" s="3"/>
      <c r="K461" s="3"/>
      <c r="L461" s="3"/>
    </row>
    <row r="462">
      <c r="D462" s="3"/>
      <c r="E462" s="3"/>
      <c r="K462" s="3"/>
      <c r="L462" s="3"/>
    </row>
    <row r="463">
      <c r="D463" s="3"/>
      <c r="E463" s="3"/>
      <c r="K463" s="3"/>
      <c r="L463" s="3"/>
    </row>
    <row r="464">
      <c r="D464" s="3"/>
      <c r="E464" s="3"/>
      <c r="K464" s="3"/>
      <c r="L464" s="3"/>
    </row>
    <row r="465">
      <c r="D465" s="3"/>
      <c r="E465" s="3"/>
      <c r="K465" s="3"/>
      <c r="L465" s="3"/>
    </row>
    <row r="466">
      <c r="D466" s="3"/>
      <c r="E466" s="3"/>
      <c r="K466" s="3"/>
      <c r="L466" s="3"/>
    </row>
    <row r="467">
      <c r="D467" s="3"/>
      <c r="E467" s="3"/>
      <c r="K467" s="3"/>
      <c r="L467" s="3"/>
    </row>
    <row r="468">
      <c r="D468" s="3"/>
      <c r="E468" s="3"/>
      <c r="K468" s="3"/>
      <c r="L468" s="3"/>
    </row>
    <row r="469">
      <c r="D469" s="3"/>
      <c r="E469" s="3"/>
      <c r="K469" s="3"/>
      <c r="L469" s="3"/>
    </row>
    <row r="470">
      <c r="D470" s="3"/>
      <c r="E470" s="3"/>
      <c r="K470" s="3"/>
      <c r="L470" s="3"/>
    </row>
    <row r="471">
      <c r="D471" s="3"/>
      <c r="E471" s="3"/>
      <c r="K471" s="3"/>
      <c r="L471" s="3"/>
    </row>
    <row r="472">
      <c r="D472" s="3"/>
      <c r="E472" s="3"/>
      <c r="K472" s="3"/>
      <c r="L472" s="3"/>
    </row>
    <row r="473">
      <c r="D473" s="3"/>
      <c r="E473" s="3"/>
      <c r="K473" s="3"/>
      <c r="L473" s="3"/>
    </row>
    <row r="474">
      <c r="D474" s="3"/>
      <c r="E474" s="3"/>
      <c r="K474" s="3"/>
      <c r="L474" s="3"/>
    </row>
    <row r="475">
      <c r="D475" s="3"/>
      <c r="E475" s="3"/>
      <c r="K475" s="3"/>
      <c r="L475" s="3"/>
    </row>
    <row r="476">
      <c r="D476" s="3"/>
      <c r="E476" s="3"/>
      <c r="K476" s="3"/>
      <c r="L476" s="3"/>
    </row>
    <row r="477">
      <c r="D477" s="3"/>
      <c r="E477" s="3"/>
      <c r="K477" s="3"/>
      <c r="L477" s="3"/>
    </row>
    <row r="478">
      <c r="D478" s="3"/>
      <c r="E478" s="3"/>
      <c r="K478" s="3"/>
      <c r="L478" s="3"/>
    </row>
    <row r="479">
      <c r="D479" s="3"/>
      <c r="E479" s="3"/>
      <c r="K479" s="3"/>
      <c r="L479" s="3"/>
    </row>
    <row r="480">
      <c r="D480" s="3"/>
      <c r="E480" s="3"/>
      <c r="K480" s="3"/>
      <c r="L480" s="3"/>
    </row>
    <row r="481">
      <c r="D481" s="3"/>
      <c r="E481" s="3"/>
      <c r="K481" s="3"/>
      <c r="L481" s="3"/>
    </row>
    <row r="482">
      <c r="D482" s="3"/>
      <c r="E482" s="3"/>
      <c r="K482" s="3"/>
      <c r="L482" s="3"/>
    </row>
    <row r="483">
      <c r="D483" s="3"/>
      <c r="E483" s="3"/>
      <c r="K483" s="3"/>
      <c r="L483" s="3"/>
    </row>
    <row r="484">
      <c r="D484" s="3"/>
      <c r="E484" s="3"/>
      <c r="K484" s="3"/>
      <c r="L484" s="3"/>
    </row>
    <row r="485">
      <c r="D485" s="3"/>
      <c r="E485" s="3"/>
      <c r="K485" s="3"/>
      <c r="L485" s="3"/>
    </row>
    <row r="486">
      <c r="D486" s="3"/>
      <c r="E486" s="3"/>
      <c r="K486" s="3"/>
      <c r="L486" s="3"/>
    </row>
    <row r="487">
      <c r="D487" s="3"/>
      <c r="E487" s="3"/>
      <c r="K487" s="3"/>
      <c r="L487" s="3"/>
    </row>
    <row r="488">
      <c r="D488" s="3"/>
      <c r="E488" s="3"/>
      <c r="K488" s="3"/>
      <c r="L488" s="3"/>
    </row>
    <row r="489">
      <c r="D489" s="3"/>
      <c r="E489" s="3"/>
      <c r="K489" s="3"/>
      <c r="L489" s="3"/>
    </row>
    <row r="490">
      <c r="D490" s="3"/>
      <c r="E490" s="3"/>
      <c r="K490" s="3"/>
      <c r="L490" s="3"/>
    </row>
    <row r="491">
      <c r="D491" s="3"/>
      <c r="E491" s="3"/>
      <c r="K491" s="3"/>
      <c r="L491" s="3"/>
    </row>
    <row r="492">
      <c r="D492" s="3"/>
      <c r="E492" s="3"/>
      <c r="K492" s="3"/>
      <c r="L492" s="3"/>
    </row>
    <row r="493">
      <c r="D493" s="3"/>
      <c r="E493" s="3"/>
      <c r="K493" s="3"/>
      <c r="L493" s="3"/>
    </row>
    <row r="494">
      <c r="D494" s="3"/>
      <c r="E494" s="3"/>
      <c r="K494" s="3"/>
      <c r="L494" s="3"/>
    </row>
    <row r="495">
      <c r="D495" s="3"/>
      <c r="E495" s="3"/>
      <c r="K495" s="3"/>
      <c r="L495" s="3"/>
    </row>
    <row r="496">
      <c r="D496" s="3"/>
      <c r="E496" s="3"/>
      <c r="K496" s="3"/>
      <c r="L496" s="3"/>
    </row>
    <row r="497">
      <c r="D497" s="3"/>
      <c r="E497" s="3"/>
      <c r="K497" s="3"/>
      <c r="L497" s="3"/>
    </row>
    <row r="498">
      <c r="D498" s="3"/>
      <c r="E498" s="3"/>
      <c r="K498" s="3"/>
      <c r="L498" s="3"/>
    </row>
    <row r="499">
      <c r="D499" s="3"/>
      <c r="E499" s="3"/>
      <c r="K499" s="3"/>
      <c r="L499" s="3"/>
    </row>
    <row r="500">
      <c r="D500" s="3"/>
      <c r="E500" s="3"/>
      <c r="K500" s="3"/>
      <c r="L500" s="3"/>
    </row>
    <row r="501">
      <c r="D501" s="3"/>
      <c r="E501" s="3"/>
      <c r="K501" s="3"/>
      <c r="L501" s="3"/>
    </row>
    <row r="502">
      <c r="D502" s="3"/>
      <c r="E502" s="3"/>
      <c r="K502" s="3"/>
      <c r="L502" s="3"/>
    </row>
    <row r="503">
      <c r="D503" s="3"/>
      <c r="E503" s="3"/>
      <c r="K503" s="3"/>
      <c r="L503" s="3"/>
    </row>
    <row r="504">
      <c r="D504" s="3"/>
      <c r="E504" s="3"/>
      <c r="K504" s="3"/>
      <c r="L504" s="3"/>
    </row>
    <row r="505">
      <c r="D505" s="3"/>
      <c r="E505" s="3"/>
      <c r="K505" s="3"/>
      <c r="L505" s="3"/>
    </row>
    <row r="506">
      <c r="D506" s="3"/>
      <c r="E506" s="3"/>
      <c r="K506" s="3"/>
      <c r="L506" s="3"/>
    </row>
    <row r="507">
      <c r="D507" s="3"/>
      <c r="E507" s="3"/>
      <c r="K507" s="3"/>
      <c r="L507" s="3"/>
    </row>
    <row r="508">
      <c r="D508" s="3"/>
      <c r="E508" s="3"/>
      <c r="K508" s="3"/>
      <c r="L508" s="3"/>
    </row>
    <row r="509">
      <c r="D509" s="3"/>
      <c r="E509" s="3"/>
      <c r="K509" s="3"/>
      <c r="L509" s="3"/>
    </row>
    <row r="510">
      <c r="D510" s="3"/>
      <c r="E510" s="3"/>
      <c r="K510" s="3"/>
      <c r="L510" s="3"/>
    </row>
    <row r="511">
      <c r="D511" s="3"/>
      <c r="E511" s="3"/>
      <c r="K511" s="3"/>
      <c r="L511" s="3"/>
    </row>
    <row r="512">
      <c r="D512" s="3"/>
      <c r="E512" s="3"/>
      <c r="K512" s="3"/>
      <c r="L512" s="3"/>
    </row>
    <row r="513">
      <c r="D513" s="3"/>
      <c r="E513" s="3"/>
      <c r="K513" s="3"/>
      <c r="L513" s="3"/>
    </row>
    <row r="514">
      <c r="D514" s="3"/>
      <c r="E514" s="3"/>
      <c r="K514" s="3"/>
      <c r="L514" s="3"/>
    </row>
    <row r="515">
      <c r="D515" s="3"/>
      <c r="E515" s="3"/>
      <c r="K515" s="3"/>
      <c r="L515" s="3"/>
    </row>
    <row r="516">
      <c r="D516" s="3"/>
      <c r="E516" s="3"/>
      <c r="K516" s="3"/>
      <c r="L516" s="3"/>
    </row>
    <row r="517">
      <c r="D517" s="3"/>
      <c r="E517" s="3"/>
      <c r="K517" s="3"/>
      <c r="L517" s="3"/>
    </row>
    <row r="518">
      <c r="D518" s="3"/>
      <c r="E518" s="3"/>
      <c r="K518" s="3"/>
      <c r="L518" s="3"/>
    </row>
    <row r="519">
      <c r="D519" s="3"/>
      <c r="E519" s="3"/>
      <c r="K519" s="3"/>
      <c r="L519" s="3"/>
    </row>
    <row r="520">
      <c r="D520" s="3"/>
      <c r="E520" s="3"/>
      <c r="K520" s="3"/>
      <c r="L520" s="3"/>
    </row>
    <row r="521">
      <c r="D521" s="3"/>
      <c r="E521" s="3"/>
      <c r="K521" s="3"/>
      <c r="L521" s="3"/>
    </row>
    <row r="522">
      <c r="D522" s="3"/>
      <c r="E522" s="3"/>
      <c r="K522" s="3"/>
      <c r="L522" s="3"/>
    </row>
    <row r="523">
      <c r="D523" s="3"/>
      <c r="E523" s="3"/>
      <c r="K523" s="3"/>
      <c r="L523" s="3"/>
    </row>
    <row r="524">
      <c r="D524" s="3"/>
      <c r="E524" s="3"/>
      <c r="K524" s="3"/>
      <c r="L524" s="3"/>
    </row>
    <row r="525">
      <c r="D525" s="3"/>
      <c r="E525" s="3"/>
      <c r="K525" s="3"/>
      <c r="L525" s="3"/>
    </row>
    <row r="526">
      <c r="D526" s="3"/>
      <c r="E526" s="3"/>
      <c r="K526" s="3"/>
      <c r="L526" s="3"/>
    </row>
    <row r="527">
      <c r="D527" s="3"/>
      <c r="E527" s="3"/>
      <c r="K527" s="3"/>
      <c r="L527" s="3"/>
    </row>
    <row r="528">
      <c r="D528" s="3"/>
      <c r="E528" s="3"/>
      <c r="K528" s="3"/>
      <c r="L528" s="3"/>
    </row>
    <row r="529">
      <c r="D529" s="3"/>
      <c r="E529" s="3"/>
      <c r="K529" s="3"/>
      <c r="L529" s="3"/>
    </row>
    <row r="530">
      <c r="D530" s="3"/>
      <c r="E530" s="3"/>
      <c r="K530" s="3"/>
      <c r="L530" s="3"/>
    </row>
    <row r="531">
      <c r="D531" s="3"/>
      <c r="E531" s="3"/>
      <c r="K531" s="3"/>
      <c r="L531" s="3"/>
    </row>
    <row r="532">
      <c r="D532" s="3"/>
      <c r="E532" s="3"/>
      <c r="K532" s="3"/>
      <c r="L532" s="3"/>
    </row>
    <row r="533">
      <c r="D533" s="3"/>
      <c r="E533" s="3"/>
      <c r="K533" s="3"/>
      <c r="L533" s="3"/>
    </row>
    <row r="534">
      <c r="D534" s="3"/>
      <c r="E534" s="3"/>
      <c r="K534" s="3"/>
      <c r="L534" s="3"/>
    </row>
    <row r="535">
      <c r="D535" s="3"/>
      <c r="E535" s="3"/>
      <c r="K535" s="3"/>
      <c r="L535" s="3"/>
    </row>
    <row r="536">
      <c r="D536" s="3"/>
      <c r="E536" s="3"/>
      <c r="K536" s="3"/>
      <c r="L536" s="3"/>
    </row>
    <row r="537">
      <c r="D537" s="3"/>
      <c r="E537" s="3"/>
      <c r="K537" s="3"/>
      <c r="L537" s="3"/>
    </row>
    <row r="538">
      <c r="D538" s="3"/>
      <c r="E538" s="3"/>
      <c r="K538" s="3"/>
      <c r="L538" s="3"/>
    </row>
    <row r="539">
      <c r="D539" s="3"/>
      <c r="E539" s="3"/>
      <c r="K539" s="3"/>
      <c r="L539" s="3"/>
    </row>
    <row r="540">
      <c r="D540" s="3"/>
      <c r="E540" s="3"/>
      <c r="K540" s="3"/>
      <c r="L540" s="3"/>
    </row>
    <row r="541">
      <c r="D541" s="3"/>
      <c r="E541" s="3"/>
      <c r="K541" s="3"/>
      <c r="L541" s="3"/>
    </row>
    <row r="542">
      <c r="D542" s="3"/>
      <c r="E542" s="3"/>
      <c r="K542" s="3"/>
      <c r="L542" s="3"/>
    </row>
    <row r="543">
      <c r="D543" s="3"/>
      <c r="E543" s="3"/>
      <c r="K543" s="3"/>
      <c r="L543" s="3"/>
    </row>
    <row r="544">
      <c r="D544" s="3"/>
      <c r="E544" s="3"/>
      <c r="K544" s="3"/>
      <c r="L544" s="3"/>
    </row>
    <row r="545">
      <c r="D545" s="3"/>
      <c r="E545" s="3"/>
      <c r="K545" s="3"/>
      <c r="L545" s="3"/>
    </row>
    <row r="546">
      <c r="D546" s="3"/>
      <c r="E546" s="3"/>
      <c r="K546" s="3"/>
      <c r="L546" s="3"/>
    </row>
    <row r="547">
      <c r="D547" s="3"/>
      <c r="E547" s="3"/>
      <c r="K547" s="3"/>
      <c r="L547" s="3"/>
    </row>
    <row r="548">
      <c r="D548" s="3"/>
      <c r="E548" s="3"/>
      <c r="K548" s="3"/>
      <c r="L548" s="3"/>
    </row>
    <row r="549">
      <c r="D549" s="3"/>
      <c r="E549" s="3"/>
      <c r="K549" s="3"/>
      <c r="L549" s="3"/>
    </row>
    <row r="550">
      <c r="D550" s="3"/>
      <c r="E550" s="3"/>
      <c r="K550" s="3"/>
      <c r="L550" s="3"/>
    </row>
    <row r="551">
      <c r="D551" s="3"/>
      <c r="E551" s="3"/>
      <c r="K551" s="3"/>
      <c r="L551" s="3"/>
    </row>
    <row r="552">
      <c r="D552" s="3"/>
      <c r="E552" s="3"/>
      <c r="K552" s="3"/>
      <c r="L552" s="3"/>
    </row>
    <row r="553">
      <c r="D553" s="3"/>
      <c r="E553" s="3"/>
      <c r="K553" s="3"/>
      <c r="L553" s="3"/>
    </row>
    <row r="554">
      <c r="D554" s="3"/>
      <c r="E554" s="3"/>
      <c r="K554" s="3"/>
      <c r="L554" s="3"/>
    </row>
    <row r="555">
      <c r="D555" s="3"/>
      <c r="E555" s="3"/>
      <c r="K555" s="3"/>
      <c r="L555" s="3"/>
    </row>
    <row r="556">
      <c r="D556" s="3"/>
      <c r="E556" s="3"/>
      <c r="K556" s="3"/>
      <c r="L556" s="3"/>
    </row>
    <row r="557">
      <c r="D557" s="3"/>
      <c r="E557" s="3"/>
      <c r="K557" s="3"/>
      <c r="L557" s="3"/>
    </row>
    <row r="558">
      <c r="D558" s="3"/>
      <c r="E558" s="3"/>
      <c r="K558" s="3"/>
      <c r="L558" s="3"/>
    </row>
    <row r="559">
      <c r="D559" s="3"/>
      <c r="E559" s="3"/>
      <c r="K559" s="3"/>
      <c r="L559" s="3"/>
    </row>
    <row r="560">
      <c r="D560" s="3"/>
      <c r="E560" s="3"/>
      <c r="K560" s="3"/>
      <c r="L560" s="3"/>
    </row>
    <row r="561">
      <c r="D561" s="3"/>
      <c r="E561" s="3"/>
      <c r="K561" s="3"/>
      <c r="L561" s="3"/>
    </row>
    <row r="562">
      <c r="D562" s="3"/>
      <c r="E562" s="3"/>
      <c r="K562" s="3"/>
      <c r="L562" s="3"/>
    </row>
    <row r="563">
      <c r="D563" s="3"/>
      <c r="E563" s="3"/>
      <c r="K563" s="3"/>
      <c r="L563" s="3"/>
    </row>
    <row r="564">
      <c r="D564" s="3"/>
      <c r="E564" s="3"/>
      <c r="K564" s="3"/>
      <c r="L564" s="3"/>
    </row>
    <row r="565">
      <c r="D565" s="3"/>
      <c r="E565" s="3"/>
      <c r="K565" s="3"/>
      <c r="L565" s="3"/>
    </row>
    <row r="566">
      <c r="D566" s="3"/>
      <c r="E566" s="3"/>
      <c r="K566" s="3"/>
      <c r="L566" s="3"/>
    </row>
    <row r="567">
      <c r="D567" s="3"/>
      <c r="E567" s="3"/>
      <c r="K567" s="3"/>
      <c r="L567" s="3"/>
    </row>
    <row r="568">
      <c r="D568" s="3"/>
      <c r="E568" s="3"/>
      <c r="K568" s="3"/>
      <c r="L568" s="3"/>
    </row>
    <row r="569">
      <c r="D569" s="3"/>
      <c r="E569" s="3"/>
      <c r="K569" s="3"/>
      <c r="L569" s="3"/>
    </row>
    <row r="570">
      <c r="D570" s="3"/>
      <c r="E570" s="3"/>
      <c r="K570" s="3"/>
      <c r="L570" s="3"/>
    </row>
    <row r="571">
      <c r="D571" s="3"/>
      <c r="E571" s="3"/>
      <c r="K571" s="3"/>
      <c r="L571" s="3"/>
    </row>
    <row r="572">
      <c r="D572" s="3"/>
      <c r="E572" s="3"/>
      <c r="K572" s="3"/>
      <c r="L572" s="3"/>
    </row>
    <row r="573">
      <c r="D573" s="3"/>
      <c r="E573" s="3"/>
      <c r="K573" s="3"/>
      <c r="L573" s="3"/>
    </row>
    <row r="574">
      <c r="D574" s="3"/>
      <c r="E574" s="3"/>
      <c r="K574" s="3"/>
      <c r="L574" s="3"/>
    </row>
    <row r="575">
      <c r="D575" s="3"/>
      <c r="E575" s="3"/>
      <c r="K575" s="3"/>
      <c r="L575" s="3"/>
    </row>
    <row r="576">
      <c r="D576" s="3"/>
      <c r="E576" s="3"/>
      <c r="K576" s="3"/>
      <c r="L576" s="3"/>
    </row>
    <row r="577">
      <c r="D577" s="3"/>
      <c r="E577" s="3"/>
      <c r="K577" s="3"/>
      <c r="L577" s="3"/>
    </row>
    <row r="578">
      <c r="D578" s="3"/>
      <c r="E578" s="3"/>
      <c r="K578" s="3"/>
      <c r="L578" s="3"/>
    </row>
    <row r="579">
      <c r="D579" s="3"/>
      <c r="E579" s="3"/>
      <c r="K579" s="3"/>
      <c r="L579" s="3"/>
    </row>
    <row r="580">
      <c r="D580" s="3"/>
      <c r="E580" s="3"/>
      <c r="K580" s="3"/>
      <c r="L580" s="3"/>
    </row>
    <row r="581">
      <c r="D581" s="3"/>
      <c r="E581" s="3"/>
      <c r="K581" s="3"/>
      <c r="L581" s="3"/>
    </row>
    <row r="582">
      <c r="D582" s="3"/>
      <c r="E582" s="3"/>
      <c r="K582" s="3"/>
      <c r="L582" s="3"/>
    </row>
    <row r="583">
      <c r="D583" s="3"/>
      <c r="E583" s="3"/>
      <c r="K583" s="3"/>
      <c r="L583" s="3"/>
    </row>
    <row r="584">
      <c r="D584" s="3"/>
      <c r="E584" s="3"/>
      <c r="K584" s="3"/>
      <c r="L584" s="3"/>
    </row>
    <row r="585">
      <c r="D585" s="3"/>
      <c r="E585" s="3"/>
      <c r="K585" s="3"/>
      <c r="L585" s="3"/>
    </row>
    <row r="586">
      <c r="D586" s="3"/>
      <c r="E586" s="3"/>
      <c r="K586" s="3"/>
      <c r="L586" s="3"/>
    </row>
    <row r="587">
      <c r="D587" s="3"/>
      <c r="E587" s="3"/>
      <c r="K587" s="3"/>
      <c r="L587" s="3"/>
    </row>
    <row r="588">
      <c r="D588" s="3"/>
      <c r="E588" s="3"/>
      <c r="K588" s="3"/>
      <c r="L588" s="3"/>
    </row>
    <row r="589">
      <c r="D589" s="3"/>
      <c r="E589" s="3"/>
      <c r="K589" s="3"/>
      <c r="L589" s="3"/>
    </row>
    <row r="590">
      <c r="D590" s="3"/>
      <c r="E590" s="3"/>
      <c r="K590" s="3"/>
      <c r="L590" s="3"/>
    </row>
    <row r="591">
      <c r="D591" s="3"/>
      <c r="E591" s="3"/>
      <c r="K591" s="3"/>
      <c r="L591" s="3"/>
    </row>
    <row r="592">
      <c r="D592" s="3"/>
      <c r="E592" s="3"/>
      <c r="K592" s="3"/>
      <c r="L592" s="3"/>
    </row>
    <row r="593">
      <c r="D593" s="3"/>
      <c r="E593" s="3"/>
      <c r="K593" s="3"/>
      <c r="L593" s="3"/>
    </row>
    <row r="594">
      <c r="D594" s="3"/>
      <c r="E594" s="3"/>
      <c r="K594" s="3"/>
      <c r="L594" s="3"/>
    </row>
    <row r="595">
      <c r="D595" s="3"/>
      <c r="E595" s="3"/>
      <c r="K595" s="3"/>
      <c r="L595" s="3"/>
    </row>
    <row r="596">
      <c r="D596" s="3"/>
      <c r="E596" s="3"/>
      <c r="K596" s="3"/>
      <c r="L596" s="3"/>
    </row>
    <row r="597">
      <c r="D597" s="3"/>
      <c r="E597" s="3"/>
      <c r="K597" s="3"/>
      <c r="L597" s="3"/>
    </row>
    <row r="598">
      <c r="D598" s="3"/>
      <c r="E598" s="3"/>
      <c r="K598" s="3"/>
      <c r="L598" s="3"/>
    </row>
    <row r="599">
      <c r="D599" s="3"/>
      <c r="E599" s="3"/>
      <c r="K599" s="3"/>
      <c r="L599" s="3"/>
    </row>
    <row r="600">
      <c r="D600" s="3"/>
      <c r="E600" s="3"/>
      <c r="K600" s="3"/>
      <c r="L600" s="3"/>
    </row>
    <row r="601">
      <c r="D601" s="3"/>
      <c r="E601" s="3"/>
      <c r="K601" s="3"/>
      <c r="L601" s="3"/>
    </row>
    <row r="602">
      <c r="D602" s="3"/>
      <c r="E602" s="3"/>
      <c r="K602" s="3"/>
      <c r="L602" s="3"/>
    </row>
    <row r="603">
      <c r="D603" s="3"/>
      <c r="E603" s="3"/>
      <c r="K603" s="3"/>
      <c r="L603" s="3"/>
    </row>
    <row r="604">
      <c r="D604" s="3"/>
      <c r="E604" s="3"/>
      <c r="K604" s="3"/>
      <c r="L604" s="3"/>
    </row>
    <row r="605">
      <c r="D605" s="3"/>
      <c r="E605" s="3"/>
      <c r="K605" s="3"/>
      <c r="L605" s="3"/>
    </row>
    <row r="606">
      <c r="D606" s="3"/>
      <c r="E606" s="3"/>
      <c r="K606" s="3"/>
      <c r="L606" s="3"/>
    </row>
    <row r="607">
      <c r="D607" s="3"/>
      <c r="E607" s="3"/>
      <c r="K607" s="3"/>
      <c r="L607" s="3"/>
    </row>
    <row r="608">
      <c r="D608" s="3"/>
      <c r="E608" s="3"/>
      <c r="K608" s="3"/>
      <c r="L608" s="3"/>
    </row>
    <row r="609">
      <c r="D609" s="3"/>
      <c r="E609" s="3"/>
      <c r="K609" s="3"/>
      <c r="L609" s="3"/>
    </row>
    <row r="610">
      <c r="D610" s="3"/>
      <c r="E610" s="3"/>
      <c r="K610" s="3"/>
      <c r="L610" s="3"/>
    </row>
    <row r="611">
      <c r="D611" s="3"/>
      <c r="E611" s="3"/>
      <c r="K611" s="3"/>
      <c r="L611" s="3"/>
    </row>
    <row r="612">
      <c r="D612" s="3"/>
      <c r="E612" s="3"/>
      <c r="K612" s="3"/>
      <c r="L612" s="3"/>
    </row>
    <row r="613">
      <c r="D613" s="3"/>
      <c r="E613" s="3"/>
      <c r="K613" s="3"/>
      <c r="L613" s="3"/>
    </row>
    <row r="614">
      <c r="D614" s="3"/>
      <c r="E614" s="3"/>
      <c r="K614" s="3"/>
      <c r="L614" s="3"/>
    </row>
    <row r="615">
      <c r="D615" s="3"/>
      <c r="E615" s="3"/>
      <c r="K615" s="3"/>
      <c r="L615" s="3"/>
    </row>
    <row r="616">
      <c r="D616" s="3"/>
      <c r="E616" s="3"/>
      <c r="K616" s="3"/>
      <c r="L616" s="3"/>
    </row>
    <row r="617">
      <c r="D617" s="3"/>
      <c r="E617" s="3"/>
      <c r="K617" s="3"/>
      <c r="L617" s="3"/>
    </row>
    <row r="618">
      <c r="D618" s="3"/>
      <c r="E618" s="3"/>
      <c r="K618" s="3"/>
      <c r="L618" s="3"/>
    </row>
    <row r="619">
      <c r="D619" s="3"/>
      <c r="E619" s="3"/>
      <c r="K619" s="3"/>
      <c r="L619" s="3"/>
    </row>
    <row r="620">
      <c r="D620" s="3"/>
      <c r="E620" s="3"/>
      <c r="K620" s="3"/>
      <c r="L620" s="3"/>
    </row>
    <row r="621">
      <c r="D621" s="3"/>
      <c r="E621" s="3"/>
      <c r="K621" s="3"/>
      <c r="L621" s="3"/>
    </row>
    <row r="622">
      <c r="D622" s="3"/>
      <c r="E622" s="3"/>
      <c r="K622" s="3"/>
      <c r="L622" s="3"/>
    </row>
    <row r="623">
      <c r="D623" s="3"/>
      <c r="E623" s="3"/>
      <c r="K623" s="3"/>
      <c r="L623" s="3"/>
    </row>
    <row r="624">
      <c r="D624" s="3"/>
      <c r="E624" s="3"/>
      <c r="K624" s="3"/>
      <c r="L624" s="3"/>
    </row>
    <row r="625">
      <c r="D625" s="3"/>
      <c r="E625" s="3"/>
      <c r="K625" s="3"/>
      <c r="L625" s="3"/>
    </row>
    <row r="626">
      <c r="D626" s="3"/>
      <c r="E626" s="3"/>
      <c r="K626" s="3"/>
      <c r="L626" s="3"/>
    </row>
    <row r="627">
      <c r="D627" s="3"/>
      <c r="E627" s="3"/>
      <c r="K627" s="3"/>
      <c r="L627" s="3"/>
    </row>
    <row r="628">
      <c r="D628" s="3"/>
      <c r="E628" s="3"/>
      <c r="K628" s="3"/>
      <c r="L628" s="3"/>
    </row>
    <row r="629">
      <c r="D629" s="3"/>
      <c r="E629" s="3"/>
      <c r="K629" s="3"/>
      <c r="L629" s="3"/>
    </row>
    <row r="630">
      <c r="D630" s="3"/>
      <c r="E630" s="3"/>
      <c r="K630" s="3"/>
      <c r="L630" s="3"/>
    </row>
    <row r="631">
      <c r="D631" s="3"/>
      <c r="E631" s="3"/>
      <c r="K631" s="3"/>
      <c r="L631" s="3"/>
    </row>
    <row r="632">
      <c r="D632" s="3"/>
      <c r="E632" s="3"/>
      <c r="K632" s="3"/>
      <c r="L632" s="3"/>
    </row>
    <row r="633">
      <c r="D633" s="3"/>
      <c r="E633" s="3"/>
      <c r="K633" s="3"/>
      <c r="L633" s="3"/>
    </row>
    <row r="634">
      <c r="D634" s="3"/>
      <c r="E634" s="3"/>
      <c r="K634" s="3"/>
      <c r="L634" s="3"/>
    </row>
    <row r="635">
      <c r="D635" s="3"/>
      <c r="E635" s="3"/>
      <c r="K635" s="3"/>
      <c r="L635" s="3"/>
    </row>
    <row r="636">
      <c r="D636" s="3"/>
      <c r="E636" s="3"/>
      <c r="K636" s="3"/>
      <c r="L636" s="3"/>
    </row>
    <row r="637">
      <c r="D637" s="3"/>
      <c r="E637" s="3"/>
      <c r="K637" s="3"/>
      <c r="L637" s="3"/>
    </row>
    <row r="638">
      <c r="D638" s="3"/>
      <c r="E638" s="3"/>
      <c r="K638" s="3"/>
      <c r="L638" s="3"/>
    </row>
    <row r="639">
      <c r="D639" s="3"/>
      <c r="E639" s="3"/>
      <c r="K639" s="3"/>
      <c r="L639" s="3"/>
    </row>
    <row r="640">
      <c r="D640" s="3"/>
      <c r="E640" s="3"/>
      <c r="K640" s="3"/>
      <c r="L640" s="3"/>
    </row>
    <row r="641">
      <c r="D641" s="3"/>
      <c r="E641" s="3"/>
      <c r="K641" s="3"/>
      <c r="L641" s="3"/>
    </row>
    <row r="642">
      <c r="D642" s="3"/>
      <c r="E642" s="3"/>
      <c r="K642" s="3"/>
      <c r="L642" s="3"/>
    </row>
    <row r="643">
      <c r="D643" s="3"/>
      <c r="E643" s="3"/>
      <c r="K643" s="3"/>
      <c r="L643" s="3"/>
    </row>
    <row r="644">
      <c r="D644" s="3"/>
      <c r="E644" s="3"/>
      <c r="K644" s="3"/>
      <c r="L644" s="3"/>
    </row>
    <row r="645">
      <c r="D645" s="3"/>
      <c r="E645" s="3"/>
      <c r="K645" s="3"/>
      <c r="L645" s="3"/>
    </row>
    <row r="646">
      <c r="D646" s="3"/>
      <c r="E646" s="3"/>
      <c r="K646" s="3"/>
      <c r="L646" s="3"/>
    </row>
    <row r="647">
      <c r="D647" s="3"/>
      <c r="E647" s="3"/>
      <c r="K647" s="3"/>
      <c r="L647" s="3"/>
    </row>
    <row r="648">
      <c r="D648" s="3"/>
      <c r="E648" s="3"/>
      <c r="K648" s="3"/>
      <c r="L648" s="3"/>
    </row>
    <row r="649">
      <c r="D649" s="3"/>
      <c r="E649" s="3"/>
      <c r="K649" s="3"/>
      <c r="L649" s="3"/>
    </row>
    <row r="650">
      <c r="D650" s="3"/>
      <c r="E650" s="3"/>
      <c r="K650" s="3"/>
      <c r="L650" s="3"/>
    </row>
    <row r="651">
      <c r="D651" s="3"/>
      <c r="E651" s="3"/>
      <c r="K651" s="3"/>
      <c r="L651" s="3"/>
    </row>
    <row r="652">
      <c r="D652" s="3"/>
      <c r="E652" s="3"/>
      <c r="K652" s="3"/>
      <c r="L652" s="3"/>
    </row>
    <row r="653">
      <c r="D653" s="3"/>
      <c r="E653" s="3"/>
      <c r="K653" s="3"/>
      <c r="L653" s="3"/>
    </row>
    <row r="654">
      <c r="D654" s="3"/>
      <c r="E654" s="3"/>
      <c r="K654" s="3"/>
      <c r="L654" s="3"/>
    </row>
    <row r="655">
      <c r="D655" s="3"/>
      <c r="E655" s="3"/>
      <c r="K655" s="3"/>
      <c r="L655" s="3"/>
    </row>
    <row r="656">
      <c r="D656" s="3"/>
      <c r="E656" s="3"/>
      <c r="K656" s="3"/>
      <c r="L656" s="3"/>
    </row>
    <row r="657">
      <c r="D657" s="3"/>
      <c r="E657" s="3"/>
      <c r="K657" s="3"/>
      <c r="L657" s="3"/>
    </row>
    <row r="658">
      <c r="D658" s="3"/>
      <c r="E658" s="3"/>
      <c r="K658" s="3"/>
      <c r="L658" s="3"/>
    </row>
    <row r="659">
      <c r="D659" s="3"/>
      <c r="E659" s="3"/>
      <c r="K659" s="3"/>
      <c r="L659" s="3"/>
    </row>
    <row r="660">
      <c r="D660" s="3"/>
      <c r="E660" s="3"/>
      <c r="K660" s="3"/>
      <c r="L660" s="3"/>
    </row>
    <row r="661">
      <c r="D661" s="3"/>
      <c r="E661" s="3"/>
      <c r="K661" s="3"/>
      <c r="L661" s="3"/>
    </row>
    <row r="662">
      <c r="D662" s="3"/>
      <c r="E662" s="3"/>
      <c r="K662" s="3"/>
      <c r="L662" s="3"/>
    </row>
    <row r="663">
      <c r="D663" s="3"/>
      <c r="E663" s="3"/>
      <c r="K663" s="3"/>
      <c r="L663" s="3"/>
    </row>
    <row r="664">
      <c r="D664" s="3"/>
      <c r="E664" s="3"/>
      <c r="K664" s="3"/>
      <c r="L664" s="3"/>
    </row>
    <row r="665">
      <c r="D665" s="3"/>
      <c r="E665" s="3"/>
      <c r="K665" s="3"/>
      <c r="L665" s="3"/>
    </row>
    <row r="666">
      <c r="D666" s="3"/>
      <c r="E666" s="3"/>
      <c r="K666" s="3"/>
      <c r="L666" s="3"/>
    </row>
    <row r="667">
      <c r="D667" s="3"/>
      <c r="E667" s="3"/>
      <c r="K667" s="3"/>
      <c r="L667" s="3"/>
    </row>
    <row r="668">
      <c r="D668" s="3"/>
      <c r="E668" s="3"/>
      <c r="K668" s="3"/>
      <c r="L668" s="3"/>
    </row>
    <row r="669">
      <c r="D669" s="3"/>
      <c r="E669" s="3"/>
      <c r="K669" s="3"/>
      <c r="L669" s="3"/>
    </row>
    <row r="670">
      <c r="D670" s="3"/>
      <c r="E670" s="3"/>
      <c r="K670" s="3"/>
      <c r="L670" s="3"/>
    </row>
    <row r="671">
      <c r="D671" s="3"/>
      <c r="E671" s="3"/>
      <c r="K671" s="3"/>
      <c r="L671" s="3"/>
    </row>
    <row r="672">
      <c r="D672" s="3"/>
      <c r="E672" s="3"/>
      <c r="K672" s="3"/>
      <c r="L672" s="3"/>
    </row>
    <row r="673">
      <c r="D673" s="3"/>
      <c r="E673" s="3"/>
      <c r="K673" s="3"/>
      <c r="L673" s="3"/>
    </row>
    <row r="674">
      <c r="D674" s="3"/>
      <c r="E674" s="3"/>
      <c r="K674" s="3"/>
      <c r="L674" s="3"/>
    </row>
    <row r="675">
      <c r="D675" s="3"/>
      <c r="E675" s="3"/>
      <c r="K675" s="3"/>
      <c r="L675" s="3"/>
    </row>
    <row r="676">
      <c r="D676" s="3"/>
      <c r="E676" s="3"/>
      <c r="K676" s="3"/>
      <c r="L676" s="3"/>
    </row>
    <row r="677">
      <c r="D677" s="3"/>
      <c r="E677" s="3"/>
      <c r="K677" s="3"/>
      <c r="L677" s="3"/>
    </row>
    <row r="678">
      <c r="D678" s="3"/>
      <c r="E678" s="3"/>
      <c r="K678" s="3"/>
      <c r="L678" s="3"/>
    </row>
    <row r="679">
      <c r="D679" s="3"/>
      <c r="E679" s="3"/>
      <c r="K679" s="3"/>
      <c r="L679" s="3"/>
    </row>
    <row r="680">
      <c r="D680" s="3"/>
      <c r="E680" s="3"/>
      <c r="K680" s="3"/>
      <c r="L680" s="3"/>
    </row>
    <row r="681">
      <c r="D681" s="3"/>
      <c r="E681" s="3"/>
      <c r="K681" s="3"/>
      <c r="L681" s="3"/>
    </row>
    <row r="682">
      <c r="D682" s="3"/>
      <c r="E682" s="3"/>
      <c r="K682" s="3"/>
      <c r="L682" s="3"/>
    </row>
    <row r="683">
      <c r="D683" s="3"/>
      <c r="E683" s="3"/>
      <c r="K683" s="3"/>
      <c r="L683" s="3"/>
    </row>
    <row r="684">
      <c r="D684" s="3"/>
      <c r="E684" s="3"/>
      <c r="K684" s="3"/>
      <c r="L684" s="3"/>
    </row>
    <row r="685">
      <c r="D685" s="3"/>
      <c r="E685" s="3"/>
      <c r="K685" s="3"/>
      <c r="L685" s="3"/>
    </row>
    <row r="686">
      <c r="D686" s="3"/>
      <c r="E686" s="3"/>
      <c r="K686" s="3"/>
      <c r="L686" s="3"/>
    </row>
    <row r="687">
      <c r="D687" s="3"/>
      <c r="E687" s="3"/>
      <c r="K687" s="3"/>
      <c r="L687" s="3"/>
    </row>
    <row r="688">
      <c r="D688" s="3"/>
      <c r="E688" s="3"/>
      <c r="K688" s="3"/>
      <c r="L688" s="3"/>
    </row>
    <row r="689">
      <c r="D689" s="3"/>
      <c r="E689" s="3"/>
      <c r="K689" s="3"/>
      <c r="L689" s="3"/>
    </row>
    <row r="690">
      <c r="D690" s="3"/>
      <c r="E690" s="3"/>
      <c r="K690" s="3"/>
      <c r="L690" s="3"/>
    </row>
    <row r="691">
      <c r="D691" s="3"/>
      <c r="E691" s="3"/>
      <c r="K691" s="3"/>
      <c r="L691" s="3"/>
    </row>
    <row r="692">
      <c r="D692" s="3"/>
      <c r="E692" s="3"/>
      <c r="K692" s="3"/>
      <c r="L692" s="3"/>
    </row>
    <row r="693">
      <c r="D693" s="3"/>
      <c r="E693" s="3"/>
      <c r="K693" s="3"/>
      <c r="L693" s="3"/>
    </row>
    <row r="694">
      <c r="D694" s="3"/>
      <c r="E694" s="3"/>
      <c r="K694" s="3"/>
      <c r="L694" s="3"/>
    </row>
    <row r="695">
      <c r="D695" s="3"/>
      <c r="E695" s="3"/>
      <c r="K695" s="3"/>
      <c r="L695" s="3"/>
    </row>
    <row r="696">
      <c r="D696" s="3"/>
      <c r="E696" s="3"/>
      <c r="K696" s="3"/>
      <c r="L696" s="3"/>
    </row>
    <row r="697">
      <c r="D697" s="3"/>
      <c r="E697" s="3"/>
      <c r="K697" s="3"/>
      <c r="L697" s="3"/>
    </row>
    <row r="698">
      <c r="D698" s="3"/>
      <c r="E698" s="3"/>
      <c r="K698" s="3"/>
      <c r="L698" s="3"/>
    </row>
    <row r="699">
      <c r="D699" s="3"/>
      <c r="E699" s="3"/>
      <c r="K699" s="3"/>
      <c r="L699" s="3"/>
    </row>
    <row r="700">
      <c r="D700" s="3"/>
      <c r="E700" s="3"/>
      <c r="K700" s="3"/>
      <c r="L700" s="3"/>
    </row>
    <row r="701">
      <c r="D701" s="3"/>
      <c r="E701" s="3"/>
      <c r="K701" s="3"/>
      <c r="L701" s="3"/>
    </row>
    <row r="702">
      <c r="D702" s="3"/>
      <c r="E702" s="3"/>
      <c r="K702" s="3"/>
      <c r="L702" s="3"/>
    </row>
    <row r="703">
      <c r="D703" s="3"/>
      <c r="E703" s="3"/>
      <c r="K703" s="3"/>
      <c r="L703" s="3"/>
    </row>
    <row r="704">
      <c r="D704" s="3"/>
      <c r="E704" s="3"/>
      <c r="K704" s="3"/>
      <c r="L704" s="3"/>
    </row>
    <row r="705">
      <c r="D705" s="3"/>
      <c r="E705" s="3"/>
      <c r="K705" s="3"/>
      <c r="L705" s="3"/>
    </row>
    <row r="706">
      <c r="D706" s="3"/>
      <c r="E706" s="3"/>
      <c r="K706" s="3"/>
      <c r="L706" s="3"/>
    </row>
    <row r="707">
      <c r="D707" s="3"/>
      <c r="E707" s="3"/>
      <c r="K707" s="3"/>
      <c r="L707" s="3"/>
    </row>
    <row r="708">
      <c r="D708" s="3"/>
      <c r="E708" s="3"/>
      <c r="K708" s="3"/>
      <c r="L708" s="3"/>
    </row>
    <row r="709">
      <c r="D709" s="3"/>
      <c r="E709" s="3"/>
      <c r="K709" s="3"/>
      <c r="L709" s="3"/>
    </row>
    <row r="710">
      <c r="D710" s="3"/>
      <c r="E710" s="3"/>
      <c r="K710" s="3"/>
      <c r="L710" s="3"/>
    </row>
    <row r="711">
      <c r="D711" s="3"/>
      <c r="E711" s="3"/>
      <c r="K711" s="3"/>
      <c r="L711" s="3"/>
    </row>
    <row r="712">
      <c r="D712" s="3"/>
      <c r="E712" s="3"/>
      <c r="K712" s="3"/>
      <c r="L712" s="3"/>
    </row>
    <row r="713">
      <c r="D713" s="3"/>
      <c r="E713" s="3"/>
      <c r="K713" s="3"/>
      <c r="L713" s="3"/>
    </row>
    <row r="714">
      <c r="D714" s="3"/>
      <c r="E714" s="3"/>
      <c r="K714" s="3"/>
      <c r="L714" s="3"/>
    </row>
    <row r="715">
      <c r="D715" s="3"/>
      <c r="E715" s="3"/>
      <c r="K715" s="3"/>
      <c r="L715" s="3"/>
    </row>
    <row r="716">
      <c r="D716" s="3"/>
      <c r="E716" s="3"/>
      <c r="K716" s="3"/>
      <c r="L716" s="3"/>
    </row>
    <row r="717">
      <c r="D717" s="3"/>
      <c r="E717" s="3"/>
      <c r="K717" s="3"/>
      <c r="L717" s="3"/>
    </row>
    <row r="718">
      <c r="D718" s="3"/>
      <c r="E718" s="3"/>
      <c r="K718" s="3"/>
      <c r="L718" s="3"/>
    </row>
    <row r="719">
      <c r="D719" s="3"/>
      <c r="E719" s="3"/>
      <c r="K719" s="3"/>
      <c r="L719" s="3"/>
    </row>
    <row r="720">
      <c r="D720" s="3"/>
      <c r="E720" s="3"/>
      <c r="K720" s="3"/>
      <c r="L720" s="3"/>
    </row>
    <row r="721">
      <c r="D721" s="3"/>
      <c r="E721" s="3"/>
      <c r="K721" s="3"/>
      <c r="L721" s="3"/>
    </row>
    <row r="722">
      <c r="D722" s="3"/>
      <c r="E722" s="3"/>
      <c r="K722" s="3"/>
      <c r="L722" s="3"/>
    </row>
    <row r="723">
      <c r="D723" s="3"/>
      <c r="E723" s="3"/>
      <c r="K723" s="3"/>
      <c r="L723" s="3"/>
    </row>
    <row r="724">
      <c r="D724" s="3"/>
      <c r="E724" s="3"/>
      <c r="K724" s="3"/>
      <c r="L724" s="3"/>
    </row>
    <row r="725">
      <c r="D725" s="3"/>
      <c r="E725" s="3"/>
      <c r="K725" s="3"/>
      <c r="L725" s="3"/>
    </row>
    <row r="726">
      <c r="D726" s="3"/>
      <c r="E726" s="3"/>
      <c r="K726" s="3"/>
      <c r="L726" s="3"/>
    </row>
    <row r="727">
      <c r="D727" s="3"/>
      <c r="E727" s="3"/>
      <c r="K727" s="3"/>
      <c r="L727" s="3"/>
    </row>
    <row r="728">
      <c r="D728" s="3"/>
      <c r="E728" s="3"/>
      <c r="K728" s="3"/>
      <c r="L728" s="3"/>
    </row>
    <row r="729">
      <c r="D729" s="3"/>
      <c r="E729" s="3"/>
      <c r="K729" s="3"/>
      <c r="L729" s="3"/>
    </row>
    <row r="730">
      <c r="D730" s="3"/>
      <c r="E730" s="3"/>
      <c r="K730" s="3"/>
      <c r="L730" s="3"/>
    </row>
    <row r="731">
      <c r="D731" s="3"/>
      <c r="E731" s="3"/>
      <c r="K731" s="3"/>
      <c r="L731" s="3"/>
    </row>
    <row r="732">
      <c r="D732" s="3"/>
      <c r="E732" s="3"/>
      <c r="K732" s="3"/>
      <c r="L732" s="3"/>
    </row>
    <row r="733">
      <c r="D733" s="3"/>
      <c r="E733" s="3"/>
      <c r="K733" s="3"/>
      <c r="L733" s="3"/>
    </row>
    <row r="734">
      <c r="D734" s="3"/>
      <c r="E734" s="3"/>
      <c r="K734" s="3"/>
      <c r="L734" s="3"/>
    </row>
    <row r="735">
      <c r="D735" s="3"/>
      <c r="E735" s="3"/>
      <c r="K735" s="3"/>
      <c r="L735" s="3"/>
    </row>
    <row r="736">
      <c r="D736" s="3"/>
      <c r="E736" s="3"/>
      <c r="K736" s="3"/>
      <c r="L736" s="3"/>
    </row>
    <row r="737">
      <c r="D737" s="3"/>
      <c r="E737" s="3"/>
      <c r="K737" s="3"/>
      <c r="L737" s="3"/>
    </row>
    <row r="738">
      <c r="D738" s="3"/>
      <c r="E738" s="3"/>
      <c r="K738" s="3"/>
      <c r="L738" s="3"/>
    </row>
    <row r="739">
      <c r="D739" s="3"/>
      <c r="E739" s="3"/>
      <c r="K739" s="3"/>
      <c r="L739" s="3"/>
    </row>
    <row r="740">
      <c r="D740" s="3"/>
      <c r="E740" s="3"/>
      <c r="K740" s="3"/>
      <c r="L740" s="3"/>
    </row>
    <row r="741">
      <c r="D741" s="3"/>
      <c r="E741" s="3"/>
      <c r="K741" s="3"/>
      <c r="L741" s="3"/>
    </row>
    <row r="742">
      <c r="D742" s="3"/>
      <c r="E742" s="3"/>
      <c r="K742" s="3"/>
      <c r="L742" s="3"/>
    </row>
    <row r="743">
      <c r="D743" s="3"/>
      <c r="E743" s="3"/>
      <c r="K743" s="3"/>
      <c r="L743" s="3"/>
    </row>
    <row r="744">
      <c r="D744" s="3"/>
      <c r="E744" s="3"/>
      <c r="K744" s="3"/>
      <c r="L744" s="3"/>
    </row>
    <row r="745">
      <c r="D745" s="3"/>
      <c r="E745" s="3"/>
      <c r="K745" s="3"/>
      <c r="L745" s="3"/>
    </row>
    <row r="746">
      <c r="D746" s="3"/>
      <c r="E746" s="3"/>
      <c r="K746" s="3"/>
      <c r="L746" s="3"/>
    </row>
    <row r="747">
      <c r="D747" s="3"/>
      <c r="E747" s="3"/>
      <c r="K747" s="3"/>
      <c r="L747" s="3"/>
    </row>
    <row r="748">
      <c r="D748" s="3"/>
      <c r="E748" s="3"/>
      <c r="K748" s="3"/>
      <c r="L748" s="3"/>
    </row>
    <row r="749">
      <c r="D749" s="3"/>
      <c r="E749" s="3"/>
      <c r="K749" s="3"/>
      <c r="L749" s="3"/>
    </row>
    <row r="750">
      <c r="D750" s="3"/>
      <c r="E750" s="3"/>
      <c r="K750" s="3"/>
      <c r="L750" s="3"/>
    </row>
    <row r="751">
      <c r="D751" s="3"/>
      <c r="E751" s="3"/>
      <c r="K751" s="3"/>
      <c r="L751" s="3"/>
    </row>
    <row r="752">
      <c r="D752" s="3"/>
      <c r="E752" s="3"/>
      <c r="K752" s="3"/>
      <c r="L752" s="3"/>
    </row>
    <row r="753">
      <c r="D753" s="3"/>
      <c r="E753" s="3"/>
      <c r="K753" s="3"/>
      <c r="L753" s="3"/>
    </row>
    <row r="754">
      <c r="D754" s="3"/>
      <c r="E754" s="3"/>
      <c r="K754" s="3"/>
      <c r="L754" s="3"/>
    </row>
    <row r="755">
      <c r="D755" s="3"/>
      <c r="E755" s="3"/>
      <c r="K755" s="3"/>
      <c r="L755" s="3"/>
    </row>
    <row r="756">
      <c r="D756" s="3"/>
      <c r="E756" s="3"/>
      <c r="K756" s="3"/>
      <c r="L756" s="3"/>
    </row>
    <row r="757">
      <c r="D757" s="3"/>
      <c r="E757" s="3"/>
      <c r="K757" s="3"/>
      <c r="L757" s="3"/>
    </row>
    <row r="758">
      <c r="D758" s="3"/>
      <c r="E758" s="3"/>
      <c r="K758" s="3"/>
      <c r="L758" s="3"/>
    </row>
    <row r="759">
      <c r="D759" s="3"/>
      <c r="E759" s="3"/>
      <c r="K759" s="3"/>
      <c r="L759" s="3"/>
    </row>
    <row r="760">
      <c r="D760" s="3"/>
      <c r="E760" s="3"/>
      <c r="K760" s="3"/>
      <c r="L760" s="3"/>
    </row>
    <row r="761">
      <c r="D761" s="3"/>
      <c r="E761" s="3"/>
      <c r="K761" s="3"/>
      <c r="L761" s="3"/>
    </row>
    <row r="762">
      <c r="D762" s="3"/>
      <c r="E762" s="3"/>
      <c r="K762" s="3"/>
      <c r="L762" s="3"/>
    </row>
    <row r="763">
      <c r="D763" s="3"/>
      <c r="E763" s="3"/>
      <c r="K763" s="3"/>
      <c r="L763" s="3"/>
    </row>
    <row r="764">
      <c r="D764" s="3"/>
      <c r="E764" s="3"/>
      <c r="K764" s="3"/>
      <c r="L764" s="3"/>
    </row>
    <row r="765">
      <c r="D765" s="3"/>
      <c r="E765" s="3"/>
      <c r="K765" s="3"/>
      <c r="L765" s="3"/>
    </row>
    <row r="766">
      <c r="D766" s="3"/>
      <c r="E766" s="3"/>
      <c r="K766" s="3"/>
      <c r="L766" s="3"/>
    </row>
    <row r="767">
      <c r="D767" s="3"/>
      <c r="E767" s="3"/>
      <c r="K767" s="3"/>
      <c r="L767" s="3"/>
    </row>
    <row r="768">
      <c r="D768" s="3"/>
      <c r="E768" s="3"/>
      <c r="K768" s="3"/>
      <c r="L768" s="3"/>
    </row>
    <row r="769">
      <c r="D769" s="3"/>
      <c r="E769" s="3"/>
      <c r="K769" s="3"/>
      <c r="L769" s="3"/>
    </row>
    <row r="770">
      <c r="D770" s="3"/>
      <c r="E770" s="3"/>
      <c r="K770" s="3"/>
      <c r="L770" s="3"/>
    </row>
    <row r="771">
      <c r="D771" s="3"/>
      <c r="E771" s="3"/>
      <c r="K771" s="3"/>
      <c r="L771" s="3"/>
    </row>
    <row r="772">
      <c r="D772" s="3"/>
      <c r="E772" s="3"/>
      <c r="K772" s="3"/>
      <c r="L772" s="3"/>
    </row>
    <row r="773">
      <c r="D773" s="3"/>
      <c r="E773" s="3"/>
      <c r="K773" s="3"/>
      <c r="L773" s="3"/>
    </row>
    <row r="774">
      <c r="D774" s="3"/>
      <c r="E774" s="3"/>
      <c r="K774" s="3"/>
      <c r="L774" s="3"/>
    </row>
    <row r="775">
      <c r="D775" s="3"/>
      <c r="E775" s="3"/>
      <c r="K775" s="3"/>
      <c r="L775" s="3"/>
    </row>
    <row r="776">
      <c r="D776" s="3"/>
      <c r="E776" s="3"/>
      <c r="K776" s="3"/>
      <c r="L776" s="3"/>
    </row>
    <row r="777">
      <c r="D777" s="3"/>
      <c r="E777" s="3"/>
      <c r="K777" s="3"/>
      <c r="L777" s="3"/>
    </row>
    <row r="778">
      <c r="D778" s="3"/>
      <c r="E778" s="3"/>
      <c r="K778" s="3"/>
      <c r="L778" s="3"/>
    </row>
    <row r="779">
      <c r="D779" s="3"/>
      <c r="E779" s="3"/>
      <c r="K779" s="3"/>
      <c r="L779" s="3"/>
    </row>
    <row r="780">
      <c r="D780" s="3"/>
      <c r="E780" s="3"/>
      <c r="K780" s="3"/>
      <c r="L780" s="3"/>
    </row>
    <row r="781">
      <c r="D781" s="3"/>
      <c r="E781" s="3"/>
      <c r="K781" s="3"/>
      <c r="L781" s="3"/>
    </row>
    <row r="782">
      <c r="D782" s="3"/>
      <c r="E782" s="3"/>
      <c r="K782" s="3"/>
      <c r="L782" s="3"/>
    </row>
    <row r="783">
      <c r="D783" s="3"/>
      <c r="E783" s="3"/>
      <c r="K783" s="3"/>
      <c r="L783" s="3"/>
    </row>
    <row r="784">
      <c r="D784" s="3"/>
      <c r="E784" s="3"/>
      <c r="K784" s="3"/>
      <c r="L784" s="3"/>
    </row>
    <row r="785">
      <c r="D785" s="3"/>
      <c r="E785" s="3"/>
      <c r="K785" s="3"/>
      <c r="L785" s="3"/>
    </row>
    <row r="786">
      <c r="D786" s="3"/>
      <c r="E786" s="3"/>
      <c r="K786" s="3"/>
      <c r="L786" s="3"/>
    </row>
    <row r="787">
      <c r="D787" s="3"/>
      <c r="E787" s="3"/>
      <c r="K787" s="3"/>
      <c r="L787" s="3"/>
    </row>
    <row r="788">
      <c r="D788" s="3"/>
      <c r="E788" s="3"/>
      <c r="K788" s="3"/>
      <c r="L788" s="3"/>
    </row>
    <row r="789">
      <c r="D789" s="3"/>
      <c r="E789" s="3"/>
      <c r="K789" s="3"/>
      <c r="L789" s="3"/>
    </row>
    <row r="790">
      <c r="D790" s="3"/>
      <c r="E790" s="3"/>
      <c r="K790" s="3"/>
      <c r="L790" s="3"/>
    </row>
    <row r="791">
      <c r="D791" s="3"/>
      <c r="E791" s="3"/>
      <c r="K791" s="3"/>
      <c r="L791" s="3"/>
    </row>
    <row r="792">
      <c r="D792" s="3"/>
      <c r="E792" s="3"/>
      <c r="K792" s="3"/>
      <c r="L792" s="3"/>
    </row>
    <row r="793">
      <c r="D793" s="3"/>
      <c r="E793" s="3"/>
      <c r="K793" s="3"/>
      <c r="L793" s="3"/>
    </row>
    <row r="794">
      <c r="D794" s="3"/>
      <c r="E794" s="3"/>
      <c r="K794" s="3"/>
      <c r="L794" s="3"/>
    </row>
    <row r="795">
      <c r="D795" s="3"/>
      <c r="E795" s="3"/>
      <c r="K795" s="3"/>
      <c r="L795" s="3"/>
    </row>
    <row r="796">
      <c r="D796" s="3"/>
      <c r="E796" s="3"/>
      <c r="K796" s="3"/>
      <c r="L796" s="3"/>
    </row>
    <row r="797">
      <c r="D797" s="3"/>
      <c r="E797" s="3"/>
      <c r="K797" s="3"/>
      <c r="L797" s="3"/>
    </row>
    <row r="798">
      <c r="D798" s="3"/>
      <c r="E798" s="3"/>
      <c r="K798" s="3"/>
      <c r="L798" s="3"/>
    </row>
    <row r="799">
      <c r="D799" s="3"/>
      <c r="E799" s="3"/>
      <c r="K799" s="3"/>
      <c r="L799" s="3"/>
    </row>
    <row r="800">
      <c r="D800" s="3"/>
      <c r="E800" s="3"/>
      <c r="K800" s="3"/>
      <c r="L800" s="3"/>
    </row>
    <row r="801">
      <c r="D801" s="3"/>
      <c r="E801" s="3"/>
      <c r="K801" s="3"/>
      <c r="L801" s="3"/>
    </row>
    <row r="802">
      <c r="D802" s="3"/>
      <c r="E802" s="3"/>
      <c r="K802" s="3"/>
      <c r="L802" s="3"/>
    </row>
    <row r="803">
      <c r="D803" s="3"/>
      <c r="E803" s="3"/>
      <c r="K803" s="3"/>
      <c r="L803" s="3"/>
    </row>
    <row r="804">
      <c r="D804" s="3"/>
      <c r="E804" s="3"/>
      <c r="K804" s="3"/>
      <c r="L804" s="3"/>
    </row>
    <row r="805">
      <c r="D805" s="3"/>
      <c r="E805" s="3"/>
      <c r="K805" s="3"/>
      <c r="L805" s="3"/>
    </row>
    <row r="806">
      <c r="D806" s="3"/>
      <c r="E806" s="3"/>
      <c r="K806" s="3"/>
      <c r="L806" s="3"/>
    </row>
    <row r="807">
      <c r="D807" s="3"/>
      <c r="E807" s="3"/>
      <c r="K807" s="3"/>
      <c r="L807" s="3"/>
    </row>
    <row r="808">
      <c r="D808" s="3"/>
      <c r="E808" s="3"/>
      <c r="K808" s="3"/>
      <c r="L808" s="3"/>
    </row>
    <row r="809">
      <c r="D809" s="3"/>
      <c r="E809" s="3"/>
      <c r="K809" s="3"/>
      <c r="L809" s="3"/>
    </row>
    <row r="810">
      <c r="D810" s="3"/>
      <c r="E810" s="3"/>
      <c r="K810" s="3"/>
      <c r="L810" s="3"/>
    </row>
    <row r="811">
      <c r="D811" s="3"/>
      <c r="E811" s="3"/>
      <c r="K811" s="3"/>
      <c r="L811" s="3"/>
    </row>
    <row r="812">
      <c r="D812" s="3"/>
      <c r="E812" s="3"/>
      <c r="K812" s="3"/>
      <c r="L812" s="3"/>
    </row>
    <row r="813">
      <c r="D813" s="3"/>
      <c r="E813" s="3"/>
      <c r="K813" s="3"/>
      <c r="L813" s="3"/>
    </row>
    <row r="814">
      <c r="D814" s="3"/>
      <c r="E814" s="3"/>
      <c r="K814" s="3"/>
      <c r="L814" s="3"/>
    </row>
    <row r="815">
      <c r="D815" s="3"/>
      <c r="E815" s="3"/>
      <c r="K815" s="3"/>
      <c r="L815" s="3"/>
    </row>
    <row r="816">
      <c r="D816" s="3"/>
      <c r="E816" s="3"/>
      <c r="K816" s="3"/>
      <c r="L816" s="3"/>
    </row>
    <row r="817">
      <c r="D817" s="3"/>
      <c r="E817" s="3"/>
      <c r="K817" s="3"/>
      <c r="L817" s="3"/>
    </row>
    <row r="818">
      <c r="D818" s="3"/>
      <c r="E818" s="3"/>
      <c r="K818" s="3"/>
      <c r="L818" s="3"/>
    </row>
    <row r="819">
      <c r="D819" s="3"/>
      <c r="E819" s="3"/>
      <c r="K819" s="3"/>
      <c r="L819" s="3"/>
    </row>
    <row r="820">
      <c r="D820" s="3"/>
      <c r="E820" s="3"/>
      <c r="K820" s="3"/>
      <c r="L820" s="3"/>
    </row>
    <row r="821">
      <c r="D821" s="3"/>
      <c r="E821" s="3"/>
      <c r="K821" s="3"/>
      <c r="L821" s="3"/>
    </row>
    <row r="822">
      <c r="D822" s="3"/>
      <c r="E822" s="3"/>
      <c r="K822" s="3"/>
      <c r="L822" s="3"/>
    </row>
    <row r="823">
      <c r="D823" s="3"/>
      <c r="E823" s="3"/>
      <c r="K823" s="3"/>
      <c r="L823" s="3"/>
    </row>
    <row r="824">
      <c r="D824" s="3"/>
      <c r="E824" s="3"/>
      <c r="K824" s="3"/>
      <c r="L824" s="3"/>
    </row>
    <row r="825">
      <c r="D825" s="3"/>
      <c r="E825" s="3"/>
      <c r="K825" s="3"/>
      <c r="L825" s="3"/>
    </row>
    <row r="826">
      <c r="D826" s="3"/>
      <c r="E826" s="3"/>
      <c r="K826" s="3"/>
      <c r="L826" s="3"/>
    </row>
    <row r="827">
      <c r="D827" s="3"/>
      <c r="E827" s="3"/>
      <c r="K827" s="3"/>
      <c r="L827" s="3"/>
    </row>
    <row r="828">
      <c r="D828" s="3"/>
      <c r="E828" s="3"/>
      <c r="K828" s="3"/>
      <c r="L828" s="3"/>
    </row>
    <row r="829">
      <c r="D829" s="3"/>
      <c r="E829" s="3"/>
      <c r="K829" s="3"/>
      <c r="L829" s="3"/>
    </row>
    <row r="830">
      <c r="D830" s="3"/>
      <c r="E830" s="3"/>
      <c r="K830" s="3"/>
      <c r="L830" s="3"/>
    </row>
    <row r="831">
      <c r="D831" s="3"/>
      <c r="E831" s="3"/>
      <c r="K831" s="3"/>
      <c r="L831" s="3"/>
    </row>
    <row r="832">
      <c r="D832" s="3"/>
      <c r="E832" s="3"/>
      <c r="K832" s="3"/>
      <c r="L832" s="3"/>
    </row>
    <row r="833">
      <c r="D833" s="3"/>
      <c r="E833" s="3"/>
      <c r="K833" s="3"/>
      <c r="L833" s="3"/>
    </row>
    <row r="834">
      <c r="D834" s="3"/>
      <c r="E834" s="3"/>
      <c r="K834" s="3"/>
      <c r="L834" s="3"/>
    </row>
    <row r="835">
      <c r="D835" s="3"/>
      <c r="E835" s="3"/>
      <c r="K835" s="3"/>
      <c r="L835" s="3"/>
    </row>
    <row r="836">
      <c r="D836" s="3"/>
      <c r="E836" s="3"/>
      <c r="K836" s="3"/>
      <c r="L836" s="3"/>
    </row>
    <row r="837">
      <c r="D837" s="3"/>
      <c r="E837" s="3"/>
      <c r="K837" s="3"/>
      <c r="L837" s="3"/>
    </row>
    <row r="838">
      <c r="D838" s="3"/>
      <c r="E838" s="3"/>
      <c r="K838" s="3"/>
      <c r="L838" s="3"/>
    </row>
    <row r="839">
      <c r="D839" s="3"/>
      <c r="E839" s="3"/>
      <c r="K839" s="3"/>
      <c r="L839" s="3"/>
    </row>
    <row r="840">
      <c r="D840" s="3"/>
      <c r="E840" s="3"/>
      <c r="K840" s="3"/>
      <c r="L840" s="3"/>
    </row>
    <row r="841">
      <c r="D841" s="3"/>
      <c r="E841" s="3"/>
      <c r="K841" s="3"/>
      <c r="L841" s="3"/>
    </row>
    <row r="842">
      <c r="D842" s="3"/>
      <c r="E842" s="3"/>
      <c r="K842" s="3"/>
      <c r="L842" s="3"/>
    </row>
    <row r="843">
      <c r="D843" s="3"/>
      <c r="E843" s="3"/>
      <c r="K843" s="3"/>
      <c r="L843" s="3"/>
    </row>
    <row r="844">
      <c r="D844" s="3"/>
      <c r="E844" s="3"/>
      <c r="K844" s="3"/>
      <c r="L844" s="3"/>
    </row>
    <row r="845">
      <c r="D845" s="3"/>
      <c r="E845" s="3"/>
      <c r="K845" s="3"/>
      <c r="L845" s="3"/>
    </row>
    <row r="846">
      <c r="D846" s="3"/>
      <c r="E846" s="3"/>
      <c r="K846" s="3"/>
      <c r="L846" s="3"/>
    </row>
    <row r="847">
      <c r="D847" s="3"/>
      <c r="E847" s="3"/>
      <c r="K847" s="3"/>
      <c r="L847" s="3"/>
    </row>
    <row r="848">
      <c r="D848" s="3"/>
      <c r="E848" s="3"/>
      <c r="K848" s="3"/>
      <c r="L848" s="3"/>
    </row>
    <row r="849">
      <c r="D849" s="3"/>
      <c r="E849" s="3"/>
      <c r="K849" s="3"/>
      <c r="L849" s="3"/>
    </row>
    <row r="850">
      <c r="D850" s="3"/>
      <c r="E850" s="3"/>
      <c r="K850" s="3"/>
      <c r="L850" s="3"/>
    </row>
    <row r="851">
      <c r="D851" s="3"/>
      <c r="E851" s="3"/>
      <c r="K851" s="3"/>
      <c r="L851" s="3"/>
    </row>
    <row r="852">
      <c r="D852" s="3"/>
      <c r="E852" s="3"/>
      <c r="K852" s="3"/>
      <c r="L852" s="3"/>
    </row>
    <row r="853">
      <c r="D853" s="3"/>
      <c r="E853" s="3"/>
      <c r="K853" s="3"/>
      <c r="L853" s="3"/>
    </row>
    <row r="854">
      <c r="D854" s="3"/>
      <c r="E854" s="3"/>
      <c r="K854" s="3"/>
      <c r="L854" s="3"/>
    </row>
    <row r="855">
      <c r="D855" s="3"/>
      <c r="E855" s="3"/>
      <c r="K855" s="3"/>
      <c r="L855" s="3"/>
    </row>
    <row r="856">
      <c r="D856" s="3"/>
      <c r="E856" s="3"/>
      <c r="K856" s="3"/>
      <c r="L856" s="3"/>
    </row>
    <row r="857">
      <c r="D857" s="3"/>
      <c r="E857" s="3"/>
      <c r="K857" s="3"/>
      <c r="L857" s="3"/>
    </row>
    <row r="858">
      <c r="D858" s="3"/>
      <c r="E858" s="3"/>
      <c r="K858" s="3"/>
      <c r="L858" s="3"/>
    </row>
    <row r="859">
      <c r="D859" s="3"/>
      <c r="E859" s="3"/>
      <c r="K859" s="3"/>
      <c r="L859" s="3"/>
    </row>
    <row r="860">
      <c r="D860" s="3"/>
      <c r="E860" s="3"/>
      <c r="K860" s="3"/>
      <c r="L860" s="3"/>
    </row>
    <row r="861">
      <c r="D861" s="3"/>
      <c r="E861" s="3"/>
      <c r="K861" s="3"/>
      <c r="L861" s="3"/>
    </row>
    <row r="862">
      <c r="D862" s="3"/>
      <c r="E862" s="3"/>
      <c r="K862" s="3"/>
      <c r="L862" s="3"/>
    </row>
    <row r="863">
      <c r="D863" s="3"/>
      <c r="E863" s="3"/>
      <c r="K863" s="3"/>
      <c r="L863" s="3"/>
    </row>
    <row r="864">
      <c r="D864" s="3"/>
      <c r="E864" s="3"/>
      <c r="K864" s="3"/>
      <c r="L864" s="3"/>
    </row>
    <row r="865">
      <c r="D865" s="3"/>
      <c r="E865" s="3"/>
      <c r="K865" s="3"/>
      <c r="L865" s="3"/>
    </row>
    <row r="866">
      <c r="D866" s="3"/>
      <c r="E866" s="3"/>
      <c r="K866" s="3"/>
      <c r="L866" s="3"/>
    </row>
    <row r="867">
      <c r="D867" s="3"/>
      <c r="E867" s="3"/>
      <c r="K867" s="3"/>
      <c r="L867" s="3"/>
    </row>
    <row r="868">
      <c r="D868" s="3"/>
      <c r="E868" s="3"/>
      <c r="K868" s="3"/>
      <c r="L868" s="3"/>
    </row>
    <row r="869">
      <c r="D869" s="3"/>
      <c r="E869" s="3"/>
      <c r="K869" s="3"/>
      <c r="L869" s="3"/>
    </row>
    <row r="870">
      <c r="D870" s="3"/>
      <c r="E870" s="3"/>
      <c r="K870" s="3"/>
      <c r="L870" s="3"/>
    </row>
    <row r="871">
      <c r="D871" s="3"/>
      <c r="E871" s="3"/>
      <c r="K871" s="3"/>
      <c r="L871" s="3"/>
    </row>
    <row r="872">
      <c r="D872" s="3"/>
      <c r="E872" s="3"/>
      <c r="K872" s="3"/>
      <c r="L872" s="3"/>
    </row>
    <row r="873">
      <c r="D873" s="3"/>
      <c r="E873" s="3"/>
      <c r="K873" s="3"/>
      <c r="L873" s="3"/>
    </row>
    <row r="874">
      <c r="D874" s="3"/>
      <c r="E874" s="3"/>
      <c r="K874" s="3"/>
      <c r="L874" s="3"/>
    </row>
    <row r="875">
      <c r="D875" s="3"/>
      <c r="E875" s="3"/>
      <c r="K875" s="3"/>
      <c r="L875" s="3"/>
    </row>
    <row r="876">
      <c r="D876" s="3"/>
      <c r="E876" s="3"/>
      <c r="K876" s="3"/>
      <c r="L876" s="3"/>
    </row>
    <row r="877">
      <c r="D877" s="3"/>
      <c r="E877" s="3"/>
      <c r="K877" s="3"/>
      <c r="L877" s="3"/>
    </row>
    <row r="878">
      <c r="D878" s="3"/>
      <c r="E878" s="3"/>
      <c r="K878" s="3"/>
      <c r="L878" s="3"/>
    </row>
    <row r="879">
      <c r="D879" s="3"/>
      <c r="E879" s="3"/>
      <c r="K879" s="3"/>
      <c r="L879" s="3"/>
    </row>
    <row r="880">
      <c r="D880" s="3"/>
      <c r="E880" s="3"/>
      <c r="K880" s="3"/>
      <c r="L880" s="3"/>
    </row>
    <row r="881">
      <c r="D881" s="3"/>
      <c r="E881" s="3"/>
      <c r="K881" s="3"/>
      <c r="L881" s="3"/>
    </row>
    <row r="882">
      <c r="D882" s="3"/>
      <c r="E882" s="3"/>
      <c r="K882" s="3"/>
      <c r="L882" s="3"/>
    </row>
    <row r="883">
      <c r="D883" s="3"/>
      <c r="E883" s="3"/>
      <c r="K883" s="3"/>
      <c r="L883" s="3"/>
    </row>
    <row r="884">
      <c r="D884" s="3"/>
      <c r="E884" s="3"/>
      <c r="K884" s="3"/>
      <c r="L884" s="3"/>
    </row>
    <row r="885">
      <c r="D885" s="3"/>
      <c r="E885" s="3"/>
      <c r="K885" s="3"/>
      <c r="L885" s="3"/>
    </row>
    <row r="886">
      <c r="D886" s="3"/>
      <c r="E886" s="3"/>
      <c r="K886" s="3"/>
      <c r="L886" s="3"/>
    </row>
    <row r="887">
      <c r="D887" s="3"/>
      <c r="E887" s="3"/>
      <c r="K887" s="3"/>
      <c r="L887" s="3"/>
    </row>
    <row r="888">
      <c r="D888" s="3"/>
      <c r="E888" s="3"/>
      <c r="K888" s="3"/>
      <c r="L888" s="3"/>
    </row>
    <row r="889">
      <c r="D889" s="3"/>
      <c r="E889" s="3"/>
      <c r="K889" s="3"/>
      <c r="L889" s="3"/>
    </row>
    <row r="890">
      <c r="D890" s="3"/>
      <c r="E890" s="3"/>
      <c r="K890" s="3"/>
      <c r="L890" s="3"/>
    </row>
    <row r="891">
      <c r="D891" s="3"/>
      <c r="E891" s="3"/>
      <c r="K891" s="3"/>
      <c r="L891" s="3"/>
    </row>
    <row r="892">
      <c r="D892" s="3"/>
      <c r="E892" s="3"/>
      <c r="K892" s="3"/>
      <c r="L892" s="3"/>
    </row>
    <row r="893">
      <c r="D893" s="3"/>
      <c r="E893" s="3"/>
      <c r="K893" s="3"/>
      <c r="L893" s="3"/>
    </row>
    <row r="894">
      <c r="D894" s="3"/>
      <c r="E894" s="3"/>
      <c r="K894" s="3"/>
      <c r="L894" s="3"/>
    </row>
    <row r="895">
      <c r="D895" s="3"/>
      <c r="E895" s="3"/>
      <c r="K895" s="3"/>
      <c r="L895" s="3"/>
    </row>
    <row r="896">
      <c r="D896" s="3"/>
      <c r="E896" s="3"/>
      <c r="K896" s="3"/>
      <c r="L896" s="3"/>
    </row>
    <row r="897">
      <c r="D897" s="3"/>
      <c r="E897" s="3"/>
      <c r="K897" s="3"/>
      <c r="L897" s="3"/>
    </row>
    <row r="898">
      <c r="D898" s="3"/>
      <c r="E898" s="3"/>
      <c r="K898" s="3"/>
      <c r="L898" s="3"/>
    </row>
    <row r="899">
      <c r="D899" s="3"/>
      <c r="E899" s="3"/>
      <c r="K899" s="3"/>
      <c r="L899" s="3"/>
    </row>
    <row r="900">
      <c r="D900" s="3"/>
      <c r="E900" s="3"/>
      <c r="K900" s="3"/>
      <c r="L900" s="3"/>
    </row>
    <row r="901">
      <c r="D901" s="3"/>
      <c r="E901" s="3"/>
      <c r="K901" s="3"/>
      <c r="L901" s="3"/>
    </row>
    <row r="902">
      <c r="D902" s="3"/>
      <c r="E902" s="3"/>
      <c r="K902" s="3"/>
      <c r="L902" s="3"/>
    </row>
    <row r="903">
      <c r="D903" s="3"/>
      <c r="E903" s="3"/>
      <c r="K903" s="3"/>
      <c r="L903" s="3"/>
    </row>
    <row r="904">
      <c r="D904" s="3"/>
      <c r="E904" s="3"/>
      <c r="K904" s="3"/>
      <c r="L904" s="3"/>
    </row>
    <row r="905">
      <c r="D905" s="3"/>
      <c r="E905" s="3"/>
      <c r="K905" s="3"/>
      <c r="L905" s="3"/>
    </row>
    <row r="906">
      <c r="D906" s="3"/>
      <c r="E906" s="3"/>
      <c r="K906" s="3"/>
      <c r="L906" s="3"/>
    </row>
    <row r="907">
      <c r="D907" s="3"/>
      <c r="E907" s="3"/>
      <c r="K907" s="3"/>
      <c r="L907" s="3"/>
    </row>
    <row r="908">
      <c r="D908" s="3"/>
      <c r="E908" s="3"/>
      <c r="K908" s="3"/>
      <c r="L908" s="3"/>
    </row>
    <row r="909">
      <c r="D909" s="3"/>
      <c r="E909" s="3"/>
      <c r="K909" s="3"/>
      <c r="L909" s="3"/>
    </row>
    <row r="910">
      <c r="D910" s="3"/>
      <c r="E910" s="3"/>
      <c r="K910" s="3"/>
      <c r="L910" s="3"/>
    </row>
    <row r="911">
      <c r="D911" s="3"/>
      <c r="E911" s="3"/>
      <c r="K911" s="3"/>
      <c r="L911" s="3"/>
    </row>
    <row r="912">
      <c r="D912" s="3"/>
      <c r="E912" s="3"/>
      <c r="K912" s="3"/>
      <c r="L912" s="3"/>
    </row>
    <row r="913">
      <c r="D913" s="3"/>
      <c r="E913" s="3"/>
      <c r="K913" s="3"/>
      <c r="L913" s="3"/>
    </row>
    <row r="914">
      <c r="D914" s="3"/>
      <c r="E914" s="3"/>
      <c r="K914" s="3"/>
      <c r="L914" s="3"/>
    </row>
    <row r="915">
      <c r="D915" s="3"/>
      <c r="E915" s="3"/>
      <c r="K915" s="3"/>
      <c r="L915" s="3"/>
    </row>
    <row r="916">
      <c r="D916" s="3"/>
      <c r="E916" s="3"/>
      <c r="K916" s="3"/>
      <c r="L916" s="3"/>
    </row>
    <row r="917">
      <c r="D917" s="3"/>
      <c r="E917" s="3"/>
      <c r="K917" s="3"/>
      <c r="L917" s="3"/>
    </row>
    <row r="918">
      <c r="D918" s="3"/>
      <c r="E918" s="3"/>
      <c r="K918" s="3"/>
      <c r="L918" s="3"/>
    </row>
    <row r="919">
      <c r="D919" s="3"/>
      <c r="E919" s="3"/>
      <c r="K919" s="3"/>
      <c r="L919" s="3"/>
    </row>
    <row r="920">
      <c r="D920" s="3"/>
      <c r="E920" s="3"/>
      <c r="K920" s="3"/>
      <c r="L920" s="3"/>
    </row>
    <row r="921">
      <c r="D921" s="3"/>
      <c r="E921" s="3"/>
      <c r="K921" s="3"/>
      <c r="L921" s="3"/>
    </row>
    <row r="922">
      <c r="D922" s="3"/>
      <c r="E922" s="3"/>
      <c r="K922" s="3"/>
      <c r="L922" s="3"/>
    </row>
    <row r="923">
      <c r="D923" s="3"/>
      <c r="E923" s="3"/>
      <c r="K923" s="3"/>
      <c r="L923" s="3"/>
    </row>
    <row r="924">
      <c r="D924" s="3"/>
      <c r="E924" s="3"/>
      <c r="K924" s="3"/>
      <c r="L924" s="3"/>
    </row>
    <row r="925">
      <c r="D925" s="3"/>
      <c r="E925" s="3"/>
      <c r="K925" s="3"/>
      <c r="L925" s="3"/>
    </row>
    <row r="926">
      <c r="D926" s="3"/>
      <c r="E926" s="3"/>
      <c r="K926" s="3"/>
      <c r="L926" s="3"/>
    </row>
    <row r="927">
      <c r="D927" s="3"/>
      <c r="E927" s="3"/>
      <c r="K927" s="3"/>
      <c r="L927" s="3"/>
    </row>
    <row r="928">
      <c r="D928" s="3"/>
      <c r="E928" s="3"/>
      <c r="K928" s="3"/>
      <c r="L928" s="3"/>
    </row>
    <row r="929">
      <c r="D929" s="3"/>
      <c r="E929" s="3"/>
      <c r="K929" s="3"/>
      <c r="L929" s="3"/>
    </row>
    <row r="930">
      <c r="D930" s="3"/>
      <c r="E930" s="3"/>
      <c r="K930" s="3"/>
      <c r="L930" s="3"/>
    </row>
    <row r="931">
      <c r="D931" s="3"/>
      <c r="E931" s="3"/>
      <c r="K931" s="3"/>
      <c r="L931" s="3"/>
    </row>
    <row r="932">
      <c r="D932" s="3"/>
      <c r="E932" s="3"/>
      <c r="K932" s="3"/>
      <c r="L932" s="3"/>
    </row>
    <row r="933">
      <c r="D933" s="3"/>
      <c r="E933" s="3"/>
      <c r="K933" s="3"/>
      <c r="L933" s="3"/>
    </row>
    <row r="934">
      <c r="D934" s="3"/>
      <c r="E934" s="3"/>
      <c r="K934" s="3"/>
      <c r="L934" s="3"/>
    </row>
    <row r="935">
      <c r="D935" s="3"/>
      <c r="E935" s="3"/>
      <c r="K935" s="3"/>
      <c r="L935" s="3"/>
    </row>
    <row r="936">
      <c r="D936" s="3"/>
      <c r="E936" s="3"/>
      <c r="K936" s="3"/>
      <c r="L936" s="3"/>
    </row>
    <row r="937">
      <c r="D937" s="3"/>
      <c r="E937" s="3"/>
      <c r="K937" s="3"/>
      <c r="L937" s="3"/>
    </row>
    <row r="938">
      <c r="D938" s="3"/>
      <c r="E938" s="3"/>
      <c r="K938" s="3"/>
      <c r="L938" s="3"/>
    </row>
    <row r="939">
      <c r="D939" s="3"/>
      <c r="E939" s="3"/>
      <c r="K939" s="3"/>
      <c r="L939" s="3"/>
    </row>
    <row r="940">
      <c r="D940" s="3"/>
      <c r="E940" s="3"/>
      <c r="K940" s="3"/>
      <c r="L940" s="3"/>
    </row>
    <row r="941">
      <c r="D941" s="3"/>
      <c r="E941" s="3"/>
      <c r="K941" s="3"/>
      <c r="L941" s="3"/>
    </row>
    <row r="942">
      <c r="D942" s="3"/>
      <c r="E942" s="3"/>
      <c r="K942" s="3"/>
      <c r="L942" s="3"/>
    </row>
    <row r="943">
      <c r="D943" s="3"/>
      <c r="E943" s="3"/>
      <c r="K943" s="3"/>
      <c r="L943" s="3"/>
    </row>
    <row r="944">
      <c r="D944" s="3"/>
      <c r="E944" s="3"/>
      <c r="K944" s="3"/>
      <c r="L944" s="3"/>
    </row>
    <row r="945">
      <c r="D945" s="3"/>
      <c r="E945" s="3"/>
      <c r="K945" s="3"/>
      <c r="L945" s="3"/>
    </row>
    <row r="946">
      <c r="D946" s="3"/>
      <c r="E946" s="3"/>
      <c r="K946" s="3"/>
      <c r="L946" s="3"/>
    </row>
    <row r="947">
      <c r="D947" s="3"/>
      <c r="E947" s="3"/>
      <c r="K947" s="3"/>
      <c r="L947" s="3"/>
    </row>
    <row r="948">
      <c r="D948" s="3"/>
      <c r="E948" s="3"/>
      <c r="K948" s="3"/>
      <c r="L948" s="3"/>
    </row>
    <row r="949">
      <c r="D949" s="3"/>
      <c r="E949" s="3"/>
      <c r="K949" s="3"/>
      <c r="L949" s="3"/>
    </row>
    <row r="950">
      <c r="D950" s="3"/>
      <c r="E950" s="3"/>
      <c r="K950" s="3"/>
      <c r="L950" s="3"/>
    </row>
    <row r="951">
      <c r="D951" s="3"/>
      <c r="E951" s="3"/>
      <c r="K951" s="3"/>
      <c r="L951" s="3"/>
    </row>
    <row r="952">
      <c r="D952" s="3"/>
      <c r="E952" s="3"/>
      <c r="K952" s="3"/>
      <c r="L952" s="3"/>
    </row>
    <row r="953">
      <c r="D953" s="3"/>
      <c r="E953" s="3"/>
      <c r="K953" s="3"/>
      <c r="L953" s="3"/>
    </row>
    <row r="954">
      <c r="D954" s="3"/>
      <c r="E954" s="3"/>
      <c r="K954" s="3"/>
      <c r="L954" s="3"/>
    </row>
    <row r="955">
      <c r="D955" s="3"/>
      <c r="E955" s="3"/>
      <c r="K955" s="3"/>
      <c r="L955" s="3"/>
    </row>
    <row r="956">
      <c r="D956" s="3"/>
      <c r="E956" s="3"/>
      <c r="K956" s="3"/>
      <c r="L956" s="3"/>
    </row>
    <row r="957">
      <c r="D957" s="3"/>
      <c r="E957" s="3"/>
      <c r="K957" s="3"/>
      <c r="L957" s="3"/>
    </row>
    <row r="958">
      <c r="D958" s="3"/>
      <c r="E958" s="3"/>
      <c r="K958" s="3"/>
      <c r="L958" s="3"/>
    </row>
    <row r="959">
      <c r="D959" s="3"/>
      <c r="E959" s="3"/>
      <c r="K959" s="3"/>
      <c r="L959" s="3"/>
    </row>
    <row r="960">
      <c r="D960" s="3"/>
      <c r="E960" s="3"/>
      <c r="K960" s="3"/>
      <c r="L960" s="3"/>
    </row>
    <row r="961">
      <c r="D961" s="3"/>
      <c r="E961" s="3"/>
      <c r="K961" s="3"/>
      <c r="L961" s="3"/>
    </row>
    <row r="962">
      <c r="D962" s="3"/>
      <c r="E962" s="3"/>
      <c r="K962" s="3"/>
      <c r="L962" s="3"/>
    </row>
    <row r="963">
      <c r="D963" s="3"/>
      <c r="E963" s="3"/>
      <c r="K963" s="3"/>
      <c r="L963" s="3"/>
    </row>
    <row r="964">
      <c r="D964" s="3"/>
      <c r="E964" s="3"/>
      <c r="K964" s="3"/>
      <c r="L964" s="3"/>
    </row>
    <row r="965">
      <c r="D965" s="3"/>
      <c r="E965" s="3"/>
      <c r="K965" s="3"/>
      <c r="L965" s="3"/>
    </row>
    <row r="966">
      <c r="D966" s="3"/>
      <c r="E966" s="3"/>
      <c r="K966" s="3"/>
      <c r="L966" s="3"/>
    </row>
    <row r="967">
      <c r="D967" s="3"/>
      <c r="E967" s="3"/>
      <c r="K967" s="3"/>
      <c r="L967" s="3"/>
    </row>
    <row r="968">
      <c r="D968" s="3"/>
      <c r="E968" s="3"/>
      <c r="K968" s="3"/>
      <c r="L968" s="3"/>
    </row>
    <row r="969">
      <c r="D969" s="3"/>
      <c r="E969" s="3"/>
      <c r="K969" s="3"/>
      <c r="L969" s="3"/>
    </row>
    <row r="970">
      <c r="D970" s="3"/>
      <c r="E970" s="3"/>
      <c r="K970" s="3"/>
      <c r="L970" s="3"/>
    </row>
    <row r="971">
      <c r="D971" s="3"/>
      <c r="E971" s="3"/>
      <c r="K971" s="3"/>
      <c r="L971" s="3"/>
    </row>
    <row r="972">
      <c r="D972" s="3"/>
      <c r="E972" s="3"/>
      <c r="K972" s="3"/>
      <c r="L972" s="3"/>
    </row>
    <row r="973">
      <c r="D973" s="3"/>
      <c r="E973" s="3"/>
      <c r="K973" s="3"/>
      <c r="L973" s="3"/>
    </row>
    <row r="974">
      <c r="D974" s="3"/>
      <c r="E974" s="3"/>
      <c r="K974" s="3"/>
      <c r="L974" s="3"/>
    </row>
    <row r="975">
      <c r="D975" s="3"/>
      <c r="E975" s="3"/>
      <c r="K975" s="3"/>
      <c r="L975" s="3"/>
    </row>
    <row r="976">
      <c r="D976" s="3"/>
      <c r="E976" s="3"/>
      <c r="K976" s="3"/>
      <c r="L976" s="3"/>
    </row>
    <row r="977">
      <c r="D977" s="3"/>
      <c r="E977" s="3"/>
      <c r="K977" s="3"/>
      <c r="L977" s="3"/>
    </row>
    <row r="978">
      <c r="D978" s="3"/>
      <c r="E978" s="3"/>
      <c r="K978" s="3"/>
      <c r="L978" s="3"/>
    </row>
    <row r="979">
      <c r="D979" s="3"/>
      <c r="E979" s="3"/>
      <c r="K979" s="3"/>
      <c r="L979" s="3"/>
    </row>
    <row r="980">
      <c r="D980" s="3"/>
      <c r="E980" s="3"/>
      <c r="K980" s="3"/>
      <c r="L980" s="3"/>
    </row>
    <row r="981">
      <c r="D981" s="3"/>
      <c r="E981" s="3"/>
      <c r="K981" s="3"/>
      <c r="L981" s="3"/>
    </row>
    <row r="982">
      <c r="D982" s="3"/>
      <c r="E982" s="3"/>
      <c r="K982" s="3"/>
      <c r="L982" s="3"/>
    </row>
    <row r="983">
      <c r="D983" s="3"/>
      <c r="E983" s="3"/>
      <c r="K983" s="3"/>
      <c r="L983" s="3"/>
    </row>
    <row r="984">
      <c r="D984" s="3"/>
      <c r="E984" s="3"/>
      <c r="K984" s="3"/>
      <c r="L984" s="3"/>
    </row>
    <row r="985">
      <c r="D985" s="3"/>
      <c r="E985" s="3"/>
      <c r="K985" s="3"/>
      <c r="L985" s="3"/>
    </row>
    <row r="986">
      <c r="D986" s="3"/>
      <c r="E986" s="3"/>
      <c r="K986" s="3"/>
      <c r="L986" s="3"/>
    </row>
    <row r="987">
      <c r="D987" s="3"/>
      <c r="E987" s="3"/>
      <c r="K987" s="3"/>
      <c r="L987" s="3"/>
    </row>
    <row r="988">
      <c r="D988" s="3"/>
      <c r="E988" s="3"/>
      <c r="K988" s="3"/>
      <c r="L988" s="3"/>
    </row>
    <row r="989">
      <c r="D989" s="3"/>
      <c r="E989" s="3"/>
      <c r="K989" s="3"/>
      <c r="L989" s="3"/>
    </row>
    <row r="990">
      <c r="D990" s="3"/>
      <c r="E990" s="3"/>
      <c r="K990" s="3"/>
      <c r="L990" s="3"/>
    </row>
    <row r="991">
      <c r="D991" s="3"/>
      <c r="E991" s="3"/>
      <c r="K991" s="3"/>
      <c r="L991" s="3"/>
    </row>
    <row r="992">
      <c r="D992" s="3"/>
      <c r="E992" s="3"/>
      <c r="K992" s="3"/>
      <c r="L992" s="3"/>
    </row>
    <row r="993">
      <c r="D993" s="3"/>
      <c r="E993" s="3"/>
      <c r="K993" s="3"/>
      <c r="L993" s="3"/>
    </row>
    <row r="994">
      <c r="D994" s="3"/>
      <c r="E994" s="3"/>
      <c r="K994" s="3"/>
      <c r="L994" s="3"/>
    </row>
    <row r="995">
      <c r="D995" s="3"/>
      <c r="E995" s="3"/>
      <c r="K995" s="3"/>
      <c r="L995" s="3"/>
    </row>
    <row r="996">
      <c r="D996" s="3"/>
      <c r="E996" s="3"/>
      <c r="K996" s="3"/>
      <c r="L996" s="3"/>
    </row>
    <row r="997">
      <c r="D997" s="3"/>
      <c r="E997" s="3"/>
      <c r="K997" s="3"/>
      <c r="L997" s="3"/>
    </row>
    <row r="998">
      <c r="D998" s="3"/>
      <c r="E998" s="3"/>
      <c r="K998" s="3"/>
      <c r="L998" s="3"/>
    </row>
    <row r="999">
      <c r="D999" s="3"/>
      <c r="E999" s="3"/>
      <c r="K999" s="3"/>
      <c r="L999" s="3"/>
    </row>
    <row r="1000">
      <c r="D1000" s="3"/>
      <c r="E1000" s="3"/>
      <c r="K1000" s="3"/>
      <c r="L1000" s="3"/>
    </row>
  </sheetData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8" max="8" width="26.63"/>
  </cols>
  <sheetData>
    <row r="1">
      <c r="M1" s="3">
        <f>countif(data!D:D, "אופקים")</f>
        <v>48</v>
      </c>
    </row>
    <row r="2">
      <c r="H2" s="37" t="s">
        <v>2908</v>
      </c>
      <c r="I2" s="5" t="s">
        <v>170</v>
      </c>
      <c r="J2" s="5" t="s">
        <v>2909</v>
      </c>
      <c r="M2" s="3">
        <f>countif(data!I:I, "אופקים")</f>
        <v>32</v>
      </c>
    </row>
    <row r="3">
      <c r="H3" s="3" t="s">
        <v>2797</v>
      </c>
      <c r="I3" s="5" t="s">
        <v>170</v>
      </c>
      <c r="J3" s="38" t="s">
        <v>2910</v>
      </c>
    </row>
    <row r="4">
      <c r="H4" s="3" t="s">
        <v>2799</v>
      </c>
      <c r="I4" s="5" t="s">
        <v>170</v>
      </c>
      <c r="J4" s="38" t="s">
        <v>2911</v>
      </c>
    </row>
    <row r="5">
      <c r="H5" s="3" t="s">
        <v>1655</v>
      </c>
      <c r="I5" s="5" t="s">
        <v>173</v>
      </c>
    </row>
    <row r="6">
      <c r="H6" s="3" t="s">
        <v>1656</v>
      </c>
      <c r="I6" s="5" t="s">
        <v>173</v>
      </c>
    </row>
    <row r="7">
      <c r="H7" s="3" t="s">
        <v>1654</v>
      </c>
      <c r="I7" s="5" t="s">
        <v>173</v>
      </c>
    </row>
    <row r="8">
      <c r="H8" s="3" t="s">
        <v>2912</v>
      </c>
      <c r="I8" s="5" t="s">
        <v>173</v>
      </c>
    </row>
    <row r="9"/>
  </sheetData>
  <drawing r:id="rId2"/>
</worksheet>
</file>