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A60C591E-9B0D-4FCB-AE76-38B6DB1F6EEF}" xr6:coauthVersionLast="47" xr6:coauthVersionMax="47" xr10:uidLastSave="{00000000-0000-0000-0000-000000000000}"/>
  <bookViews>
    <workbookView xWindow="-120" yWindow="-120" windowWidth="29040" windowHeight="15720" tabRatio="857" firstSheet="4" activeTab="7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A3" sheetId="20" r:id="rId5"/>
    <sheet name="A4" sheetId="21" r:id="rId6"/>
    <sheet name="Vs anterior" sheetId="12" state="hidden" r:id="rId7"/>
    <sheet name="Vs" sheetId="7" r:id="rId8"/>
    <sheet name="Módulos elásticos" sheetId="38" r:id="rId9"/>
    <sheet name="Espectro G01" sheetId="30" r:id="rId10"/>
    <sheet name="Espectro G06" sheetId="34" state="hidden" r:id="rId11"/>
    <sheet name="Espectro G12" sheetId="41" r:id="rId12"/>
    <sheet name="Espectro G18" sheetId="42" state="hidden" r:id="rId13"/>
    <sheet name="Espectro G24" sheetId="35" r:id="rId14"/>
    <sheet name="Inversión Linea G01" sheetId="29" r:id="rId15"/>
    <sheet name="Inversión Linea G06" sheetId="43" state="hidden" r:id="rId16"/>
    <sheet name="Inversión Linea G12" sheetId="36" r:id="rId17"/>
    <sheet name="Inversión Linea G18" sheetId="44" state="hidden" r:id="rId18"/>
    <sheet name="Inversión Linea G24" sheetId="37" r:id="rId19"/>
    <sheet name="Vp" sheetId="39" state="hidden" r:id="rId20"/>
    <sheet name="Fotos Linea" sheetId="26" r:id="rId21"/>
    <sheet name="Hoja1" sheetId="45" state="hidden" r:id="rId22"/>
    <sheet name="Inversion Pasivos" sheetId="32" state="hidden" r:id="rId23"/>
    <sheet name="Espectro PASIVO" sheetId="27" state="hidden" r:id="rId24"/>
  </sheets>
  <externalReferences>
    <externalReference r:id="rId25"/>
    <externalReference r:id="rId26"/>
  </externalReferences>
  <definedNames>
    <definedName name="a" localSheetId="9">#REF!</definedName>
    <definedName name="a" localSheetId="10">#REF!</definedName>
    <definedName name="a" localSheetId="11">#REF!</definedName>
    <definedName name="a" localSheetId="12">#REF!</definedName>
    <definedName name="a" localSheetId="13">#REF!</definedName>
    <definedName name="a" localSheetId="14">#REF!</definedName>
    <definedName name="a" localSheetId="15">#REF!</definedName>
    <definedName name="a" localSheetId="16">#REF!</definedName>
    <definedName name="a" localSheetId="17">#REF!</definedName>
    <definedName name="a" localSheetId="18">#REF!</definedName>
    <definedName name="a" localSheetId="22">#REF!</definedName>
    <definedName name="a">#REF!</definedName>
    <definedName name="BB" localSheetId="10">#REF!</definedName>
    <definedName name="BB" localSheetId="11">#REF!</definedName>
    <definedName name="BB" localSheetId="12">#REF!</definedName>
    <definedName name="BB" localSheetId="13">#REF!</definedName>
    <definedName name="BB" localSheetId="16">#REF!</definedName>
    <definedName name="BB" localSheetId="17">#REF!</definedName>
    <definedName name="BB" localSheetId="18">#REF!</definedName>
    <definedName name="BB" localSheetId="22">#REF!</definedName>
    <definedName name="BB">#REF!</definedName>
    <definedName name="carlo" localSheetId="9">#REF!</definedName>
    <definedName name="carlo" localSheetId="10">#REF!</definedName>
    <definedName name="carlo" localSheetId="11">#REF!</definedName>
    <definedName name="carlo" localSheetId="12">#REF!</definedName>
    <definedName name="carlo" localSheetId="13">#REF!</definedName>
    <definedName name="carlo" localSheetId="14">#REF!</definedName>
    <definedName name="carlo" localSheetId="15">#REF!</definedName>
    <definedName name="carlo" localSheetId="16">#REF!</definedName>
    <definedName name="carlo" localSheetId="17">#REF!</definedName>
    <definedName name="carlo" localSheetId="18">#REF!</definedName>
    <definedName name="carlo" localSheetId="22">#REF!</definedName>
    <definedName name="carlo">#REF!</definedName>
    <definedName name="FINAL">[1]COORDENADAS!$F$11</definedName>
    <definedName name="FV" localSheetId="10">#REF!</definedName>
    <definedName name="FV" localSheetId="11">#REF!</definedName>
    <definedName name="FV" localSheetId="12">#REF!</definedName>
    <definedName name="FV" localSheetId="13">#REF!</definedName>
    <definedName name="FV" localSheetId="16">#REF!</definedName>
    <definedName name="FV" localSheetId="17">#REF!</definedName>
    <definedName name="FV" localSheetId="18">#REF!</definedName>
    <definedName name="FV" localSheetId="22">#REF!</definedName>
    <definedName name="FV">#REF!</definedName>
    <definedName name="HY" localSheetId="10">#REF!</definedName>
    <definedName name="HY" localSheetId="11">#REF!</definedName>
    <definedName name="HY" localSheetId="12">#REF!</definedName>
    <definedName name="HY" localSheetId="13">#REF!</definedName>
    <definedName name="HY" localSheetId="16">#REF!</definedName>
    <definedName name="HY" localSheetId="17">#REF!</definedName>
    <definedName name="HY" localSheetId="18">#REF!</definedName>
    <definedName name="HY" localSheetId="22">#REF!</definedName>
    <definedName name="HY">#REF!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15">#REF!</definedName>
    <definedName name="l" localSheetId="16">#REF!</definedName>
    <definedName name="l" localSheetId="17">#REF!</definedName>
    <definedName name="l" localSheetId="18">#REF!</definedName>
    <definedName name="l" localSheetId="22">#REF!</definedName>
    <definedName name="l">#REF!</definedName>
    <definedName name="LLL" localSheetId="10">#REF!</definedName>
    <definedName name="LLL" localSheetId="11">#REF!</definedName>
    <definedName name="LLL" localSheetId="12">#REF!</definedName>
    <definedName name="LLL" localSheetId="13">#REF!</definedName>
    <definedName name="LLL" localSheetId="16">#REF!</definedName>
    <definedName name="LLL" localSheetId="17">#REF!</definedName>
    <definedName name="LLL" localSheetId="18">#REF!</definedName>
    <definedName name="LLL" localSheetId="22">#REF!</definedName>
    <definedName name="LLL">#REF!</definedName>
    <definedName name="LSV" localSheetId="10">#REF!</definedName>
    <definedName name="LSV" localSheetId="11">#REF!</definedName>
    <definedName name="LSV" localSheetId="12">#REF!</definedName>
    <definedName name="LSV" localSheetId="13">#REF!</definedName>
    <definedName name="LSV" localSheetId="16">#REF!</definedName>
    <definedName name="LSV" localSheetId="17">#REF!</definedName>
    <definedName name="LSV" localSheetId="18">#REF!</definedName>
    <definedName name="LSV" localSheetId="22">#REF!</definedName>
    <definedName name="LSV">#REF!</definedName>
    <definedName name="MM" localSheetId="10">#REF!</definedName>
    <definedName name="MM" localSheetId="11">#REF!</definedName>
    <definedName name="MM" localSheetId="12">#REF!</definedName>
    <definedName name="MM" localSheetId="13">#REF!</definedName>
    <definedName name="MM" localSheetId="16">#REF!</definedName>
    <definedName name="MM" localSheetId="17">#REF!</definedName>
    <definedName name="MM" localSheetId="18">#REF!</definedName>
    <definedName name="MM" localSheetId="22">#REF!</definedName>
    <definedName name="MM">#REF!</definedName>
    <definedName name="modelOasis_1" localSheetId="3">'A2'!$L$6:$M$14</definedName>
    <definedName name="modelOasis_1" localSheetId="4">'A3'!$L$6:$M$14</definedName>
    <definedName name="modelOasis_1" localSheetId="5">'A4'!$L$6:$M$14</definedName>
    <definedName name="nn" localSheetId="9">#REF!</definedName>
    <definedName name="nn" localSheetId="10">#REF!</definedName>
    <definedName name="nn" localSheetId="11">#REF!</definedName>
    <definedName name="nn" localSheetId="12">#REF!</definedName>
    <definedName name="nn" localSheetId="13">#REF!</definedName>
    <definedName name="nn" localSheetId="23">#REF!</definedName>
    <definedName name="nn" localSheetId="20">#REF!</definedName>
    <definedName name="nn" localSheetId="14">#REF!</definedName>
    <definedName name="nn" localSheetId="15">#REF!</definedName>
    <definedName name="nn" localSheetId="16">#REF!</definedName>
    <definedName name="nn" localSheetId="17">#REF!</definedName>
    <definedName name="nn" localSheetId="18">#REF!</definedName>
    <definedName name="nn" localSheetId="22">#REF!</definedName>
    <definedName name="nn">#REF!</definedName>
    <definedName name="_xlnm.Print_Area" localSheetId="9">'Espectro G01'!$A$1:$K$39</definedName>
    <definedName name="_xlnm.Print_Area" localSheetId="10">'Espectro G06'!$A$1:$K$39</definedName>
    <definedName name="_xlnm.Print_Area" localSheetId="11">'Espectro G12'!$A$1:$M$39</definedName>
    <definedName name="_xlnm.Print_Area" localSheetId="12">'Espectro G18'!$A$1:$M$39</definedName>
    <definedName name="_xlnm.Print_Area" localSheetId="13">'Espectro G24'!$A$1:$M$39</definedName>
    <definedName name="_xlnm.Print_Area" localSheetId="23">'Espectro PASIVO'!$A$1:$K$42</definedName>
    <definedName name="_xlnm.Print_Area" localSheetId="20">'Fotos Linea'!$A$1:$K$39</definedName>
    <definedName name="_xlnm.Print_Area" localSheetId="14">'Inversión Linea G01'!$A$1:$K$39</definedName>
    <definedName name="_xlnm.Print_Area" localSheetId="15">'Inversión Linea G06'!$A$1:$K$39</definedName>
    <definedName name="_xlnm.Print_Area" localSheetId="16">'Inversión Linea G12'!$A$1:$K$39</definedName>
    <definedName name="_xlnm.Print_Area" localSheetId="17">'Inversión Linea G18'!$A$1:$K$39</definedName>
    <definedName name="_xlnm.Print_Area" localSheetId="18">'Inversión Linea G24'!$A$1:$K$39</definedName>
    <definedName name="_xlnm.Print_Area" localSheetId="22">'Inversion Pasivos'!$A$1:$K$42</definedName>
    <definedName name="_xlnm.Print_Area" localSheetId="8">'Módulos elásticos'!$H$1:$S$38</definedName>
    <definedName name="_xlnm.Print_Area" localSheetId="19">Vp!$A$1:$K$39</definedName>
    <definedName name="_xlnm.Print_Area" localSheetId="7">Vs!$A$1:$K$41</definedName>
    <definedName name="_xlnm.Print_Area" localSheetId="6">'Vs anterior'!$A$1:$AH$99</definedName>
    <definedName name="prueba" localSheetId="9">#REF!</definedName>
    <definedName name="prueba" localSheetId="10">#REF!</definedName>
    <definedName name="prueba" localSheetId="11">#REF!</definedName>
    <definedName name="prueba" localSheetId="12">#REF!</definedName>
    <definedName name="prueba" localSheetId="13">#REF!</definedName>
    <definedName name="prueba" localSheetId="23">#REF!</definedName>
    <definedName name="prueba" localSheetId="20">#REF!</definedName>
    <definedName name="prueba" localSheetId="14">#REF!</definedName>
    <definedName name="prueba" localSheetId="15">#REF!</definedName>
    <definedName name="prueba" localSheetId="16">#REF!</definedName>
    <definedName name="prueba" localSheetId="17">#REF!</definedName>
    <definedName name="prueba" localSheetId="18">#REF!</definedName>
    <definedName name="prueba" localSheetId="22">#REF!</definedName>
    <definedName name="prueba">#REF!</definedName>
    <definedName name="qw" localSheetId="9">#REF!</definedName>
    <definedName name="qw" localSheetId="10">#REF!</definedName>
    <definedName name="qw" localSheetId="11">#REF!</definedName>
    <definedName name="qw" localSheetId="12">#REF!</definedName>
    <definedName name="qw" localSheetId="13">#REF!</definedName>
    <definedName name="qw" localSheetId="14">#REF!</definedName>
    <definedName name="qw" localSheetId="15">#REF!</definedName>
    <definedName name="qw" localSheetId="16">#REF!</definedName>
    <definedName name="qw" localSheetId="17">#REF!</definedName>
    <definedName name="qw" localSheetId="18">#REF!</definedName>
    <definedName name="qw" localSheetId="22">#REF!</definedName>
    <definedName name="qw">#REF!</definedName>
    <definedName name="S" localSheetId="4">#REF!</definedName>
    <definedName name="S" localSheetId="5">#REF!</definedName>
    <definedName name="S" localSheetId="9">#REF!</definedName>
    <definedName name="S" localSheetId="10">#REF!</definedName>
    <definedName name="S" localSheetId="11">#REF!</definedName>
    <definedName name="S" localSheetId="12">#REF!</definedName>
    <definedName name="S" localSheetId="13">#REF!</definedName>
    <definedName name="S" localSheetId="23">#REF!</definedName>
    <definedName name="S" localSheetId="20">#REF!</definedName>
    <definedName name="S" localSheetId="14">#REF!</definedName>
    <definedName name="S" localSheetId="15">#REF!</definedName>
    <definedName name="S" localSheetId="16">#REF!</definedName>
    <definedName name="S" localSheetId="17">#REF!</definedName>
    <definedName name="S" localSheetId="18">#REF!</definedName>
    <definedName name="S" localSheetId="22">#REF!</definedName>
    <definedName name="S">#REF!</definedName>
    <definedName name="sd" localSheetId="9">#REF!</definedName>
    <definedName name="sd" localSheetId="10">#REF!</definedName>
    <definedName name="sd" localSheetId="11">#REF!</definedName>
    <definedName name="sd" localSheetId="12">#REF!</definedName>
    <definedName name="sd" localSheetId="13">#REF!</definedName>
    <definedName name="sd" localSheetId="14">#REF!</definedName>
    <definedName name="sd" localSheetId="15">#REF!</definedName>
    <definedName name="sd" localSheetId="16">#REF!</definedName>
    <definedName name="sd" localSheetId="17">#REF!</definedName>
    <definedName name="sd" localSheetId="18">#REF!</definedName>
    <definedName name="sd" localSheetId="22">#REF!</definedName>
    <definedName name="sd">#REF!</definedName>
    <definedName name="SS" localSheetId="10">#REF!</definedName>
    <definedName name="SS" localSheetId="11">#REF!</definedName>
    <definedName name="SS" localSheetId="12">#REF!</definedName>
    <definedName name="SS" localSheetId="13">#REF!</definedName>
    <definedName name="SS" localSheetId="16">#REF!</definedName>
    <definedName name="SS" localSheetId="17">#REF!</definedName>
    <definedName name="SS" localSheetId="18">#REF!</definedName>
    <definedName name="SS" localSheetId="22">#REF!</definedName>
    <definedName name="SS">#REF!</definedName>
    <definedName name="u" localSheetId="9">#REF!</definedName>
    <definedName name="u" localSheetId="10">#REF!</definedName>
    <definedName name="u" localSheetId="11">#REF!</definedName>
    <definedName name="u" localSheetId="12">#REF!</definedName>
    <definedName name="u" localSheetId="13">#REF!</definedName>
    <definedName name="u" localSheetId="14">#REF!</definedName>
    <definedName name="u" localSheetId="15">#REF!</definedName>
    <definedName name="u" localSheetId="16">#REF!</definedName>
    <definedName name="u" localSheetId="17">#REF!</definedName>
    <definedName name="u" localSheetId="18">#REF!</definedName>
    <definedName name="u" localSheetId="22">#REF!</definedName>
    <definedName name="u">#REF!</definedName>
    <definedName name="vDiastólica" localSheetId="4">#REF!</definedName>
    <definedName name="vDiastólica" localSheetId="5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2">#REF!</definedName>
    <definedName name="vDiastólica" localSheetId="13">#REF!</definedName>
    <definedName name="vDiastólica" localSheetId="23">#REF!</definedName>
    <definedName name="vDiastólica" localSheetId="20">#REF!</definedName>
    <definedName name="vDiastólica" localSheetId="14">#REF!</definedName>
    <definedName name="vDiastólica" localSheetId="15">#REF!</definedName>
    <definedName name="vDiastólica" localSheetId="16">#REF!</definedName>
    <definedName name="vDiastólica" localSheetId="17">#REF!</definedName>
    <definedName name="vDiastólica" localSheetId="18">#REF!</definedName>
    <definedName name="vDiastólica" localSheetId="22">#REF!</definedName>
    <definedName name="vDiastólica">#REF!</definedName>
    <definedName name="vFechaHora" localSheetId="4">#REF!</definedName>
    <definedName name="vFechaHora" localSheetId="5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2">#REF!</definedName>
    <definedName name="vFechaHora" localSheetId="13">#REF!</definedName>
    <definedName name="vFechaHora" localSheetId="23">#REF!</definedName>
    <definedName name="vFechaHora" localSheetId="20">#REF!</definedName>
    <definedName name="vFechaHora" localSheetId="14">#REF!</definedName>
    <definedName name="vFechaHora" localSheetId="15">#REF!</definedName>
    <definedName name="vFechaHora" localSheetId="16">#REF!</definedName>
    <definedName name="vFechaHora" localSheetId="17">#REF!</definedName>
    <definedName name="vFechaHora" localSheetId="18">#REF!</definedName>
    <definedName name="vFechaHora" localSheetId="22">#REF!</definedName>
    <definedName name="vFechaHora">#REF!</definedName>
    <definedName name="vRitmo" localSheetId="4">#REF!</definedName>
    <definedName name="vRitmo" localSheetId="5">#REF!</definedName>
    <definedName name="vRitmo" localSheetId="9">#REF!</definedName>
    <definedName name="vRitmo" localSheetId="10">#REF!</definedName>
    <definedName name="vRitmo" localSheetId="11">#REF!</definedName>
    <definedName name="vRitmo" localSheetId="12">#REF!</definedName>
    <definedName name="vRitmo" localSheetId="13">#REF!</definedName>
    <definedName name="vRitmo" localSheetId="23">#REF!</definedName>
    <definedName name="vRitmo" localSheetId="20">#REF!</definedName>
    <definedName name="vRitmo" localSheetId="14">#REF!</definedName>
    <definedName name="vRitmo" localSheetId="15">#REF!</definedName>
    <definedName name="vRitmo" localSheetId="16">#REF!</definedName>
    <definedName name="vRitmo" localSheetId="17">#REF!</definedName>
    <definedName name="vRitmo" localSheetId="18">#REF!</definedName>
    <definedName name="vRitmo" localSheetId="22">#REF!</definedName>
    <definedName name="vRitmo">#REF!</definedName>
    <definedName name="vSistólica" localSheetId="4">#REF!</definedName>
    <definedName name="vSistólica" localSheetId="5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2">#REF!</definedName>
    <definedName name="vSistólica" localSheetId="13">#REF!</definedName>
    <definedName name="vSistólica" localSheetId="23">#REF!</definedName>
    <definedName name="vSistólica" localSheetId="20">#REF!</definedName>
    <definedName name="vSistólica" localSheetId="14">#REF!</definedName>
    <definedName name="vSistólica" localSheetId="15">#REF!</definedName>
    <definedName name="vSistólica" localSheetId="16">#REF!</definedName>
    <definedName name="vSistólica" localSheetId="17">#REF!</definedName>
    <definedName name="vSistólica" localSheetId="18">#REF!</definedName>
    <definedName name="vSistólica" localSheetId="22">#REF!</definedName>
    <definedName name="vSistólica">#REF!</definedName>
    <definedName name="z" localSheetId="9">#REF!</definedName>
    <definedName name="z" localSheetId="10">#REF!</definedName>
    <definedName name="z" localSheetId="11">#REF!</definedName>
    <definedName name="z" localSheetId="12">#REF!</definedName>
    <definedName name="z" localSheetId="13">#REF!</definedName>
    <definedName name="z" localSheetId="14">#REF!</definedName>
    <definedName name="z" localSheetId="15">#REF!</definedName>
    <definedName name="z" localSheetId="16">#REF!</definedName>
    <definedName name="z" localSheetId="17">#REF!</definedName>
    <definedName name="z" localSheetId="18">#REF!</definedName>
    <definedName name="z" localSheetId="22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38" l="1"/>
  <c r="X30" i="38" s="1"/>
  <c r="X22" i="38"/>
  <c r="X20" i="38"/>
  <c r="X18" i="38"/>
  <c r="X16" i="38"/>
  <c r="I11" i="38"/>
  <c r="W4" i="38"/>
  <c r="E20" i="38"/>
  <c r="C20" i="38"/>
  <c r="A20" i="38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K5" i="41"/>
  <c r="J5" i="41"/>
  <c r="B5" i="41"/>
  <c r="K4" i="41"/>
  <c r="J4" i="41"/>
  <c r="B4" i="41"/>
  <c r="K3" i="41"/>
  <c r="K1" i="41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I20" i="38" l="1"/>
  <c r="A19" i="38"/>
  <c r="B19" i="38"/>
  <c r="C19" i="38"/>
  <c r="D19" i="38"/>
  <c r="E19" i="38"/>
  <c r="F19" i="38"/>
  <c r="B20" i="38"/>
  <c r="D20" i="38"/>
  <c r="F20" i="38"/>
  <c r="J20" i="38" l="1"/>
  <c r="L20" i="38" s="1"/>
  <c r="J19" i="38"/>
  <c r="I19" i="38"/>
  <c r="A10" i="38"/>
  <c r="B10" i="38"/>
  <c r="C10" i="38"/>
  <c r="D10" i="38"/>
  <c r="E10" i="38"/>
  <c r="F10" i="38"/>
  <c r="A11" i="38"/>
  <c r="L19" i="38" l="1"/>
  <c r="S5" i="38"/>
  <c r="R5" i="38"/>
  <c r="I5" i="38"/>
  <c r="I9" i="38" s="1"/>
  <c r="S4" i="38"/>
  <c r="R4" i="38"/>
  <c r="I4" i="38"/>
  <c r="S3" i="38"/>
  <c r="S1" i="38"/>
  <c r="F18" i="38" l="1"/>
  <c r="E18" i="38"/>
  <c r="D18" i="38"/>
  <c r="C18" i="38"/>
  <c r="B18" i="38"/>
  <c r="A18" i="38"/>
  <c r="F17" i="38"/>
  <c r="E17" i="38"/>
  <c r="D17" i="38"/>
  <c r="C17" i="38"/>
  <c r="B17" i="38"/>
  <c r="A17" i="38"/>
  <c r="F16" i="38"/>
  <c r="E16" i="38"/>
  <c r="D16" i="38"/>
  <c r="C16" i="38"/>
  <c r="B16" i="38"/>
  <c r="A16" i="38"/>
  <c r="F15" i="38"/>
  <c r="E15" i="38"/>
  <c r="D15" i="38"/>
  <c r="C15" i="38"/>
  <c r="B15" i="38"/>
  <c r="A15" i="38"/>
  <c r="F14" i="38"/>
  <c r="E14" i="38"/>
  <c r="D14" i="38"/>
  <c r="C14" i="38"/>
  <c r="B14" i="38"/>
  <c r="A14" i="38"/>
  <c r="F13" i="38"/>
  <c r="E13" i="38"/>
  <c r="D13" i="38"/>
  <c r="C13" i="38"/>
  <c r="B13" i="38"/>
  <c r="A13" i="38"/>
  <c r="F12" i="38"/>
  <c r="E12" i="38"/>
  <c r="D12" i="38"/>
  <c r="C12" i="38"/>
  <c r="B12" i="38"/>
  <c r="A12" i="38"/>
  <c r="F11" i="38"/>
  <c r="E11" i="38"/>
  <c r="D11" i="38"/>
  <c r="C11" i="38"/>
  <c r="B11" i="38"/>
  <c r="J15" i="38" l="1"/>
  <c r="J11" i="38"/>
  <c r="I15" i="38"/>
  <c r="I17" i="38"/>
  <c r="J17" i="38"/>
  <c r="I12" i="38"/>
  <c r="J14" i="38"/>
  <c r="J18" i="38"/>
  <c r="I13" i="38"/>
  <c r="I18" i="38"/>
  <c r="J16" i="38"/>
  <c r="I16" i="38"/>
  <c r="J13" i="38"/>
  <c r="I14" i="38"/>
  <c r="J12" i="38"/>
  <c r="L15" i="38" l="1"/>
  <c r="L17" i="38"/>
  <c r="L12" i="38"/>
  <c r="L11" i="38" s="1"/>
  <c r="L18" i="38"/>
  <c r="L14" i="38"/>
  <c r="L13" i="38"/>
  <c r="L16" i="38"/>
  <c r="K5" i="37"/>
  <c r="J5" i="37"/>
  <c r="B5" i="37"/>
  <c r="K4" i="37"/>
  <c r="J4" i="37"/>
  <c r="B4" i="37"/>
  <c r="K3" i="37"/>
  <c r="K1" i="37"/>
  <c r="K5" i="36"/>
  <c r="J5" i="36"/>
  <c r="B5" i="36"/>
  <c r="K4" i="36"/>
  <c r="J4" i="36"/>
  <c r="B4" i="36"/>
  <c r="K3" i="36"/>
  <c r="K1" i="36"/>
  <c r="K5" i="35"/>
  <c r="J5" i="35"/>
  <c r="B5" i="35"/>
  <c r="K4" i="35"/>
  <c r="J4" i="35"/>
  <c r="B4" i="35"/>
  <c r="K3" i="35"/>
  <c r="K1" i="35"/>
  <c r="K5" i="34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5" i="29"/>
  <c r="J5" i="29"/>
  <c r="B5" i="29"/>
  <c r="K4" i="29"/>
  <c r="J4" i="29"/>
  <c r="B4" i="29"/>
  <c r="K3" i="29"/>
  <c r="K1" i="29"/>
  <c r="X31" i="38" l="1"/>
  <c r="K2" i="27"/>
  <c r="E11" i="10"/>
  <c r="K2" i="43" l="1"/>
  <c r="K2" i="42"/>
  <c r="K2" i="41"/>
  <c r="K2" i="44"/>
  <c r="S2" i="38"/>
  <c r="K2" i="39"/>
  <c r="K2" i="36"/>
  <c r="K2" i="34"/>
  <c r="K2" i="37"/>
  <c r="K2" i="35"/>
  <c r="K2" i="29"/>
  <c r="K2" i="30"/>
  <c r="B5" i="4"/>
  <c r="B5" i="20"/>
  <c r="B5" i="21"/>
  <c r="A1" i="10" l="1"/>
  <c r="M1" i="39" l="1"/>
  <c r="M1" i="44"/>
  <c r="M1" i="42"/>
  <c r="M1" i="43"/>
  <c r="M1" i="41"/>
  <c r="M1" i="36"/>
  <c r="M1" i="34"/>
  <c r="M1" i="37"/>
  <c r="M1" i="35"/>
  <c r="M1" i="32"/>
  <c r="M1" i="27"/>
  <c r="M1" i="29"/>
  <c r="M1" i="30"/>
  <c r="A1" i="20"/>
  <c r="M1" i="7" l="1"/>
  <c r="A1" i="4"/>
  <c r="A1" i="21"/>
  <c r="B5" i="26" l="1"/>
  <c r="K3" i="26"/>
  <c r="M2" i="26"/>
  <c r="K1" i="26"/>
  <c r="B5" i="7" l="1"/>
  <c r="K3" i="7"/>
  <c r="K1" i="7" l="1"/>
  <c r="AN93" i="12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21"/>
  <c r="N30" i="21" s="1"/>
  <c r="M29" i="21"/>
  <c r="N29" i="21" s="1"/>
  <c r="M30" i="20"/>
  <c r="N30" i="20" s="1"/>
  <c r="M29" i="20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N29" i="20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K2" i="7"/>
  <c r="A59" i="12"/>
  <c r="AJ62" i="12" s="1"/>
  <c r="J4" i="26"/>
  <c r="J4" i="7"/>
  <c r="B4" i="26"/>
  <c r="B4" i="7"/>
  <c r="K5" i="26"/>
  <c r="K5" i="7"/>
  <c r="J5" i="26"/>
  <c r="J5" i="7"/>
  <c r="K4" i="26"/>
  <c r="K4" i="7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  <c r="M20" i="38"/>
  <c r="K20" i="38" s="1"/>
  <c r="M19" i="38"/>
  <c r="K19" i="38" s="1"/>
  <c r="M17" i="38"/>
  <c r="K17" i="38" s="1"/>
  <c r="M14" i="38"/>
  <c r="M13" i="38"/>
  <c r="M12" i="38"/>
  <c r="K12" i="38" s="1"/>
  <c r="M16" i="38"/>
  <c r="K16" i="38" s="1"/>
  <c r="M18" i="38"/>
  <c r="M15" i="38"/>
  <c r="K15" i="38" s="1"/>
  <c r="N19" i="38" l="1"/>
  <c r="N17" i="38"/>
  <c r="N18" i="38"/>
  <c r="K18" i="38"/>
  <c r="N16" i="38"/>
  <c r="N15" i="38"/>
  <c r="N14" i="38"/>
  <c r="K14" i="38"/>
  <c r="N13" i="38"/>
  <c r="K13" i="38"/>
  <c r="N12" i="38"/>
  <c r="N20" i="38"/>
  <c r="M11" i="38"/>
  <c r="K11" i="38" s="1"/>
  <c r="N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2" xr16:uid="{00000000-0015-0000-FFFF-FFFF01000000}" name="modelOasis31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3" xr16:uid="{00000000-0015-0000-FFFF-FFFF02000000}" name="modelOasis32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<sst xmlns="http://schemas.openxmlformats.org/spreadsheetml/2006/main" count="434" uniqueCount="159">
  <si>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</si>
  <si>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</si>
  <si>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</si>
  <si>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</si>
  <si>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</si>
  <si>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</si>
  <si>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</si>
  <si>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</si>
  <si>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</si>
  <si>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</si>
  <si>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</si>
  <si>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</si>
  <si>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</si>
  <si>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</si>
  <si>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</si>
  <si>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</si>
  <si>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</si>
  <si>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</si>
  <si>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</si>
  <si>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</si>
  <si>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</si>
  <si>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</si>
  <si>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</si>
  <si>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</si>
  <si>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</si>
  <si>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</si>
  <si>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</si>
  <si>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</si>
  <si>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</si>
  <si>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</si>
  <si>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</si>
  <si>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</si>
  <si>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</si>
  <si>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</si>
  <si>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</si>
  <si>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</si>
  <si>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</si>
  <si>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</si>
  <si>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</si>
  <si>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</si>
  <si>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</si>
  <si>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</si>
  <si>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</si>
  <si>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</si>
  <si>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</si>
  <si>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</si>
  <si>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</si>
  <si>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</si>
  <si>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</si>
  <si>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</si>
  <si>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</si>
  <si>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</si>
  <si>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</si>
  <si>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</si>
  <si>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</si>
  <si>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</si>
  <si>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</si>
  <si>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</si>
  <si>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</si>
  <si>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</si>
  <si>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</si>
  <si>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</si>
  <si>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</si>
  <si>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</si>
  <si>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</si>
  <si>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</si>
  <si>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</si>
  <si>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</si>
  <si>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</si>
  <si>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</si>
  <si>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</si>
  <si>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</si>
  <si>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</si>
  <si>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</si>
  <si>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MODELO 02</t>
  </si>
  <si>
    <t>MODELO 03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</si>
  <si>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</si>
  <si>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</si>
  <si>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</si>
  <si>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</si>
  <si>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</si>
  <si>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</si>
  <si>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</si>
  <si>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</si>
  <si>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</si>
  <si>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</si>
  <si>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</si>
  <si>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</si>
  <si>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</si>
  <si>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</si>
  <si>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</si>
  <si>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</si>
  <si>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</si>
  <si>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</si>
  <si>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</si>
  <si>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</si>
  <si>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</si>
  <si>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</si>
  <si>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</si>
  <si>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</si>
  <si>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</si>
  <si>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</si>
  <si>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</si>
  <si>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</si>
  <si>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</si>
  <si>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</si>
  <si>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</si>
  <si>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</si>
  <si>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</si>
  <si>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</si>
  <si>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</si>
  <si>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</si>
  <si>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</si>
  <si>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</si>
  <si>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</si>
  <si>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</si>
  <si>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</si>
  <si>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</si>
  <si>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</si>
  <si>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</si>
  <si>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</si>
  <si>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</si>
  <si>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</si>
  <si>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</si>
  <si>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</si>
  <si>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</si>
  <si>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</si>
  <si>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</si>
  <si>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</si>
  <si>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</si>
  <si>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</si>
  <si>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</si>
  <si>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</si>
  <si>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G12</t>
  </si>
  <si>
    <t>ESPECTRO G06</t>
  </si>
  <si>
    <t>ESPECTRO G18</t>
  </si>
  <si>
    <t>INVERSIÓN G06</t>
  </si>
  <si>
    <t>INVERSIÓN G18</t>
  </si>
  <si>
    <t>G24</t>
  </si>
  <si>
    <t>Cable Aereo Potosí</t>
  </si>
  <si>
    <t>L01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</si>
  <si>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</si>
  <si>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</si>
  <si>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</si>
  <si>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</si>
  <si>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</si>
  <si>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</si>
  <si>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</si>
  <si>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</si>
  <si>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ESPECTRO GEOFONO MEDIO</t>
  </si>
  <si>
    <t>ESPECTRO GEOFONO FINAL</t>
  </si>
  <si>
    <t>ESPECTRO GEOFONO INICIAL</t>
  </si>
  <si>
    <t>INVERSIÓN GEOFONO INICIAL</t>
  </si>
  <si>
    <t>INVERSIÓN GEOFONO MEDIO</t>
  </si>
  <si>
    <t>INVERSIÓN GEOFONO FINAL</t>
  </si>
  <si>
    <t>REGISTRO FOTOGRÁFICO</t>
  </si>
  <si>
    <t>PERFIL BIDIMENSIONAL DE VELOCIDAD DE ONDA DE CORTE</t>
  </si>
  <si>
    <t>PERFIL DE VELOCIDAD DE ONDA DE CORTE</t>
  </si>
  <si>
    <t>PARAMETROS DE RIGIDEZ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</si>
</sst>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1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40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38" fillId="8" borderId="0" xfId="3" applyFont="1" applyFill="1" applyBorder="1" applyAlignment="1"/>
    <xf numFmtId="0" fontId="15" fillId="8" borderId="10" xfId="3" applyFont="1" applyFill="1" applyBorder="1" applyAlignment="1">
      <alignment horizontal="center"/>
    </xf>
    <xf numFmtId="0" fontId="15" fillId="8" borderId="10" xfId="3" applyFont="1" applyFill="1" applyBorder="1" applyAlignment="1">
      <alignment horizontal="center" vertical="center" wrapText="1"/>
    </xf>
    <xf numFmtId="0" fontId="15" fillId="8" borderId="7" xfId="3" applyFont="1" applyFill="1" applyBorder="1" applyAlignment="1">
      <alignment horizontal="center"/>
    </xf>
    <xf numFmtId="0" fontId="15" fillId="8" borderId="3" xfId="3" applyFont="1" applyFill="1" applyBorder="1" applyAlignment="1">
      <alignment horizontal="center"/>
    </xf>
    <xf numFmtId="0" fontId="15" fillId="8" borderId="8" xfId="3" applyFont="1" applyFill="1" applyBorder="1" applyAlignment="1">
      <alignment horizontal="center"/>
    </xf>
    <xf numFmtId="0" fontId="15" fillId="8" borderId="4" xfId="3" applyFont="1" applyFill="1" applyBorder="1" applyAlignment="1">
      <alignment horizontal="center"/>
    </xf>
    <xf numFmtId="0" fontId="15" fillId="8" borderId="6" xfId="3" applyFont="1" applyFill="1" applyBorder="1" applyAlignment="1">
      <alignment horizontal="center"/>
    </xf>
    <xf numFmtId="0" fontId="15" fillId="8" borderId="12" xfId="3" applyFont="1" applyFill="1" applyBorder="1" applyAlignment="1">
      <alignment horizontal="center"/>
    </xf>
    <xf numFmtId="0" fontId="16" fillId="8" borderId="0" xfId="3" applyFont="1" applyFill="1" applyAlignment="1">
      <alignment horizontal="right"/>
    </xf>
    <xf numFmtId="164" fontId="16" fillId="8" borderId="0" xfId="3" applyNumberFormat="1" applyFont="1" applyFill="1" applyAlignment="1">
      <alignment horizontal="right"/>
    </xf>
    <xf numFmtId="2" fontId="16" fillId="8" borderId="0" xfId="3" applyNumberFormat="1" applyFont="1" applyFill="1" applyAlignment="1">
      <alignment horizontal="center"/>
    </xf>
    <xf numFmtId="1" fontId="16" fillId="8" borderId="0" xfId="3" applyNumberFormat="1" applyFont="1" applyFill="1" applyBorder="1" applyAlignment="1">
      <alignment horizontal="center"/>
    </xf>
    <xf numFmtId="0" fontId="16" fillId="13" borderId="0" xfId="3" applyFont="1" applyFill="1"/>
    <xf numFmtId="0" fontId="37" fillId="8" borderId="0" xfId="3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9" fillId="0" borderId="0" xfId="6" applyFont="1"/>
    <xf numFmtId="167" fontId="41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4" fillId="2" borderId="0" xfId="6" applyFont="1" applyFill="1" applyAlignment="1">
      <alignment horizontal="center" vertical="center" wrapText="1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46" fillId="8" borderId="0" xfId="3" applyFont="1" applyFill="1" applyAlignment="1">
      <alignment horizontal="center" vertical="center"/>
    </xf>
    <xf numFmtId="0" fontId="47" fillId="8" borderId="0" xfId="3" applyFont="1" applyFill="1"/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5" fillId="2" borderId="0" xfId="6" applyFont="1" applyFill="1" applyAlignment="1">
      <alignment horizontal="left"/>
    </xf>
    <xf numFmtId="1" fontId="5" fillId="2" borderId="0" xfId="6" applyNumberFormat="1" applyFont="1" applyFill="1" applyAlignment="1">
      <alignment horizontal="center"/>
    </xf>
    <xf numFmtId="164" fontId="6" fillId="2" borderId="0" xfId="6" applyNumberFormat="1" applyFill="1" applyAlignment="1">
      <alignment horizontal="center"/>
    </xf>
    <xf numFmtId="1" fontId="6" fillId="2" borderId="0" xfId="6" applyNumberFormat="1" applyFill="1" applyAlignment="1">
      <alignment horizontal="center" vertical="center"/>
    </xf>
    <xf numFmtId="0" fontId="5" fillId="2" borderId="26" xfId="6" applyFont="1" applyFill="1" applyBorder="1" applyAlignment="1">
      <alignment horizontal="center" vertical="center" wrapText="1"/>
    </xf>
    <xf numFmtId="0" fontId="45" fillId="2" borderId="26" xfId="6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16" fontId="36" fillId="8" borderId="0" xfId="3" applyNumberFormat="1" applyFont="1" applyFill="1" applyAlignment="1">
      <alignment horizontal="center" vertical="center"/>
    </xf>
    <xf numFmtId="0" fontId="36" fillId="8" borderId="0" xfId="3" applyFont="1" applyFill="1" applyAlignment="1">
      <alignment horizontal="center" vertical="center"/>
    </xf>
    <xf numFmtId="0" fontId="15" fillId="8" borderId="4" xfId="3" applyFont="1" applyFill="1" applyBorder="1" applyAlignment="1">
      <alignment horizontal="center" vertical="center" wrapText="1"/>
    </xf>
    <xf numFmtId="0" fontId="15" fillId="8" borderId="5" xfId="3" applyFont="1" applyFill="1" applyBorder="1" applyAlignment="1">
      <alignment horizontal="center" vertical="center" wrapText="1"/>
    </xf>
    <xf numFmtId="0" fontId="15" fillId="8" borderId="6" xfId="3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center" vertical="center" wrapText="1"/>
    </xf>
    <xf numFmtId="0" fontId="3" fillId="0" borderId="0" xfId="7" applyAlignment="1">
      <alignment horizontal="center"/>
    </xf>
    <xf numFmtId="0" fontId="3" fillId="0" borderId="1" xfId="7" applyBorder="1" applyAlignment="1">
      <alignment horizontal="center"/>
    </xf>
    <xf numFmtId="0" fontId="8" fillId="0" borderId="0" xfId="7" applyFont="1" applyAlignment="1">
      <alignment horizontal="center"/>
    </xf>
    <xf numFmtId="0" fontId="3" fillId="0" borderId="14" xfId="7" applyBorder="1" applyAlignment="1">
      <alignment horizontal="center"/>
    </xf>
    <xf numFmtId="0" fontId="3" fillId="0" borderId="0" xfId="7" applyAlignment="1">
      <alignment horizontal="left" wrapText="1"/>
    </xf>
    <xf numFmtId="0" fontId="8" fillId="9" borderId="26" xfId="7" applyFont="1" applyFill="1" applyBorder="1" applyAlignment="1">
      <alignment horizontal="left"/>
    </xf>
    <xf numFmtId="0" fontId="15" fillId="8" borderId="26" xfId="7" applyFont="1" applyFill="1" applyBorder="1" applyAlignment="1">
      <alignment horizontal="center" vertical="center"/>
    </xf>
    <xf numFmtId="0" fontId="22" fillId="0" borderId="24" xfId="7" applyFont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21" fillId="0" borderId="18" xfId="7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17" fontId="21" fillId="0" borderId="18" xfId="7" applyNumberFormat="1" applyFont="1" applyBorder="1" applyAlignment="1">
      <alignment horizontal="center" wrapText="1"/>
    </xf>
    <xf numFmtId="0" fontId="31" fillId="2" borderId="1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48" fillId="8" borderId="0" xfId="3" applyFont="1" applyFill="1" applyAlignment="1">
      <alignment horizontal="center" vertical="center"/>
    </xf>
    <xf numFmtId="0" fontId="46" fillId="8" borderId="0" xfId="3" applyFont="1" applyFill="1" applyAlignment="1">
      <alignment horizontal="center" vertical="center"/>
    </xf>
    <xf numFmtId="0" fontId="5" fillId="2" borderId="26" xfId="6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5" fillId="2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L01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'A3'!$E$4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'A3'!$E$5:$E$40</c:f>
              <c:numCache>
                <c:formatCode>0.0</c:formatCode>
                <c:ptCount val="36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1-4289-AC1E-82543696613A}"/>
            </c:ext>
          </c:extLst>
        </c:ser>
        <c:ser>
          <c:idx val="1"/>
          <c:order val="1"/>
          <c:tx>
            <c:strRef>
              <c:f>'A3'!$G$4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'A3'!$G$5:$G$19</c:f>
              <c:numCache>
                <c:formatCode>0</c:formatCode>
                <c:ptCount val="15"/>
                <c:pt idx="0">
                  <c:v>361.92352646232939</c:v>
                </c:pt>
                <c:pt idx="1">
                  <c:v>361.92352646232939</c:v>
                </c:pt>
                <c:pt idx="2">
                  <c:v>394.22709124933328</c:v>
                </c:pt>
                <c:pt idx="3">
                  <c:v>394.22709124933328</c:v>
                </c:pt>
                <c:pt idx="4">
                  <c:v>397.10391946528341</c:v>
                </c:pt>
                <c:pt idx="5">
                  <c:v>397.10391946528341</c:v>
                </c:pt>
                <c:pt idx="6">
                  <c:v>599.53841984405005</c:v>
                </c:pt>
                <c:pt idx="7">
                  <c:v>599.53841984405005</c:v>
                </c:pt>
                <c:pt idx="8">
                  <c:v>823.49485346794734</c:v>
                </c:pt>
                <c:pt idx="9">
                  <c:v>823.49485346794734</c:v>
                </c:pt>
              </c:numCache>
            </c:numRef>
          </c:xVal>
          <c:yVal>
            <c:numRef>
              <c:f>'A3'!$D$5:$D$20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1-4289-AC1E-825436966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2648"/>
        <c:axId val="109656568"/>
      </c:scatterChart>
      <c:valAx>
        <c:axId val="1096526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6568"/>
        <c:crosses val="autoZero"/>
        <c:crossBetween val="midCat"/>
      </c:valAx>
      <c:valAx>
        <c:axId val="10965656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2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'A4'!$E$4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'A4'!$E$5:$E$40</c:f>
              <c:numCache>
                <c:formatCode>0.0</c:formatCode>
                <c:ptCount val="36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'A4'!$D$5:$D$40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E-48E0-A3DC-A634EB66454C}"/>
            </c:ext>
          </c:extLst>
        </c:ser>
        <c:ser>
          <c:idx val="1"/>
          <c:order val="1"/>
          <c:tx>
            <c:strRef>
              <c:f>'A4'!$G$4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'A4'!$G$5:$G$19</c:f>
              <c:numCache>
                <c:formatCode>0</c:formatCode>
                <c:ptCount val="15"/>
                <c:pt idx="0">
                  <c:v>356.66235129120986</c:v>
                </c:pt>
                <c:pt idx="1">
                  <c:v>356.66235129120986</c:v>
                </c:pt>
                <c:pt idx="2">
                  <c:v>391.96678551209368</c:v>
                </c:pt>
                <c:pt idx="3">
                  <c:v>391.96678551209368</c:v>
                </c:pt>
                <c:pt idx="4">
                  <c:v>393.32498262418068</c:v>
                </c:pt>
                <c:pt idx="5">
                  <c:v>393.32498262418068</c:v>
                </c:pt>
                <c:pt idx="6">
                  <c:v>617.28450603265401</c:v>
                </c:pt>
                <c:pt idx="7">
                  <c:v>617.28450603265401</c:v>
                </c:pt>
                <c:pt idx="8">
                  <c:v>808.83974098368549</c:v>
                </c:pt>
                <c:pt idx="9">
                  <c:v>808.83974098368549</c:v>
                </c:pt>
              </c:numCache>
            </c:numRef>
          </c:xVal>
          <c:yVal>
            <c:numRef>
              <c:f>'A4'!$D$5:$D$20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E-48E0-A3DC-A634EB664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0688"/>
        <c:axId val="109650296"/>
      </c:scatterChart>
      <c:valAx>
        <c:axId val="10965068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0296"/>
        <c:crosses val="autoZero"/>
        <c:crossBetween val="midCat"/>
      </c:valAx>
      <c:valAx>
        <c:axId val="1096502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171.029</c:v>
                </c:pt>
                <c:pt idx="1">
                  <c:v>171.029</c:v>
                </c:pt>
                <c:pt idx="2">
                  <c:v>171.029</c:v>
                </c:pt>
                <c:pt idx="3">
                  <c:v>171.029</c:v>
                </c:pt>
                <c:pt idx="4">
                  <c:v>192.91399999999999</c:v>
                </c:pt>
                <c:pt idx="5">
                  <c:v>192.91399999999999</c:v>
                </c:pt>
                <c:pt idx="6">
                  <c:v>194.83799999999999</c:v>
                </c:pt>
                <c:pt idx="7">
                  <c:v>194.83799999999999</c:v>
                </c:pt>
                <c:pt idx="8">
                  <c:v>326.803</c:v>
                </c:pt>
                <c:pt idx="9">
                  <c:v>326.803</c:v>
                </c:pt>
                <c:pt idx="10">
                  <c:v>471.44600000000003</c:v>
                </c:pt>
                <c:pt idx="11">
                  <c:v>471.44600000000003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167.4</c:v>
                </c:pt>
                <c:pt idx="1">
                  <c:v>167.4</c:v>
                </c:pt>
                <c:pt idx="2">
                  <c:v>167.4</c:v>
                </c:pt>
                <c:pt idx="3">
                  <c:v>167.4</c:v>
                </c:pt>
                <c:pt idx="4">
                  <c:v>191.4</c:v>
                </c:pt>
                <c:pt idx="5">
                  <c:v>191.4</c:v>
                </c:pt>
                <c:pt idx="6">
                  <c:v>192.31</c:v>
                </c:pt>
                <c:pt idx="7">
                  <c:v>192.31</c:v>
                </c:pt>
                <c:pt idx="8">
                  <c:v>338.262</c:v>
                </c:pt>
                <c:pt idx="9">
                  <c:v>338.262</c:v>
                </c:pt>
                <c:pt idx="10">
                  <c:v>461.96899999999999</c:v>
                </c:pt>
                <c:pt idx="11">
                  <c:v>461.96899999999999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61.643996628845692</c:v>
                </c:pt>
                <c:pt idx="1">
                  <c:v>61.643996628845692</c:v>
                </c:pt>
                <c:pt idx="2">
                  <c:v>54.819431292132613</c:v>
                </c:pt>
                <c:pt idx="3">
                  <c:v>54.819431292132613</c:v>
                </c:pt>
                <c:pt idx="4">
                  <c:v>67.657758211905232</c:v>
                </c:pt>
                <c:pt idx="5">
                  <c:v>67.657758211905232</c:v>
                </c:pt>
                <c:pt idx="6">
                  <c:v>66.972283065346801</c:v>
                </c:pt>
                <c:pt idx="7">
                  <c:v>66.972283065346801</c:v>
                </c:pt>
                <c:pt idx="8">
                  <c:v>204.34199412372124</c:v>
                </c:pt>
                <c:pt idx="9">
                  <c:v>204.34199412372124</c:v>
                </c:pt>
                <c:pt idx="10">
                  <c:v>446.03065313054054</c:v>
                </c:pt>
                <c:pt idx="11">
                  <c:v>446.03065313054054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58.834380689092178</c:v>
                </c:pt>
                <c:pt idx="1">
                  <c:v>58.834380689092178</c:v>
                </c:pt>
                <c:pt idx="2">
                  <c:v>52.296358496539007</c:v>
                </c:pt>
                <c:pt idx="3">
                  <c:v>52.296358496539007</c:v>
                </c:pt>
                <c:pt idx="4">
                  <c:v>66.49364658286548</c:v>
                </c:pt>
                <c:pt idx="5">
                  <c:v>66.49364658286548</c:v>
                </c:pt>
                <c:pt idx="6">
                  <c:v>65.067741706331361</c:v>
                </c:pt>
                <c:pt idx="7">
                  <c:v>65.067741706331361</c:v>
                </c:pt>
                <c:pt idx="8">
                  <c:v>220.37574654412859</c:v>
                </c:pt>
                <c:pt idx="9">
                  <c:v>220.37574654412859</c:v>
                </c:pt>
                <c:pt idx="10">
                  <c:v>426.68242113614144</c:v>
                </c:pt>
                <c:pt idx="11">
                  <c:v>426.68242113614144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166.43879089788337</c:v>
                </c:pt>
                <c:pt idx="1">
                  <c:v>166.43879089788337</c:v>
                </c:pt>
                <c:pt idx="2">
                  <c:v>148.01246448875807</c:v>
                </c:pt>
                <c:pt idx="3">
                  <c:v>148.01246448875807</c:v>
                </c:pt>
                <c:pt idx="4">
                  <c:v>182.67594717214413</c:v>
                </c:pt>
                <c:pt idx="5">
                  <c:v>182.67594717214413</c:v>
                </c:pt>
                <c:pt idx="6">
                  <c:v>180.82516427643637</c:v>
                </c:pt>
                <c:pt idx="7">
                  <c:v>180.82516427643637</c:v>
                </c:pt>
                <c:pt idx="8">
                  <c:v>551.72338413404736</c:v>
                </c:pt>
                <c:pt idx="9">
                  <c:v>551.72338413404736</c:v>
                </c:pt>
                <c:pt idx="10">
                  <c:v>1204.2827634524594</c:v>
                </c:pt>
                <c:pt idx="11">
                  <c:v>1204.2827634524594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158.8528278605489</c:v>
                </c:pt>
                <c:pt idx="1">
                  <c:v>158.8528278605489</c:v>
                </c:pt>
                <c:pt idx="2">
                  <c:v>141.20016794065532</c:v>
                </c:pt>
                <c:pt idx="3">
                  <c:v>141.20016794065532</c:v>
                </c:pt>
                <c:pt idx="4">
                  <c:v>179.5328457737368</c:v>
                </c:pt>
                <c:pt idx="5">
                  <c:v>179.5328457737368</c:v>
                </c:pt>
                <c:pt idx="6">
                  <c:v>175.68290260709469</c:v>
                </c:pt>
                <c:pt idx="7">
                  <c:v>175.68290260709469</c:v>
                </c:pt>
                <c:pt idx="8">
                  <c:v>595.01451566914727</c:v>
                </c:pt>
                <c:pt idx="9">
                  <c:v>595.01451566914727</c:v>
                </c:pt>
                <c:pt idx="10">
                  <c:v>1152.0425370675819</c:v>
                </c:pt>
                <c:pt idx="11">
                  <c:v>1152.0425370675819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inicial</a:t>
            </a:r>
          </a:p>
        </c:rich>
      </c:tx>
      <c:layout>
        <c:manualLayout>
          <c:xMode val="edge"/>
          <c:yMode val="edge"/>
          <c:x val="0.33671493624772314"/>
          <c:y val="1.01147340861677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941191925212537"/>
          <c:y val="0.16156115485564304"/>
          <c:w val="0.76008907284248828"/>
          <c:h val="0.80441418007369681"/>
        </c:manualLayout>
      </c:layout>
      <c:scatterChart>
        <c:scatterStyle val="lineMarker"/>
        <c:varyColors val="0"/>
        <c:ser>
          <c:idx val="1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7E-4CF5-920A-39CB4872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192805100182143"/>
              <c:y val="6.0181056736179434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s-CO" sz="800"/>
                  <a:t>Profundidad</a:t>
                </a:r>
                <a:r>
                  <a:rPr lang="es-CO" sz="800" baseline="0"/>
                  <a:t>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medio</a:t>
            </a:r>
          </a:p>
        </c:rich>
      </c:tx>
      <c:layout>
        <c:manualLayout>
          <c:xMode val="edge"/>
          <c:yMode val="edge"/>
          <c:x val="0.35406466302367945"/>
          <c:y val="9.90206595920193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60839795218454"/>
          <c:y val="0.16156115485564304"/>
          <c:w val="0.75458847267498674"/>
          <c:h val="0.8185097812915486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'A3'!$E$5:$E$18</c:f>
              <c:numCache>
                <c:formatCode>0.0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F-4DFA-BF20-13CC602AA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771129326047355"/>
              <c:y val="6.728937321406851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final</a:t>
            </a:r>
          </a:p>
        </c:rich>
      </c:tx>
      <c:layout>
        <c:manualLayout>
          <c:xMode val="edge"/>
          <c:yMode val="edge"/>
          <c:x val="0.35984790528233151"/>
          <c:y val="1.37049677363925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09537834602875"/>
          <c:y val="0.16156115485564304"/>
          <c:w val="0.76311281073846549"/>
          <c:h val="0.8206076548238854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'A4'!$E$5:$E$18</c:f>
              <c:numCache>
                <c:formatCode>0.0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D-4BDD-AF7A-327A9593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4614480874316942"/>
              <c:y val="6.3771213265384569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layout>
            <c:manualLayout>
              <c:xMode val="edge"/>
              <c:yMode val="edge"/>
              <c:x val="0"/>
              <c:y val="0.4156745288302161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5"/>
          <c:order val="0"/>
          <c:tx>
            <c:strRef>
              <c:f>'Módulos elásticos'!$A$9:$B$9</c:f>
              <c:strCache>
                <c:ptCount val="1"/>
                <c:pt idx="0">
                  <c:v>G01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elásticos'!$B$11:$B$24</c:f>
              <c:numCache>
                <c:formatCode>General</c:formatCode>
                <c:ptCount val="14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'Módulos elásticos'!$A$11:$A$24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B-4EE1-AD6F-1ECDD881554D}"/>
            </c:ext>
          </c:extLst>
        </c:ser>
        <c:ser>
          <c:idx val="3"/>
          <c:order val="1"/>
          <c:tx>
            <c:strRef>
              <c:f>'Módulos elásticos'!$C$9:$D$9</c:f>
              <c:strCache>
                <c:ptCount val="1"/>
                <c:pt idx="0">
                  <c:v>G12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elásticos'!$D$11:$D$24</c:f>
              <c:numCache>
                <c:formatCode>General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'Módulos elásticos'!$C$11:$C$24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B-4EE1-AD6F-1ECDD881554D}"/>
            </c:ext>
          </c:extLst>
        </c:ser>
        <c:ser>
          <c:idx val="4"/>
          <c:order val="2"/>
          <c:tx>
            <c:strRef>
              <c:f>'Módulos elásticos'!$E$9:$F$9</c:f>
              <c:strCache>
                <c:ptCount val="1"/>
                <c:pt idx="0">
                  <c:v>G24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elásticos'!$F$11:$F$24</c:f>
              <c:numCache>
                <c:formatCode>General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'Módulos elásticos'!$E$11:$E$24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B-4EE1-AD6F-1ECDD881554D}"/>
            </c:ext>
          </c:extLst>
        </c:ser>
        <c:ser>
          <c:idx val="1"/>
          <c:order val="3"/>
          <c:tx>
            <c:strRef>
              <c:f>'Módulos elásticos'!$I$9:$N$9</c:f>
              <c:strCache>
                <c:ptCount val="1"/>
                <c:pt idx="0">
                  <c:v>PERFIL PROMEDIO L01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elásticos'!$J$11:$J$31</c:f>
              <c:numCache>
                <c:formatCode>0</c:formatCode>
                <c:ptCount val="21"/>
                <c:pt idx="0">
                  <c:v>167.53333333333333</c:v>
                </c:pt>
                <c:pt idx="1">
                  <c:v>167.53333333333333</c:v>
                </c:pt>
                <c:pt idx="2">
                  <c:v>194.92699999999999</c:v>
                </c:pt>
                <c:pt idx="3">
                  <c:v>194.92699999999999</c:v>
                </c:pt>
                <c:pt idx="4">
                  <c:v>196.40633333333335</c:v>
                </c:pt>
                <c:pt idx="5">
                  <c:v>196.40633333333335</c:v>
                </c:pt>
                <c:pt idx="6">
                  <c:v>328.34666666666664</c:v>
                </c:pt>
                <c:pt idx="7">
                  <c:v>328.34666666666664</c:v>
                </c:pt>
                <c:pt idx="8">
                  <c:v>467.92900000000003</c:v>
                </c:pt>
                <c:pt idx="9">
                  <c:v>467.92900000000003</c:v>
                </c:pt>
              </c:numCache>
            </c:numRef>
          </c:xVal>
          <c:yVal>
            <c:numRef>
              <c:f>'Módulos elásticos'!$I$11:$I$31</c:f>
              <c:numCache>
                <c:formatCode>0.0</c:formatCode>
                <c:ptCount val="21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16.23</c:v>
                </c:pt>
                <c:pt idx="6">
                  <c:v>16.23</c:v>
                </c:pt>
                <c:pt idx="7">
                  <c:v>26.86</c:v>
                </c:pt>
                <c:pt idx="8">
                  <c:v>26.86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4'!A1"/><Relationship Id="rId2" Type="http://schemas.openxmlformats.org/officeDocument/2006/relationships/hyperlink" Target="#'A1'!A1"/><Relationship Id="rId1" Type="http://schemas.openxmlformats.org/officeDocument/2006/relationships/chart" Target="../charts/chart4.xml"/><Relationship Id="rId4" Type="http://schemas.openxmlformats.org/officeDocument/2006/relationships/hyperlink" Target="#'A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5'!A1"/><Relationship Id="rId2" Type="http://schemas.openxmlformats.org/officeDocument/2006/relationships/hyperlink" Target="#'A1'!A1"/><Relationship Id="rId1" Type="http://schemas.openxmlformats.org/officeDocument/2006/relationships/chart" Target="../charts/chart5.xml"/><Relationship Id="rId4" Type="http://schemas.openxmlformats.org/officeDocument/2006/relationships/hyperlink" Target="#'A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chart" Target="../charts/chart20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2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7" Type="http://schemas.openxmlformats.org/officeDocument/2006/relationships/chart" Target="../charts/chart23.xml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hyperlink" Target="#'A5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278129</xdr:colOff>
      <xdr:row>0</xdr:row>
      <xdr:rowOff>47625</xdr:rowOff>
    </xdr:from>
    <xdr:to>
      <xdr:col>12</xdr:col>
      <xdr:colOff>657225</xdr:colOff>
      <xdr:row>21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3</xdr:row>
      <xdr:rowOff>161925</xdr:rowOff>
    </xdr:from>
    <xdr:to>
      <xdr:col>14</xdr:col>
      <xdr:colOff>590550</xdr:colOff>
      <xdr:row>6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744200" y="10382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104775</xdr:colOff>
      <xdr:row>6</xdr:row>
      <xdr:rowOff>114300</xdr:rowOff>
    </xdr:from>
    <xdr:to>
      <xdr:col>14</xdr:col>
      <xdr:colOff>590550</xdr:colOff>
      <xdr:row>8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744200" y="15716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114300</xdr:colOff>
      <xdr:row>9</xdr:row>
      <xdr:rowOff>57150</xdr:rowOff>
    </xdr:from>
    <xdr:to>
      <xdr:col>14</xdr:col>
      <xdr:colOff>600075</xdr:colOff>
      <xdr:row>11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753725" y="20859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152400</xdr:colOff>
      <xdr:row>14</xdr:row>
      <xdr:rowOff>85725</xdr:rowOff>
    </xdr:from>
    <xdr:to>
      <xdr:col>14</xdr:col>
      <xdr:colOff>638175</xdr:colOff>
      <xdr:row>16</xdr:row>
      <xdr:rowOff>152400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477500" y="30670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133350</xdr:colOff>
      <xdr:row>11</xdr:row>
      <xdr:rowOff>161925</xdr:rowOff>
    </xdr:from>
    <xdr:to>
      <xdr:col>14</xdr:col>
      <xdr:colOff>619125</xdr:colOff>
      <xdr:row>14</xdr:row>
      <xdr:rowOff>38100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458450" y="25717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240029</xdr:colOff>
      <xdr:row>0</xdr:row>
      <xdr:rowOff>76200</xdr:rowOff>
    </xdr:from>
    <xdr:to>
      <xdr:col>12</xdr:col>
      <xdr:colOff>619125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4</xdr:row>
      <xdr:rowOff>152400</xdr:rowOff>
    </xdr:from>
    <xdr:to>
      <xdr:col>14</xdr:col>
      <xdr:colOff>495300</xdr:colOff>
      <xdr:row>7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648950" y="12287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9525</xdr:colOff>
      <xdr:row>7</xdr:row>
      <xdr:rowOff>114300</xdr:rowOff>
    </xdr:from>
    <xdr:to>
      <xdr:col>14</xdr:col>
      <xdr:colOff>495300</xdr:colOff>
      <xdr:row>9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648950" y="1762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19050</xdr:colOff>
      <xdr:row>10</xdr:row>
      <xdr:rowOff>57150</xdr:rowOff>
    </xdr:from>
    <xdr:to>
      <xdr:col>14</xdr:col>
      <xdr:colOff>504825</xdr:colOff>
      <xdr:row>12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0658475" y="22764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28575</xdr:colOff>
      <xdr:row>15</xdr:row>
      <xdr:rowOff>123825</xdr:rowOff>
    </xdr:from>
    <xdr:to>
      <xdr:col>14</xdr:col>
      <xdr:colOff>514350</xdr:colOff>
      <xdr:row>18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353675" y="32956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28575</xdr:colOff>
      <xdr:row>12</xdr:row>
      <xdr:rowOff>171450</xdr:rowOff>
    </xdr:from>
    <xdr:to>
      <xdr:col>14</xdr:col>
      <xdr:colOff>514350</xdr:colOff>
      <xdr:row>15</xdr:row>
      <xdr:rowOff>47625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353675" y="27717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5093"/>
        </a:xfrm>
        <a:prstGeom prst="rect">
          <a:avLst/>
        </a:prstGeom>
      </xdr:spPr>
    </xdr:pic>
    <xdr:clientData/>
  </xdr:twoCellAnchor>
  <xdr:twoCellAnchor>
    <xdr:from>
      <xdr:col>2</xdr:col>
      <xdr:colOff>709030</xdr:colOff>
      <xdr:row>0</xdr:row>
      <xdr:rowOff>114646</xdr:rowOff>
    </xdr:from>
    <xdr:to>
      <xdr:col>5</xdr:col>
      <xdr:colOff>101812</xdr:colOff>
      <xdr:row>1</xdr:row>
      <xdr:rowOff>138458</xdr:rowOff>
    </xdr:to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2409923" y="114646"/>
          <a:ext cx="1667119" cy="198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729334</xdr:colOff>
      <xdr:row>1</xdr:row>
      <xdr:rowOff>73233</xdr:rowOff>
    </xdr:from>
    <xdr:to>
      <xdr:col>6</xdr:col>
      <xdr:colOff>758111</xdr:colOff>
      <xdr:row>2</xdr:row>
      <xdr:rowOff>106913</xdr:rowOff>
    </xdr:to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2430227" y="248182"/>
          <a:ext cx="3061226" cy="1794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 Y PERFIL BIDIMENSIONAL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625447" y="12382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8</xdr:row>
      <xdr:rowOff>1865</xdr:rowOff>
    </xdr:to>
    <xdr:sp macro="[0]!GUARDAR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641832" y="66215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11</xdr:row>
      <xdr:rowOff>63544</xdr:rowOff>
    </xdr:from>
    <xdr:to>
      <xdr:col>15</xdr:col>
      <xdr:colOff>54620</xdr:colOff>
      <xdr:row>13</xdr:row>
      <xdr:rowOff>130219</xdr:rowOff>
    </xdr:to>
    <xdr:sp macro="" textlink="">
      <xdr:nvSpPr>
        <xdr:cNvPr id="17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629843" y="17589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84792</xdr:rowOff>
    </xdr:from>
    <xdr:to>
      <xdr:col>15</xdr:col>
      <xdr:colOff>62680</xdr:colOff>
      <xdr:row>10</xdr:row>
      <xdr:rowOff>151467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637903" y="12087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>
    <xdr:from>
      <xdr:col>0</xdr:col>
      <xdr:colOff>410350</xdr:colOff>
      <xdr:row>6</xdr:row>
      <xdr:rowOff>36155</xdr:rowOff>
    </xdr:from>
    <xdr:to>
      <xdr:col>3</xdr:col>
      <xdr:colOff>147345</xdr:colOff>
      <xdr:row>23</xdr:row>
      <xdr:rowOff>165230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163479</xdr:colOff>
      <xdr:row>6</xdr:row>
      <xdr:rowOff>46654</xdr:rowOff>
    </xdr:from>
    <xdr:to>
      <xdr:col>7</xdr:col>
      <xdr:colOff>85142</xdr:colOff>
      <xdr:row>23</xdr:row>
      <xdr:rowOff>116633</xdr:rowOff>
    </xdr:to>
    <xdr:graphicFrame macro="">
      <xdr:nvGraphicFramePr>
        <xdr:cNvPr id="8" name="8 Gráfic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719234</xdr:colOff>
      <xdr:row>6</xdr:row>
      <xdr:rowOff>37711</xdr:rowOff>
    </xdr:from>
    <xdr:to>
      <xdr:col>10</xdr:col>
      <xdr:colOff>320157</xdr:colOff>
      <xdr:row>23</xdr:row>
      <xdr:rowOff>106914</xdr:rowOff>
    </xdr:to>
    <xdr:graphicFrame macro="">
      <xdr:nvGraphicFramePr>
        <xdr:cNvPr id="9" name="9 Gráfic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65316</xdr:colOff>
      <xdr:row>5</xdr:row>
      <xdr:rowOff>76201</xdr:rowOff>
    </xdr:from>
    <xdr:to>
      <xdr:col>18</xdr:col>
      <xdr:colOff>685801</xdr:colOff>
      <xdr:row>36</xdr:row>
      <xdr:rowOff>25583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68803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PARAMETROS GEOTECNICOS</a:t>
          </a:r>
          <a:endParaRPr lang="es-ES" sz="9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 -</a:t>
          </a:r>
          <a:r>
            <a:rPr lang="es-ES" sz="1100" b="1" i="1" baseline="0"/>
            <a:t>ESPECTRO 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LINEAS SISMICAS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28212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LINEAS SISMICAS - FOTOS</a:t>
          </a:r>
          <a:endParaRPr lang="es-ES" sz="900" b="1" i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2" xr16:uid="{00000000-0016-0000-04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3" xr16:uid="{00000000-0016-0000-0500-000002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F10" sqref="F10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L01</v>
      </c>
      <c r="B1" s="205" t="s">
        <v>0</v>
      </c>
      <c r="C1" s="205"/>
      <c r="D1" s="205"/>
      <c r="E1" s="205"/>
      <c r="F1" s="205"/>
      <c r="G1" s="106"/>
      <c r="H1" s="107"/>
      <c r="I1" s="107"/>
      <c r="J1" s="107"/>
      <c r="K1" s="107"/>
      <c r="L1" s="107"/>
      <c r="M1" s="107"/>
      <c r="N1" s="199"/>
      <c r="O1" s="199"/>
      <c r="P1" s="199"/>
      <c r="Q1" s="199"/>
      <c r="R1" s="199"/>
    </row>
    <row r="2" spans="1:18" ht="6.75" customHeight="1" x14ac:dyDescent="0.25">
      <c r="A2" s="203"/>
      <c r="B2" s="203"/>
      <c r="C2" s="203"/>
      <c r="D2" s="203"/>
      <c r="E2" s="203"/>
      <c r="F2" s="203"/>
      <c r="G2" s="106"/>
      <c r="H2" s="107"/>
      <c r="I2" s="107"/>
      <c r="J2" s="107"/>
      <c r="K2" s="107"/>
      <c r="L2" s="107"/>
      <c r="M2" s="107"/>
      <c r="N2" s="199"/>
      <c r="O2" s="199"/>
      <c r="P2" s="199"/>
      <c r="Q2" s="199"/>
      <c r="R2" s="199"/>
    </row>
    <row r="3" spans="1:18" ht="15" customHeight="1" x14ac:dyDescent="0.25">
      <c r="A3" s="108" t="s">
        <v>1</v>
      </c>
      <c r="B3" s="128" t="s">
        <v>139</v>
      </c>
      <c r="C3" s="109"/>
      <c r="D3" s="110" t="s">
        <v>2</v>
      </c>
      <c r="E3" s="128" t="s">
        <v>142</v>
      </c>
      <c r="F3" s="111"/>
      <c r="G3" s="106"/>
      <c r="H3" s="107"/>
      <c r="I3" s="107"/>
      <c r="J3" s="107"/>
      <c r="K3" s="107"/>
      <c r="L3" s="107"/>
      <c r="M3" s="107"/>
      <c r="N3" s="199"/>
      <c r="O3" s="199"/>
      <c r="P3" s="199"/>
      <c r="Q3" s="199"/>
      <c r="R3" s="199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141</v>
      </c>
      <c r="F4" s="111"/>
      <c r="G4" s="106"/>
      <c r="H4" s="107"/>
      <c r="I4" s="107"/>
      <c r="J4" s="107"/>
      <c r="K4" s="107"/>
      <c r="L4" s="107"/>
      <c r="M4" s="107"/>
      <c r="N4" s="199"/>
      <c r="O4" s="199"/>
      <c r="P4" s="199"/>
      <c r="Q4" s="199"/>
      <c r="R4" s="199"/>
    </row>
    <row r="5" spans="1:18" ht="15" x14ac:dyDescent="0.25">
      <c r="A5" s="108" t="s">
        <v>5</v>
      </c>
      <c r="B5" s="128" t="s">
        <v>132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199"/>
      <c r="O5" s="199"/>
      <c r="P5" s="199"/>
      <c r="Q5" s="199"/>
      <c r="R5" s="199"/>
    </row>
    <row r="6" spans="1:18" ht="15" x14ac:dyDescent="0.25">
      <c r="A6" s="108" t="s">
        <v>6</v>
      </c>
      <c r="B6" s="128" t="s">
        <v>140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99"/>
      <c r="O6" s="199"/>
      <c r="P6" s="199"/>
      <c r="Q6" s="199"/>
      <c r="R6" s="199"/>
    </row>
    <row r="7" spans="1:18" ht="15.75" x14ac:dyDescent="0.25">
      <c r="A7" s="204"/>
      <c r="B7" s="204"/>
      <c r="C7" s="204"/>
      <c r="D7" s="204"/>
      <c r="E7" s="204"/>
      <c r="F7" s="204"/>
      <c r="G7" s="106"/>
      <c r="H7" s="107"/>
      <c r="I7" s="107"/>
      <c r="J7" s="107"/>
      <c r="K7" s="107"/>
      <c r="L7" s="107"/>
      <c r="M7" s="107"/>
      <c r="N7" s="199"/>
      <c r="O7" s="199"/>
      <c r="P7" s="199"/>
      <c r="Q7" s="199"/>
      <c r="R7" s="199"/>
    </row>
    <row r="8" spans="1:18" ht="18.75" customHeight="1" x14ac:dyDescent="0.25">
      <c r="A8" s="114" t="s">
        <v>7</v>
      </c>
      <c r="B8" s="110" t="str">
        <f>+B6</f>
        <v>L01</v>
      </c>
      <c r="C8" s="201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199"/>
      <c r="O8" s="199"/>
      <c r="P8" s="199"/>
      <c r="Q8" s="199"/>
      <c r="R8" s="199"/>
    </row>
    <row r="9" spans="1:18" ht="27" customHeight="1" x14ac:dyDescent="0.25">
      <c r="A9" s="114" t="s">
        <v>11</v>
      </c>
      <c r="B9" s="130" t="s">
        <v>12</v>
      </c>
      <c r="C9" s="201"/>
      <c r="D9" s="116" t="s">
        <v>13</v>
      </c>
      <c r="E9" s="171" t="s">
        <v>143</v>
      </c>
      <c r="F9" s="171" t="s">
        <v>144</v>
      </c>
      <c r="G9" s="106"/>
      <c r="H9" s="107"/>
      <c r="I9" s="107"/>
      <c r="J9" s="107"/>
      <c r="K9" s="107"/>
      <c r="L9" s="107"/>
      <c r="M9" s="107"/>
      <c r="N9" s="199"/>
      <c r="O9" s="199"/>
      <c r="P9" s="199"/>
      <c r="Q9" s="199"/>
      <c r="R9" s="199"/>
    </row>
    <row r="10" spans="1:18" ht="30" customHeight="1" x14ac:dyDescent="0.25">
      <c r="A10" s="114" t="s">
        <v>14</v>
      </c>
      <c r="B10" s="130">
        <v>24</v>
      </c>
      <c r="C10" s="201"/>
      <c r="D10" s="114" t="s">
        <v>15</v>
      </c>
      <c r="E10" s="171" t="s">
        <v>143</v>
      </c>
      <c r="F10" s="171" t="s">
        <v>145</v>
      </c>
      <c r="G10" s="106"/>
      <c r="H10" s="107"/>
      <c r="I10" s="107"/>
      <c r="J10" s="107"/>
      <c r="K10" s="107"/>
      <c r="L10" s="107"/>
      <c r="M10" s="107"/>
      <c r="N10" s="199"/>
      <c r="O10" s="199"/>
      <c r="P10" s="199"/>
      <c r="Q10" s="199"/>
      <c r="R10" s="199"/>
    </row>
    <row r="11" spans="1:18" ht="15" x14ac:dyDescent="0.25">
      <c r="A11" s="114" t="s">
        <v>16</v>
      </c>
      <c r="B11" s="131">
        <v>4</v>
      </c>
      <c r="C11" s="201"/>
      <c r="D11" s="114" t="s">
        <v>17</v>
      </c>
      <c r="E11" s="117">
        <f>(B10*B11)-B11</f>
        <v>92</v>
      </c>
      <c r="F11" s="111"/>
      <c r="G11" s="106"/>
      <c r="H11" s="107"/>
      <c r="I11" s="107"/>
      <c r="J11" s="107"/>
      <c r="K11" s="107"/>
      <c r="L11" s="107"/>
      <c r="M11" s="107"/>
      <c r="N11" s="199"/>
      <c r="O11" s="199"/>
      <c r="P11" s="199"/>
      <c r="Q11" s="199"/>
      <c r="R11" s="199"/>
    </row>
    <row r="12" spans="1:18" ht="93" customHeight="1" x14ac:dyDescent="0.25">
      <c r="A12" s="114" t="s">
        <v>18</v>
      </c>
      <c r="B12" s="202" t="s">
        <v>12</v>
      </c>
      <c r="C12" s="202"/>
      <c r="D12" s="202"/>
      <c r="E12" s="202"/>
      <c r="F12" s="202"/>
      <c r="G12" s="106"/>
      <c r="H12" s="200"/>
      <c r="I12" s="200"/>
      <c r="J12" s="200"/>
      <c r="K12" s="200"/>
      <c r="L12" s="200"/>
      <c r="M12" s="200"/>
      <c r="N12" s="199"/>
      <c r="O12" s="199"/>
      <c r="P12" s="199"/>
      <c r="Q12" s="199"/>
      <c r="R12" s="199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67" t="s">
        <v>25</v>
      </c>
    </row>
    <row r="359" spans="1:4" ht="15" x14ac:dyDescent="0.25">
      <c r="C359" s="29"/>
      <c r="D359" s="167" t="s">
        <v>26</v>
      </c>
    </row>
    <row r="360" spans="1:4" ht="15" x14ac:dyDescent="0.25">
      <c r="C360" s="29"/>
      <c r="D360" s="167" t="s">
        <v>27</v>
      </c>
    </row>
    <row r="361" spans="1:4" ht="15" x14ac:dyDescent="0.25">
      <c r="C361" s="29"/>
      <c r="D361" s="167" t="s">
        <v>28</v>
      </c>
    </row>
    <row r="362" spans="1:4" ht="15" x14ac:dyDescent="0.25">
      <c r="C362" s="29"/>
      <c r="D362" s="167" t="s">
        <v>29</v>
      </c>
    </row>
    <row r="363" spans="1:4" ht="15" x14ac:dyDescent="0.25">
      <c r="C363" s="29"/>
      <c r="D363" s="167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206" t="s">
        <v>31</v>
      </c>
      <c r="B1" s="206"/>
    </row>
    <row r="2" spans="1:12" ht="13.5" thickBot="1" x14ac:dyDescent="0.25"/>
    <row r="3" spans="1:12" ht="15.75" thickBot="1" x14ac:dyDescent="0.3">
      <c r="A3" s="5" t="s">
        <v>32</v>
      </c>
      <c r="J3" s="207" t="s">
        <v>33</v>
      </c>
      <c r="K3" s="208"/>
      <c r="L3" s="209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213" t="s">
        <v>53</v>
      </c>
      <c r="B44" s="213"/>
      <c r="C44" s="17" t="s">
        <v>54</v>
      </c>
      <c r="D44" s="17" t="s">
        <v>55</v>
      </c>
    </row>
    <row r="45" spans="1:4" ht="29.25" customHeight="1" x14ac:dyDescent="0.2">
      <c r="A45" s="214" t="s">
        <v>56</v>
      </c>
      <c r="B45" s="214"/>
      <c r="C45" s="21">
        <v>0.5</v>
      </c>
      <c r="D45" s="22" t="s">
        <v>57</v>
      </c>
    </row>
    <row r="46" spans="1:4" ht="49.7" customHeight="1" x14ac:dyDescent="0.2">
      <c r="A46" s="211" t="s">
        <v>58</v>
      </c>
      <c r="B46" s="211"/>
      <c r="C46" s="23" t="s">
        <v>59</v>
      </c>
      <c r="D46" s="22" t="s">
        <v>60</v>
      </c>
    </row>
    <row r="47" spans="1:4" ht="27.75" customHeight="1" x14ac:dyDescent="0.2">
      <c r="A47" s="211" t="s">
        <v>61</v>
      </c>
      <c r="B47" s="211"/>
      <c r="C47" s="22" t="s">
        <v>62</v>
      </c>
      <c r="D47" s="22" t="s">
        <v>60</v>
      </c>
    </row>
    <row r="48" spans="1:4" ht="29.25" customHeight="1" x14ac:dyDescent="0.2">
      <c r="A48" s="211" t="s">
        <v>63</v>
      </c>
      <c r="B48" s="211"/>
      <c r="C48" s="210" t="s">
        <v>64</v>
      </c>
      <c r="D48" s="210"/>
    </row>
    <row r="49" spans="1:4" x14ac:dyDescent="0.2">
      <c r="A49" s="211" t="s">
        <v>65</v>
      </c>
      <c r="B49" s="211"/>
      <c r="C49" s="212" t="s">
        <v>66</v>
      </c>
      <c r="D49" s="212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A6" sqref="A6:B8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L01</v>
      </c>
      <c r="B1" s="215" t="s">
        <v>67</v>
      </c>
      <c r="C1" s="215"/>
      <c r="D1" s="215"/>
      <c r="E1" s="215"/>
      <c r="F1" s="215"/>
      <c r="G1" s="215"/>
      <c r="H1" s="215"/>
      <c r="I1" s="215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216" t="s">
        <v>68</v>
      </c>
      <c r="B3" s="217"/>
      <c r="C3" s="218"/>
      <c r="D3" s="216" t="s">
        <v>69</v>
      </c>
      <c r="E3" s="218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64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60">
        <v>9.11</v>
      </c>
      <c r="B9" s="160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60">
        <v>23.86</v>
      </c>
      <c r="B10" s="160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60"/>
      <c r="B11" s="160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60"/>
      <c r="B12" s="160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60"/>
      <c r="B13" s="160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19"/>
      <c r="J29" s="219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19"/>
      <c r="J41" s="219"/>
    </row>
    <row r="42" spans="9:10" x14ac:dyDescent="0.2">
      <c r="I42" s="219"/>
      <c r="J42" s="219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N42"/>
  <sheetViews>
    <sheetView topLeftCell="F1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0" t="s">
        <v>74</v>
      </c>
      <c r="E1" s="221"/>
      <c r="F1" s="221"/>
      <c r="G1" s="221"/>
      <c r="H1" s="221"/>
      <c r="I1" s="221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2" t="s">
        <v>68</v>
      </c>
      <c r="B3" s="223"/>
      <c r="C3" s="224"/>
      <c r="D3" s="222" t="s">
        <v>69</v>
      </c>
      <c r="E3" s="224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171.029</v>
      </c>
      <c r="C5" s="160">
        <v>0</v>
      </c>
      <c r="D5" s="161">
        <v>0</v>
      </c>
      <c r="E5" s="161">
        <v>171.029</v>
      </c>
      <c r="F5" s="162">
        <v>0.3562434916307668</v>
      </c>
      <c r="G5" s="163">
        <v>361.92352646232939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171.029</v>
      </c>
      <c r="C6" s="160">
        <v>2.44</v>
      </c>
      <c r="D6" s="161">
        <v>2.44</v>
      </c>
      <c r="E6" s="161">
        <v>171.029</v>
      </c>
      <c r="F6" s="162">
        <v>0.3562434916307668</v>
      </c>
      <c r="G6" s="163">
        <v>361.92352646232939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192.91399999999999</v>
      </c>
      <c r="C7" s="160">
        <v>8.17</v>
      </c>
      <c r="D7" s="161">
        <v>2.44</v>
      </c>
      <c r="E7" s="161">
        <v>192.91399999999999</v>
      </c>
      <c r="F7" s="162">
        <v>0.34257162844826566</v>
      </c>
      <c r="G7" s="163">
        <v>394.22709124933328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194.83799999999999</v>
      </c>
      <c r="C8" s="160">
        <v>15.83</v>
      </c>
      <c r="D8" s="161">
        <v>8.17</v>
      </c>
      <c r="E8" s="161">
        <v>192.91399999999999</v>
      </c>
      <c r="F8" s="162">
        <v>0.34257162844826566</v>
      </c>
      <c r="G8" s="163">
        <v>394.22709124933328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326.803</v>
      </c>
      <c r="C9" s="160">
        <v>27.22</v>
      </c>
      <c r="D9" s="161">
        <v>8.17</v>
      </c>
      <c r="E9" s="161">
        <v>194.83799999999999</v>
      </c>
      <c r="F9" s="162">
        <v>0.34146851758634711</v>
      </c>
      <c r="G9" s="163">
        <v>397.10391946528341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471.44600000000003</v>
      </c>
      <c r="C10" s="160">
        <v>50</v>
      </c>
      <c r="D10" s="161">
        <v>15.83</v>
      </c>
      <c r="E10" s="161">
        <v>194.83799999999999</v>
      </c>
      <c r="F10" s="162">
        <v>0.34146851758634711</v>
      </c>
      <c r="G10" s="163">
        <v>397.10391946528341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326.803</v>
      </c>
      <c r="F11" s="162">
        <v>0.28863676498475443</v>
      </c>
      <c r="G11" s="163">
        <v>599.53841984405005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326.803</v>
      </c>
      <c r="F12" s="162">
        <v>0.28863676498475443</v>
      </c>
      <c r="G12" s="163">
        <v>599.53841984405005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471.44600000000003</v>
      </c>
      <c r="F13" s="162">
        <v>0.25622955606225895</v>
      </c>
      <c r="G13" s="163">
        <v>823.49485346794734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471.44600000000003</v>
      </c>
      <c r="F14" s="162">
        <v>0.25622955606225895</v>
      </c>
      <c r="G14" s="163">
        <v>823.49485346794734</v>
      </c>
      <c r="H14" s="107"/>
      <c r="I14" s="107"/>
      <c r="J14" s="107"/>
      <c r="K14" s="107"/>
      <c r="L14" s="107"/>
      <c r="M14" s="107"/>
    </row>
    <row r="29" spans="9:14" ht="15" x14ac:dyDescent="0.25">
      <c r="I29" s="225"/>
      <c r="J29" s="225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5"/>
      <c r="J41" s="225"/>
    </row>
    <row r="42" spans="9:10" x14ac:dyDescent="0.2">
      <c r="I42" s="225"/>
      <c r="J42" s="225"/>
    </row>
  </sheetData>
  <sheetProtection formatCells="0" formatColumns="0" formatRows="0" insertColumns="0" insertRows="0"/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N42"/>
  <sheetViews>
    <sheetView zoomScaleNormal="100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0" t="s">
        <v>75</v>
      </c>
      <c r="E1" s="221"/>
      <c r="F1" s="221"/>
      <c r="G1" s="221"/>
      <c r="H1" s="221"/>
      <c r="I1" s="221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2" t="s">
        <v>68</v>
      </c>
      <c r="B3" s="223"/>
      <c r="C3" s="224"/>
      <c r="D3" s="222" t="s">
        <v>69</v>
      </c>
      <c r="E3" s="224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167.4</v>
      </c>
      <c r="C5" s="160">
        <v>0</v>
      </c>
      <c r="D5" s="161">
        <v>0</v>
      </c>
      <c r="E5" s="161">
        <v>167.4</v>
      </c>
      <c r="F5" s="162">
        <v>0.35873527792562115</v>
      </c>
      <c r="G5" s="163">
        <v>356.66235129120986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167.4</v>
      </c>
      <c r="C6" s="160">
        <v>2.44</v>
      </c>
      <c r="D6" s="161">
        <v>2.44</v>
      </c>
      <c r="E6" s="161">
        <v>167.4</v>
      </c>
      <c r="F6" s="162">
        <v>0.35873527792562115</v>
      </c>
      <c r="G6" s="163">
        <v>356.66235129120986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191.4</v>
      </c>
      <c r="C7" s="160">
        <v>8.17</v>
      </c>
      <c r="D7" s="161">
        <v>2.44</v>
      </c>
      <c r="E7" s="161">
        <v>191.4</v>
      </c>
      <c r="F7" s="162">
        <v>0.34344996878645395</v>
      </c>
      <c r="G7" s="163">
        <v>391.96678551209368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192.31</v>
      </c>
      <c r="C8" s="160">
        <v>15.83</v>
      </c>
      <c r="D8" s="161">
        <v>8.17</v>
      </c>
      <c r="E8" s="161">
        <v>191.4</v>
      </c>
      <c r="F8" s="162">
        <v>0.34344996878645395</v>
      </c>
      <c r="G8" s="163">
        <v>391.96678551209368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338.262</v>
      </c>
      <c r="C9" s="160">
        <v>27.22</v>
      </c>
      <c r="D9" s="161">
        <v>8.17</v>
      </c>
      <c r="E9" s="161">
        <v>192.31</v>
      </c>
      <c r="F9" s="162">
        <v>0.34292093765368065</v>
      </c>
      <c r="G9" s="163">
        <v>393.32498262418068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461.96899999999999</v>
      </c>
      <c r="C10" s="160">
        <v>50</v>
      </c>
      <c r="D10" s="161">
        <v>15.83</v>
      </c>
      <c r="E10" s="161">
        <v>192.31</v>
      </c>
      <c r="F10" s="162">
        <v>0.34292093765368065</v>
      </c>
      <c r="G10" s="163">
        <v>393.32498262418068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338.262</v>
      </c>
      <c r="F11" s="162">
        <v>0.28542191496509856</v>
      </c>
      <c r="G11" s="163">
        <v>617.28450603265401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338.262</v>
      </c>
      <c r="F12" s="162">
        <v>0.28542191496509856</v>
      </c>
      <c r="G12" s="163">
        <v>617.28450603265401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461.96899999999999</v>
      </c>
      <c r="F13" s="162">
        <v>0.25792618747953516</v>
      </c>
      <c r="G13" s="163">
        <v>808.83974098368549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461.96899999999999</v>
      </c>
      <c r="F14" s="162">
        <v>0.25792618747953516</v>
      </c>
      <c r="G14" s="163">
        <v>808.83974098368549</v>
      </c>
      <c r="H14" s="107"/>
      <c r="I14" s="107"/>
      <c r="J14" s="107"/>
      <c r="K14" s="107"/>
      <c r="L14" s="107"/>
      <c r="M14" s="107"/>
    </row>
    <row r="29" spans="9:14" ht="15" x14ac:dyDescent="0.25">
      <c r="I29" s="225"/>
      <c r="J29" s="225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5"/>
      <c r="J41" s="225"/>
    </row>
    <row r="42" spans="9:10" x14ac:dyDescent="0.2">
      <c r="I42" s="225"/>
      <c r="J42" s="225"/>
    </row>
  </sheetData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41" t="str">
        <f>CONCATENATE("LÍNEA 0",AK2)</f>
        <v>LÍNEA 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AJ1" s="31"/>
      <c r="AK1" s="32"/>
      <c r="AM1" s="242"/>
      <c r="AN1" s="33"/>
      <c r="AO1" s="34"/>
      <c r="AP1" s="242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28" t="s">
        <v>76</v>
      </c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J2" s="38"/>
      <c r="AK2" s="39"/>
      <c r="AL2" s="40">
        <v>30</v>
      </c>
      <c r="AM2" s="243"/>
      <c r="AN2" s="41"/>
      <c r="AO2" s="42"/>
      <c r="AP2" s="243"/>
      <c r="AQ2" s="41"/>
      <c r="AR2" s="42"/>
    </row>
    <row r="3" spans="1:84" x14ac:dyDescent="0.25">
      <c r="A3" s="228" t="s">
        <v>77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BG3" s="43"/>
    </row>
    <row r="4" spans="1:84" x14ac:dyDescent="0.25">
      <c r="AJ4" s="244" t="s">
        <v>78</v>
      </c>
      <c r="AK4" s="236"/>
      <c r="AL4" s="237"/>
      <c r="AM4" s="44"/>
      <c r="AN4" s="235" t="s">
        <v>79</v>
      </c>
      <c r="AO4" s="236"/>
      <c r="AP4" s="237"/>
      <c r="AQ4" s="45"/>
      <c r="AR4" s="235" t="s">
        <v>80</v>
      </c>
      <c r="AS4" s="236"/>
      <c r="AT4" s="237"/>
      <c r="AU4" s="45"/>
      <c r="AV4" s="235" t="s">
        <v>81</v>
      </c>
      <c r="AW4" s="236"/>
      <c r="AX4" s="237"/>
      <c r="AY4" s="45"/>
      <c r="AZ4" s="235" t="s">
        <v>82</v>
      </c>
      <c r="BA4" s="236"/>
      <c r="BB4" s="237"/>
      <c r="BD4" s="235" t="s">
        <v>83</v>
      </c>
      <c r="BE4" s="236"/>
      <c r="BF4" s="236"/>
      <c r="BG4" s="236"/>
      <c r="BH4" s="237"/>
      <c r="BJ4" s="235" t="s">
        <v>84</v>
      </c>
      <c r="BK4" s="236"/>
      <c r="BL4" s="236"/>
      <c r="BM4" s="236"/>
      <c r="BN4" s="237"/>
      <c r="BP4" s="235" t="s">
        <v>85</v>
      </c>
      <c r="BQ4" s="236"/>
      <c r="BR4" s="236"/>
      <c r="BS4" s="236"/>
      <c r="BT4" s="237"/>
      <c r="BV4" s="235" t="s">
        <v>86</v>
      </c>
      <c r="BW4" s="236"/>
      <c r="BX4" s="236"/>
      <c r="BY4" s="236"/>
      <c r="BZ4" s="237"/>
      <c r="CB4" s="235" t="s">
        <v>82</v>
      </c>
      <c r="CC4" s="236"/>
      <c r="CD4" s="236"/>
      <c r="CE4" s="236"/>
      <c r="CF4" s="237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>
        <f>'A3'!A5</f>
        <v>0.1</v>
      </c>
      <c r="AP6" s="51">
        <f>'A3'!B5</f>
        <v>171.029</v>
      </c>
      <c r="AQ6" s="45"/>
      <c r="AR6" s="49">
        <v>1</v>
      </c>
      <c r="AS6" s="50">
        <f>'A4'!A5</f>
        <v>0.1</v>
      </c>
      <c r="AT6" s="51">
        <f>'A4'!B5</f>
        <v>167.4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>
        <f>AO6</f>
        <v>0.1</v>
      </c>
      <c r="BK6" s="45">
        <f>AP6</f>
        <v>171.029</v>
      </c>
      <c r="BL6" s="30">
        <f>BJ6</f>
        <v>0.1</v>
      </c>
      <c r="BM6" s="30">
        <f>BL6</f>
        <v>0.1</v>
      </c>
      <c r="BN6" s="53">
        <f>IF(BK6=0,0,BM6/BK6)</f>
        <v>5.846961626390846E-4</v>
      </c>
      <c r="BP6" s="52">
        <f>AS6</f>
        <v>0.1</v>
      </c>
      <c r="BQ6" s="45">
        <f>AT6</f>
        <v>167.4</v>
      </c>
      <c r="BR6" s="30">
        <f>BP6</f>
        <v>0.1</v>
      </c>
      <c r="BS6" s="30">
        <f>BR6</f>
        <v>0.1</v>
      </c>
      <c r="BT6" s="53">
        <f>IF(BQ6=0,0,BS6/BQ6)</f>
        <v>5.9737156511350056E-4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>
        <f>'A3'!A6</f>
        <v>2.44</v>
      </c>
      <c r="AP7" s="51">
        <f>'A3'!B6</f>
        <v>171.029</v>
      </c>
      <c r="AQ7" s="45"/>
      <c r="AR7" s="49">
        <v>2</v>
      </c>
      <c r="AS7" s="50">
        <f>'A4'!A6</f>
        <v>2.44</v>
      </c>
      <c r="AT7" s="51">
        <f>'A4'!B6</f>
        <v>167.4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>
        <f t="shared" ref="BJ7:BK20" si="3">AO7</f>
        <v>2.44</v>
      </c>
      <c r="BK7" s="45">
        <f t="shared" si="3"/>
        <v>171.029</v>
      </c>
      <c r="BL7" s="30">
        <f>BL6+BJ7</f>
        <v>2.54</v>
      </c>
      <c r="BM7" s="30">
        <f t="shared" ref="BM7:BM20" si="4">IF(BJ8=0,IF(BJ7=0,0,IF(BL7&lt;30,30-BL6,IF(BL6&gt;=30,0,BJ7-(BL7-30)))),IF(BL6&lt;30,BJ7,0))</f>
        <v>2.44</v>
      </c>
      <c r="BN7" s="53">
        <f t="shared" ref="BN7:BN20" si="5">IF(BK7=0,0,BM7/BK7)</f>
        <v>1.4266586368393664E-2</v>
      </c>
      <c r="BP7" s="52">
        <f t="shared" ref="BP7:BQ20" si="6">AS7</f>
        <v>2.44</v>
      </c>
      <c r="BQ7" s="45">
        <f t="shared" si="6"/>
        <v>167.4</v>
      </c>
      <c r="BR7" s="30">
        <f>BR6+BP7</f>
        <v>2.54</v>
      </c>
      <c r="BS7" s="30">
        <f t="shared" ref="BS7:BS20" si="7">IF(BP8=0,IF(BP7=0,0,IF(BR7&lt;30,30-BR6,IF(BR6&gt;=30,0,BP7-(BR7-30)))),IF(BR6&lt;30,BP7,0))</f>
        <v>2.44</v>
      </c>
      <c r="BT7" s="53">
        <f t="shared" ref="BT7:BT20" si="8">IF(BQ7=0,0,BS7/BQ7)</f>
        <v>1.4575866188769413E-2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>
        <f>'A3'!A7</f>
        <v>5.73</v>
      </c>
      <c r="AP8" s="51">
        <f>'A3'!B7</f>
        <v>192.91399999999999</v>
      </c>
      <c r="AQ8" s="45"/>
      <c r="AR8" s="49">
        <v>3</v>
      </c>
      <c r="AS8" s="50">
        <f>'A4'!A7</f>
        <v>5.73</v>
      </c>
      <c r="AT8" s="51">
        <f>'A4'!B7</f>
        <v>191.4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>
        <f t="shared" si="3"/>
        <v>5.73</v>
      </c>
      <c r="BK8" s="45">
        <f t="shared" si="3"/>
        <v>192.91399999999999</v>
      </c>
      <c r="BL8" s="30">
        <f t="shared" ref="BL8:BL20" si="16">BL7+BJ8</f>
        <v>8.27</v>
      </c>
      <c r="BM8" s="30">
        <f t="shared" si="4"/>
        <v>5.73</v>
      </c>
      <c r="BN8" s="53">
        <f t="shared" si="5"/>
        <v>2.9702354416994106E-2</v>
      </c>
      <c r="BP8" s="52">
        <f t="shared" si="6"/>
        <v>5.73</v>
      </c>
      <c r="BQ8" s="45">
        <f t="shared" si="6"/>
        <v>191.4</v>
      </c>
      <c r="BR8" s="30">
        <f t="shared" ref="BR8:BR20" si="17">BR7+BP8</f>
        <v>8.27</v>
      </c>
      <c r="BS8" s="30">
        <f t="shared" si="7"/>
        <v>5.73</v>
      </c>
      <c r="BT8" s="53">
        <f t="shared" si="8"/>
        <v>2.9937304075235111E-2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>
        <f>'A3'!A8</f>
        <v>7.66</v>
      </c>
      <c r="AP9" s="51">
        <f>'A3'!B8</f>
        <v>194.83799999999999</v>
      </c>
      <c r="AQ9" s="45"/>
      <c r="AR9" s="49">
        <v>4</v>
      </c>
      <c r="AS9" s="50">
        <f>'A4'!A8</f>
        <v>7.66</v>
      </c>
      <c r="AT9" s="51">
        <f>'A4'!B8</f>
        <v>192.31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>
        <f t="shared" si="3"/>
        <v>7.66</v>
      </c>
      <c r="BK9" s="45">
        <f t="shared" si="3"/>
        <v>194.83799999999999</v>
      </c>
      <c r="BL9" s="30">
        <f t="shared" si="16"/>
        <v>15.93</v>
      </c>
      <c r="BM9" s="30">
        <f t="shared" si="4"/>
        <v>7.66</v>
      </c>
      <c r="BN9" s="53">
        <f t="shared" si="5"/>
        <v>3.9314712735708642E-2</v>
      </c>
      <c r="BP9" s="52">
        <f t="shared" si="6"/>
        <v>7.66</v>
      </c>
      <c r="BQ9" s="45">
        <f t="shared" si="6"/>
        <v>192.31</v>
      </c>
      <c r="BR9" s="30">
        <f t="shared" si="17"/>
        <v>15.93</v>
      </c>
      <c r="BS9" s="30">
        <f t="shared" si="7"/>
        <v>7.66</v>
      </c>
      <c r="BT9" s="53">
        <f t="shared" si="8"/>
        <v>3.9831522021735739E-2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>
        <f>'A3'!A9</f>
        <v>11.39</v>
      </c>
      <c r="AP10" s="51">
        <f>'A3'!B9</f>
        <v>326.803</v>
      </c>
      <c r="AQ10" s="45"/>
      <c r="AR10" s="49">
        <v>5</v>
      </c>
      <c r="AS10" s="50">
        <f>'A4'!A9</f>
        <v>11.39</v>
      </c>
      <c r="AT10" s="51">
        <f>'A4'!B9</f>
        <v>338.262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>
        <f t="shared" si="3"/>
        <v>11.39</v>
      </c>
      <c r="BK10" s="45">
        <f t="shared" si="3"/>
        <v>326.803</v>
      </c>
      <c r="BL10" s="30">
        <f t="shared" si="16"/>
        <v>27.32</v>
      </c>
      <c r="BM10" s="30">
        <f t="shared" si="4"/>
        <v>11.39</v>
      </c>
      <c r="BN10" s="53">
        <f t="shared" si="5"/>
        <v>3.4852801228874887E-2</v>
      </c>
      <c r="BP10" s="52">
        <f t="shared" si="6"/>
        <v>11.39</v>
      </c>
      <c r="BQ10" s="45">
        <f t="shared" si="6"/>
        <v>338.262</v>
      </c>
      <c r="BR10" s="30">
        <f t="shared" si="17"/>
        <v>27.32</v>
      </c>
      <c r="BS10" s="30">
        <f t="shared" si="7"/>
        <v>11.39</v>
      </c>
      <c r="BT10" s="53">
        <f t="shared" si="8"/>
        <v>3.3672123974907028E-2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>
        <f>'A3'!A10</f>
        <v>22.78</v>
      </c>
      <c r="AP11" s="51">
        <f>'A3'!B10</f>
        <v>471.44600000000003</v>
      </c>
      <c r="AQ11" s="45"/>
      <c r="AR11" s="49">
        <v>6</v>
      </c>
      <c r="AS11" s="50">
        <f>'A4'!A10</f>
        <v>22.78</v>
      </c>
      <c r="AT11" s="51">
        <f>'A4'!B10</f>
        <v>461.96899999999999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>
        <f t="shared" si="3"/>
        <v>22.78</v>
      </c>
      <c r="BK11" s="45">
        <f t="shared" si="3"/>
        <v>471.44600000000003</v>
      </c>
      <c r="BL11" s="30">
        <f t="shared" si="16"/>
        <v>50.1</v>
      </c>
      <c r="BM11" s="30">
        <f t="shared" si="4"/>
        <v>2.6799999999999997</v>
      </c>
      <c r="BN11" s="53">
        <f t="shared" si="5"/>
        <v>5.6846383254922084E-3</v>
      </c>
      <c r="BP11" s="52">
        <f t="shared" si="6"/>
        <v>22.78</v>
      </c>
      <c r="BQ11" s="45">
        <f t="shared" si="6"/>
        <v>461.96899999999999</v>
      </c>
      <c r="BR11" s="30">
        <f t="shared" si="17"/>
        <v>50.1</v>
      </c>
      <c r="BS11" s="30">
        <f t="shared" si="7"/>
        <v>2.6799999999999997</v>
      </c>
      <c r="BT11" s="53">
        <f t="shared" si="8"/>
        <v>5.801255062569133E-3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>
        <f>'A3'!A11</f>
        <v>0</v>
      </c>
      <c r="AP12" s="51">
        <f>'A3'!B11</f>
        <v>0</v>
      </c>
      <c r="AQ12" s="45"/>
      <c r="AR12" s="49">
        <v>7</v>
      </c>
      <c r="AS12" s="50">
        <f>'A4'!A11</f>
        <v>0</v>
      </c>
      <c r="AT12" s="51">
        <f>'A4'!B11</f>
        <v>0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>
        <f t="shared" si="3"/>
        <v>0</v>
      </c>
      <c r="BK12" s="45">
        <f t="shared" si="3"/>
        <v>0</v>
      </c>
      <c r="BL12" s="30">
        <f t="shared" si="16"/>
        <v>50.1</v>
      </c>
      <c r="BM12" s="30">
        <f t="shared" si="4"/>
        <v>0</v>
      </c>
      <c r="BN12" s="53">
        <f t="shared" si="5"/>
        <v>0</v>
      </c>
      <c r="BP12" s="52">
        <f t="shared" si="6"/>
        <v>0</v>
      </c>
      <c r="BQ12" s="45">
        <f t="shared" si="6"/>
        <v>0</v>
      </c>
      <c r="BR12" s="30">
        <f t="shared" si="17"/>
        <v>50.1</v>
      </c>
      <c r="BS12" s="30">
        <f t="shared" si="7"/>
        <v>0</v>
      </c>
      <c r="BT12" s="53">
        <f t="shared" si="8"/>
        <v>0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>
        <f>'A3'!A12</f>
        <v>0</v>
      </c>
      <c r="AP13" s="51">
        <f>'A3'!B12</f>
        <v>0</v>
      </c>
      <c r="AQ13" s="45"/>
      <c r="AR13" s="49">
        <v>8</v>
      </c>
      <c r="AS13" s="50">
        <f>'A4'!A12</f>
        <v>0</v>
      </c>
      <c r="AT13" s="51">
        <f>'A4'!B12</f>
        <v>0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>
        <f t="shared" si="3"/>
        <v>0</v>
      </c>
      <c r="BK13" s="45">
        <f t="shared" si="3"/>
        <v>0</v>
      </c>
      <c r="BL13" s="30">
        <f t="shared" si="16"/>
        <v>50.1</v>
      </c>
      <c r="BM13" s="30">
        <f t="shared" si="4"/>
        <v>0</v>
      </c>
      <c r="BN13" s="53">
        <f t="shared" si="5"/>
        <v>0</v>
      </c>
      <c r="BP13" s="52">
        <f t="shared" si="6"/>
        <v>0</v>
      </c>
      <c r="BQ13" s="45">
        <f t="shared" si="6"/>
        <v>0</v>
      </c>
      <c r="BR13" s="30">
        <f t="shared" si="17"/>
        <v>50.1</v>
      </c>
      <c r="BS13" s="30">
        <f t="shared" si="7"/>
        <v>0</v>
      </c>
      <c r="BT13" s="53">
        <f t="shared" si="8"/>
        <v>0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>
        <f>'A3'!A13</f>
        <v>0</v>
      </c>
      <c r="AP14" s="51">
        <f>'A3'!B13</f>
        <v>0</v>
      </c>
      <c r="AQ14" s="45"/>
      <c r="AR14" s="49">
        <v>9</v>
      </c>
      <c r="AS14" s="50">
        <f>'A4'!A13</f>
        <v>0</v>
      </c>
      <c r="AT14" s="51">
        <f>'A4'!B13</f>
        <v>0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>
        <f t="shared" si="3"/>
        <v>0</v>
      </c>
      <c r="BK14" s="45">
        <f t="shared" si="3"/>
        <v>0</v>
      </c>
      <c r="BL14" s="30">
        <f t="shared" si="16"/>
        <v>50.1</v>
      </c>
      <c r="BM14" s="30">
        <f t="shared" si="4"/>
        <v>0</v>
      </c>
      <c r="BN14" s="53">
        <f t="shared" si="5"/>
        <v>0</v>
      </c>
      <c r="BP14" s="52">
        <f t="shared" si="6"/>
        <v>0</v>
      </c>
      <c r="BQ14" s="45">
        <f t="shared" si="6"/>
        <v>0</v>
      </c>
      <c r="BR14" s="30">
        <f t="shared" si="17"/>
        <v>50.1</v>
      </c>
      <c r="BS14" s="30">
        <f t="shared" si="7"/>
        <v>0</v>
      </c>
      <c r="BT14" s="53">
        <f t="shared" si="8"/>
        <v>0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>
        <f>'A3'!A14</f>
        <v>0</v>
      </c>
      <c r="AP15" s="51">
        <f>'A3'!B14</f>
        <v>0</v>
      </c>
      <c r="AQ15" s="45"/>
      <c r="AR15" s="49">
        <v>10</v>
      </c>
      <c r="AS15" s="50">
        <f>'A4'!A14</f>
        <v>0</v>
      </c>
      <c r="AT15" s="51">
        <f>'A4'!B14</f>
        <v>0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>
        <f t="shared" si="3"/>
        <v>0</v>
      </c>
      <c r="BK15" s="45">
        <f t="shared" si="3"/>
        <v>0</v>
      </c>
      <c r="BL15" s="30">
        <f t="shared" si="16"/>
        <v>50.1</v>
      </c>
      <c r="BM15" s="30">
        <f t="shared" si="4"/>
        <v>0</v>
      </c>
      <c r="BN15" s="53">
        <f t="shared" si="5"/>
        <v>0</v>
      </c>
      <c r="BP15" s="52">
        <f t="shared" si="6"/>
        <v>0</v>
      </c>
      <c r="BQ15" s="45">
        <f t="shared" si="6"/>
        <v>0</v>
      </c>
      <c r="BR15" s="30">
        <f t="shared" si="17"/>
        <v>50.1</v>
      </c>
      <c r="BS15" s="30">
        <f t="shared" si="7"/>
        <v>0</v>
      </c>
      <c r="BT15" s="53">
        <f t="shared" si="8"/>
        <v>0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>
        <f>'A3'!A15</f>
        <v>0</v>
      </c>
      <c r="AP16" s="51">
        <f>'A3'!B15</f>
        <v>0</v>
      </c>
      <c r="AQ16" s="45"/>
      <c r="AR16" s="49">
        <v>11</v>
      </c>
      <c r="AS16" s="50">
        <f>'A4'!A15</f>
        <v>0</v>
      </c>
      <c r="AT16" s="51">
        <f>'A4'!B15</f>
        <v>0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>
        <f t="shared" si="3"/>
        <v>0</v>
      </c>
      <c r="BK16" s="45">
        <f t="shared" si="3"/>
        <v>0</v>
      </c>
      <c r="BL16" s="30">
        <f t="shared" si="16"/>
        <v>50.1</v>
      </c>
      <c r="BM16" s="30">
        <f t="shared" si="4"/>
        <v>0</v>
      </c>
      <c r="BN16" s="53">
        <f t="shared" si="5"/>
        <v>0</v>
      </c>
      <c r="BP16" s="52">
        <f t="shared" si="6"/>
        <v>0</v>
      </c>
      <c r="BQ16" s="45">
        <f t="shared" si="6"/>
        <v>0</v>
      </c>
      <c r="BR16" s="30">
        <f t="shared" si="17"/>
        <v>50.1</v>
      </c>
      <c r="BS16" s="30">
        <f t="shared" si="7"/>
        <v>0</v>
      </c>
      <c r="BT16" s="53">
        <f t="shared" si="8"/>
        <v>0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>
        <f>'A3'!A16</f>
        <v>0</v>
      </c>
      <c r="AP17" s="51">
        <f>'A3'!B16</f>
        <v>0</v>
      </c>
      <c r="AQ17" s="45"/>
      <c r="AR17" s="49">
        <v>12</v>
      </c>
      <c r="AS17" s="50">
        <f>'A4'!A16</f>
        <v>0</v>
      </c>
      <c r="AT17" s="51">
        <f>'A4'!B16</f>
        <v>0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>
        <f t="shared" si="3"/>
        <v>0</v>
      </c>
      <c r="BK17" s="45">
        <f t="shared" si="3"/>
        <v>0</v>
      </c>
      <c r="BL17" s="30">
        <f t="shared" si="16"/>
        <v>50.1</v>
      </c>
      <c r="BM17" s="30">
        <f t="shared" si="4"/>
        <v>0</v>
      </c>
      <c r="BN17" s="53">
        <f t="shared" si="5"/>
        <v>0</v>
      </c>
      <c r="BP17" s="52">
        <f t="shared" si="6"/>
        <v>0</v>
      </c>
      <c r="BQ17" s="45">
        <f t="shared" si="6"/>
        <v>0</v>
      </c>
      <c r="BR17" s="30">
        <f t="shared" si="17"/>
        <v>50.1</v>
      </c>
      <c r="BS17" s="30">
        <f t="shared" si="7"/>
        <v>0</v>
      </c>
      <c r="BT17" s="53">
        <f t="shared" si="8"/>
        <v>0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>
        <f>'A3'!A17</f>
        <v>0</v>
      </c>
      <c r="AP18" s="51">
        <f>'A3'!B17</f>
        <v>0</v>
      </c>
      <c r="AQ18" s="45"/>
      <c r="AR18" s="49">
        <v>13</v>
      </c>
      <c r="AS18" s="50">
        <f>'A4'!A17</f>
        <v>0</v>
      </c>
      <c r="AT18" s="51">
        <f>'A4'!B17</f>
        <v>0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>
        <f t="shared" si="3"/>
        <v>0</v>
      </c>
      <c r="BK18" s="45">
        <f t="shared" si="3"/>
        <v>0</v>
      </c>
      <c r="BL18" s="30">
        <f t="shared" si="16"/>
        <v>50.1</v>
      </c>
      <c r="BM18" s="30">
        <f t="shared" si="4"/>
        <v>0</v>
      </c>
      <c r="BN18" s="53">
        <f t="shared" si="5"/>
        <v>0</v>
      </c>
      <c r="BP18" s="52">
        <f t="shared" si="6"/>
        <v>0</v>
      </c>
      <c r="BQ18" s="45">
        <f t="shared" si="6"/>
        <v>0</v>
      </c>
      <c r="BR18" s="30">
        <f t="shared" si="17"/>
        <v>50.1</v>
      </c>
      <c r="BS18" s="30">
        <f t="shared" si="7"/>
        <v>0</v>
      </c>
      <c r="BT18" s="53">
        <f t="shared" si="8"/>
        <v>0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>
        <f>'A3'!A18</f>
        <v>0</v>
      </c>
      <c r="AP19" s="51">
        <f>'A3'!B18</f>
        <v>0</v>
      </c>
      <c r="AQ19" s="45"/>
      <c r="AR19" s="49">
        <v>14</v>
      </c>
      <c r="AS19" s="50">
        <f>'A4'!A18</f>
        <v>0</v>
      </c>
      <c r="AT19" s="51">
        <f>'A4'!B18</f>
        <v>0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>
        <f t="shared" si="3"/>
        <v>0</v>
      </c>
      <c r="BK19" s="45">
        <f t="shared" si="3"/>
        <v>0</v>
      </c>
      <c r="BL19" s="30">
        <f t="shared" si="16"/>
        <v>50.1</v>
      </c>
      <c r="BM19" s="30">
        <f t="shared" si="4"/>
        <v>0</v>
      </c>
      <c r="BN19" s="53">
        <f t="shared" si="5"/>
        <v>0</v>
      </c>
      <c r="BP19" s="52">
        <f t="shared" si="6"/>
        <v>0</v>
      </c>
      <c r="BQ19" s="45">
        <f t="shared" si="6"/>
        <v>0</v>
      </c>
      <c r="BR19" s="30">
        <f t="shared" si="17"/>
        <v>50.1</v>
      </c>
      <c r="BS19" s="30">
        <f t="shared" si="7"/>
        <v>0</v>
      </c>
      <c r="BT19" s="53">
        <f t="shared" si="8"/>
        <v>0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>
        <f>'A3'!A19</f>
        <v>0</v>
      </c>
      <c r="AP20" s="51">
        <f>'A3'!B19</f>
        <v>0</v>
      </c>
      <c r="AQ20" s="45"/>
      <c r="AR20" s="54">
        <v>15</v>
      </c>
      <c r="AS20" s="50">
        <f>'A4'!A19</f>
        <v>0</v>
      </c>
      <c r="AT20" s="51">
        <f>'A4'!B19</f>
        <v>0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>
        <f t="shared" si="3"/>
        <v>0</v>
      </c>
      <c r="BK20" s="56">
        <f t="shared" si="3"/>
        <v>0</v>
      </c>
      <c r="BL20" s="57">
        <f t="shared" si="16"/>
        <v>50.1</v>
      </c>
      <c r="BM20" s="57">
        <f t="shared" si="4"/>
        <v>0</v>
      </c>
      <c r="BN20" s="41">
        <f t="shared" si="5"/>
        <v>0</v>
      </c>
      <c r="BP20" s="55">
        <f t="shared" si="6"/>
        <v>0</v>
      </c>
      <c r="BQ20" s="56">
        <f t="shared" si="6"/>
        <v>0</v>
      </c>
      <c r="BR20" s="57">
        <f t="shared" si="17"/>
        <v>50.1</v>
      </c>
      <c r="BS20" s="57">
        <f t="shared" si="7"/>
        <v>0</v>
      </c>
      <c r="BT20" s="41">
        <f t="shared" si="8"/>
        <v>0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>
        <f>SUM(AO6:AO20)</f>
        <v>50.1</v>
      </c>
      <c r="AP21" s="45">
        <f>AL2-SUM(AO6:AO10)</f>
        <v>2.6799999999999997</v>
      </c>
      <c r="AQ21" s="45"/>
      <c r="AR21" s="45"/>
      <c r="AS21" s="45">
        <f>SUM(AS6:AS20)</f>
        <v>50.1</v>
      </c>
      <c r="AT21" s="45">
        <f>AL2-SUM(AS6:AS9)</f>
        <v>14.07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>
        <f>SUM(BG6:BG20)/SUM(BH6:BH20)</f>
        <v>241.22435207163437</v>
      </c>
      <c r="BM21" s="58" t="s">
        <v>89</v>
      </c>
      <c r="BN21" s="59">
        <f>SUM(BM6:BM20)/SUM(BN6:BN20)</f>
        <v>241.14633397471908</v>
      </c>
      <c r="BS21" s="58" t="s">
        <v>89</v>
      </c>
      <c r="BT21" s="59">
        <f>SUM(BS6:BS20)/SUM(BT6:BT20)</f>
        <v>241.12762293445147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93</v>
      </c>
      <c r="BN22" s="60" t="str">
        <f>IF(BN21&gt;=1500,"A",IF(AND(BN21&lt;1500,BN21&gt;=760),"B",IF(AND(BN21&lt;760,BN21&gt;=360),"C",IF(AND(BN21&lt;360,BN21&gt;=180),"D","E/F"))))</f>
        <v>D</v>
      </c>
      <c r="BS22" s="30" t="s">
        <v>93</v>
      </c>
      <c r="BT22" s="60" t="str">
        <f>IF(BT21&gt;=1500,"A",IF(AND(BT21&lt;1500,BT21&gt;=760),"B",IF(AND(BT21&lt;760,BT21&gt;=360),"C",IF(AND(BT21&lt;360,BT21&gt;=180),"D","E/F"))))</f>
        <v>D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38" t="str">
        <f>AJ4</f>
        <v>1 24</v>
      </c>
      <c r="AK23" s="239"/>
      <c r="AL23" s="239"/>
      <c r="AM23" s="239"/>
      <c r="AN23" s="239"/>
      <c r="AO23" s="240"/>
      <c r="AQ23" s="238" t="str">
        <f>AN4</f>
        <v xml:space="preserve">1 48 </v>
      </c>
      <c r="AR23" s="239"/>
      <c r="AS23" s="239"/>
      <c r="AT23" s="239"/>
      <c r="AU23" s="239"/>
      <c r="AV23" s="240"/>
      <c r="AX23" s="238" t="str">
        <f>AR4</f>
        <v>12 36</v>
      </c>
      <c r="AY23" s="239"/>
      <c r="AZ23" s="239"/>
      <c r="BA23" s="239"/>
      <c r="BB23" s="239"/>
      <c r="BC23" s="240"/>
      <c r="BD23" s="61"/>
      <c r="BE23" s="238" t="str">
        <f>AV4</f>
        <v>24 48</v>
      </c>
      <c r="BF23" s="239"/>
      <c r="BG23" s="239"/>
      <c r="BH23" s="239"/>
      <c r="BI23" s="239"/>
      <c r="BJ23" s="240"/>
      <c r="BL23" s="238" t="str">
        <f>AZ4</f>
        <v>Final</v>
      </c>
      <c r="BM23" s="239"/>
      <c r="BN23" s="239"/>
      <c r="BO23" s="239"/>
      <c r="BP23" s="239"/>
      <c r="BQ23" s="240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232" t="s">
        <v>98</v>
      </c>
      <c r="CF24" s="232"/>
    </row>
    <row r="25" spans="1:84" x14ac:dyDescent="0.25">
      <c r="AJ25" s="233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33">
        <v>1</v>
      </c>
      <c r="AR25" s="45">
        <v>0</v>
      </c>
      <c r="AS25" s="45">
        <f>IF(LOOKUP(AQ25,AN$6:AN$20,AP$6:AP$20)=0,NA(),LOOKUP(AQ25,AN$6:AN$20,AP$6:AP$20))</f>
        <v>171.029</v>
      </c>
      <c r="AT25" s="65">
        <f>AT26</f>
        <v>20.673798666500367</v>
      </c>
      <c r="AU25" s="59">
        <f>AT25/9.81*AS25^2/1000</f>
        <v>61.643996628845692</v>
      </c>
      <c r="AV25" s="66">
        <f>2*AU25*(1+$AU$1)</f>
        <v>166.43879089788337</v>
      </c>
      <c r="AX25" s="233">
        <v>1</v>
      </c>
      <c r="AY25" s="45">
        <v>0</v>
      </c>
      <c r="AZ25" s="45">
        <f>IF(LOOKUP(AX25,AR$6:AR$20,AT$6:AT$20)=0,NA(),LOOKUP(AX25,AR$6:AR$20,AT$6:AT$20))</f>
        <v>167.4</v>
      </c>
      <c r="BA25" s="65">
        <f>BA26</f>
        <v>20.596303667447255</v>
      </c>
      <c r="BB25" s="59">
        <f>BA25/9.81*AZ25^2/1000</f>
        <v>58.834380689092178</v>
      </c>
      <c r="BC25" s="66">
        <f>2*BB25*(1+$AU$1)</f>
        <v>158.8528278605489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228" t="s">
        <v>99</v>
      </c>
      <c r="S26" s="228"/>
      <c r="T26" s="228"/>
      <c r="U26" s="228"/>
      <c r="V26" s="228"/>
      <c r="W26" s="228"/>
      <c r="X26" s="228"/>
      <c r="Y26" s="228"/>
      <c r="Z26" s="228"/>
      <c r="AA26" s="228"/>
      <c r="AB26" s="228"/>
      <c r="AC26" s="228"/>
      <c r="AD26" s="228"/>
      <c r="AE26" s="228"/>
      <c r="AF26" s="228"/>
      <c r="AG26" s="228"/>
      <c r="AH26" s="228"/>
      <c r="AJ26" s="233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33"/>
      <c r="AR26" s="45">
        <f>AR25+IF(LOOKUP(AQ25,AN$6:AN$20,AO$6:AO$20)=0,NA(),LOOKUP(AQ25,AN$6:AN$20,AO$6:AO$20))</f>
        <v>0.1</v>
      </c>
      <c r="AS26" s="45">
        <f>AS25</f>
        <v>171.029</v>
      </c>
      <c r="AT26" s="65">
        <f>8.32*LOG(AS26)-1.61*LOG(AVERAGE(AR25:AR26))</f>
        <v>20.673798666500367</v>
      </c>
      <c r="AU26" s="59">
        <f t="shared" ref="AU26:AU54" si="22">AT26/9.81*AS26^2/1000</f>
        <v>61.643996628845692</v>
      </c>
      <c r="AV26" s="66">
        <f t="shared" ref="AV26:AV54" si="23">2*AU26*(1+$AU$1)</f>
        <v>166.43879089788337</v>
      </c>
      <c r="AX26" s="233"/>
      <c r="AY26" s="45">
        <f>AY25+IF(LOOKUP(AX25,AR$6:AR$20,AS$6:AS$20)=0,NA(),LOOKUP(AX25,AR$6:AR$20,AS$6:AS$20))</f>
        <v>0.1</v>
      </c>
      <c r="AZ26" s="45">
        <f>AZ25</f>
        <v>167.4</v>
      </c>
      <c r="BA26" s="65">
        <f>8.32*LOG(AZ26)-1.61*LOG(AVERAGE(AY25:AY26))</f>
        <v>20.596303667447255</v>
      </c>
      <c r="BB26" s="59">
        <f t="shared" ref="BB26:BB54" si="24">BA26/9.81*AZ26^2/1000</f>
        <v>58.834380689092178</v>
      </c>
      <c r="BC26" s="66">
        <f t="shared" ref="BC26:BC54" si="25">2*BB26*(1+$AU$1)</f>
        <v>158.8528278605489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28" t="s">
        <v>100</v>
      </c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AJ27" s="233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33">
        <v>2</v>
      </c>
      <c r="AR27" s="45">
        <f>AR26</f>
        <v>0.1</v>
      </c>
      <c r="AS27" s="45">
        <f>IF(LOOKUP(AQ27,AN$6:AN$20,AP$6:AP$20)=0,NA(),LOOKUP(AQ27,AN$6:AN$20,AP$6:AP$20))</f>
        <v>171.029</v>
      </c>
      <c r="AT27" s="65">
        <f>AT28</f>
        <v>18.38501634423994</v>
      </c>
      <c r="AU27" s="59">
        <f t="shared" si="22"/>
        <v>54.819431292132613</v>
      </c>
      <c r="AV27" s="66">
        <f t="shared" si="23"/>
        <v>148.01246448875807</v>
      </c>
      <c r="AX27" s="233">
        <v>2</v>
      </c>
      <c r="AY27" s="45">
        <f>AY26</f>
        <v>0.1</v>
      </c>
      <c r="AZ27" s="45">
        <f>IF(LOOKUP(AX27,AR$6:AR$20,AT$6:AT$20)=0,NA(),LOOKUP(AX27,AR$6:AR$20,AT$6:AT$20))</f>
        <v>167.4</v>
      </c>
      <c r="BA27" s="65">
        <f>BA28</f>
        <v>18.307521345186828</v>
      </c>
      <c r="BB27" s="59">
        <f t="shared" si="24"/>
        <v>52.296358496539007</v>
      </c>
      <c r="BC27" s="66">
        <f t="shared" si="25"/>
        <v>141.20016794065532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33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33"/>
      <c r="AR28" s="45">
        <f>AR27+IF(LOOKUP(AQ27,AN$6:AN$20,AO$6:AO$20)=0,NA(),LOOKUP(AQ27,AN$6:AN$20,AO$6:AO$20))</f>
        <v>2.54</v>
      </c>
      <c r="AS28" s="45">
        <f>AS27</f>
        <v>171.029</v>
      </c>
      <c r="AT28" s="65">
        <f>8.32*LOG(AS28)-1.61*LOG(AVERAGE(AR27:AR28))</f>
        <v>18.38501634423994</v>
      </c>
      <c r="AU28" s="59">
        <f t="shared" si="22"/>
        <v>54.819431292132613</v>
      </c>
      <c r="AV28" s="66">
        <f t="shared" si="23"/>
        <v>148.01246448875807</v>
      </c>
      <c r="AX28" s="233"/>
      <c r="AY28" s="45">
        <f>AY27+IF(LOOKUP(AX27,AR$6:AR$20,AS$6:AS$20)=0,NA(),LOOKUP(AX27,AR$6:AR$20,AS$6:AS$20))</f>
        <v>2.54</v>
      </c>
      <c r="AZ28" s="45">
        <f>AZ27</f>
        <v>167.4</v>
      </c>
      <c r="BA28" s="65">
        <f>8.32*LOG(AZ28)-1.61*LOG(AVERAGE(AY27:AY28))</f>
        <v>18.307521345186828</v>
      </c>
      <c r="BB28" s="59">
        <f t="shared" si="24"/>
        <v>52.296358496539007</v>
      </c>
      <c r="BC28" s="66">
        <f t="shared" si="25"/>
        <v>141.20016794065532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233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33">
        <v>3</v>
      </c>
      <c r="AR29" s="45">
        <f>AR28</f>
        <v>2.54</v>
      </c>
      <c r="AS29" s="45">
        <f>IF(LOOKUP(AQ29,AN$6:AN$20,AP$6:AP$20)=0,NA(),LOOKUP(AQ29,AN$6:AN$20,AP$6:AP$20))</f>
        <v>192.91399999999999</v>
      </c>
      <c r="AT29" s="65">
        <f>AT30</f>
        <v>17.834425292958361</v>
      </c>
      <c r="AU29" s="59">
        <f t="shared" si="22"/>
        <v>67.657758211905232</v>
      </c>
      <c r="AV29" s="66">
        <f t="shared" si="23"/>
        <v>182.67594717214413</v>
      </c>
      <c r="AX29" s="233">
        <v>3</v>
      </c>
      <c r="AY29" s="45">
        <f>AY28</f>
        <v>2.54</v>
      </c>
      <c r="AZ29" s="45">
        <f>IF(LOOKUP(AX29,AR$6:AR$20,AT$6:AT$20)=0,NA(),LOOKUP(AX29,AR$6:AR$20,AT$6:AT$20))</f>
        <v>191.4</v>
      </c>
      <c r="BA29" s="65">
        <f>BA30</f>
        <v>17.805955811981843</v>
      </c>
      <c r="BB29" s="59">
        <f t="shared" si="24"/>
        <v>66.49364658286548</v>
      </c>
      <c r="BC29" s="66">
        <f t="shared" si="25"/>
        <v>179.5328457737368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33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33"/>
      <c r="AR30" s="45">
        <f>AR29+IF(LOOKUP(AQ29,AN$6:AN$20,AO$6:AO$20)=0,NA(),LOOKUP(AQ29,AN$6:AN$20,AO$6:AO$20))</f>
        <v>8.27</v>
      </c>
      <c r="AS30" s="45">
        <f>AS29</f>
        <v>192.91399999999999</v>
      </c>
      <c r="AT30" s="65">
        <f>8.32*LOG(AS30)-1.61*LOG(AVERAGE(AR29:AR30))</f>
        <v>17.834425292958361</v>
      </c>
      <c r="AU30" s="59">
        <f t="shared" si="22"/>
        <v>67.657758211905232</v>
      </c>
      <c r="AV30" s="66">
        <f t="shared" si="23"/>
        <v>182.67594717214413</v>
      </c>
      <c r="AX30" s="233"/>
      <c r="AY30" s="45">
        <f>AY29+IF(LOOKUP(AX29,AR$6:AR$20,AS$6:AS$20)=0,NA(),LOOKUP(AX29,AR$6:AR$20,AS$6:AS$20))</f>
        <v>8.27</v>
      </c>
      <c r="AZ30" s="45">
        <f>AZ29</f>
        <v>191.4</v>
      </c>
      <c r="BA30" s="65">
        <f>8.32*LOG(AZ30)-1.61*LOG(AVERAGE(AY29:AY30))</f>
        <v>17.805955811981843</v>
      </c>
      <c r="BB30" s="59">
        <f t="shared" si="24"/>
        <v>66.49364658286548</v>
      </c>
      <c r="BC30" s="66">
        <f t="shared" si="25"/>
        <v>179.5328457737368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33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33">
        <v>4</v>
      </c>
      <c r="AR31" s="45">
        <f>AR30</f>
        <v>8.27</v>
      </c>
      <c r="AS31" s="45">
        <f>IF(LOOKUP(AQ31,AN$6:AN$20,AP$6:AP$20)=0,NA(),LOOKUP(AQ31,AN$6:AN$20,AP$6:AP$20))</f>
        <v>194.83799999999999</v>
      </c>
      <c r="AT31" s="65">
        <f>AT32</f>
        <v>17.306800429257123</v>
      </c>
      <c r="AU31" s="59">
        <f t="shared" si="22"/>
        <v>66.972283065346801</v>
      </c>
      <c r="AV31" s="66">
        <f t="shared" si="23"/>
        <v>180.82516427643637</v>
      </c>
      <c r="AX31" s="233">
        <v>4</v>
      </c>
      <c r="AY31" s="45">
        <f>AY30</f>
        <v>8.27</v>
      </c>
      <c r="AZ31" s="45">
        <f>IF(LOOKUP(AX31,AR$6:AR$20,AT$6:AT$20)=0,NA(),LOOKUP(AX31,AR$6:AR$20,AT$6:AT$20))</f>
        <v>192.31</v>
      </c>
      <c r="BA31" s="65">
        <f>BA32</f>
        <v>17.259611094449898</v>
      </c>
      <c r="BB31" s="59">
        <f t="shared" si="24"/>
        <v>65.067741706331361</v>
      </c>
      <c r="BC31" s="66">
        <f t="shared" si="25"/>
        <v>175.68290260709469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33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33"/>
      <c r="AR32" s="45">
        <f>AR31+IF(LOOKUP(AQ31,AN$6:AN$20,AO$6:AO$20)=0,NA(),LOOKUP(AQ31,AN$6:AN$20,AO$6:AO$20))</f>
        <v>15.93</v>
      </c>
      <c r="AS32" s="45">
        <f>AS31</f>
        <v>194.83799999999999</v>
      </c>
      <c r="AT32" s="65">
        <f>8.32*LOG(AS32)-1.61*LOG(AVERAGE(AR31:AR32))</f>
        <v>17.306800429257123</v>
      </c>
      <c r="AU32" s="59">
        <f t="shared" si="22"/>
        <v>66.972283065346801</v>
      </c>
      <c r="AV32" s="66">
        <f t="shared" si="23"/>
        <v>180.82516427643637</v>
      </c>
      <c r="AX32" s="233"/>
      <c r="AY32" s="45">
        <f>AY31+IF(LOOKUP(AX31,AR$6:AR$20,AS$6:AS$20)=0,NA(),LOOKUP(AX31,AR$6:AR$20,AS$6:AS$20))</f>
        <v>15.93</v>
      </c>
      <c r="AZ32" s="45">
        <f>AZ31</f>
        <v>192.31</v>
      </c>
      <c r="BA32" s="65">
        <f>8.32*LOG(AZ32)-1.61*LOG(AVERAGE(AY31:AY32))</f>
        <v>17.259611094449898</v>
      </c>
      <c r="BB32" s="59">
        <f t="shared" si="24"/>
        <v>65.067741706331361</v>
      </c>
      <c r="BC32" s="66">
        <f t="shared" si="25"/>
        <v>175.68290260709469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33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33">
        <v>5</v>
      </c>
      <c r="AR33" s="45">
        <f>AR32</f>
        <v>15.93</v>
      </c>
      <c r="AS33" s="45">
        <f>IF(LOOKUP(AQ33,AN$6:AN$20,AP$6:AP$20)=0,NA(),LOOKUP(AQ33,AN$6:AN$20,AP$6:AP$20))</f>
        <v>326.803</v>
      </c>
      <c r="AT33" s="65">
        <f>AT34</f>
        <v>18.769580461170623</v>
      </c>
      <c r="AU33" s="59">
        <f t="shared" si="22"/>
        <v>204.34199412372124</v>
      </c>
      <c r="AV33" s="66">
        <f t="shared" si="23"/>
        <v>551.72338413404736</v>
      </c>
      <c r="AX33" s="233">
        <v>5</v>
      </c>
      <c r="AY33" s="45">
        <f>AY32</f>
        <v>15.93</v>
      </c>
      <c r="AZ33" s="45">
        <f>IF(LOOKUP(AX33,AR$6:AR$20,AT$6:AT$20)=0,NA(),LOOKUP(AX33,AR$6:AR$20,AT$6:AT$20))</f>
        <v>338.262</v>
      </c>
      <c r="BA33" s="65">
        <f>BA34</f>
        <v>18.894107379683518</v>
      </c>
      <c r="BB33" s="59">
        <f t="shared" si="24"/>
        <v>220.37574654412859</v>
      </c>
      <c r="BC33" s="66">
        <f t="shared" si="25"/>
        <v>595.01451566914727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33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33"/>
      <c r="AR34" s="45">
        <f>AR33+IF(LOOKUP(AQ33,AN$6:AN$20,AO$6:AO$20)=0,NA(),LOOKUP(AQ33,AN$6:AN$20,AO$6:AO$20))</f>
        <v>27.32</v>
      </c>
      <c r="AS34" s="45">
        <f>AS33</f>
        <v>326.803</v>
      </c>
      <c r="AT34" s="65">
        <f>8.32*LOG(AS34)-1.61*LOG(AVERAGE(AR33:AR34))</f>
        <v>18.769580461170623</v>
      </c>
      <c r="AU34" s="59">
        <f t="shared" si="22"/>
        <v>204.34199412372124</v>
      </c>
      <c r="AV34" s="66">
        <f t="shared" si="23"/>
        <v>551.72338413404736</v>
      </c>
      <c r="AX34" s="233"/>
      <c r="AY34" s="45">
        <f>AY33+IF(LOOKUP(AX33,AR$6:AR$20,AS$6:AS$20)=0,NA(),LOOKUP(AX33,AR$6:AR$20,AS$6:AS$20))</f>
        <v>27.32</v>
      </c>
      <c r="AZ34" s="45">
        <f>AZ33</f>
        <v>338.262</v>
      </c>
      <c r="BA34" s="65">
        <f>8.32*LOG(AZ34)-1.61*LOG(AVERAGE(AY33:AY34))</f>
        <v>18.894107379683518</v>
      </c>
      <c r="BB34" s="59">
        <f t="shared" si="24"/>
        <v>220.37574654412859</v>
      </c>
      <c r="BC34" s="66">
        <f t="shared" si="25"/>
        <v>595.01451566914727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33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33">
        <v>6</v>
      </c>
      <c r="AR35" s="45">
        <f>AR34</f>
        <v>27.32</v>
      </c>
      <c r="AS35" s="45">
        <f>IF(LOOKUP(AQ35,AN$6:AN$20,AP$6:AP$20)=0,NA(),LOOKUP(AQ35,AN$6:AN$20,AP$6:AP$20))</f>
        <v>471.44600000000003</v>
      </c>
      <c r="AT35" s="65">
        <f>AT36</f>
        <v>19.686558562291133</v>
      </c>
      <c r="AU35" s="59">
        <f t="shared" si="22"/>
        <v>446.03065313054054</v>
      </c>
      <c r="AV35" s="66">
        <f t="shared" si="23"/>
        <v>1204.2827634524594</v>
      </c>
      <c r="AX35" s="233">
        <v>6</v>
      </c>
      <c r="AY35" s="45">
        <f>AY34</f>
        <v>27.32</v>
      </c>
      <c r="AZ35" s="45">
        <f>IF(LOOKUP(AX35,AR$6:AR$20,AT$6:AT$20)=0,NA(),LOOKUP(AX35,AR$6:AR$20,AT$6:AT$20))</f>
        <v>461.96899999999999</v>
      </c>
      <c r="BA35" s="65">
        <f>BA36</f>
        <v>19.613183469784055</v>
      </c>
      <c r="BB35" s="59">
        <f t="shared" si="24"/>
        <v>426.68242113614144</v>
      </c>
      <c r="BC35" s="66">
        <f t="shared" si="25"/>
        <v>1152.0425370675819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33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33"/>
      <c r="AR36" s="45">
        <f>AR35+IF(LOOKUP(AQ35,AN$6:AN$20,AO$6:AO$20)=0,NA(),LOOKUP(AQ35,AN$6:AN$20,AO$6:AO$20))</f>
        <v>50.1</v>
      </c>
      <c r="AS36" s="45">
        <f>AS35</f>
        <v>471.44600000000003</v>
      </c>
      <c r="AT36" s="65">
        <f>8.32*LOG(AS36)-1.61*LOG(AVERAGE(AR35:AR36))</f>
        <v>19.686558562291133</v>
      </c>
      <c r="AU36" s="59">
        <f t="shared" si="22"/>
        <v>446.03065313054054</v>
      </c>
      <c r="AV36" s="66">
        <f t="shared" si="23"/>
        <v>1204.2827634524594</v>
      </c>
      <c r="AX36" s="233"/>
      <c r="AY36" s="45">
        <f>AY35+IF(LOOKUP(AX35,AR$6:AR$20,AS$6:AS$20)=0,NA(),LOOKUP(AX35,AR$6:AR$20,AS$6:AS$20))</f>
        <v>50.1</v>
      </c>
      <c r="AZ36" s="45">
        <f>AZ35</f>
        <v>461.96899999999999</v>
      </c>
      <c r="BA36" s="65">
        <f>8.32*LOG(AZ36)-1.61*LOG(AVERAGE(AY35:AY36))</f>
        <v>19.613183469784055</v>
      </c>
      <c r="BB36" s="59">
        <f t="shared" si="24"/>
        <v>426.68242113614144</v>
      </c>
      <c r="BC36" s="66">
        <f t="shared" si="25"/>
        <v>1152.0425370675819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33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33">
        <v>7</v>
      </c>
      <c r="AR37" s="45">
        <f>AR36</f>
        <v>50.1</v>
      </c>
      <c r="AS37" s="45" t="e">
        <f>IF(LOOKUP(AQ37,AN$6:AN$20,AP$6:AP$20)=0,NA(),LOOKUP(AQ37,AN$6:AN$20,AP$6:AP$20))</f>
        <v>#N/A</v>
      </c>
      <c r="AT37" s="45" t="e">
        <f>AT38</f>
        <v>#N/A</v>
      </c>
      <c r="AU37" s="59" t="e">
        <f t="shared" si="22"/>
        <v>#N/A</v>
      </c>
      <c r="AV37" s="66" t="e">
        <f t="shared" si="23"/>
        <v>#N/A</v>
      </c>
      <c r="AX37" s="233">
        <v>7</v>
      </c>
      <c r="AY37" s="45">
        <f>AY36</f>
        <v>50.1</v>
      </c>
      <c r="AZ37" s="45" t="e">
        <f>IF(LOOKUP(AX37,AR$6:AR$20,AT$6:AT$20)=0,NA(),LOOKUP(AX37,AR$6:AR$20,AT$6:AT$20))</f>
        <v>#N/A</v>
      </c>
      <c r="BA37" s="45" t="e">
        <f>BA38</f>
        <v>#N/A</v>
      </c>
      <c r="BB37" s="59" t="e">
        <f t="shared" si="24"/>
        <v>#N/A</v>
      </c>
      <c r="BC37" s="66" t="e">
        <f t="shared" si="25"/>
        <v>#N/A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33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33"/>
      <c r="AR38" s="45" t="e">
        <f>AR37+IF(LOOKUP(AQ37,AN$6:AN$20,AO$6:AO$20)=0,NA(),LOOKUP(AQ37,AN$6:AN$20,AO$6:AO$20))</f>
        <v>#N/A</v>
      </c>
      <c r="AS38" s="45" t="e">
        <f>AS37</f>
        <v>#N/A</v>
      </c>
      <c r="AT38" s="45" t="e">
        <f>8.32*LOG(AS38)-1.61*LOG(AVERAGE(AR37:AR38))</f>
        <v>#N/A</v>
      </c>
      <c r="AU38" s="59" t="e">
        <f t="shared" si="22"/>
        <v>#N/A</v>
      </c>
      <c r="AV38" s="66" t="e">
        <f t="shared" si="23"/>
        <v>#N/A</v>
      </c>
      <c r="AX38" s="233"/>
      <c r="AY38" s="45" t="e">
        <f>AY37+IF(LOOKUP(AX37,AR$6:AR$20,AS$6:AS$20)=0,NA(),LOOKUP(AX37,AR$6:AR$20,AS$6:AS$20))</f>
        <v>#N/A</v>
      </c>
      <c r="AZ38" s="45" t="e">
        <f>AZ37</f>
        <v>#N/A</v>
      </c>
      <c r="BA38" s="45" t="e">
        <f>8.32*LOG(AZ38)-1.61*LOG(AVERAGE(AY37:AY38))</f>
        <v>#N/A</v>
      </c>
      <c r="BB38" s="59" t="e">
        <f t="shared" si="24"/>
        <v>#N/A</v>
      </c>
      <c r="BC38" s="66" t="e">
        <f t="shared" si="25"/>
        <v>#N/A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33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33">
        <v>8</v>
      </c>
      <c r="AR39" s="45" t="e">
        <f>AR38</f>
        <v>#N/A</v>
      </c>
      <c r="AS39" s="45" t="e">
        <f>IF(LOOKUP(AQ39,AN$6:AN$20,AP$6:AP$20)=0,NA(),LOOKUP(AQ39,AN$6:AN$20,AP$6:AP$20))</f>
        <v>#N/A</v>
      </c>
      <c r="AT39" s="45" t="e">
        <f>AT40</f>
        <v>#N/A</v>
      </c>
      <c r="AU39" s="59" t="e">
        <f t="shared" si="22"/>
        <v>#N/A</v>
      </c>
      <c r="AV39" s="66" t="e">
        <f t="shared" si="23"/>
        <v>#N/A</v>
      </c>
      <c r="AX39" s="233">
        <v>8</v>
      </c>
      <c r="AY39" s="45" t="e">
        <f>AY38</f>
        <v>#N/A</v>
      </c>
      <c r="AZ39" s="45" t="e">
        <f>IF(LOOKUP(AX39,AR$6:AR$20,AT$6:AT$20)=0,NA(),LOOKUP(AX39,AR$6:AR$20,AT$6:AT$20))</f>
        <v>#N/A</v>
      </c>
      <c r="BA39" s="45" t="e">
        <f>BA40</f>
        <v>#N/A</v>
      </c>
      <c r="BB39" s="59" t="e">
        <f t="shared" si="24"/>
        <v>#N/A</v>
      </c>
      <c r="BC39" s="66" t="e">
        <f t="shared" si="25"/>
        <v>#N/A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33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33"/>
      <c r="AR40" s="45" t="e">
        <f>AR39+IF(LOOKUP(AQ39,AN$6:AN$20,AO$6:AO$20)=0,NA(),LOOKUP(AQ39,AN$6:AN$20,AO$6:AO$20))</f>
        <v>#N/A</v>
      </c>
      <c r="AS40" s="45" t="e">
        <f>AS39</f>
        <v>#N/A</v>
      </c>
      <c r="AT40" s="45" t="e">
        <f>8.32*LOG(AS40)-1.61*LOG(AVERAGE(AR39:AR40))</f>
        <v>#N/A</v>
      </c>
      <c r="AU40" s="59" t="e">
        <f t="shared" si="22"/>
        <v>#N/A</v>
      </c>
      <c r="AV40" s="66" t="e">
        <f t="shared" si="23"/>
        <v>#N/A</v>
      </c>
      <c r="AX40" s="233"/>
      <c r="AY40" s="45" t="e">
        <f>AY39+IF(LOOKUP(AX39,AR$6:AR$20,AS$6:AS$20)=0,NA(),LOOKUP(AX39,AR$6:AR$20,AS$6:AS$20))</f>
        <v>#N/A</v>
      </c>
      <c r="AZ40" s="45" t="e">
        <f>AZ39</f>
        <v>#N/A</v>
      </c>
      <c r="BA40" s="45" t="e">
        <f>8.32*LOG(AZ40)-1.61*LOG(AVERAGE(AY39:AY40))</f>
        <v>#N/A</v>
      </c>
      <c r="BB40" s="59" t="e">
        <f t="shared" si="24"/>
        <v>#N/A</v>
      </c>
      <c r="BC40" s="66" t="e">
        <f t="shared" si="25"/>
        <v>#N/A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33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33">
        <v>9</v>
      </c>
      <c r="AR41" s="45" t="e">
        <f>AR40</f>
        <v>#N/A</v>
      </c>
      <c r="AS41" s="45" t="e">
        <f>IF(LOOKUP(AQ41,AN$6:AN$20,AP$6:AP$20)=0,NA(),LOOKUP(AQ41,AN$6:AN$20,AP$6:AP$20))</f>
        <v>#N/A</v>
      </c>
      <c r="AT41" s="45" t="e">
        <f>AT42</f>
        <v>#N/A</v>
      </c>
      <c r="AU41" s="59" t="e">
        <f t="shared" si="22"/>
        <v>#N/A</v>
      </c>
      <c r="AV41" s="66" t="e">
        <f t="shared" si="23"/>
        <v>#N/A</v>
      </c>
      <c r="AX41" s="233">
        <v>9</v>
      </c>
      <c r="AY41" s="45" t="e">
        <f>AY40</f>
        <v>#N/A</v>
      </c>
      <c r="AZ41" s="45" t="e">
        <f>IF(LOOKUP(AX41,AR$6:AR$20,AT$6:AT$20)=0,NA(),LOOKUP(AX41,AR$6:AR$20,AT$6:AT$20))</f>
        <v>#N/A</v>
      </c>
      <c r="BA41" s="45" t="e">
        <f>BA42</f>
        <v>#N/A</v>
      </c>
      <c r="BB41" s="59" t="e">
        <f t="shared" si="24"/>
        <v>#N/A</v>
      </c>
      <c r="BC41" s="66" t="e">
        <f t="shared" si="25"/>
        <v>#N/A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33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33"/>
      <c r="AR42" s="45" t="e">
        <f>AR41+IF(LOOKUP(AQ41,AN$6:AN$20,AO$6:AO$20)=0,NA(),LOOKUP(AQ41,AN$6:AN$20,AO$6:AO$20))</f>
        <v>#N/A</v>
      </c>
      <c r="AS42" s="45" t="e">
        <f>AS41</f>
        <v>#N/A</v>
      </c>
      <c r="AT42" s="45" t="e">
        <f>8.32*LOG(AS42)-1.61*LOG(AVERAGE(AR41:AR42))</f>
        <v>#N/A</v>
      </c>
      <c r="AU42" s="59" t="e">
        <f t="shared" si="22"/>
        <v>#N/A</v>
      </c>
      <c r="AV42" s="66" t="e">
        <f t="shared" si="23"/>
        <v>#N/A</v>
      </c>
      <c r="AX42" s="233"/>
      <c r="AY42" s="45" t="e">
        <f>AY41+IF(LOOKUP(AX41,AR$6:AR$20,AS$6:AS$20)=0,NA(),LOOKUP(AX41,AR$6:AR$20,AS$6:AS$20))</f>
        <v>#N/A</v>
      </c>
      <c r="AZ42" s="45" t="e">
        <f>AZ41</f>
        <v>#N/A</v>
      </c>
      <c r="BA42" s="45" t="e">
        <f>8.32*LOG(AZ42)-1.61*LOG(AVERAGE(AY41:AY42))</f>
        <v>#N/A</v>
      </c>
      <c r="BB42" s="59" t="e">
        <f t="shared" si="24"/>
        <v>#N/A</v>
      </c>
      <c r="BC42" s="66" t="e">
        <f t="shared" si="25"/>
        <v>#N/A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33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33">
        <v>10</v>
      </c>
      <c r="AR43" s="45" t="e">
        <f>AR42</f>
        <v>#N/A</v>
      </c>
      <c r="AS43" s="45" t="e">
        <f>IF(LOOKUP(AQ43,AN$6:AN$20,AP$6:AP$20)=0,NA(),LOOKUP(AQ43,AN$6:AN$20,AP$6:AP$20))</f>
        <v>#N/A</v>
      </c>
      <c r="AT43" s="45" t="e">
        <f>AT44</f>
        <v>#N/A</v>
      </c>
      <c r="AU43" s="59" t="e">
        <f t="shared" si="22"/>
        <v>#N/A</v>
      </c>
      <c r="AV43" s="66" t="e">
        <f t="shared" si="23"/>
        <v>#N/A</v>
      </c>
      <c r="AX43" s="233">
        <v>10</v>
      </c>
      <c r="AY43" s="45" t="e">
        <f>AY42</f>
        <v>#N/A</v>
      </c>
      <c r="AZ43" s="45" t="e">
        <f>IF(LOOKUP(AX43,AR$6:AR$20,AT$6:AT$20)=0,NA(),LOOKUP(AX43,AR$6:AR$20,AT$6:AT$20))</f>
        <v>#N/A</v>
      </c>
      <c r="BA43" s="45" t="e">
        <f>BA44</f>
        <v>#N/A</v>
      </c>
      <c r="BB43" s="59" t="e">
        <f t="shared" si="24"/>
        <v>#N/A</v>
      </c>
      <c r="BC43" s="66" t="e">
        <f t="shared" si="25"/>
        <v>#N/A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33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33"/>
      <c r="AR44" s="45" t="e">
        <f>AR43+IF(LOOKUP(AQ43,AN$6:AN$20,AO$6:AO$20)=0,NA(),LOOKUP(AQ43,AN$6:AN$20,AO$6:AO$20))</f>
        <v>#N/A</v>
      </c>
      <c r="AS44" s="45" t="e">
        <f>AS43</f>
        <v>#N/A</v>
      </c>
      <c r="AT44" s="45" t="e">
        <f>8.32*LOG(AS44)-1.61*LOG(AVERAGE(AR43:AR44))</f>
        <v>#N/A</v>
      </c>
      <c r="AU44" s="59" t="e">
        <f t="shared" si="22"/>
        <v>#N/A</v>
      </c>
      <c r="AV44" s="66" t="e">
        <f t="shared" si="23"/>
        <v>#N/A</v>
      </c>
      <c r="AX44" s="233"/>
      <c r="AY44" s="45" t="e">
        <f>AY43+IF(LOOKUP(AX43,AR$6:AR$20,AS$6:AS$20)=0,NA(),LOOKUP(AX43,AR$6:AR$20,AS$6:AS$20))</f>
        <v>#N/A</v>
      </c>
      <c r="AZ44" s="45" t="e">
        <f>AZ43</f>
        <v>#N/A</v>
      </c>
      <c r="BA44" s="45" t="e">
        <f>8.32*LOG(AZ44)-1.61*LOG(AVERAGE(AY43:AY44))</f>
        <v>#N/A</v>
      </c>
      <c r="BB44" s="59" t="e">
        <f t="shared" si="24"/>
        <v>#N/A</v>
      </c>
      <c r="BC44" s="66" t="e">
        <f t="shared" si="25"/>
        <v>#N/A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33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33">
        <v>11</v>
      </c>
      <c r="AR45" s="45" t="e">
        <f>AR44</f>
        <v>#N/A</v>
      </c>
      <c r="AS45" s="45" t="e">
        <f>IF(LOOKUP(AQ45,AN$6:AN$20,AP$6:AP$20)=0,NA(),LOOKUP(AQ45,AN$6:AN$20,AP$6:AP$20))</f>
        <v>#N/A</v>
      </c>
      <c r="AT45" s="45" t="e">
        <f>AT46</f>
        <v>#N/A</v>
      </c>
      <c r="AU45" s="59" t="e">
        <f t="shared" si="22"/>
        <v>#N/A</v>
      </c>
      <c r="AV45" s="66" t="e">
        <f t="shared" si="23"/>
        <v>#N/A</v>
      </c>
      <c r="AX45" s="233">
        <v>11</v>
      </c>
      <c r="AY45" s="45" t="e">
        <f>AY44</f>
        <v>#N/A</v>
      </c>
      <c r="AZ45" s="45" t="e">
        <f>IF(LOOKUP(AX45,AR$6:AR$20,AT$6:AT$20)=0,NA(),LOOKUP(AX45,AR$6:AR$20,AT$6:AT$20))</f>
        <v>#N/A</v>
      </c>
      <c r="BA45" s="45" t="e">
        <f>BA46</f>
        <v>#N/A</v>
      </c>
      <c r="BB45" s="59" t="e">
        <f t="shared" si="24"/>
        <v>#N/A</v>
      </c>
      <c r="BC45" s="66" t="e">
        <f t="shared" si="25"/>
        <v>#N/A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33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33"/>
      <c r="AR46" s="45" t="e">
        <f>AR45+IF(LOOKUP(AQ45,AN$6:AN$20,AO$6:AO$20)=0,NA(),LOOKUP(AQ45,AN$6:AN$20,AO$6:AO$20))</f>
        <v>#N/A</v>
      </c>
      <c r="AS46" s="45" t="e">
        <f>AS45</f>
        <v>#N/A</v>
      </c>
      <c r="AT46" s="45" t="e">
        <f>8.32*LOG(AS46)-1.61*LOG(AVERAGE(AR45:AR46))</f>
        <v>#N/A</v>
      </c>
      <c r="AU46" s="59" t="e">
        <f t="shared" si="22"/>
        <v>#N/A</v>
      </c>
      <c r="AV46" s="66" t="e">
        <f t="shared" si="23"/>
        <v>#N/A</v>
      </c>
      <c r="AX46" s="233"/>
      <c r="AY46" s="45" t="e">
        <f>AY45+IF(LOOKUP(AX45,AR$6:AR$20,AS$6:AS$20)=0,NA(),LOOKUP(AX45,AR$6:AR$20,AS$6:AS$20))</f>
        <v>#N/A</v>
      </c>
      <c r="AZ46" s="45" t="e">
        <f>AZ45</f>
        <v>#N/A</v>
      </c>
      <c r="BA46" s="45" t="e">
        <f>8.32*LOG(AZ46)-1.61*LOG(AVERAGE(AY45:AY46))</f>
        <v>#N/A</v>
      </c>
      <c r="BB46" s="59" t="e">
        <f t="shared" si="24"/>
        <v>#N/A</v>
      </c>
      <c r="BC46" s="66" t="e">
        <f t="shared" si="25"/>
        <v>#N/A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33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33">
        <v>12</v>
      </c>
      <c r="AR47" s="45" t="e">
        <f>AR46</f>
        <v>#N/A</v>
      </c>
      <c r="AS47" s="45" t="e">
        <f>IF(LOOKUP(AQ47,AN$6:AN$20,AP$6:AP$20)=0,NA(),LOOKUP(AQ47,AN$6:AN$20,AP$6:AP$20))</f>
        <v>#N/A</v>
      </c>
      <c r="AT47" s="45" t="e">
        <f>AT48</f>
        <v>#N/A</v>
      </c>
      <c r="AU47" s="59" t="e">
        <f t="shared" si="22"/>
        <v>#N/A</v>
      </c>
      <c r="AV47" s="66" t="e">
        <f t="shared" si="23"/>
        <v>#N/A</v>
      </c>
      <c r="AX47" s="233">
        <v>12</v>
      </c>
      <c r="AY47" s="45" t="e">
        <f>AY46</f>
        <v>#N/A</v>
      </c>
      <c r="AZ47" s="45" t="e">
        <f>IF(LOOKUP(AX47,AR$6:AR$20,AT$6:AT$20)=0,NA(),LOOKUP(AX47,AR$6:AR$20,AT$6:AT$20))</f>
        <v>#N/A</v>
      </c>
      <c r="BA47" s="45" t="e">
        <f>BA48</f>
        <v>#N/A</v>
      </c>
      <c r="BB47" s="59" t="e">
        <f t="shared" si="24"/>
        <v>#N/A</v>
      </c>
      <c r="BC47" s="66" t="e">
        <f t="shared" si="25"/>
        <v>#N/A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33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33"/>
      <c r="AR48" s="45" t="e">
        <f>AR47+IF(LOOKUP(AQ47,AN$6:AN$20,AO$6:AO$20)=0,NA(),LOOKUP(AQ47,AN$6:AN$20,AO$6:AO$20))</f>
        <v>#N/A</v>
      </c>
      <c r="AS48" s="45" t="e">
        <f>AS47</f>
        <v>#N/A</v>
      </c>
      <c r="AT48" s="45" t="e">
        <f>8.32*LOG(AS48)-1.61*LOG(AVERAGE(AR47:AR48))</f>
        <v>#N/A</v>
      </c>
      <c r="AU48" s="59" t="e">
        <f t="shared" si="22"/>
        <v>#N/A</v>
      </c>
      <c r="AV48" s="66" t="e">
        <f t="shared" si="23"/>
        <v>#N/A</v>
      </c>
      <c r="AX48" s="233"/>
      <c r="AY48" s="45" t="e">
        <f>AY47+IF(LOOKUP(AX47,AR$6:AR$20,AS$6:AS$20)=0,NA(),LOOKUP(AX47,AR$6:AR$20,AS$6:AS$20))</f>
        <v>#N/A</v>
      </c>
      <c r="AZ48" s="45" t="e">
        <f>AZ47</f>
        <v>#N/A</v>
      </c>
      <c r="BA48" s="45" t="e">
        <f>8.32*LOG(AZ48)-1.61*LOG(AVERAGE(AY47:AY48))</f>
        <v>#N/A</v>
      </c>
      <c r="BB48" s="59" t="e">
        <f t="shared" si="24"/>
        <v>#N/A</v>
      </c>
      <c r="BC48" s="66" t="e">
        <f t="shared" si="25"/>
        <v>#N/A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33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33">
        <v>13</v>
      </c>
      <c r="AR49" s="45" t="e">
        <f>AR48</f>
        <v>#N/A</v>
      </c>
      <c r="AS49" s="45" t="e">
        <f>IF(LOOKUP(AQ49,AN$6:AN$20,AP$6:AP$20)=0,NA(),LOOKUP(AQ49,AN$6:AN$20,AP$6:AP$20))</f>
        <v>#N/A</v>
      </c>
      <c r="AT49" s="45" t="e">
        <f>AT50</f>
        <v>#N/A</v>
      </c>
      <c r="AU49" s="59" t="e">
        <f t="shared" si="22"/>
        <v>#N/A</v>
      </c>
      <c r="AV49" s="66" t="e">
        <f t="shared" si="23"/>
        <v>#N/A</v>
      </c>
      <c r="AX49" s="233">
        <v>13</v>
      </c>
      <c r="AY49" s="45" t="e">
        <f>AY48</f>
        <v>#N/A</v>
      </c>
      <c r="AZ49" s="45" t="e">
        <f>IF(LOOKUP(AX49,AR$6:AR$20,AT$6:AT$20)=0,NA(),LOOKUP(AX49,AR$6:AR$20,AT$6:AT$20))</f>
        <v>#N/A</v>
      </c>
      <c r="BA49" s="45" t="e">
        <f>BA50</f>
        <v>#N/A</v>
      </c>
      <c r="BB49" s="59" t="e">
        <f t="shared" si="24"/>
        <v>#N/A</v>
      </c>
      <c r="BC49" s="66" t="e">
        <f t="shared" si="25"/>
        <v>#N/A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33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33"/>
      <c r="AR50" s="45" t="e">
        <f>AR49+IF(LOOKUP(AQ49,AN$6:AN$20,AO$6:AO$20)=0,NA(),LOOKUP(AQ49,AN$6:AN$20,AO$6:AO$20))</f>
        <v>#N/A</v>
      </c>
      <c r="AS50" s="45" t="e">
        <f>AS49</f>
        <v>#N/A</v>
      </c>
      <c r="AT50" s="45" t="e">
        <f>8.32*LOG(AS50)-1.61*LOG(AVERAGE(AR49:AR50))</f>
        <v>#N/A</v>
      </c>
      <c r="AU50" s="59" t="e">
        <f t="shared" si="22"/>
        <v>#N/A</v>
      </c>
      <c r="AV50" s="66" t="e">
        <f t="shared" si="23"/>
        <v>#N/A</v>
      </c>
      <c r="AX50" s="233"/>
      <c r="AY50" s="45" t="e">
        <f>AY49+IF(LOOKUP(AX49,AR$6:AR$20,AS$6:AS$20)=0,NA(),LOOKUP(AX49,AR$6:AR$20,AS$6:AS$20))</f>
        <v>#N/A</v>
      </c>
      <c r="AZ50" s="45" t="e">
        <f>AZ49</f>
        <v>#N/A</v>
      </c>
      <c r="BA50" s="45" t="e">
        <f>8.32*LOG(AZ50)-1.61*LOG(AVERAGE(AY49:AY50))</f>
        <v>#N/A</v>
      </c>
      <c r="BB50" s="59" t="e">
        <f t="shared" si="24"/>
        <v>#N/A</v>
      </c>
      <c r="BC50" s="66" t="e">
        <f t="shared" si="25"/>
        <v>#N/A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33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33">
        <v>14</v>
      </c>
      <c r="AR51" s="45" t="e">
        <f>AR50</f>
        <v>#N/A</v>
      </c>
      <c r="AS51" s="45" t="e">
        <f>IF(LOOKUP(AQ51,AN$6:AN$20,AP$6:AP$20)=0,NA(),LOOKUP(AQ51,AN$6:AN$20,AP$6:AP$20))</f>
        <v>#N/A</v>
      </c>
      <c r="AT51" s="45" t="e">
        <f>AT52</f>
        <v>#N/A</v>
      </c>
      <c r="AU51" s="59" t="e">
        <f t="shared" si="22"/>
        <v>#N/A</v>
      </c>
      <c r="AV51" s="66" t="e">
        <f t="shared" si="23"/>
        <v>#N/A</v>
      </c>
      <c r="AX51" s="233">
        <v>14</v>
      </c>
      <c r="AY51" s="45" t="e">
        <f>AY50</f>
        <v>#N/A</v>
      </c>
      <c r="AZ51" s="45" t="e">
        <f>IF(LOOKUP(AX51,AR$6:AR$20,AT$6:AT$20)=0,NA(),LOOKUP(AX51,AR$6:AR$20,AT$6:AT$20))</f>
        <v>#N/A</v>
      </c>
      <c r="BA51" s="45" t="e">
        <f>BA52</f>
        <v>#N/A</v>
      </c>
      <c r="BB51" s="59" t="e">
        <f t="shared" si="24"/>
        <v>#N/A</v>
      </c>
      <c r="BC51" s="66" t="e">
        <f t="shared" si="25"/>
        <v>#N/A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28" t="str">
        <f>CONCATENATE("TABLA DE RESULTADOS 0",$AK$1)</f>
        <v>TABLA DE RESULTADOS 0</v>
      </c>
      <c r="B52" s="228"/>
      <c r="C52" s="228"/>
      <c r="D52" s="228"/>
      <c r="E52" s="228"/>
      <c r="F52" s="228"/>
      <c r="G52" s="228"/>
      <c r="H52" s="228"/>
      <c r="I52" s="228"/>
      <c r="J52" s="228"/>
      <c r="K52" s="228"/>
      <c r="L52" s="228"/>
      <c r="M52" s="228"/>
      <c r="N52" s="228"/>
      <c r="O52" s="228"/>
      <c r="P52" s="228"/>
      <c r="Q52" s="228"/>
      <c r="U52" s="81"/>
      <c r="AJ52" s="233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33"/>
      <c r="AR52" s="45" t="e">
        <f>AR51+IF(LOOKUP(AQ51,AN$6:AN$20,AO$6:AO$20)=0,NA(),LOOKUP(AQ51,AN$6:AN$20,AO$6:AO$20))</f>
        <v>#N/A</v>
      </c>
      <c r="AS52" s="45" t="e">
        <f>AS51</f>
        <v>#N/A</v>
      </c>
      <c r="AT52" s="45" t="e">
        <f>8.32*LOG(AS52)-1.61*LOG(AVERAGE(AR51:AR52))</f>
        <v>#N/A</v>
      </c>
      <c r="AU52" s="59" t="e">
        <f t="shared" si="22"/>
        <v>#N/A</v>
      </c>
      <c r="AV52" s="66" t="e">
        <f t="shared" si="23"/>
        <v>#N/A</v>
      </c>
      <c r="AX52" s="233"/>
      <c r="AY52" s="45" t="e">
        <f>AY51+IF(LOOKUP(AX51,AR$6:AR$20,AS$6:AS$20)=0,NA(),LOOKUP(AX51,AR$6:AR$20,AS$6:AS$20))</f>
        <v>#N/A</v>
      </c>
      <c r="AZ52" s="45" t="e">
        <f>AZ51</f>
        <v>#N/A</v>
      </c>
      <c r="BA52" s="45" t="e">
        <f>8.32*LOG(AZ52)-1.61*LOG(AVERAGE(AY51:AY52))</f>
        <v>#N/A</v>
      </c>
      <c r="BB52" s="59" t="e">
        <f t="shared" si="24"/>
        <v>#N/A</v>
      </c>
      <c r="BC52" s="66" t="e">
        <f t="shared" si="25"/>
        <v>#N/A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33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33">
        <v>15</v>
      </c>
      <c r="AR53" s="45" t="e">
        <f>AR52</f>
        <v>#N/A</v>
      </c>
      <c r="AS53" s="45" t="e">
        <f>IF(LOOKUP(AQ53,AN$6:AN$20,AP$6:AP$20)=0,NA(),LOOKUP(AQ53,AN$6:AN$20,AP$6:AP$20))</f>
        <v>#N/A</v>
      </c>
      <c r="AT53" s="45" t="e">
        <f>AT54</f>
        <v>#N/A</v>
      </c>
      <c r="AU53" s="59" t="e">
        <f t="shared" si="22"/>
        <v>#N/A</v>
      </c>
      <c r="AV53" s="66" t="e">
        <f t="shared" si="23"/>
        <v>#N/A</v>
      </c>
      <c r="AX53" s="233">
        <v>15</v>
      </c>
      <c r="AY53" s="45" t="e">
        <f>AY52</f>
        <v>#N/A</v>
      </c>
      <c r="AZ53" s="45" t="e">
        <f>IF(LOOKUP(AX53,AR$6:AR$20,AT$6:AT$20)=0,NA(),LOOKUP(AX53,AR$6:AR$20,AT$6:AT$20))</f>
        <v>#N/A</v>
      </c>
      <c r="BA53" s="45" t="e">
        <f>BA54</f>
        <v>#N/A</v>
      </c>
      <c r="BB53" s="59" t="e">
        <f t="shared" si="24"/>
        <v>#N/A</v>
      </c>
      <c r="BC53" s="66" t="e">
        <f t="shared" si="25"/>
        <v>#N/A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28" t="str">
        <f>AJ23</f>
        <v>1 24</v>
      </c>
      <c r="B54" s="228"/>
      <c r="C54" s="228"/>
      <c r="D54" s="228"/>
      <c r="E54" s="228"/>
      <c r="F54" s="228"/>
      <c r="G54" s="228"/>
      <c r="H54" s="228"/>
      <c r="J54" s="228" t="str">
        <f>AQ23</f>
        <v xml:space="preserve">1 48 </v>
      </c>
      <c r="K54" s="228"/>
      <c r="L54" s="228"/>
      <c r="M54" s="228"/>
      <c r="N54" s="228"/>
      <c r="O54" s="228"/>
      <c r="P54" s="228"/>
      <c r="Q54" s="228"/>
      <c r="AJ54" s="234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34"/>
      <c r="AR54" s="56" t="e">
        <f>AR53+IF(LOOKUP(AQ53,AN$6:AN$20,AO$6:AO$20)=0,NA(),LOOKUP(AQ53,AN$6:AN$20,AO$6:AO$20))</f>
        <v>#N/A</v>
      </c>
      <c r="AS54" s="56" t="e">
        <f>AS53</f>
        <v>#N/A</v>
      </c>
      <c r="AT54" s="56" t="e">
        <f>8.32*LOG(AS54)-1.61*LOG(AVERAGE(AR53:AR54))</f>
        <v>#N/A</v>
      </c>
      <c r="AU54" s="82" t="e">
        <f t="shared" si="22"/>
        <v>#N/A</v>
      </c>
      <c r="AV54" s="83" t="e">
        <f t="shared" si="23"/>
        <v>#N/A</v>
      </c>
      <c r="AX54" s="234"/>
      <c r="AY54" s="56" t="e">
        <f>AY53+IF(LOOKUP(AX53,AR$6:AR$20,AS$6:AS$20)=0,NA(),LOOKUP(AX53,AR$6:AR$20,AS$6:AS$20))</f>
        <v>#N/A</v>
      </c>
      <c r="AZ54" s="56" t="e">
        <f>AZ53</f>
        <v>#N/A</v>
      </c>
      <c r="BA54" s="56" t="e">
        <f>8.32*LOG(AZ54)-1.61*LOG(AVERAGE(AY53:AY54))</f>
        <v>#N/A</v>
      </c>
      <c r="BB54" s="82" t="e">
        <f t="shared" si="24"/>
        <v>#N/A</v>
      </c>
      <c r="BC54" s="83" t="e">
        <f t="shared" si="25"/>
        <v>#N/A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29" t="s">
        <v>101</v>
      </c>
      <c r="B55" s="229"/>
      <c r="C55" s="229" t="s">
        <v>102</v>
      </c>
      <c r="D55" s="229"/>
      <c r="E55" s="229" t="s">
        <v>103</v>
      </c>
      <c r="F55" s="229"/>
      <c r="G55" s="229" t="s">
        <v>104</v>
      </c>
      <c r="H55" s="229"/>
      <c r="J55" s="229" t="s">
        <v>101</v>
      </c>
      <c r="K55" s="229"/>
      <c r="L55" s="229" t="s">
        <v>102</v>
      </c>
      <c r="M55" s="229"/>
      <c r="N55" s="229" t="s">
        <v>103</v>
      </c>
      <c r="O55" s="229"/>
      <c r="P55" s="229" t="s">
        <v>104</v>
      </c>
      <c r="Q55" s="229"/>
    </row>
    <row r="56" spans="1:69" x14ac:dyDescent="0.25">
      <c r="A56" s="227" t="s">
        <v>52</v>
      </c>
      <c r="B56" s="227"/>
      <c r="C56" s="227" t="s">
        <v>105</v>
      </c>
      <c r="D56" s="227"/>
      <c r="E56" s="227" t="s">
        <v>106</v>
      </c>
      <c r="F56" s="227"/>
      <c r="G56" s="227" t="s">
        <v>106</v>
      </c>
      <c r="H56" s="227"/>
      <c r="J56" s="227" t="s">
        <v>52</v>
      </c>
      <c r="K56" s="227"/>
      <c r="L56" s="227" t="s">
        <v>105</v>
      </c>
      <c r="M56" s="227"/>
      <c r="N56" s="227" t="s">
        <v>106</v>
      </c>
      <c r="O56" s="227"/>
      <c r="P56" s="227" t="s">
        <v>106</v>
      </c>
      <c r="Q56" s="227"/>
      <c r="AJ56" s="228" t="str">
        <f>CONCATENATE("Vs LS 0",$AK$1)</f>
        <v>Vs LS 0</v>
      </c>
      <c r="AK56" s="228"/>
      <c r="AL56" s="228"/>
      <c r="AM56" s="228"/>
      <c r="AN56" s="228"/>
      <c r="AO56" s="228"/>
      <c r="AP56" s="228"/>
      <c r="AQ56" s="228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26">
        <f t="shared" ref="A57:A72" si="30">IF(ISERROR(AL25)=TRUE,"",AK25)</f>
        <v>0</v>
      </c>
      <c r="B57" s="226"/>
      <c r="C57" s="226">
        <f t="shared" ref="C57:C72" si="31">IF(ISERROR(AL25)=TRUE,"",AL25)</f>
        <v>164.17099999999999</v>
      </c>
      <c r="D57" s="226"/>
      <c r="E57" s="226">
        <f t="shared" ref="E57:E72" si="32">IF(ISERROR(AL25)=TRUE,"",AN25)</f>
        <v>56.3931833934762</v>
      </c>
      <c r="F57" s="226"/>
      <c r="G57" s="226">
        <f t="shared" ref="G57:G72" si="33">IF(ISERROR(AL25)=TRUE,"",AO25)</f>
        <v>152.26159516238576</v>
      </c>
      <c r="H57" s="226"/>
      <c r="J57" s="226">
        <f t="shared" ref="J57:J72" si="34">IF(ISERROR(AS25)=TRUE,"",AR25)</f>
        <v>0</v>
      </c>
      <c r="K57" s="226"/>
      <c r="L57" s="226">
        <f t="shared" ref="L57:L72" si="35">IF(ISERROR(AS25)=TRUE,"",AS25)</f>
        <v>171.029</v>
      </c>
      <c r="M57" s="226"/>
      <c r="N57" s="226">
        <f t="shared" ref="N57:N72" si="36">IF(ISERROR(AS25)=TRUE,"",AU25)</f>
        <v>61.643996628845692</v>
      </c>
      <c r="O57" s="226"/>
      <c r="P57" s="226">
        <f t="shared" ref="P57:P72" si="37">IF(ISERROR(AS25)=TRUE,"",AV25)</f>
        <v>166.43879089788337</v>
      </c>
      <c r="Q57" s="22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26">
        <f t="shared" si="30"/>
        <v>0.1</v>
      </c>
      <c r="B58" s="226"/>
      <c r="C58" s="226">
        <f t="shared" si="31"/>
        <v>164.17099999999999</v>
      </c>
      <c r="D58" s="226"/>
      <c r="E58" s="226">
        <f t="shared" si="32"/>
        <v>56.3931833934762</v>
      </c>
      <c r="F58" s="226"/>
      <c r="G58" s="226">
        <f t="shared" si="33"/>
        <v>152.26159516238576</v>
      </c>
      <c r="H58" s="226"/>
      <c r="J58" s="226">
        <f t="shared" si="34"/>
        <v>0.1</v>
      </c>
      <c r="K58" s="226"/>
      <c r="L58" s="226">
        <f t="shared" si="35"/>
        <v>171.029</v>
      </c>
      <c r="M58" s="226"/>
      <c r="N58" s="226">
        <f t="shared" si="36"/>
        <v>61.643996628845692</v>
      </c>
      <c r="O58" s="226"/>
      <c r="P58" s="226">
        <f t="shared" si="37"/>
        <v>166.43879089788337</v>
      </c>
      <c r="Q58" s="226"/>
      <c r="AJ58" s="232" t="str">
        <f>[2]Vs!$A$59</f>
        <v>Inicial</v>
      </c>
      <c r="AK58" s="232"/>
      <c r="AL58" s="86"/>
      <c r="AM58" s="232" t="str">
        <f>[2]Vs!$J$59</f>
        <v>1/4L</v>
      </c>
      <c r="AN58" s="232"/>
      <c r="AO58" s="86"/>
      <c r="AP58" s="232" t="str">
        <f>[2]Vs!$A$79</f>
        <v>Medio</v>
      </c>
      <c r="AQ58" s="232"/>
      <c r="AR58" s="86"/>
    </row>
    <row r="59" spans="1:69" x14ac:dyDescent="0.25">
      <c r="A59" s="226">
        <f t="shared" si="30"/>
        <v>0.1</v>
      </c>
      <c r="B59" s="226"/>
      <c r="C59" s="226">
        <f t="shared" si="31"/>
        <v>164.17099999999999</v>
      </c>
      <c r="D59" s="226"/>
      <c r="E59" s="226">
        <f t="shared" si="32"/>
        <v>50.104954087799214</v>
      </c>
      <c r="F59" s="226"/>
      <c r="G59" s="226">
        <f t="shared" si="33"/>
        <v>135.28337603705788</v>
      </c>
      <c r="H59" s="226"/>
      <c r="J59" s="226">
        <f t="shared" si="34"/>
        <v>0.1</v>
      </c>
      <c r="K59" s="226"/>
      <c r="L59" s="226">
        <f t="shared" si="35"/>
        <v>171.029</v>
      </c>
      <c r="M59" s="226"/>
      <c r="N59" s="226">
        <f t="shared" si="36"/>
        <v>54.819431292132613</v>
      </c>
      <c r="O59" s="226"/>
      <c r="P59" s="226">
        <f t="shared" si="37"/>
        <v>148.01246448875807</v>
      </c>
      <c r="Q59" s="226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226">
        <f t="shared" si="30"/>
        <v>2.54</v>
      </c>
      <c r="B60" s="226"/>
      <c r="C60" s="226">
        <f t="shared" si="31"/>
        <v>164.17099999999999</v>
      </c>
      <c r="D60" s="226"/>
      <c r="E60" s="226">
        <f t="shared" si="32"/>
        <v>50.104954087799214</v>
      </c>
      <c r="F60" s="226"/>
      <c r="G60" s="226">
        <f t="shared" si="33"/>
        <v>135.28337603705788</v>
      </c>
      <c r="H60" s="226"/>
      <c r="J60" s="226">
        <f t="shared" si="34"/>
        <v>2.54</v>
      </c>
      <c r="K60" s="226"/>
      <c r="L60" s="226">
        <f t="shared" si="35"/>
        <v>171.029</v>
      </c>
      <c r="M60" s="226"/>
      <c r="N60" s="226">
        <f t="shared" si="36"/>
        <v>54.819431292132613</v>
      </c>
      <c r="O60" s="226"/>
      <c r="P60" s="226">
        <f t="shared" si="37"/>
        <v>148.01246448875807</v>
      </c>
      <c r="Q60" s="226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>
        <f t="shared" ref="AM60:AM73" si="40">IF(J57="","",J57)</f>
        <v>0</v>
      </c>
      <c r="AN60" s="90">
        <f t="shared" ref="AN60:AN73" si="41">IF(L57="","",L57)</f>
        <v>171.029</v>
      </c>
      <c r="AO60" s="86"/>
      <c r="AP60" s="89">
        <f t="shared" ref="AP60:AP72" si="42">IF(A77="","",A77)</f>
        <v>0</v>
      </c>
      <c r="AQ60" s="90">
        <f t="shared" ref="AQ60:AQ72" si="43">IF(C77="","",C77)</f>
        <v>167.4</v>
      </c>
      <c r="AR60" s="86"/>
    </row>
    <row r="61" spans="1:69" x14ac:dyDescent="0.25">
      <c r="A61" s="226">
        <f t="shared" si="30"/>
        <v>2.54</v>
      </c>
      <c r="B61" s="226"/>
      <c r="C61" s="226">
        <f t="shared" si="31"/>
        <v>200.46700000000001</v>
      </c>
      <c r="D61" s="226"/>
      <c r="E61" s="226">
        <f t="shared" si="32"/>
        <v>73.627843419375097</v>
      </c>
      <c r="F61" s="226"/>
      <c r="G61" s="226">
        <f t="shared" si="33"/>
        <v>198.79517723231277</v>
      </c>
      <c r="H61" s="226"/>
      <c r="J61" s="226">
        <f t="shared" si="34"/>
        <v>2.54</v>
      </c>
      <c r="K61" s="226"/>
      <c r="L61" s="226">
        <f t="shared" si="35"/>
        <v>192.91399999999999</v>
      </c>
      <c r="M61" s="226"/>
      <c r="N61" s="226">
        <f t="shared" si="36"/>
        <v>67.657758211905232</v>
      </c>
      <c r="O61" s="226"/>
      <c r="P61" s="226">
        <f t="shared" si="37"/>
        <v>182.67594717214413</v>
      </c>
      <c r="Q61" s="226"/>
      <c r="AJ61" s="89">
        <f t="shared" si="38"/>
        <v>0.1</v>
      </c>
      <c r="AK61" s="90">
        <f t="shared" si="39"/>
        <v>164.17099999999999</v>
      </c>
      <c r="AL61" s="86"/>
      <c r="AM61" s="89">
        <f t="shared" si="40"/>
        <v>0.1</v>
      </c>
      <c r="AN61" s="90">
        <f t="shared" si="41"/>
        <v>171.029</v>
      </c>
      <c r="AO61" s="86"/>
      <c r="AP61" s="89">
        <f t="shared" si="42"/>
        <v>0.1</v>
      </c>
      <c r="AQ61" s="90">
        <f t="shared" si="43"/>
        <v>167.4</v>
      </c>
      <c r="AR61" s="86"/>
    </row>
    <row r="62" spans="1:69" x14ac:dyDescent="0.25">
      <c r="A62" s="226">
        <f t="shared" si="30"/>
        <v>8.27</v>
      </c>
      <c r="B62" s="226"/>
      <c r="C62" s="226">
        <f t="shared" si="31"/>
        <v>200.46700000000001</v>
      </c>
      <c r="D62" s="226"/>
      <c r="E62" s="226">
        <f t="shared" si="32"/>
        <v>73.627843419375097</v>
      </c>
      <c r="F62" s="226"/>
      <c r="G62" s="226">
        <f t="shared" si="33"/>
        <v>198.79517723231277</v>
      </c>
      <c r="H62" s="226"/>
      <c r="J62" s="226">
        <f t="shared" si="34"/>
        <v>8.27</v>
      </c>
      <c r="K62" s="226"/>
      <c r="L62" s="226">
        <f t="shared" si="35"/>
        <v>192.91399999999999</v>
      </c>
      <c r="M62" s="226"/>
      <c r="N62" s="226">
        <f t="shared" si="36"/>
        <v>67.657758211905232</v>
      </c>
      <c r="O62" s="226"/>
      <c r="P62" s="226">
        <f t="shared" si="37"/>
        <v>182.67594717214413</v>
      </c>
      <c r="Q62" s="226"/>
      <c r="AJ62" s="89">
        <f t="shared" si="38"/>
        <v>0.1</v>
      </c>
      <c r="AK62" s="90">
        <f t="shared" si="39"/>
        <v>164.17099999999999</v>
      </c>
      <c r="AL62" s="86"/>
      <c r="AM62" s="89">
        <f t="shared" si="40"/>
        <v>0.1</v>
      </c>
      <c r="AN62" s="90">
        <f t="shared" si="41"/>
        <v>171.029</v>
      </c>
      <c r="AO62" s="86"/>
      <c r="AP62" s="89">
        <f t="shared" si="42"/>
        <v>0.1</v>
      </c>
      <c r="AQ62" s="90">
        <f t="shared" si="43"/>
        <v>167.4</v>
      </c>
      <c r="AR62" s="86"/>
    </row>
    <row r="63" spans="1:69" x14ac:dyDescent="0.25">
      <c r="A63" s="226">
        <f t="shared" si="30"/>
        <v>8.27</v>
      </c>
      <c r="B63" s="226"/>
      <c r="C63" s="226">
        <f t="shared" si="31"/>
        <v>202.071</v>
      </c>
      <c r="D63" s="226"/>
      <c r="E63" s="226">
        <f t="shared" si="32"/>
        <v>72.44438794962447</v>
      </c>
      <c r="F63" s="226"/>
      <c r="G63" s="226">
        <f t="shared" si="33"/>
        <v>195.59984746398609</v>
      </c>
      <c r="H63" s="226"/>
      <c r="J63" s="226">
        <f t="shared" si="34"/>
        <v>8.27</v>
      </c>
      <c r="K63" s="226"/>
      <c r="L63" s="226">
        <f t="shared" si="35"/>
        <v>194.83799999999999</v>
      </c>
      <c r="M63" s="226"/>
      <c r="N63" s="226">
        <f t="shared" si="36"/>
        <v>66.972283065346801</v>
      </c>
      <c r="O63" s="226"/>
      <c r="P63" s="226">
        <f t="shared" si="37"/>
        <v>180.82516427643637</v>
      </c>
      <c r="Q63" s="226"/>
      <c r="AJ63" s="89">
        <f t="shared" si="38"/>
        <v>2.54</v>
      </c>
      <c r="AK63" s="90">
        <f t="shared" si="39"/>
        <v>164.17099999999999</v>
      </c>
      <c r="AL63" s="86"/>
      <c r="AM63" s="89">
        <f t="shared" si="40"/>
        <v>2.54</v>
      </c>
      <c r="AN63" s="90">
        <f t="shared" si="41"/>
        <v>171.029</v>
      </c>
      <c r="AO63" s="86"/>
      <c r="AP63" s="89">
        <f t="shared" si="42"/>
        <v>2.54</v>
      </c>
      <c r="AQ63" s="90">
        <f t="shared" si="43"/>
        <v>167.4</v>
      </c>
      <c r="AR63" s="86"/>
    </row>
    <row r="64" spans="1:69" x14ac:dyDescent="0.25">
      <c r="A64" s="226">
        <f t="shared" si="30"/>
        <v>17.13</v>
      </c>
      <c r="B64" s="226"/>
      <c r="C64" s="226">
        <f t="shared" si="31"/>
        <v>202.071</v>
      </c>
      <c r="D64" s="226"/>
      <c r="E64" s="226">
        <f t="shared" si="32"/>
        <v>72.44438794962447</v>
      </c>
      <c r="F64" s="226"/>
      <c r="G64" s="226">
        <f t="shared" si="33"/>
        <v>195.59984746398609</v>
      </c>
      <c r="H64" s="226"/>
      <c r="J64" s="226">
        <f t="shared" si="34"/>
        <v>15.93</v>
      </c>
      <c r="K64" s="226"/>
      <c r="L64" s="226">
        <f t="shared" si="35"/>
        <v>194.83799999999999</v>
      </c>
      <c r="M64" s="226"/>
      <c r="N64" s="226">
        <f t="shared" si="36"/>
        <v>66.972283065346801</v>
      </c>
      <c r="O64" s="226"/>
      <c r="P64" s="226">
        <f t="shared" si="37"/>
        <v>180.82516427643637</v>
      </c>
      <c r="Q64" s="226"/>
      <c r="AJ64" s="89">
        <f t="shared" si="38"/>
        <v>2.54</v>
      </c>
      <c r="AK64" s="90">
        <f t="shared" si="39"/>
        <v>200.46700000000001</v>
      </c>
      <c r="AL64" s="86"/>
      <c r="AM64" s="89">
        <f t="shared" si="40"/>
        <v>2.54</v>
      </c>
      <c r="AN64" s="90">
        <f t="shared" si="41"/>
        <v>192.91399999999999</v>
      </c>
      <c r="AO64" s="86"/>
      <c r="AP64" s="89">
        <f t="shared" si="42"/>
        <v>2.54</v>
      </c>
      <c r="AQ64" s="90">
        <f t="shared" si="43"/>
        <v>191.4</v>
      </c>
      <c r="AR64" s="86"/>
    </row>
    <row r="65" spans="1:49" x14ac:dyDescent="0.25">
      <c r="A65" s="226">
        <f t="shared" si="30"/>
        <v>17.13</v>
      </c>
      <c r="B65" s="226"/>
      <c r="C65" s="226">
        <f t="shared" si="31"/>
        <v>319.97500000000002</v>
      </c>
      <c r="D65" s="226"/>
      <c r="E65" s="226">
        <f t="shared" si="32"/>
        <v>195.07595019082277</v>
      </c>
      <c r="F65" s="226"/>
      <c r="G65" s="226">
        <f t="shared" si="33"/>
        <v>526.70506551522146</v>
      </c>
      <c r="H65" s="226"/>
      <c r="J65" s="226">
        <f t="shared" si="34"/>
        <v>15.93</v>
      </c>
      <c r="K65" s="226"/>
      <c r="L65" s="226">
        <f t="shared" si="35"/>
        <v>326.803</v>
      </c>
      <c r="M65" s="226"/>
      <c r="N65" s="226">
        <f t="shared" si="36"/>
        <v>204.34199412372124</v>
      </c>
      <c r="O65" s="226"/>
      <c r="P65" s="226">
        <f t="shared" si="37"/>
        <v>551.72338413404736</v>
      </c>
      <c r="Q65" s="226"/>
      <c r="AJ65" s="89">
        <f t="shared" si="38"/>
        <v>8.27</v>
      </c>
      <c r="AK65" s="90">
        <f t="shared" si="39"/>
        <v>200.46700000000001</v>
      </c>
      <c r="AL65" s="86"/>
      <c r="AM65" s="89">
        <f t="shared" si="40"/>
        <v>8.27</v>
      </c>
      <c r="AN65" s="90">
        <f t="shared" si="41"/>
        <v>192.91399999999999</v>
      </c>
      <c r="AO65" s="86"/>
      <c r="AP65" s="89">
        <f t="shared" si="42"/>
        <v>8.27</v>
      </c>
      <c r="AQ65" s="90">
        <f t="shared" si="43"/>
        <v>191.4</v>
      </c>
      <c r="AR65" s="86"/>
    </row>
    <row r="66" spans="1:49" x14ac:dyDescent="0.25">
      <c r="A66" s="226">
        <f t="shared" si="30"/>
        <v>26.24</v>
      </c>
      <c r="B66" s="226"/>
      <c r="C66" s="226">
        <f t="shared" si="31"/>
        <v>319.97500000000002</v>
      </c>
      <c r="D66" s="226"/>
      <c r="E66" s="226">
        <f t="shared" si="32"/>
        <v>195.07595019082277</v>
      </c>
      <c r="F66" s="226"/>
      <c r="G66" s="226">
        <f t="shared" si="33"/>
        <v>526.70506551522146</v>
      </c>
      <c r="H66" s="226"/>
      <c r="J66" s="226">
        <f t="shared" si="34"/>
        <v>27.32</v>
      </c>
      <c r="K66" s="226"/>
      <c r="L66" s="226">
        <f t="shared" si="35"/>
        <v>326.803</v>
      </c>
      <c r="M66" s="226"/>
      <c r="N66" s="226">
        <f t="shared" si="36"/>
        <v>204.34199412372124</v>
      </c>
      <c r="O66" s="226"/>
      <c r="P66" s="226">
        <f t="shared" si="37"/>
        <v>551.72338413404736</v>
      </c>
      <c r="Q66" s="226"/>
      <c r="AJ66" s="89">
        <f t="shared" si="38"/>
        <v>8.27</v>
      </c>
      <c r="AK66" s="90">
        <f t="shared" si="39"/>
        <v>202.071</v>
      </c>
      <c r="AL66" s="86"/>
      <c r="AM66" s="89">
        <f t="shared" si="40"/>
        <v>8.27</v>
      </c>
      <c r="AN66" s="90">
        <f t="shared" si="41"/>
        <v>194.83799999999999</v>
      </c>
      <c r="AO66" s="86"/>
      <c r="AP66" s="89">
        <f t="shared" si="42"/>
        <v>8.27</v>
      </c>
      <c r="AQ66" s="90">
        <f t="shared" si="43"/>
        <v>192.31</v>
      </c>
      <c r="AR66" s="86"/>
    </row>
    <row r="67" spans="1:49" x14ac:dyDescent="0.25">
      <c r="A67" s="226">
        <f t="shared" si="30"/>
        <v>26.24</v>
      </c>
      <c r="B67" s="226"/>
      <c r="C67" s="226">
        <f t="shared" si="31"/>
        <v>470.37200000000001</v>
      </c>
      <c r="D67" s="226"/>
      <c r="E67" s="226">
        <f t="shared" si="32"/>
        <v>444.03643849443995</v>
      </c>
      <c r="F67" s="226"/>
      <c r="G67" s="226">
        <f t="shared" si="33"/>
        <v>1198.898383934988</v>
      </c>
      <c r="H67" s="226"/>
      <c r="J67" s="226">
        <f t="shared" si="34"/>
        <v>27.32</v>
      </c>
      <c r="K67" s="226"/>
      <c r="L67" s="226">
        <f t="shared" si="35"/>
        <v>471.44600000000003</v>
      </c>
      <c r="M67" s="226"/>
      <c r="N67" s="226">
        <f t="shared" si="36"/>
        <v>446.03065313054054</v>
      </c>
      <c r="O67" s="226"/>
      <c r="P67" s="226">
        <f t="shared" si="37"/>
        <v>1204.2827634524594</v>
      </c>
      <c r="Q67" s="226"/>
      <c r="AJ67" s="89">
        <f t="shared" si="38"/>
        <v>17.13</v>
      </c>
      <c r="AK67" s="90">
        <f t="shared" si="39"/>
        <v>202.071</v>
      </c>
      <c r="AL67" s="86"/>
      <c r="AM67" s="89">
        <f t="shared" si="40"/>
        <v>15.93</v>
      </c>
      <c r="AN67" s="90">
        <f t="shared" si="41"/>
        <v>194.83799999999999</v>
      </c>
      <c r="AO67" s="86"/>
      <c r="AP67" s="89">
        <f t="shared" si="42"/>
        <v>15.93</v>
      </c>
      <c r="AQ67" s="90">
        <f t="shared" si="43"/>
        <v>192.31</v>
      </c>
      <c r="AR67" s="86"/>
    </row>
    <row r="68" spans="1:49" x14ac:dyDescent="0.25">
      <c r="A68" s="226">
        <f t="shared" si="30"/>
        <v>50.099999999999994</v>
      </c>
      <c r="B68" s="226"/>
      <c r="C68" s="226">
        <f t="shared" si="31"/>
        <v>470.37200000000001</v>
      </c>
      <c r="D68" s="226"/>
      <c r="E68" s="226">
        <f t="shared" si="32"/>
        <v>444.03643849443995</v>
      </c>
      <c r="F68" s="226"/>
      <c r="G68" s="226">
        <f t="shared" si="33"/>
        <v>1198.898383934988</v>
      </c>
      <c r="H68" s="226"/>
      <c r="J68" s="226">
        <f t="shared" si="34"/>
        <v>50.1</v>
      </c>
      <c r="K68" s="226"/>
      <c r="L68" s="226">
        <f t="shared" si="35"/>
        <v>471.44600000000003</v>
      </c>
      <c r="M68" s="226"/>
      <c r="N68" s="226">
        <f t="shared" si="36"/>
        <v>446.03065313054054</v>
      </c>
      <c r="O68" s="226"/>
      <c r="P68" s="226">
        <f t="shared" si="37"/>
        <v>1204.2827634524594</v>
      </c>
      <c r="Q68" s="226"/>
      <c r="AJ68" s="89">
        <f t="shared" si="38"/>
        <v>17.13</v>
      </c>
      <c r="AK68" s="90">
        <f t="shared" si="39"/>
        <v>319.97500000000002</v>
      </c>
      <c r="AL68" s="86"/>
      <c r="AM68" s="89">
        <f t="shared" si="40"/>
        <v>15.93</v>
      </c>
      <c r="AN68" s="90">
        <f t="shared" si="41"/>
        <v>326.803</v>
      </c>
      <c r="AO68" s="86"/>
      <c r="AP68" s="89">
        <f t="shared" si="42"/>
        <v>15.93</v>
      </c>
      <c r="AQ68" s="90">
        <f t="shared" si="43"/>
        <v>338.262</v>
      </c>
      <c r="AR68" s="86"/>
    </row>
    <row r="69" spans="1:49" x14ac:dyDescent="0.25">
      <c r="A69" s="226" t="str">
        <f t="shared" si="30"/>
        <v/>
      </c>
      <c r="B69" s="226"/>
      <c r="C69" s="226" t="str">
        <f t="shared" si="31"/>
        <v/>
      </c>
      <c r="D69" s="226"/>
      <c r="E69" s="226" t="str">
        <f t="shared" si="32"/>
        <v/>
      </c>
      <c r="F69" s="226"/>
      <c r="G69" s="226" t="str">
        <f t="shared" si="33"/>
        <v/>
      </c>
      <c r="H69" s="226"/>
      <c r="J69" s="226" t="str">
        <f t="shared" si="34"/>
        <v/>
      </c>
      <c r="K69" s="226"/>
      <c r="L69" s="226" t="str">
        <f t="shared" si="35"/>
        <v/>
      </c>
      <c r="M69" s="226"/>
      <c r="N69" s="226" t="str">
        <f t="shared" si="36"/>
        <v/>
      </c>
      <c r="O69" s="226"/>
      <c r="P69" s="226" t="str">
        <f t="shared" si="37"/>
        <v/>
      </c>
      <c r="Q69" s="226"/>
      <c r="AJ69" s="89">
        <f t="shared" si="38"/>
        <v>26.24</v>
      </c>
      <c r="AK69" s="90">
        <f t="shared" si="39"/>
        <v>319.97500000000002</v>
      </c>
      <c r="AL69" s="86"/>
      <c r="AM69" s="89">
        <f t="shared" si="40"/>
        <v>27.32</v>
      </c>
      <c r="AN69" s="90">
        <f t="shared" si="41"/>
        <v>326.803</v>
      </c>
      <c r="AO69" s="86"/>
      <c r="AP69" s="89">
        <f t="shared" si="42"/>
        <v>27.32</v>
      </c>
      <c r="AQ69" s="90">
        <f t="shared" si="43"/>
        <v>338.262</v>
      </c>
      <c r="AR69" s="86"/>
    </row>
    <row r="70" spans="1:49" x14ac:dyDescent="0.25">
      <c r="A70" s="226" t="str">
        <f t="shared" si="30"/>
        <v/>
      </c>
      <c r="B70" s="226"/>
      <c r="C70" s="226" t="str">
        <f t="shared" si="31"/>
        <v/>
      </c>
      <c r="D70" s="226"/>
      <c r="E70" s="226" t="str">
        <f t="shared" si="32"/>
        <v/>
      </c>
      <c r="F70" s="226"/>
      <c r="G70" s="226" t="str">
        <f t="shared" si="33"/>
        <v/>
      </c>
      <c r="H70" s="226"/>
      <c r="J70" s="226" t="str">
        <f t="shared" si="34"/>
        <v/>
      </c>
      <c r="K70" s="226"/>
      <c r="L70" s="226" t="str">
        <f t="shared" si="35"/>
        <v/>
      </c>
      <c r="M70" s="226"/>
      <c r="N70" s="226" t="str">
        <f t="shared" si="36"/>
        <v/>
      </c>
      <c r="O70" s="226"/>
      <c r="P70" s="226" t="str">
        <f t="shared" si="37"/>
        <v/>
      </c>
      <c r="Q70" s="226"/>
      <c r="AJ70" s="89">
        <f t="shared" si="38"/>
        <v>26.24</v>
      </c>
      <c r="AK70" s="90">
        <f t="shared" si="39"/>
        <v>470.37200000000001</v>
      </c>
      <c r="AL70" s="86"/>
      <c r="AM70" s="89">
        <f t="shared" si="40"/>
        <v>27.32</v>
      </c>
      <c r="AN70" s="90">
        <f t="shared" si="41"/>
        <v>471.44600000000003</v>
      </c>
      <c r="AO70" s="86"/>
      <c r="AP70" s="89">
        <f t="shared" si="42"/>
        <v>27.32</v>
      </c>
      <c r="AQ70" s="90">
        <f t="shared" si="43"/>
        <v>461.96899999999999</v>
      </c>
      <c r="AR70" s="86"/>
    </row>
    <row r="71" spans="1:49" x14ac:dyDescent="0.25">
      <c r="A71" s="226" t="str">
        <f t="shared" si="30"/>
        <v/>
      </c>
      <c r="B71" s="226"/>
      <c r="C71" s="226" t="str">
        <f t="shared" si="31"/>
        <v/>
      </c>
      <c r="D71" s="226"/>
      <c r="E71" s="226" t="str">
        <f t="shared" si="32"/>
        <v/>
      </c>
      <c r="F71" s="226"/>
      <c r="G71" s="226" t="str">
        <f t="shared" si="33"/>
        <v/>
      </c>
      <c r="H71" s="226"/>
      <c r="J71" s="226" t="str">
        <f t="shared" si="34"/>
        <v/>
      </c>
      <c r="K71" s="226"/>
      <c r="L71" s="226" t="str">
        <f t="shared" si="35"/>
        <v/>
      </c>
      <c r="M71" s="226"/>
      <c r="N71" s="226" t="str">
        <f t="shared" si="36"/>
        <v/>
      </c>
      <c r="O71" s="226"/>
      <c r="P71" s="226" t="str">
        <f t="shared" si="37"/>
        <v/>
      </c>
      <c r="Q71" s="226"/>
      <c r="AJ71" s="89">
        <f t="shared" si="38"/>
        <v>50.099999999999994</v>
      </c>
      <c r="AK71" s="90">
        <f t="shared" si="39"/>
        <v>470.37200000000001</v>
      </c>
      <c r="AL71" s="86"/>
      <c r="AM71" s="89">
        <f t="shared" si="40"/>
        <v>50.1</v>
      </c>
      <c r="AN71" s="90">
        <f t="shared" si="41"/>
        <v>471.44600000000003</v>
      </c>
      <c r="AO71" s="86"/>
      <c r="AP71" s="89">
        <f t="shared" si="42"/>
        <v>50.1</v>
      </c>
      <c r="AQ71" s="90">
        <f t="shared" si="43"/>
        <v>461.96899999999999</v>
      </c>
      <c r="AR71" s="86"/>
    </row>
    <row r="72" spans="1:49" x14ac:dyDescent="0.25">
      <c r="A72" s="226" t="str">
        <f t="shared" si="30"/>
        <v/>
      </c>
      <c r="B72" s="226"/>
      <c r="C72" s="226" t="str">
        <f t="shared" si="31"/>
        <v/>
      </c>
      <c r="D72" s="226"/>
      <c r="E72" s="226" t="str">
        <f t="shared" si="32"/>
        <v/>
      </c>
      <c r="F72" s="226"/>
      <c r="G72" s="226" t="str">
        <f t="shared" si="33"/>
        <v/>
      </c>
      <c r="H72" s="226"/>
      <c r="J72" s="226" t="str">
        <f t="shared" si="34"/>
        <v/>
      </c>
      <c r="K72" s="226"/>
      <c r="L72" s="226" t="str">
        <f t="shared" si="35"/>
        <v/>
      </c>
      <c r="M72" s="226"/>
      <c r="N72" s="226" t="str">
        <f t="shared" si="36"/>
        <v/>
      </c>
      <c r="O72" s="226"/>
      <c r="P72" s="226" t="str">
        <f t="shared" si="37"/>
        <v/>
      </c>
      <c r="Q72" s="226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26"/>
      <c r="W73" s="226"/>
      <c r="X73" s="226"/>
      <c r="Y73" s="226"/>
      <c r="Z73" s="226"/>
      <c r="AA73" s="226"/>
      <c r="AB73" s="226"/>
      <c r="AC73" s="226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28" t="str">
        <f>AX23</f>
        <v>12 36</v>
      </c>
      <c r="B74" s="228"/>
      <c r="C74" s="228"/>
      <c r="D74" s="228"/>
      <c r="E74" s="228"/>
      <c r="F74" s="228"/>
      <c r="G74" s="228"/>
      <c r="H74" s="228"/>
      <c r="J74" s="228" t="str">
        <f>BE23</f>
        <v>24 48</v>
      </c>
      <c r="K74" s="228"/>
      <c r="L74" s="228"/>
      <c r="M74" s="228"/>
      <c r="N74" s="228"/>
      <c r="O74" s="228"/>
      <c r="P74" s="228"/>
      <c r="Q74" s="228"/>
      <c r="V74" s="226"/>
      <c r="W74" s="226"/>
      <c r="X74" s="226"/>
      <c r="Y74" s="226"/>
      <c r="Z74" s="226"/>
      <c r="AA74" s="226"/>
      <c r="AB74" s="226"/>
      <c r="AC74" s="226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29" t="s">
        <v>101</v>
      </c>
      <c r="B75" s="229"/>
      <c r="C75" s="229" t="s">
        <v>102</v>
      </c>
      <c r="D75" s="229"/>
      <c r="E75" s="229" t="s">
        <v>103</v>
      </c>
      <c r="F75" s="229"/>
      <c r="G75" s="229" t="s">
        <v>104</v>
      </c>
      <c r="H75" s="229"/>
      <c r="J75" s="229" t="s">
        <v>101</v>
      </c>
      <c r="K75" s="229"/>
      <c r="L75" s="229" t="s">
        <v>102</v>
      </c>
      <c r="M75" s="229"/>
      <c r="N75" s="229" t="s">
        <v>103</v>
      </c>
      <c r="O75" s="229"/>
      <c r="P75" s="229" t="s">
        <v>104</v>
      </c>
      <c r="Q75" s="229"/>
      <c r="V75" s="226"/>
      <c r="W75" s="226"/>
      <c r="X75" s="226"/>
      <c r="Y75" s="226"/>
      <c r="Z75" s="226"/>
      <c r="AA75" s="226"/>
      <c r="AB75" s="226"/>
      <c r="AC75" s="226"/>
      <c r="AJ75" s="232" t="str">
        <f>[2]Vs!$J$79</f>
        <v>3/4L</v>
      </c>
      <c r="AK75" s="232"/>
      <c r="AL75" s="86"/>
      <c r="AM75" s="232" t="str">
        <f>[2]Vs!$V$59</f>
        <v>Final</v>
      </c>
      <c r="AN75" s="232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27" t="s">
        <v>52</v>
      </c>
      <c r="B76" s="227"/>
      <c r="C76" s="227" t="s">
        <v>105</v>
      </c>
      <c r="D76" s="227"/>
      <c r="E76" s="227" t="s">
        <v>106</v>
      </c>
      <c r="F76" s="227"/>
      <c r="G76" s="227" t="s">
        <v>106</v>
      </c>
      <c r="H76" s="227"/>
      <c r="I76" s="85"/>
      <c r="J76" s="227" t="s">
        <v>52</v>
      </c>
      <c r="K76" s="227"/>
      <c r="L76" s="227" t="s">
        <v>105</v>
      </c>
      <c r="M76" s="227"/>
      <c r="N76" s="227" t="s">
        <v>106</v>
      </c>
      <c r="O76" s="227"/>
      <c r="P76" s="227" t="s">
        <v>106</v>
      </c>
      <c r="Q76" s="227"/>
      <c r="V76" s="226" t="str">
        <f>IF(ISERROR(BN39)=TRUE,"",BM39)</f>
        <v/>
      </c>
      <c r="W76" s="226"/>
      <c r="X76" s="226" t="str">
        <f>IF(ISERROR(BN39)=TRUE,"",BN39)</f>
        <v/>
      </c>
      <c r="Y76" s="226"/>
      <c r="Z76" s="226" t="str">
        <f>IF(ISERROR(BN39)=TRUE,"",BP39)</f>
        <v/>
      </c>
      <c r="AA76" s="226"/>
      <c r="AB76" s="226" t="str">
        <f>IF(ISERROR(BN39)=TRUE,"",BQ39)</f>
        <v/>
      </c>
      <c r="AC76" s="226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26">
        <f t="shared" ref="A77:A89" si="44">IF(ISERROR(AZ25)=TRUE,"",AY25)</f>
        <v>0</v>
      </c>
      <c r="B77" s="226"/>
      <c r="C77" s="226">
        <f t="shared" ref="C77:C89" si="45">IF(ISERROR(AZ25)=TRUE,"",AZ25)</f>
        <v>167.4</v>
      </c>
      <c r="D77" s="226"/>
      <c r="E77" s="226">
        <f t="shared" ref="E77:E89" si="46">IF(ISERROR(AZ25)=TRUE,"",BB25)</f>
        <v>58.834380689092178</v>
      </c>
      <c r="F77" s="226"/>
      <c r="G77" s="226">
        <f t="shared" ref="G77:G89" si="47">IF(ISERROR(AZ25)=TRUE,"",BC25)</f>
        <v>158.8528278605489</v>
      </c>
      <c r="H77" s="226"/>
      <c r="J77" s="226" t="str">
        <f t="shared" ref="J77:J89" si="48">IF(ISERROR(BG25)=TRUE,"",BF25)</f>
        <v/>
      </c>
      <c r="K77" s="226"/>
      <c r="L77" s="226" t="str">
        <f t="shared" ref="L77:L89" si="49">IF(ISERROR(BG25)=TRUE,"",BG25)</f>
        <v/>
      </c>
      <c r="M77" s="226"/>
      <c r="N77" s="226" t="str">
        <f t="shared" ref="N77:N89" si="50">IF(ISERROR(BG25)=TRUE,"",BI25)</f>
        <v/>
      </c>
      <c r="O77" s="226"/>
      <c r="P77" s="226" t="str">
        <f t="shared" ref="P77:P89" si="51">IF(ISERROR(BG25)=TRUE,"",BJ25)</f>
        <v/>
      </c>
      <c r="Q77" s="226"/>
      <c r="V77" s="226" t="str">
        <f>IF(ISERROR(BN40)=TRUE,"",BM40)</f>
        <v/>
      </c>
      <c r="W77" s="226"/>
      <c r="X77" s="226" t="str">
        <f>IF(ISERROR(BN40)=TRUE,"",BN40)</f>
        <v/>
      </c>
      <c r="Y77" s="226"/>
      <c r="Z77" s="226" t="str">
        <f>IF(ISERROR(BN40)=TRUE,"",BP40)</f>
        <v/>
      </c>
      <c r="AA77" s="226"/>
      <c r="AB77" s="226" t="str">
        <f>IF(ISERROR(BN40)=TRUE,"",BQ40)</f>
        <v/>
      </c>
      <c r="AC77" s="226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26">
        <f t="shared" si="44"/>
        <v>0.1</v>
      </c>
      <c r="B78" s="226"/>
      <c r="C78" s="226">
        <f t="shared" si="45"/>
        <v>167.4</v>
      </c>
      <c r="D78" s="226"/>
      <c r="E78" s="226">
        <f t="shared" si="46"/>
        <v>58.834380689092178</v>
      </c>
      <c r="F78" s="226"/>
      <c r="G78" s="226">
        <f t="shared" si="47"/>
        <v>158.8528278605489</v>
      </c>
      <c r="H78" s="226"/>
      <c r="J78" s="226" t="str">
        <f t="shared" si="48"/>
        <v/>
      </c>
      <c r="K78" s="226"/>
      <c r="L78" s="226" t="str">
        <f t="shared" si="49"/>
        <v/>
      </c>
      <c r="M78" s="226"/>
      <c r="N78" s="226" t="str">
        <f t="shared" si="50"/>
        <v/>
      </c>
      <c r="O78" s="226"/>
      <c r="P78" s="226" t="str">
        <f t="shared" si="51"/>
        <v/>
      </c>
      <c r="Q78" s="226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26">
        <f t="shared" si="44"/>
        <v>0.1</v>
      </c>
      <c r="B79" s="226"/>
      <c r="C79" s="226">
        <f t="shared" si="45"/>
        <v>167.4</v>
      </c>
      <c r="D79" s="226"/>
      <c r="E79" s="226">
        <f t="shared" si="46"/>
        <v>52.296358496539007</v>
      </c>
      <c r="F79" s="226"/>
      <c r="G79" s="226">
        <f t="shared" si="47"/>
        <v>141.20016794065532</v>
      </c>
      <c r="H79" s="226"/>
      <c r="J79" s="226" t="str">
        <f t="shared" si="48"/>
        <v/>
      </c>
      <c r="K79" s="226"/>
      <c r="L79" s="226" t="str">
        <f t="shared" si="49"/>
        <v/>
      </c>
      <c r="M79" s="226"/>
      <c r="N79" s="226" t="str">
        <f t="shared" si="50"/>
        <v/>
      </c>
      <c r="O79" s="226"/>
      <c r="P79" s="226" t="str">
        <f t="shared" si="51"/>
        <v/>
      </c>
      <c r="Q79" s="226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26">
        <f t="shared" si="44"/>
        <v>2.54</v>
      </c>
      <c r="B80" s="226"/>
      <c r="C80" s="226">
        <f t="shared" si="45"/>
        <v>167.4</v>
      </c>
      <c r="D80" s="226"/>
      <c r="E80" s="226">
        <f t="shared" si="46"/>
        <v>52.296358496539007</v>
      </c>
      <c r="F80" s="226"/>
      <c r="G80" s="226">
        <f t="shared" si="47"/>
        <v>141.20016794065532</v>
      </c>
      <c r="H80" s="226"/>
      <c r="J80" s="226" t="str">
        <f t="shared" si="48"/>
        <v/>
      </c>
      <c r="K80" s="226"/>
      <c r="L80" s="226" t="str">
        <f t="shared" si="49"/>
        <v/>
      </c>
      <c r="M80" s="226"/>
      <c r="N80" s="226" t="str">
        <f t="shared" si="50"/>
        <v/>
      </c>
      <c r="O80" s="226"/>
      <c r="P80" s="226" t="str">
        <f t="shared" si="51"/>
        <v/>
      </c>
      <c r="Q80" s="226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26">
        <f t="shared" si="44"/>
        <v>2.54</v>
      </c>
      <c r="B81" s="226"/>
      <c r="C81" s="226">
        <f t="shared" si="45"/>
        <v>191.4</v>
      </c>
      <c r="D81" s="226"/>
      <c r="E81" s="226">
        <f t="shared" si="46"/>
        <v>66.49364658286548</v>
      </c>
      <c r="F81" s="226"/>
      <c r="G81" s="226">
        <f t="shared" si="47"/>
        <v>179.5328457737368</v>
      </c>
      <c r="H81" s="226"/>
      <c r="J81" s="226" t="str">
        <f t="shared" si="48"/>
        <v/>
      </c>
      <c r="K81" s="226"/>
      <c r="L81" s="226" t="str">
        <f t="shared" si="49"/>
        <v/>
      </c>
      <c r="M81" s="226"/>
      <c r="N81" s="226" t="str">
        <f t="shared" si="50"/>
        <v/>
      </c>
      <c r="O81" s="226"/>
      <c r="P81" s="226" t="str">
        <f t="shared" si="51"/>
        <v/>
      </c>
      <c r="Q81" s="226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26">
        <f t="shared" si="44"/>
        <v>8.27</v>
      </c>
      <c r="B82" s="226"/>
      <c r="C82" s="226">
        <f t="shared" si="45"/>
        <v>191.4</v>
      </c>
      <c r="D82" s="226"/>
      <c r="E82" s="226">
        <f t="shared" si="46"/>
        <v>66.49364658286548</v>
      </c>
      <c r="F82" s="226"/>
      <c r="G82" s="226">
        <f t="shared" si="47"/>
        <v>179.5328457737368</v>
      </c>
      <c r="H82" s="226"/>
      <c r="J82" s="226" t="str">
        <f t="shared" si="48"/>
        <v/>
      </c>
      <c r="K82" s="226"/>
      <c r="L82" s="226" t="str">
        <f t="shared" si="49"/>
        <v/>
      </c>
      <c r="M82" s="226"/>
      <c r="N82" s="226" t="str">
        <f t="shared" si="50"/>
        <v/>
      </c>
      <c r="O82" s="226"/>
      <c r="P82" s="226" t="str">
        <f t="shared" si="51"/>
        <v/>
      </c>
      <c r="Q82" s="226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26">
        <f t="shared" si="44"/>
        <v>8.27</v>
      </c>
      <c r="B83" s="226"/>
      <c r="C83" s="226">
        <f t="shared" si="45"/>
        <v>192.31</v>
      </c>
      <c r="D83" s="226"/>
      <c r="E83" s="226">
        <f t="shared" si="46"/>
        <v>65.067741706331361</v>
      </c>
      <c r="F83" s="226"/>
      <c r="G83" s="226">
        <f t="shared" si="47"/>
        <v>175.68290260709469</v>
      </c>
      <c r="H83" s="226"/>
      <c r="J83" s="226" t="str">
        <f t="shared" si="48"/>
        <v/>
      </c>
      <c r="K83" s="226"/>
      <c r="L83" s="226" t="str">
        <f t="shared" si="49"/>
        <v/>
      </c>
      <c r="M83" s="226"/>
      <c r="N83" s="226" t="str">
        <f t="shared" si="50"/>
        <v/>
      </c>
      <c r="O83" s="226"/>
      <c r="P83" s="226" t="str">
        <f t="shared" si="51"/>
        <v/>
      </c>
      <c r="Q83" s="226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26">
        <f t="shared" si="44"/>
        <v>15.93</v>
      </c>
      <c r="B84" s="226"/>
      <c r="C84" s="226">
        <f t="shared" si="45"/>
        <v>192.31</v>
      </c>
      <c r="D84" s="226"/>
      <c r="E84" s="226">
        <f t="shared" si="46"/>
        <v>65.067741706331361</v>
      </c>
      <c r="F84" s="226"/>
      <c r="G84" s="226">
        <f t="shared" si="47"/>
        <v>175.68290260709469</v>
      </c>
      <c r="H84" s="226"/>
      <c r="J84" s="226" t="str">
        <f t="shared" si="48"/>
        <v/>
      </c>
      <c r="K84" s="226"/>
      <c r="L84" s="226" t="str">
        <f t="shared" si="49"/>
        <v/>
      </c>
      <c r="M84" s="226"/>
      <c r="N84" s="226" t="str">
        <f t="shared" si="50"/>
        <v/>
      </c>
      <c r="O84" s="226"/>
      <c r="P84" s="226" t="str">
        <f t="shared" si="51"/>
        <v/>
      </c>
      <c r="Q84" s="226"/>
      <c r="S84" s="232" t="s">
        <v>108</v>
      </c>
      <c r="T84" s="232"/>
      <c r="U84" s="232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26">
        <f t="shared" si="44"/>
        <v>15.93</v>
      </c>
      <c r="B85" s="226"/>
      <c r="C85" s="226">
        <f t="shared" si="45"/>
        <v>338.262</v>
      </c>
      <c r="D85" s="226"/>
      <c r="E85" s="226">
        <f t="shared" si="46"/>
        <v>220.37574654412859</v>
      </c>
      <c r="F85" s="226"/>
      <c r="G85" s="226">
        <f t="shared" si="47"/>
        <v>595.01451566914727</v>
      </c>
      <c r="H85" s="226"/>
      <c r="J85" s="226" t="str">
        <f t="shared" si="48"/>
        <v/>
      </c>
      <c r="K85" s="226"/>
      <c r="L85" s="226" t="str">
        <f t="shared" si="49"/>
        <v/>
      </c>
      <c r="M85" s="226"/>
      <c r="N85" s="226" t="str">
        <f t="shared" si="50"/>
        <v/>
      </c>
      <c r="O85" s="226"/>
      <c r="P85" s="226" t="str">
        <f t="shared" si="51"/>
        <v/>
      </c>
      <c r="Q85" s="226"/>
      <c r="S85" s="231" t="s">
        <v>109</v>
      </c>
      <c r="T85" s="231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26">
        <f t="shared" si="44"/>
        <v>27.32</v>
      </c>
      <c r="B86" s="226"/>
      <c r="C86" s="226">
        <f t="shared" si="45"/>
        <v>338.262</v>
      </c>
      <c r="D86" s="226"/>
      <c r="E86" s="226">
        <f t="shared" si="46"/>
        <v>220.37574654412859</v>
      </c>
      <c r="F86" s="226"/>
      <c r="G86" s="226">
        <f t="shared" si="47"/>
        <v>595.01451566914727</v>
      </c>
      <c r="H86" s="226"/>
      <c r="J86" s="226" t="str">
        <f t="shared" si="48"/>
        <v/>
      </c>
      <c r="K86" s="226"/>
      <c r="L86" s="226" t="str">
        <f t="shared" si="49"/>
        <v/>
      </c>
      <c r="M86" s="226"/>
      <c r="N86" s="226" t="str">
        <f t="shared" si="50"/>
        <v/>
      </c>
      <c r="O86" s="226"/>
      <c r="P86" s="226" t="str">
        <f t="shared" si="51"/>
        <v/>
      </c>
      <c r="Q86" s="226"/>
      <c r="S86" s="231" t="s">
        <v>93</v>
      </c>
      <c r="T86" s="231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26">
        <f t="shared" si="44"/>
        <v>27.32</v>
      </c>
      <c r="B87" s="226"/>
      <c r="C87" s="226">
        <f t="shared" si="45"/>
        <v>461.96899999999999</v>
      </c>
      <c r="D87" s="226"/>
      <c r="E87" s="226">
        <f t="shared" si="46"/>
        <v>426.68242113614144</v>
      </c>
      <c r="F87" s="226"/>
      <c r="G87" s="226">
        <f t="shared" si="47"/>
        <v>1152.0425370675819</v>
      </c>
      <c r="H87" s="226"/>
      <c r="J87" s="226" t="str">
        <f t="shared" si="48"/>
        <v/>
      </c>
      <c r="K87" s="226"/>
      <c r="L87" s="226" t="str">
        <f t="shared" si="49"/>
        <v/>
      </c>
      <c r="M87" s="226"/>
      <c r="N87" s="226" t="str">
        <f t="shared" si="50"/>
        <v/>
      </c>
      <c r="O87" s="226"/>
      <c r="P87" s="226" t="str">
        <f t="shared" si="51"/>
        <v/>
      </c>
      <c r="Q87" s="226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26">
        <f t="shared" si="44"/>
        <v>50.1</v>
      </c>
      <c r="B88" s="226"/>
      <c r="C88" s="226">
        <f t="shared" si="45"/>
        <v>461.96899999999999</v>
      </c>
      <c r="D88" s="226"/>
      <c r="E88" s="226">
        <f t="shared" si="46"/>
        <v>426.68242113614144</v>
      </c>
      <c r="F88" s="226"/>
      <c r="G88" s="226">
        <f t="shared" si="47"/>
        <v>1152.0425370675819</v>
      </c>
      <c r="H88" s="226"/>
      <c r="J88" s="226" t="str">
        <f t="shared" si="48"/>
        <v/>
      </c>
      <c r="K88" s="226"/>
      <c r="L88" s="226" t="str">
        <f t="shared" si="49"/>
        <v/>
      </c>
      <c r="M88" s="226"/>
      <c r="N88" s="226" t="str">
        <f t="shared" si="50"/>
        <v/>
      </c>
      <c r="O88" s="226"/>
      <c r="P88" s="226" t="str">
        <f t="shared" si="51"/>
        <v/>
      </c>
      <c r="Q88" s="226"/>
      <c r="S88" s="230" t="s">
        <v>110</v>
      </c>
      <c r="T88" s="230"/>
      <c r="U88" s="230"/>
      <c r="V88" s="230"/>
      <c r="W88" s="230"/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26" t="str">
        <f t="shared" si="44"/>
        <v/>
      </c>
      <c r="B89" s="226"/>
      <c r="C89" s="226" t="str">
        <f t="shared" si="45"/>
        <v/>
      </c>
      <c r="D89" s="226"/>
      <c r="E89" s="226" t="str">
        <f t="shared" si="46"/>
        <v/>
      </c>
      <c r="F89" s="226"/>
      <c r="G89" s="226" t="str">
        <f t="shared" si="47"/>
        <v/>
      </c>
      <c r="H89" s="226"/>
      <c r="J89" s="226" t="str">
        <f t="shared" si="48"/>
        <v/>
      </c>
      <c r="K89" s="226"/>
      <c r="L89" s="226" t="str">
        <f t="shared" si="49"/>
        <v/>
      </c>
      <c r="M89" s="226"/>
      <c r="N89" s="226" t="str">
        <f t="shared" si="50"/>
        <v/>
      </c>
      <c r="O89" s="226"/>
      <c r="P89" s="226" t="str">
        <f t="shared" si="51"/>
        <v/>
      </c>
      <c r="Q89" s="226"/>
      <c r="S89" s="230"/>
      <c r="T89" s="230"/>
      <c r="U89" s="230"/>
      <c r="V89" s="230"/>
      <c r="W89" s="230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28" t="str">
        <f>BL23</f>
        <v>Final</v>
      </c>
      <c r="F90" s="228"/>
      <c r="G90" s="228"/>
      <c r="H90" s="228"/>
      <c r="I90" s="228"/>
      <c r="J90" s="228"/>
      <c r="K90" s="228"/>
      <c r="L90" s="228"/>
    </row>
    <row r="91" spans="1:49" x14ac:dyDescent="0.25">
      <c r="E91" s="229" t="s">
        <v>101</v>
      </c>
      <c r="F91" s="229"/>
      <c r="G91" s="229" t="s">
        <v>102</v>
      </c>
      <c r="H91" s="229"/>
      <c r="I91" s="229" t="s">
        <v>103</v>
      </c>
      <c r="J91" s="229"/>
      <c r="K91" s="229" t="s">
        <v>104</v>
      </c>
      <c r="L91" s="229"/>
    </row>
    <row r="92" spans="1:49" x14ac:dyDescent="0.25">
      <c r="E92" s="227" t="s">
        <v>52</v>
      </c>
      <c r="F92" s="227"/>
      <c r="G92" s="227" t="s">
        <v>105</v>
      </c>
      <c r="H92" s="227"/>
      <c r="I92" s="227" t="s">
        <v>106</v>
      </c>
      <c r="J92" s="227"/>
      <c r="K92" s="227" t="s">
        <v>106</v>
      </c>
      <c r="L92" s="227"/>
    </row>
    <row r="93" spans="1:49" x14ac:dyDescent="0.25">
      <c r="E93" s="226" t="str">
        <f t="shared" ref="E93:E104" si="56">IF(ISERROR(BN25)=TRUE,"",BM25)</f>
        <v/>
      </c>
      <c r="F93" s="226"/>
      <c r="G93" s="226" t="str">
        <f t="shared" ref="G93:G104" si="57">IF(ISERROR(BN25)=TRUE,"",BN25)</f>
        <v/>
      </c>
      <c r="H93" s="226"/>
      <c r="I93" s="226" t="str">
        <f t="shared" ref="I93:I104" si="58">IF(ISERROR(BN25)=TRUE,"",BP25)</f>
        <v/>
      </c>
      <c r="J93" s="226"/>
      <c r="K93" s="226" t="str">
        <f t="shared" ref="K93:K104" si="59">IF(ISERROR(BN25)=TRUE,"",BQ25)</f>
        <v/>
      </c>
      <c r="L93" s="226"/>
      <c r="AM93" s="30" t="str">
        <f>IF(V75="","",V75)</f>
        <v/>
      </c>
      <c r="AN93" s="30" t="str">
        <f>IF(X75="","",X75)</f>
        <v/>
      </c>
    </row>
    <row r="94" spans="1:49" x14ac:dyDescent="0.25">
      <c r="E94" s="226" t="str">
        <f t="shared" si="56"/>
        <v/>
      </c>
      <c r="F94" s="226"/>
      <c r="G94" s="226" t="str">
        <f t="shared" si="57"/>
        <v/>
      </c>
      <c r="H94" s="226"/>
      <c r="I94" s="226" t="str">
        <f t="shared" si="58"/>
        <v/>
      </c>
      <c r="J94" s="226"/>
      <c r="K94" s="226" t="str">
        <f t="shared" si="59"/>
        <v/>
      </c>
      <c r="L94" s="226"/>
    </row>
    <row r="95" spans="1:49" x14ac:dyDescent="0.25">
      <c r="A95" s="226" t="str">
        <f>IF(ISERROR(AZ38)=TRUE,"",AY38)</f>
        <v/>
      </c>
      <c r="B95" s="226"/>
      <c r="E95" s="226" t="str">
        <f t="shared" si="56"/>
        <v/>
      </c>
      <c r="F95" s="226"/>
      <c r="G95" s="226" t="str">
        <f t="shared" si="57"/>
        <v/>
      </c>
      <c r="H95" s="226"/>
      <c r="I95" s="226" t="str">
        <f t="shared" si="58"/>
        <v/>
      </c>
      <c r="J95" s="226"/>
      <c r="K95" s="226" t="str">
        <f t="shared" si="59"/>
        <v/>
      </c>
      <c r="L95" s="226"/>
    </row>
    <row r="96" spans="1:49" x14ac:dyDescent="0.25">
      <c r="A96" s="226" t="str">
        <f>IF(ISERROR(AZ39)=TRUE,"",AY39)</f>
        <v/>
      </c>
      <c r="B96" s="226"/>
      <c r="E96" s="226" t="str">
        <f t="shared" si="56"/>
        <v/>
      </c>
      <c r="F96" s="226"/>
      <c r="G96" s="226" t="str">
        <f t="shared" si="57"/>
        <v/>
      </c>
      <c r="H96" s="226"/>
      <c r="I96" s="226" t="str">
        <f t="shared" si="58"/>
        <v/>
      </c>
      <c r="J96" s="226"/>
      <c r="K96" s="226" t="str">
        <f t="shared" si="59"/>
        <v/>
      </c>
      <c r="L96" s="226"/>
    </row>
    <row r="97" spans="1:34" x14ac:dyDescent="0.25">
      <c r="A97" s="226" t="str">
        <f>IF(ISERROR(AZ40)=TRUE,"",AY40)</f>
        <v/>
      </c>
      <c r="B97" s="226"/>
      <c r="E97" s="226" t="str">
        <f t="shared" si="56"/>
        <v/>
      </c>
      <c r="F97" s="226"/>
      <c r="G97" s="226" t="str">
        <f t="shared" si="57"/>
        <v/>
      </c>
      <c r="H97" s="226"/>
      <c r="I97" s="226" t="str">
        <f t="shared" si="58"/>
        <v/>
      </c>
      <c r="J97" s="226"/>
      <c r="K97" s="226" t="str">
        <f t="shared" si="59"/>
        <v/>
      </c>
      <c r="L97" s="226"/>
    </row>
    <row r="98" spans="1:34" x14ac:dyDescent="0.25">
      <c r="E98" s="226" t="str">
        <f t="shared" si="56"/>
        <v/>
      </c>
      <c r="F98" s="226"/>
      <c r="G98" s="226" t="str">
        <f t="shared" si="57"/>
        <v/>
      </c>
      <c r="H98" s="226"/>
      <c r="I98" s="226" t="str">
        <f t="shared" si="58"/>
        <v/>
      </c>
      <c r="J98" s="226"/>
      <c r="K98" s="226" t="str">
        <f t="shared" si="59"/>
        <v/>
      </c>
      <c r="L98" s="226"/>
    </row>
    <row r="99" spans="1:34" x14ac:dyDescent="0.25">
      <c r="E99" s="226" t="str">
        <f t="shared" si="56"/>
        <v/>
      </c>
      <c r="F99" s="226"/>
      <c r="G99" s="226" t="str">
        <f t="shared" si="57"/>
        <v/>
      </c>
      <c r="H99" s="226"/>
      <c r="I99" s="226" t="str">
        <f t="shared" si="58"/>
        <v/>
      </c>
      <c r="J99" s="226"/>
      <c r="K99" s="226" t="str">
        <f t="shared" si="59"/>
        <v/>
      </c>
      <c r="L99" s="226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26" t="str">
        <f t="shared" si="56"/>
        <v/>
      </c>
      <c r="F100" s="226"/>
      <c r="G100" s="226" t="str">
        <f t="shared" si="57"/>
        <v/>
      </c>
      <c r="H100" s="226"/>
      <c r="I100" s="226" t="str">
        <f t="shared" si="58"/>
        <v/>
      </c>
      <c r="J100" s="226"/>
      <c r="K100" s="226" t="str">
        <f t="shared" si="59"/>
        <v/>
      </c>
      <c r="L100" s="226"/>
    </row>
    <row r="101" spans="1:34" x14ac:dyDescent="0.25">
      <c r="E101" s="226" t="str">
        <f t="shared" si="56"/>
        <v/>
      </c>
      <c r="F101" s="226"/>
      <c r="G101" s="226" t="str">
        <f t="shared" si="57"/>
        <v/>
      </c>
      <c r="H101" s="226"/>
      <c r="I101" s="226" t="str">
        <f t="shared" si="58"/>
        <v/>
      </c>
      <c r="J101" s="226"/>
      <c r="K101" s="226" t="str">
        <f t="shared" si="59"/>
        <v/>
      </c>
      <c r="L101" s="226"/>
    </row>
    <row r="102" spans="1:34" x14ac:dyDescent="0.25">
      <c r="E102" s="226" t="str">
        <f t="shared" si="56"/>
        <v/>
      </c>
      <c r="F102" s="226"/>
      <c r="G102" s="226" t="str">
        <f t="shared" si="57"/>
        <v/>
      </c>
      <c r="H102" s="226"/>
      <c r="I102" s="226" t="str">
        <f t="shared" si="58"/>
        <v/>
      </c>
      <c r="J102" s="226"/>
      <c r="K102" s="226" t="str">
        <f t="shared" si="59"/>
        <v/>
      </c>
      <c r="L102" s="226"/>
    </row>
    <row r="103" spans="1:34" x14ac:dyDescent="0.25">
      <c r="E103" s="226" t="str">
        <f t="shared" si="56"/>
        <v/>
      </c>
      <c r="F103" s="226"/>
      <c r="G103" s="226" t="str">
        <f t="shared" si="57"/>
        <v/>
      </c>
      <c r="H103" s="226"/>
      <c r="I103" s="226" t="str">
        <f t="shared" si="58"/>
        <v/>
      </c>
      <c r="J103" s="226"/>
      <c r="K103" s="226" t="str">
        <f t="shared" si="59"/>
        <v/>
      </c>
      <c r="L103" s="226"/>
    </row>
    <row r="104" spans="1:34" x14ac:dyDescent="0.25">
      <c r="E104" s="226" t="str">
        <f t="shared" si="56"/>
        <v/>
      </c>
      <c r="F104" s="226"/>
      <c r="G104" s="226" t="str">
        <f t="shared" si="57"/>
        <v/>
      </c>
      <c r="H104" s="226"/>
      <c r="I104" s="226" t="str">
        <f t="shared" si="58"/>
        <v/>
      </c>
      <c r="J104" s="226"/>
      <c r="K104" s="226" t="str">
        <f t="shared" si="59"/>
        <v/>
      </c>
      <c r="L104" s="226"/>
    </row>
  </sheetData>
  <mergeCells count="427"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S40"/>
  <sheetViews>
    <sheetView showGridLines="0" tabSelected="1" view="pageBreakPreview" zoomScale="85" zoomScaleNormal="100" zoomScaleSheet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0" t="str">
        <f>'A1'!A1</f>
        <v>L01</v>
      </c>
      <c r="N1" s="187"/>
      <c r="O1" s="187"/>
      <c r="P1" s="187"/>
      <c r="Q1" s="187"/>
      <c r="R1" s="187"/>
      <c r="S1" s="187"/>
    </row>
    <row r="2" spans="1:19" ht="11.45" customHeight="1" x14ac:dyDescent="0.2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0"/>
      <c r="N2" s="187"/>
      <c r="O2" s="187"/>
      <c r="P2" s="187"/>
      <c r="Q2" s="187"/>
      <c r="R2" s="249"/>
      <c r="S2" s="249"/>
    </row>
    <row r="3" spans="1:19" ht="11.45" customHeight="1" x14ac:dyDescent="0.2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0"/>
      <c r="N3" s="187"/>
      <c r="O3" s="187"/>
      <c r="P3" s="187"/>
      <c r="Q3" s="187"/>
      <c r="R3" s="249"/>
      <c r="S3" s="249"/>
    </row>
    <row r="4" spans="1:19" ht="11.45" customHeight="1" x14ac:dyDescent="0.2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172" t="str">
        <f>'A1'!E9</f>
        <v>74° 10'17.6"O</v>
      </c>
      <c r="K4" s="172" t="str">
        <f>'A1'!F9</f>
        <v>4°35'42.9"N</v>
      </c>
      <c r="L4" s="96"/>
      <c r="M4" s="250"/>
      <c r="N4" s="187"/>
      <c r="O4" s="187"/>
      <c r="P4" s="187"/>
      <c r="Q4" s="187"/>
      <c r="R4" s="249"/>
      <c r="S4" s="249"/>
    </row>
    <row r="5" spans="1:19" ht="11.45" customHeight="1" x14ac:dyDescent="0.2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73" t="str">
        <f>'A1'!E10</f>
        <v>74° 10'17.6"O</v>
      </c>
      <c r="K5" s="173" t="str">
        <f>'A1'!F10</f>
        <v>4°35'39.8"N</v>
      </c>
      <c r="L5" s="97"/>
      <c r="M5" s="250"/>
      <c r="N5" s="187"/>
      <c r="O5" s="187"/>
      <c r="P5" s="187"/>
      <c r="Q5" s="187"/>
      <c r="R5" s="249"/>
      <c r="S5" s="249"/>
    </row>
    <row r="6" spans="1:19" ht="11.45" customHeight="1" x14ac:dyDescent="0.2">
      <c r="A6" s="246" t="s">
        <v>157</v>
      </c>
      <c r="B6" s="246"/>
      <c r="C6" s="246"/>
      <c r="D6" s="246"/>
      <c r="E6" s="246"/>
      <c r="F6" s="246"/>
      <c r="G6" s="246"/>
      <c r="H6" s="246"/>
      <c r="I6" s="246"/>
      <c r="J6" s="246"/>
      <c r="K6" s="246"/>
      <c r="L6" s="96"/>
      <c r="M6" s="186"/>
      <c r="N6" s="187"/>
      <c r="O6" s="187"/>
      <c r="P6" s="187"/>
      <c r="Q6" s="187"/>
      <c r="R6" s="249"/>
      <c r="S6" s="249"/>
    </row>
    <row r="7" spans="1:19" ht="14.25" x14ac:dyDescent="0.2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7"/>
      <c r="N7" s="187"/>
      <c r="O7" s="187"/>
      <c r="P7" s="187"/>
      <c r="Q7" s="187"/>
      <c r="R7" s="249"/>
      <c r="S7" s="249"/>
    </row>
    <row r="8" spans="1:19" ht="14.25" x14ac:dyDescent="0.2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7"/>
      <c r="N8" s="187"/>
      <c r="O8" s="187"/>
      <c r="P8" s="187"/>
      <c r="Q8" s="187"/>
      <c r="R8" s="249"/>
      <c r="S8" s="249"/>
    </row>
    <row r="9" spans="1:19" ht="14.25" x14ac:dyDescent="0.2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7"/>
      <c r="N9" s="187"/>
      <c r="O9" s="187"/>
      <c r="P9" s="187"/>
      <c r="Q9" s="187"/>
      <c r="R9" s="187"/>
      <c r="S9" s="187"/>
    </row>
    <row r="10" spans="1:19" ht="14.25" x14ac:dyDescent="0.2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7"/>
      <c r="N10" s="187"/>
      <c r="O10" s="187"/>
      <c r="P10" s="187"/>
      <c r="Q10" s="187"/>
      <c r="R10" s="187"/>
      <c r="S10" s="187"/>
    </row>
    <row r="11" spans="1:19" ht="14.25" x14ac:dyDescent="0.2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87"/>
      <c r="N11" s="187"/>
      <c r="O11" s="187"/>
      <c r="P11" s="187"/>
      <c r="Q11" s="187"/>
      <c r="R11" s="187"/>
      <c r="S11" s="187"/>
    </row>
    <row r="12" spans="1:19" ht="14.25" x14ac:dyDescent="0.2">
      <c r="A12" s="96"/>
      <c r="B12" s="96"/>
      <c r="C12" s="96"/>
      <c r="D12" s="96"/>
      <c r="E12" s="96"/>
      <c r="F12" s="96"/>
      <c r="G12" s="96"/>
      <c r="H12" s="96"/>
      <c r="J12" s="212"/>
      <c r="K12" s="96"/>
      <c r="L12" s="96"/>
      <c r="M12" s="187"/>
      <c r="N12" s="187"/>
      <c r="O12" s="187"/>
      <c r="P12" s="187"/>
      <c r="Q12" s="187"/>
      <c r="R12" s="187"/>
      <c r="S12" s="187"/>
    </row>
    <row r="13" spans="1:19" ht="14.25" x14ac:dyDescent="0.2">
      <c r="A13" s="96"/>
      <c r="B13" s="96"/>
      <c r="C13" s="96"/>
      <c r="D13" s="96"/>
      <c r="E13" s="96"/>
      <c r="F13" s="96"/>
      <c r="G13" s="96"/>
      <c r="H13" s="96"/>
      <c r="J13" s="212"/>
      <c r="K13" s="96"/>
      <c r="L13" s="96"/>
      <c r="M13" s="187"/>
      <c r="N13" s="187"/>
      <c r="O13" s="187"/>
      <c r="P13" s="187"/>
      <c r="Q13" s="187"/>
      <c r="R13" s="187"/>
      <c r="S13" s="187"/>
    </row>
    <row r="14" spans="1:19" ht="14.25" x14ac:dyDescent="0.2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7"/>
      <c r="N14" s="187"/>
      <c r="O14" s="187"/>
      <c r="P14" s="187"/>
      <c r="Q14" s="187"/>
      <c r="R14" s="187"/>
      <c r="S14" s="187"/>
    </row>
    <row r="15" spans="1:19" ht="14.25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7"/>
      <c r="N15" s="187"/>
      <c r="O15" s="187"/>
      <c r="P15" s="187"/>
      <c r="Q15" s="187"/>
      <c r="R15" s="187"/>
      <c r="S15" s="187"/>
    </row>
    <row r="16" spans="1:19" ht="14.25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7"/>
      <c r="N16" s="187"/>
      <c r="O16" s="187"/>
      <c r="P16" s="187"/>
      <c r="Q16" s="187"/>
      <c r="R16" s="187"/>
      <c r="S16" s="187"/>
    </row>
    <row r="17" spans="1:19" ht="14.25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7"/>
      <c r="N17" s="187"/>
      <c r="O17" s="187"/>
      <c r="P17" s="187"/>
      <c r="Q17" s="187"/>
      <c r="R17" s="187"/>
      <c r="S17" s="187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245" t="s">
        <v>156</v>
      </c>
      <c r="C25" s="245"/>
      <c r="D25" s="245"/>
      <c r="E25" s="245"/>
      <c r="F25" s="245"/>
      <c r="G25" s="245"/>
      <c r="H25" s="245"/>
      <c r="I25" s="245"/>
      <c r="J25" s="245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7">
    <mergeCell ref="B25:J25"/>
    <mergeCell ref="A6:K6"/>
    <mergeCell ref="B4:E4"/>
    <mergeCell ref="B5:E5"/>
    <mergeCell ref="R2:S8"/>
    <mergeCell ref="M1:M5"/>
    <mergeCell ref="J12:J13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/>
  <dimension ref="A1:Y38"/>
  <sheetViews>
    <sheetView showGridLines="0" view="pageBreakPreview" zoomScale="70" zoomScaleNormal="100" zoomScaleSheetLayoutView="70" workbookViewId="0">
      <selection activeCell="K22" sqref="K22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92" t="s">
        <v>148</v>
      </c>
      <c r="M1" s="94"/>
      <c r="P1" s="105" t="s">
        <v>112</v>
      </c>
      <c r="Q1" s="98"/>
      <c r="R1" s="98"/>
      <c r="S1" s="98">
        <f>'A1'!B11</f>
        <v>4</v>
      </c>
      <c r="U1" s="98"/>
      <c r="V1" s="5"/>
      <c r="W1" s="5"/>
    </row>
    <row r="2" spans="1:25" x14ac:dyDescent="0.2">
      <c r="H2" s="96"/>
      <c r="I2" s="96"/>
      <c r="J2" s="96"/>
      <c r="K2" s="168"/>
      <c r="M2" s="94"/>
      <c r="P2" s="105" t="s">
        <v>113</v>
      </c>
      <c r="Q2" s="98"/>
      <c r="R2" s="98"/>
      <c r="S2" s="98">
        <f>'A1'!E11</f>
        <v>92</v>
      </c>
      <c r="U2" s="98"/>
      <c r="V2" s="5"/>
      <c r="W2" s="5" t="s">
        <v>119</v>
      </c>
      <c r="Y2" s="170" t="s">
        <v>120</v>
      </c>
    </row>
    <row r="3" spans="1:25" x14ac:dyDescent="0.2">
      <c r="H3" s="96"/>
      <c r="I3" s="96"/>
      <c r="J3" s="96"/>
      <c r="K3" s="96"/>
      <c r="M3" s="94"/>
      <c r="P3" s="105" t="s">
        <v>114</v>
      </c>
      <c r="Q3" s="98"/>
      <c r="R3" s="98"/>
      <c r="S3" s="98">
        <f>'A1'!B10</f>
        <v>24</v>
      </c>
      <c r="U3" s="98"/>
      <c r="V3" s="5" t="s">
        <v>121</v>
      </c>
      <c r="W3" s="5">
        <v>19430</v>
      </c>
      <c r="X3" s="179"/>
    </row>
    <row r="4" spans="1:25" x14ac:dyDescent="0.2">
      <c r="H4" s="105" t="s">
        <v>115</v>
      </c>
      <c r="I4" s="252" t="str">
        <f>'A1'!B3</f>
        <v>Cable Aereo Potosí</v>
      </c>
      <c r="J4" s="252"/>
      <c r="K4" s="252"/>
      <c r="P4" s="105" t="s">
        <v>116</v>
      </c>
      <c r="Q4" s="98"/>
      <c r="R4" s="98" t="str">
        <f>'A1'!E9</f>
        <v>74° 10'17.6"O</v>
      </c>
      <c r="S4" s="98" t="str">
        <f>'A1'!F9</f>
        <v>4°35'42.9"N</v>
      </c>
      <c r="U4" s="98"/>
      <c r="V4" s="5" t="s">
        <v>122</v>
      </c>
      <c r="W4" s="5">
        <f>1/0.51</f>
        <v>1.9607843137254901</v>
      </c>
    </row>
    <row r="5" spans="1:25" x14ac:dyDescent="0.2">
      <c r="H5" s="188" t="s">
        <v>117</v>
      </c>
      <c r="I5" s="253" t="str">
        <f>'A1'!B6</f>
        <v>L01</v>
      </c>
      <c r="J5" s="253"/>
      <c r="K5" s="253"/>
      <c r="L5" s="180"/>
      <c r="M5" s="180"/>
      <c r="N5" s="180"/>
      <c r="O5" s="180"/>
      <c r="P5" s="188" t="s">
        <v>118</v>
      </c>
      <c r="Q5" s="102"/>
      <c r="R5" s="102" t="str">
        <f>'A1'!E10</f>
        <v>74° 10'17.6"O</v>
      </c>
      <c r="S5" s="102" t="str">
        <f>'A1'!F10</f>
        <v>4°35'39.8"N</v>
      </c>
      <c r="U5" s="98"/>
      <c r="V5" s="5" t="s">
        <v>123</v>
      </c>
      <c r="W5" s="5">
        <v>1</v>
      </c>
    </row>
    <row r="6" spans="1:25" x14ac:dyDescent="0.2">
      <c r="H6" s="181"/>
      <c r="I6" s="255" t="s">
        <v>158</v>
      </c>
      <c r="J6" s="255"/>
      <c r="K6" s="255"/>
      <c r="L6" s="255"/>
      <c r="M6" s="255"/>
      <c r="N6" s="255"/>
      <c r="O6" s="255"/>
      <c r="P6" s="255"/>
      <c r="Q6" s="255"/>
      <c r="R6" s="255"/>
      <c r="S6" s="181"/>
      <c r="T6" s="181"/>
      <c r="U6" s="181"/>
    </row>
    <row r="7" spans="1:25" x14ac:dyDescent="0.2"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1:25" x14ac:dyDescent="0.2"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1:25" x14ac:dyDescent="0.2">
      <c r="A9" s="254" t="s">
        <v>124</v>
      </c>
      <c r="B9" s="254"/>
      <c r="C9" s="254" t="s">
        <v>133</v>
      </c>
      <c r="D9" s="254"/>
      <c r="E9" s="254" t="s">
        <v>138</v>
      </c>
      <c r="F9" s="254"/>
      <c r="G9" s="182"/>
      <c r="I9" s="251" t="str">
        <f>+Y2&amp;" "&amp;I5</f>
        <v>PERFIL PROMEDIO L01</v>
      </c>
      <c r="J9" s="251"/>
      <c r="K9" s="251"/>
      <c r="L9" s="251"/>
      <c r="M9" s="251"/>
      <c r="N9" s="251"/>
      <c r="O9" s="169"/>
      <c r="P9" s="169"/>
      <c r="Q9" s="169"/>
      <c r="R9" s="169"/>
      <c r="S9" s="169"/>
      <c r="T9" s="169"/>
      <c r="U9" s="169"/>
    </row>
    <row r="10" spans="1:25" ht="30.95" customHeight="1" x14ac:dyDescent="0.2">
      <c r="A10" s="28" t="str">
        <f>+'A2'!D4</f>
        <v>Prof.(m)</v>
      </c>
      <c r="B10" s="28" t="str">
        <f>+'A2'!E4</f>
        <v>Vs(m/s)</v>
      </c>
      <c r="C10" s="28" t="str">
        <f>+'A3'!D4</f>
        <v>Prof.(m)</v>
      </c>
      <c r="D10" s="28" t="str">
        <f>+'A3'!E4</f>
        <v>Vs(m/s)</v>
      </c>
      <c r="E10" s="28" t="str">
        <f>+'A4'!D4</f>
        <v>Prof.(m)</v>
      </c>
      <c r="F10" s="28" t="str">
        <f>+'A4'!E4</f>
        <v>Vs(m/s)</v>
      </c>
      <c r="I10" s="197" t="s">
        <v>107</v>
      </c>
      <c r="J10" s="197" t="s">
        <v>89</v>
      </c>
      <c r="K10" s="197" t="s">
        <v>125</v>
      </c>
      <c r="L10" s="197" t="s">
        <v>126</v>
      </c>
      <c r="M10" s="198" t="s">
        <v>127</v>
      </c>
      <c r="N10" s="198" t="s">
        <v>128</v>
      </c>
      <c r="O10" s="183"/>
      <c r="P10" s="183"/>
      <c r="Q10" s="183"/>
      <c r="R10" s="183"/>
      <c r="S10" s="183"/>
      <c r="T10" s="183"/>
      <c r="U10" s="183"/>
    </row>
    <row r="11" spans="1:25" x14ac:dyDescent="0.2">
      <c r="A11" s="28">
        <f>+'A2'!D5</f>
        <v>0</v>
      </c>
      <c r="B11" s="28">
        <f>+'A2'!E5</f>
        <v>164.17099999999999</v>
      </c>
      <c r="C11" s="28">
        <f>+'A3'!D5</f>
        <v>0</v>
      </c>
      <c r="D11" s="28">
        <f>+'A3'!E5</f>
        <v>171.029</v>
      </c>
      <c r="E11" s="28">
        <f>+'A4'!D5</f>
        <v>0</v>
      </c>
      <c r="F11" s="28">
        <f>+'A4'!E5</f>
        <v>167.4</v>
      </c>
      <c r="I11" s="195">
        <f t="shared" ref="I11:I20" si="0">AVERAGE(A11,C11,E11)</f>
        <v>0</v>
      </c>
      <c r="J11" s="184">
        <f t="shared" ref="J11:J20" si="1">AVERAGE(B11,D11,F11)</f>
        <v>167.53333333333333</v>
      </c>
      <c r="K11" s="184">
        <f t="shared" ref="K11:K20" si="2">IF((((M11/$W$3)^$W$4)*$W$5)&lt;80,((M11/$W$3)^$W$4)*$W$5,"RECHAZO")</f>
        <v>6.4279567292879563</v>
      </c>
      <c r="L11" s="195">
        <f>+L12</f>
        <v>17.880824609341612</v>
      </c>
      <c r="M11" s="196">
        <f t="shared" ref="M11:M20" si="3">+L11/10*J11^2</f>
        <v>50186.857452156117</v>
      </c>
      <c r="N11" s="196">
        <f t="shared" ref="N11:N20" si="4">2*M11*(1+0.33)</f>
        <v>133497.04082273529</v>
      </c>
      <c r="O11" s="184"/>
      <c r="P11" s="184"/>
      <c r="Q11" s="184"/>
      <c r="R11" s="184"/>
      <c r="S11" s="184"/>
      <c r="T11" s="184"/>
      <c r="U11" s="184"/>
    </row>
    <row r="12" spans="1:25" x14ac:dyDescent="0.2">
      <c r="A12" s="28">
        <f>+'A2'!D6</f>
        <v>2.44</v>
      </c>
      <c r="B12" s="28">
        <f>+'A2'!E6</f>
        <v>164.17099999999999</v>
      </c>
      <c r="C12" s="28">
        <f>+'A3'!D6</f>
        <v>2.44</v>
      </c>
      <c r="D12" s="28">
        <f>+'A3'!E6</f>
        <v>171.029</v>
      </c>
      <c r="E12" s="28">
        <f>+'A4'!D6</f>
        <v>2.44</v>
      </c>
      <c r="F12" s="28">
        <f>+'A4'!E6</f>
        <v>167.4</v>
      </c>
      <c r="I12" s="195">
        <f t="shared" si="0"/>
        <v>2.44</v>
      </c>
      <c r="J12" s="184">
        <f t="shared" si="1"/>
        <v>167.53333333333333</v>
      </c>
      <c r="K12" s="184">
        <f t="shared" si="2"/>
        <v>6.4279567292879563</v>
      </c>
      <c r="L12" s="195">
        <f t="shared" ref="L12:L20" si="5">8.32*LOG(J12)-1.61*LOG(I12)</f>
        <v>17.880824609341612</v>
      </c>
      <c r="M12" s="196">
        <f t="shared" si="3"/>
        <v>50186.857452156117</v>
      </c>
      <c r="N12" s="196">
        <f t="shared" si="4"/>
        <v>133497.04082273529</v>
      </c>
      <c r="O12" s="184"/>
      <c r="P12" s="184"/>
      <c r="Q12" s="184"/>
      <c r="R12" s="184"/>
      <c r="S12" s="184"/>
      <c r="T12" s="184"/>
      <c r="U12" s="184"/>
    </row>
    <row r="13" spans="1:25" x14ac:dyDescent="0.2">
      <c r="A13" s="28">
        <f>+'A2'!D7</f>
        <v>2.44</v>
      </c>
      <c r="B13" s="28">
        <f>+'A2'!E7</f>
        <v>200.46700000000001</v>
      </c>
      <c r="C13" s="28">
        <f>+'A3'!D7</f>
        <v>2.44</v>
      </c>
      <c r="D13" s="28">
        <f>+'A3'!E7</f>
        <v>192.91399999999999</v>
      </c>
      <c r="E13" s="28">
        <f>+'A4'!D7</f>
        <v>2.44</v>
      </c>
      <c r="F13" s="28">
        <f>+'A4'!E7</f>
        <v>191.4</v>
      </c>
      <c r="I13" s="195">
        <f t="shared" si="0"/>
        <v>2.44</v>
      </c>
      <c r="J13" s="184">
        <f t="shared" si="1"/>
        <v>194.92699999999999</v>
      </c>
      <c r="K13" s="184">
        <f t="shared" si="2"/>
        <v>12.350007473403242</v>
      </c>
      <c r="L13" s="195">
        <f t="shared" si="5"/>
        <v>18.428037410326858</v>
      </c>
      <c r="M13" s="196">
        <f t="shared" si="3"/>
        <v>70020.157450561819</v>
      </c>
      <c r="N13" s="196">
        <f t="shared" si="4"/>
        <v>186253.61881849446</v>
      </c>
      <c r="O13" s="184"/>
      <c r="P13" s="184"/>
      <c r="Q13" s="184"/>
      <c r="R13" s="184"/>
      <c r="S13" s="184"/>
      <c r="T13" s="184"/>
      <c r="U13" s="184"/>
    </row>
    <row r="14" spans="1:25" x14ac:dyDescent="0.2">
      <c r="A14" s="28">
        <f>+'A2'!D8</f>
        <v>8.17</v>
      </c>
      <c r="B14" s="28">
        <f>+'A2'!E8</f>
        <v>200.46700000000001</v>
      </c>
      <c r="C14" s="28">
        <f>+'A3'!D8</f>
        <v>8.17</v>
      </c>
      <c r="D14" s="28">
        <f>+'A3'!E8</f>
        <v>192.91399999999999</v>
      </c>
      <c r="E14" s="28">
        <f>+'A4'!D8</f>
        <v>8.17</v>
      </c>
      <c r="F14" s="28">
        <f>+'A4'!E8</f>
        <v>191.4</v>
      </c>
      <c r="I14" s="195">
        <f t="shared" si="0"/>
        <v>8.17</v>
      </c>
      <c r="J14" s="184">
        <f t="shared" si="1"/>
        <v>194.92699999999999</v>
      </c>
      <c r="K14" s="184">
        <f t="shared" si="2"/>
        <v>11.26411934191924</v>
      </c>
      <c r="L14" s="195">
        <f t="shared" si="5"/>
        <v>17.583057519715027</v>
      </c>
      <c r="M14" s="196">
        <f t="shared" si="3"/>
        <v>66809.526623969112</v>
      </c>
      <c r="N14" s="196">
        <f t="shared" si="4"/>
        <v>177713.34081975784</v>
      </c>
      <c r="O14" s="184"/>
      <c r="P14" s="184"/>
      <c r="Q14" s="184"/>
      <c r="R14" s="184"/>
      <c r="S14" s="184"/>
      <c r="T14" s="184"/>
      <c r="U14" s="184"/>
    </row>
    <row r="15" spans="1:25" x14ac:dyDescent="0.2">
      <c r="A15" s="28">
        <f>+'A2'!D9</f>
        <v>8.17</v>
      </c>
      <c r="B15" s="28">
        <f>+'A2'!E9</f>
        <v>202.071</v>
      </c>
      <c r="C15" s="28">
        <f>+'A3'!D9</f>
        <v>8.17</v>
      </c>
      <c r="D15" s="28">
        <f>+'A3'!E9</f>
        <v>194.83799999999999</v>
      </c>
      <c r="E15" s="28">
        <f>+'A4'!D9</f>
        <v>8.17</v>
      </c>
      <c r="F15" s="28">
        <f>+'A4'!E9</f>
        <v>192.31</v>
      </c>
      <c r="I15" s="195">
        <f t="shared" si="0"/>
        <v>8.17</v>
      </c>
      <c r="J15" s="184">
        <f t="shared" si="1"/>
        <v>196.40633333333335</v>
      </c>
      <c r="K15" s="184">
        <f t="shared" si="2"/>
        <v>11.638464906873216</v>
      </c>
      <c r="L15" s="195">
        <f t="shared" si="5"/>
        <v>17.610376148885848</v>
      </c>
      <c r="M15" s="196">
        <f t="shared" si="3"/>
        <v>67932.814540205785</v>
      </c>
      <c r="N15" s="196">
        <f t="shared" si="4"/>
        <v>180701.28667694741</v>
      </c>
      <c r="O15" s="184"/>
      <c r="P15" s="184"/>
      <c r="Q15" s="184"/>
      <c r="R15" s="184"/>
      <c r="S15" s="184"/>
      <c r="T15" s="184"/>
      <c r="U15" s="184"/>
    </row>
    <row r="16" spans="1:25" x14ac:dyDescent="0.2">
      <c r="A16" s="28">
        <f>+'A2'!D10</f>
        <v>17.03</v>
      </c>
      <c r="B16" s="28">
        <f>+'A2'!E10</f>
        <v>202.071</v>
      </c>
      <c r="C16" s="28">
        <f>+'A3'!D10</f>
        <v>15.83</v>
      </c>
      <c r="D16" s="28">
        <f>+'A3'!E10</f>
        <v>194.83799999999999</v>
      </c>
      <c r="E16" s="28">
        <f>+'A4'!D10</f>
        <v>15.83</v>
      </c>
      <c r="F16" s="28">
        <f>+'A4'!E10</f>
        <v>192.31</v>
      </c>
      <c r="I16" s="195">
        <f t="shared" si="0"/>
        <v>16.23</v>
      </c>
      <c r="J16" s="184">
        <f t="shared" si="1"/>
        <v>196.40633333333335</v>
      </c>
      <c r="K16" s="184">
        <f t="shared" si="2"/>
        <v>11.024682915441282</v>
      </c>
      <c r="L16" s="195">
        <f t="shared" si="5"/>
        <v>17.1304408429828</v>
      </c>
      <c r="M16" s="196">
        <f t="shared" si="3"/>
        <v>66081.442607456265</v>
      </c>
      <c r="N16" s="196">
        <f t="shared" si="4"/>
        <v>175776.63733583369</v>
      </c>
      <c r="O16" s="184"/>
      <c r="P16" s="184"/>
      <c r="Q16" s="184"/>
      <c r="R16" s="184"/>
      <c r="S16" s="184"/>
      <c r="T16" s="184"/>
      <c r="U16" s="184"/>
      <c r="X16" s="179">
        <f>+I12/J12</f>
        <v>1.4564265817747711E-2</v>
      </c>
    </row>
    <row r="17" spans="1:24" x14ac:dyDescent="0.2">
      <c r="A17" s="28">
        <f>+'A2'!D11</f>
        <v>17.03</v>
      </c>
      <c r="B17" s="28">
        <f>+'A2'!E11</f>
        <v>319.97500000000002</v>
      </c>
      <c r="C17" s="28">
        <f>+'A3'!D11</f>
        <v>15.83</v>
      </c>
      <c r="D17" s="28">
        <f>+'A3'!E11</f>
        <v>326.803</v>
      </c>
      <c r="E17" s="28">
        <f>+'A4'!D11</f>
        <v>15.83</v>
      </c>
      <c r="F17" s="28">
        <f>+'A4'!E11</f>
        <v>338.262</v>
      </c>
      <c r="I17" s="195">
        <f t="shared" si="0"/>
        <v>16.23</v>
      </c>
      <c r="J17" s="184">
        <f t="shared" si="1"/>
        <v>328.34666666666664</v>
      </c>
      <c r="K17" s="184" t="str">
        <f t="shared" si="2"/>
        <v>RECHAZO</v>
      </c>
      <c r="L17" s="195">
        <f t="shared" si="5"/>
        <v>18.987274512789838</v>
      </c>
      <c r="M17" s="196">
        <f t="shared" si="3"/>
        <v>204704.71824203071</v>
      </c>
      <c r="N17" s="196">
        <f t="shared" si="4"/>
        <v>544514.55052380171</v>
      </c>
      <c r="O17" s="184"/>
      <c r="P17" s="184"/>
      <c r="Q17" s="184"/>
      <c r="R17" s="184"/>
      <c r="S17" s="184"/>
      <c r="T17" s="184"/>
      <c r="U17" s="184"/>
      <c r="X17" s="179"/>
    </row>
    <row r="18" spans="1:24" x14ac:dyDescent="0.2">
      <c r="A18" s="28">
        <f>+'A2'!D12</f>
        <v>26.14</v>
      </c>
      <c r="B18" s="28">
        <f>+'A2'!E12</f>
        <v>319.97500000000002</v>
      </c>
      <c r="C18" s="28">
        <f>+'A3'!D12</f>
        <v>27.22</v>
      </c>
      <c r="D18" s="28">
        <f>+'A3'!E12</f>
        <v>326.803</v>
      </c>
      <c r="E18" s="28">
        <f>+'A4'!D12</f>
        <v>27.22</v>
      </c>
      <c r="F18" s="28">
        <f>+'A4'!E12</f>
        <v>338.262</v>
      </c>
      <c r="I18" s="195">
        <f t="shared" si="0"/>
        <v>26.86</v>
      </c>
      <c r="J18" s="184">
        <f t="shared" si="1"/>
        <v>328.34666666666664</v>
      </c>
      <c r="K18" s="184" t="str">
        <f t="shared" si="2"/>
        <v>RECHAZO</v>
      </c>
      <c r="L18" s="195">
        <f t="shared" si="5"/>
        <v>18.635026656294432</v>
      </c>
      <c r="M18" s="196">
        <f t="shared" si="3"/>
        <v>200907.08008355356</v>
      </c>
      <c r="N18" s="196">
        <f t="shared" si="4"/>
        <v>534412.83302225254</v>
      </c>
      <c r="O18" s="184"/>
      <c r="P18" s="184"/>
      <c r="Q18" s="184"/>
      <c r="R18" s="184"/>
      <c r="S18" s="184"/>
      <c r="T18" s="184"/>
      <c r="U18" s="184"/>
      <c r="X18" s="179">
        <f>+(I14-I13)/J14</f>
        <v>2.9395619898731323E-2</v>
      </c>
    </row>
    <row r="19" spans="1:24" x14ac:dyDescent="0.2">
      <c r="A19" s="28">
        <f>+'A2'!D13</f>
        <v>26.14</v>
      </c>
      <c r="B19" s="28">
        <f>+'A2'!E13</f>
        <v>470.37200000000001</v>
      </c>
      <c r="C19" s="28">
        <f>+'A3'!D13</f>
        <v>27.22</v>
      </c>
      <c r="D19" s="28">
        <f>+'A3'!E13</f>
        <v>471.44600000000003</v>
      </c>
      <c r="E19" s="28">
        <f>+'A4'!D13</f>
        <v>27.22</v>
      </c>
      <c r="F19" s="28">
        <f>+'A4'!E13</f>
        <v>461.96899999999999</v>
      </c>
      <c r="I19" s="195">
        <f t="shared" si="0"/>
        <v>26.86</v>
      </c>
      <c r="J19" s="184">
        <f t="shared" si="1"/>
        <v>467.92900000000003</v>
      </c>
      <c r="K19" s="184" t="str">
        <f t="shared" si="2"/>
        <v>RECHAZO</v>
      </c>
      <c r="L19" s="195">
        <f t="shared" si="5"/>
        <v>19.91503660642908</v>
      </c>
      <c r="M19" s="196">
        <f t="shared" si="3"/>
        <v>436054.76044055057</v>
      </c>
      <c r="N19" s="196">
        <f t="shared" si="4"/>
        <v>1159905.6627718646</v>
      </c>
      <c r="O19" s="184"/>
      <c r="P19" s="184"/>
      <c r="Q19" s="184"/>
      <c r="R19" s="184"/>
      <c r="S19" s="184"/>
      <c r="T19" s="184"/>
      <c r="U19" s="184"/>
      <c r="X19" s="179"/>
    </row>
    <row r="20" spans="1:24" x14ac:dyDescent="0.2">
      <c r="A20" s="28">
        <f>+'A2'!D14</f>
        <v>50</v>
      </c>
      <c r="B20" s="28">
        <f>+'A2'!E14</f>
        <v>470.37200000000001</v>
      </c>
      <c r="C20" s="28">
        <f>+'A3'!D14</f>
        <v>50</v>
      </c>
      <c r="D20" s="28">
        <f>+'A3'!E14</f>
        <v>471.44600000000003</v>
      </c>
      <c r="E20" s="28">
        <f>+'A4'!D14</f>
        <v>50</v>
      </c>
      <c r="F20" s="28">
        <f>+'A4'!E14</f>
        <v>461.96899999999999</v>
      </c>
      <c r="I20" s="195">
        <f t="shared" si="0"/>
        <v>50</v>
      </c>
      <c r="J20" s="184">
        <f t="shared" si="1"/>
        <v>467.92900000000003</v>
      </c>
      <c r="K20" s="184" t="str">
        <f t="shared" si="2"/>
        <v>RECHAZO</v>
      </c>
      <c r="L20" s="195">
        <f t="shared" si="5"/>
        <v>19.480555572863732</v>
      </c>
      <c r="M20" s="196">
        <f t="shared" si="3"/>
        <v>426541.47021912364</v>
      </c>
      <c r="N20" s="196">
        <f t="shared" si="4"/>
        <v>1134600.3107828689</v>
      </c>
      <c r="O20" s="184"/>
      <c r="P20" s="184"/>
      <c r="Q20" s="184"/>
      <c r="R20" s="184"/>
      <c r="S20" s="184"/>
      <c r="T20" s="184"/>
      <c r="U20" s="184"/>
      <c r="X20" s="179">
        <f>+(I16-I15)/J16</f>
        <v>4.1037373200796305E-2</v>
      </c>
    </row>
    <row r="21" spans="1:24" x14ac:dyDescent="0.2">
      <c r="H21" s="181"/>
      <c r="O21" s="181"/>
      <c r="P21" s="181"/>
      <c r="Q21" s="181"/>
      <c r="R21" s="181"/>
      <c r="S21" s="181"/>
      <c r="T21" s="181"/>
      <c r="U21" s="181"/>
      <c r="X21" s="179"/>
    </row>
    <row r="22" spans="1:24" x14ac:dyDescent="0.2">
      <c r="H22" s="181"/>
      <c r="O22" s="181"/>
      <c r="P22" s="181"/>
      <c r="Q22" s="181"/>
      <c r="R22" s="181"/>
      <c r="S22" s="181"/>
      <c r="T22" s="181"/>
      <c r="U22" s="181"/>
      <c r="X22" s="179">
        <f>IF(I18&gt;=30,(30-I17)/J18,(I18-I17)/J18)</f>
        <v>3.2374319824575649E-2</v>
      </c>
    </row>
    <row r="23" spans="1:24" x14ac:dyDescent="0.2">
      <c r="H23" s="181"/>
      <c r="O23" s="181"/>
      <c r="P23" s="181"/>
      <c r="Q23" s="181"/>
      <c r="R23" s="181"/>
      <c r="S23" s="181"/>
      <c r="T23" s="181"/>
      <c r="U23" s="181"/>
      <c r="X23" s="179"/>
    </row>
    <row r="24" spans="1:24" x14ac:dyDescent="0.2">
      <c r="H24" s="181"/>
      <c r="O24" s="181"/>
      <c r="P24" s="181"/>
      <c r="Q24" s="181"/>
      <c r="R24" s="181"/>
      <c r="S24" s="181"/>
      <c r="T24" s="181"/>
      <c r="U24" s="181"/>
      <c r="X24" s="179">
        <f>IF(I20&gt;=30,(30-I19)/J20,(I20-I19)/J20)</f>
        <v>6.7104197431661645E-3</v>
      </c>
    </row>
    <row r="25" spans="1:24" x14ac:dyDescent="0.2">
      <c r="H25" s="181"/>
      <c r="O25" s="181"/>
      <c r="P25" s="181"/>
      <c r="Q25" s="181"/>
      <c r="R25" s="181"/>
      <c r="S25" s="181"/>
      <c r="T25" s="181"/>
      <c r="U25" s="181"/>
      <c r="X25" s="179"/>
    </row>
    <row r="26" spans="1:24" x14ac:dyDescent="0.2"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X26" s="179"/>
    </row>
    <row r="27" spans="1:24" x14ac:dyDescent="0.2"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</row>
    <row r="28" spans="1:24" x14ac:dyDescent="0.2"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X28" s="179"/>
    </row>
    <row r="29" spans="1:24" x14ac:dyDescent="0.2">
      <c r="H29" s="181"/>
      <c r="I29" s="181"/>
      <c r="J29" s="181"/>
      <c r="K29" s="193"/>
      <c r="L29" s="194"/>
      <c r="M29" s="181"/>
      <c r="N29" s="181"/>
      <c r="O29" s="181"/>
      <c r="P29" s="181"/>
      <c r="Q29" s="181"/>
      <c r="R29" s="181"/>
      <c r="S29" s="181"/>
      <c r="T29" s="181"/>
      <c r="U29" s="181"/>
    </row>
    <row r="30" spans="1:24" x14ac:dyDescent="0.2">
      <c r="H30" s="181"/>
      <c r="I30" s="181"/>
      <c r="J30" s="181"/>
      <c r="K30" s="193"/>
      <c r="L30" s="169"/>
      <c r="M30" s="181"/>
      <c r="N30" s="181"/>
      <c r="O30" s="181"/>
      <c r="P30" s="181"/>
      <c r="Q30" s="181"/>
      <c r="R30" s="181"/>
      <c r="S30" s="181"/>
      <c r="T30" s="181"/>
      <c r="U30" s="181"/>
      <c r="X30" s="179">
        <f>SUM(X14:X29)</f>
        <v>0.12408199848501714</v>
      </c>
    </row>
    <row r="31" spans="1:24" x14ac:dyDescent="0.2"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W31" s="28" t="s">
        <v>129</v>
      </c>
      <c r="X31" s="185">
        <f>30/X30</f>
        <v>241.77560295841374</v>
      </c>
    </row>
    <row r="32" spans="1:24" x14ac:dyDescent="0.2"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</row>
    <row r="33" spans="8:20" x14ac:dyDescent="0.2"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T33" s="181"/>
    </row>
    <row r="34" spans="8:20" x14ac:dyDescent="0.2"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T34" s="181"/>
    </row>
    <row r="35" spans="8:20" x14ac:dyDescent="0.2">
      <c r="H35" s="181"/>
      <c r="I35" s="181"/>
      <c r="J35" s="181"/>
      <c r="K35" s="181"/>
      <c r="L35" s="181"/>
      <c r="M35" s="181"/>
      <c r="N35" s="181"/>
      <c r="O35" s="181"/>
      <c r="P35" s="181"/>
      <c r="T35" s="181"/>
    </row>
    <row r="36" spans="8:20" x14ac:dyDescent="0.2">
      <c r="H36" s="181"/>
      <c r="I36" s="181"/>
      <c r="J36" s="181"/>
      <c r="K36" s="181"/>
      <c r="L36" s="181"/>
      <c r="M36" s="181"/>
      <c r="N36" s="181"/>
      <c r="O36" s="181"/>
      <c r="P36" s="181"/>
      <c r="T36" s="181"/>
    </row>
    <row r="37" spans="8:20" x14ac:dyDescent="0.2">
      <c r="H37" s="181"/>
      <c r="I37" s="181"/>
      <c r="J37" s="181"/>
      <c r="K37" s="181"/>
      <c r="L37" s="181"/>
      <c r="M37" s="181"/>
      <c r="N37" s="181"/>
      <c r="O37" s="181"/>
      <c r="T37" s="181"/>
    </row>
    <row r="38" spans="8:20" x14ac:dyDescent="0.2"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</row>
  </sheetData>
  <mergeCells count="7">
    <mergeCell ref="I9:N9"/>
    <mergeCell ref="I4:K4"/>
    <mergeCell ref="I5:K5"/>
    <mergeCell ref="A9:B9"/>
    <mergeCell ref="C9:D9"/>
    <mergeCell ref="E9:F9"/>
    <mergeCell ref="I6:R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86" orientation="landscape" r:id="rId1"/>
  <headerFooter>
    <oddFooter>&amp;R&amp;"Verdana,Cursiva"&amp;8GEOSTREAM V.1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39"/>
  <sheetViews>
    <sheetView view="pageBreakPreview" zoomScale="85" zoomScaleNormal="100" zoomScaleSheetLayoutView="85" workbookViewId="0">
      <selection activeCell="H13" sqref="H1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151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134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8897-1631-48ED-80E4-0A3BE931E0B9}">
  <sheetPr codeName="Hoja21"/>
  <dimension ref="A1:S39"/>
  <sheetViews>
    <sheetView view="pageBreakPreview" zoomScale="82" zoomScaleNormal="100" zoomScaleSheetLayoutView="82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149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3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9"/>
    </row>
    <row r="18" spans="1:13" ht="15" x14ac:dyDescent="0.25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189"/>
    </row>
    <row r="19" spans="1:13" ht="15" x14ac:dyDescent="0.25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189"/>
    </row>
    <row r="20" spans="1:13" ht="15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189"/>
    </row>
    <row r="21" spans="1:13" ht="15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189"/>
    </row>
    <row r="22" spans="1:13" ht="15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89"/>
    </row>
    <row r="23" spans="1:13" ht="15" x14ac:dyDescent="0.25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189"/>
    </row>
    <row r="24" spans="1:13" ht="15" x14ac:dyDescent="0.25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89"/>
    </row>
    <row r="25" spans="1:13" ht="15" x14ac:dyDescent="0.25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89"/>
    </row>
    <row r="26" spans="1:13" ht="15" x14ac:dyDescent="0.25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89"/>
    </row>
    <row r="27" spans="1:13" ht="15" x14ac:dyDescent="0.25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89"/>
    </row>
    <row r="28" spans="1:13" ht="15" x14ac:dyDescent="0.25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89"/>
    </row>
    <row r="29" spans="1:13" ht="15" x14ac:dyDescent="0.25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89"/>
    </row>
    <row r="30" spans="1:13" ht="15" x14ac:dyDescent="0.25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89"/>
    </row>
    <row r="31" spans="1:13" ht="15" x14ac:dyDescent="0.25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89"/>
    </row>
    <row r="32" spans="1:13" ht="15" x14ac:dyDescent="0.25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89"/>
    </row>
    <row r="33" spans="1:13" ht="15" x14ac:dyDescent="0.25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89"/>
    </row>
    <row r="34" spans="1:13" ht="15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89"/>
    </row>
    <row r="35" spans="1:13" ht="15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89"/>
    </row>
    <row r="36" spans="1:13" ht="15" x14ac:dyDescent="0.25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89"/>
    </row>
    <row r="37" spans="1:13" ht="15" x14ac:dyDescent="0.2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189"/>
    </row>
    <row r="38" spans="1:13" ht="15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189"/>
    </row>
    <row r="39" spans="1:13" ht="15" x14ac:dyDescent="0.2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189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135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58" t="s">
        <v>150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39"/>
  <sheetViews>
    <sheetView view="pageBreakPreview" zoomScale="94" zoomScaleNormal="100" zoomScaleSheetLayoutView="94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152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136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S39"/>
  <sheetViews>
    <sheetView view="pageBreakPreview" zoomScale="87" zoomScaleNormal="100" zoomScaleSheetLayoutView="87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153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137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154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172" t="str">
        <f>'A1'!E9</f>
        <v>74° 10'17.6"O</v>
      </c>
      <c r="K4" s="172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73" t="str">
        <f>'A1'!E10</f>
        <v>74° 10'17.6"O</v>
      </c>
      <c r="K5" s="173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39"/>
  <sheetViews>
    <sheetView showGridLines="0" view="pageBreakPreview" topLeftCell="A3" zoomScale="84" zoomScaleNormal="100" zoomScaleSheetLayoutView="84" zoomScalePageLayoutView="85" workbookViewId="0">
      <selection activeCell="E12" sqref="E12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76" t="s">
        <v>111</v>
      </c>
      <c r="H1" s="99" t="s">
        <v>112</v>
      </c>
      <c r="J1" s="100"/>
      <c r="K1" s="101">
        <f>'A1'!B11</f>
        <v>4</v>
      </c>
      <c r="L1" s="190"/>
      <c r="M1" s="190"/>
      <c r="N1" s="190"/>
    </row>
    <row r="2" spans="1:14" ht="11.45" customHeight="1" x14ac:dyDescent="0.25">
      <c r="D2" s="177"/>
      <c r="H2" s="99" t="s">
        <v>113</v>
      </c>
      <c r="J2" s="100"/>
      <c r="K2" s="101">
        <f>'A1'!E11</f>
        <v>92</v>
      </c>
      <c r="L2" s="190"/>
      <c r="M2" s="263" t="str">
        <f>'A1'!B8</f>
        <v>L01</v>
      </c>
      <c r="N2" s="263"/>
    </row>
    <row r="3" spans="1:14" ht="11.45" customHeight="1" x14ac:dyDescent="0.25">
      <c r="H3" s="99" t="s">
        <v>114</v>
      </c>
      <c r="J3" s="100"/>
      <c r="K3" s="101">
        <f>'A1'!B10</f>
        <v>24</v>
      </c>
      <c r="L3" s="190"/>
      <c r="M3" s="263"/>
      <c r="N3" s="263"/>
    </row>
    <row r="4" spans="1:14" ht="11.45" customHeight="1" x14ac:dyDescent="0.25">
      <c r="A4" s="99" t="s">
        <v>115</v>
      </c>
      <c r="B4" s="264" t="str">
        <f>'A1'!B3</f>
        <v>Cable Aereo Potosí</v>
      </c>
      <c r="C4" s="264"/>
      <c r="D4" s="264"/>
      <c r="E4" s="264"/>
      <c r="H4" s="99" t="s">
        <v>116</v>
      </c>
      <c r="J4" s="101" t="str">
        <f>'A1'!E9</f>
        <v>74° 10'17.6"O</v>
      </c>
      <c r="K4" s="101" t="str">
        <f>'A1'!F9</f>
        <v>4°35'42.9"N</v>
      </c>
      <c r="L4" s="190"/>
      <c r="M4" s="263"/>
      <c r="N4" s="263"/>
    </row>
    <row r="5" spans="1:14" ht="11.45" customHeight="1" x14ac:dyDescent="0.25">
      <c r="A5" s="191" t="s">
        <v>117</v>
      </c>
      <c r="B5" s="265" t="str">
        <f>'A1'!B6</f>
        <v>L01</v>
      </c>
      <c r="C5" s="265"/>
      <c r="D5" s="265"/>
      <c r="E5" s="265"/>
      <c r="F5" s="175"/>
      <c r="G5" s="175"/>
      <c r="H5" s="191" t="s">
        <v>118</v>
      </c>
      <c r="I5" s="175"/>
      <c r="J5" s="174" t="str">
        <f>'A1'!E10</f>
        <v>74° 10'17.6"O</v>
      </c>
      <c r="K5" s="174" t="str">
        <f>'A1'!F10</f>
        <v>4°35'39.8"N</v>
      </c>
      <c r="L5" s="190"/>
      <c r="M5" s="263"/>
      <c r="N5" s="263"/>
    </row>
    <row r="6" spans="1:14" ht="15" x14ac:dyDescent="0.25">
      <c r="D6" s="267" t="s">
        <v>155</v>
      </c>
      <c r="E6" s="267"/>
      <c r="F6" s="267"/>
      <c r="G6" s="267"/>
      <c r="H6" s="267"/>
      <c r="I6" s="190"/>
      <c r="J6" s="190"/>
      <c r="K6" s="190"/>
      <c r="L6" s="190"/>
      <c r="M6" s="263"/>
      <c r="N6" s="263"/>
    </row>
    <row r="7" spans="1:14" ht="15" x14ac:dyDescent="0.25">
      <c r="A7" s="178"/>
      <c r="B7" s="178"/>
      <c r="C7" s="178"/>
      <c r="I7" s="190"/>
      <c r="J7" s="190"/>
      <c r="K7" s="190"/>
      <c r="L7" s="190"/>
      <c r="M7" s="263"/>
      <c r="N7" s="263"/>
    </row>
    <row r="8" spans="1:14" ht="15" x14ac:dyDescent="0.25">
      <c r="A8" s="266"/>
      <c r="B8" s="266"/>
      <c r="C8" s="266"/>
      <c r="D8" s="266"/>
      <c r="E8" s="266"/>
      <c r="F8" s="266"/>
      <c r="G8" s="266"/>
      <c r="H8" s="266"/>
      <c r="I8" s="190"/>
      <c r="J8" s="190"/>
      <c r="K8" s="190"/>
      <c r="L8" s="190"/>
      <c r="M8" s="190"/>
      <c r="N8" s="190"/>
    </row>
    <row r="9" spans="1:14" ht="15" x14ac:dyDescent="0.25">
      <c r="I9" s="190"/>
      <c r="J9" s="190"/>
      <c r="K9" s="190"/>
      <c r="L9" s="190"/>
      <c r="M9" s="190"/>
      <c r="N9" s="190"/>
    </row>
    <row r="10" spans="1:14" ht="15" x14ac:dyDescent="0.25">
      <c r="I10" s="190"/>
      <c r="J10" s="190"/>
      <c r="K10" s="190"/>
      <c r="L10" s="190"/>
      <c r="M10" s="190"/>
      <c r="N10" s="190"/>
    </row>
    <row r="11" spans="1:14" ht="15" x14ac:dyDescent="0.25">
      <c r="I11" s="190"/>
      <c r="J11" s="262"/>
      <c r="K11" s="190"/>
      <c r="L11" s="190"/>
      <c r="M11" s="190"/>
      <c r="N11" s="190"/>
    </row>
    <row r="12" spans="1:14" ht="15" x14ac:dyDescent="0.25">
      <c r="I12" s="190"/>
      <c r="J12" s="262"/>
      <c r="K12" s="190"/>
      <c r="L12" s="190"/>
      <c r="M12" s="190"/>
      <c r="N12" s="190"/>
    </row>
    <row r="13" spans="1:14" ht="15" x14ac:dyDescent="0.25">
      <c r="I13" s="190"/>
      <c r="J13" s="190"/>
      <c r="K13" s="190"/>
      <c r="L13" s="190"/>
      <c r="M13" s="190"/>
      <c r="N13" s="190"/>
    </row>
    <row r="14" spans="1:14" ht="15" x14ac:dyDescent="0.25">
      <c r="I14" s="190"/>
      <c r="J14" s="190"/>
      <c r="K14" s="190"/>
      <c r="L14" s="190"/>
      <c r="M14" s="190"/>
      <c r="N14" s="190"/>
    </row>
    <row r="15" spans="1:14" ht="15" x14ac:dyDescent="0.25">
      <c r="I15" s="190"/>
      <c r="J15" s="190"/>
      <c r="K15" s="190"/>
      <c r="L15" s="190"/>
      <c r="M15" s="190"/>
      <c r="N15" s="190"/>
    </row>
    <row r="16" spans="1:14" ht="15" x14ac:dyDescent="0.25">
      <c r="I16" s="190"/>
      <c r="J16" s="190"/>
      <c r="K16" s="190"/>
      <c r="L16" s="190"/>
      <c r="M16" s="190"/>
      <c r="N16" s="190"/>
    </row>
    <row r="17" spans="7:11" ht="15" x14ac:dyDescent="0.25">
      <c r="I17" s="190"/>
      <c r="J17" s="190"/>
      <c r="K17" s="190"/>
    </row>
    <row r="18" spans="7:11" ht="15" x14ac:dyDescent="0.25">
      <c r="I18" s="190"/>
      <c r="J18" s="190"/>
      <c r="K18" s="190"/>
    </row>
    <row r="19" spans="7:11" ht="15" x14ac:dyDescent="0.25">
      <c r="I19" s="190"/>
      <c r="J19" s="190"/>
      <c r="K19" s="190"/>
    </row>
    <row r="20" spans="7:11" ht="15" x14ac:dyDescent="0.25">
      <c r="I20" s="190"/>
      <c r="J20" s="190"/>
      <c r="K20" s="190"/>
    </row>
    <row r="21" spans="7:11" ht="15" x14ac:dyDescent="0.25">
      <c r="I21" s="190"/>
      <c r="J21" s="190"/>
      <c r="K21" s="190"/>
    </row>
    <row r="22" spans="7:11" ht="15" x14ac:dyDescent="0.25">
      <c r="I22" s="190"/>
      <c r="J22" s="190"/>
      <c r="K22" s="190"/>
    </row>
    <row r="23" spans="7:11" ht="15" x14ac:dyDescent="0.25">
      <c r="I23" s="190"/>
      <c r="J23" s="190"/>
      <c r="K23" s="190"/>
    </row>
    <row r="24" spans="7:11" ht="15" x14ac:dyDescent="0.25">
      <c r="I24" s="190"/>
      <c r="J24" s="190"/>
      <c r="K24" s="190"/>
    </row>
    <row r="25" spans="7:11" ht="15" x14ac:dyDescent="0.25">
      <c r="I25" s="190"/>
      <c r="J25" s="190"/>
      <c r="K25" s="190"/>
    </row>
    <row r="26" spans="7:11" ht="15" x14ac:dyDescent="0.25">
      <c r="I26" s="190"/>
      <c r="J26" s="190"/>
      <c r="K26" s="190"/>
    </row>
    <row r="27" spans="7:11" ht="15" x14ac:dyDescent="0.25">
      <c r="I27" s="190"/>
      <c r="J27" s="190"/>
      <c r="K27" s="190"/>
    </row>
    <row r="28" spans="7:11" ht="15" x14ac:dyDescent="0.25">
      <c r="G28" s="15"/>
      <c r="I28" s="190"/>
      <c r="J28" s="190"/>
      <c r="K28" s="190"/>
    </row>
    <row r="29" spans="7:11" ht="15" x14ac:dyDescent="0.25">
      <c r="I29" s="190"/>
      <c r="J29" s="190"/>
      <c r="K29" s="190"/>
    </row>
    <row r="30" spans="7:11" ht="15" x14ac:dyDescent="0.25">
      <c r="I30" s="190"/>
      <c r="J30" s="190"/>
      <c r="K30" s="190"/>
    </row>
    <row r="31" spans="7:11" ht="15" x14ac:dyDescent="0.25">
      <c r="I31" s="190"/>
      <c r="J31" s="190"/>
      <c r="K31" s="190"/>
    </row>
    <row r="32" spans="7:11" ht="15" x14ac:dyDescent="0.25">
      <c r="I32" s="190"/>
      <c r="J32" s="190"/>
      <c r="K32" s="190"/>
    </row>
    <row r="33" spans="2:11" ht="15" x14ac:dyDescent="0.25">
      <c r="I33" s="190"/>
      <c r="J33" s="190"/>
      <c r="K33" s="190"/>
    </row>
    <row r="34" spans="2:11" ht="15" x14ac:dyDescent="0.25">
      <c r="I34" s="190"/>
      <c r="J34" s="190"/>
      <c r="K34" s="190"/>
    </row>
    <row r="35" spans="2:11" ht="15" x14ac:dyDescent="0.25">
      <c r="I35" s="190"/>
      <c r="J35" s="190"/>
      <c r="K35" s="190"/>
    </row>
    <row r="36" spans="2:11" ht="15" x14ac:dyDescent="0.25">
      <c r="B36" s="261" t="s">
        <v>146</v>
      </c>
      <c r="C36" s="261"/>
      <c r="D36" s="261"/>
      <c r="H36" s="261" t="s">
        <v>147</v>
      </c>
      <c r="I36" s="261"/>
      <c r="J36" s="261"/>
      <c r="K36" s="190"/>
    </row>
    <row r="37" spans="2:11" ht="15" x14ac:dyDescent="0.25">
      <c r="I37" s="190"/>
      <c r="J37" s="190"/>
      <c r="K37" s="190"/>
    </row>
    <row r="38" spans="2:11" ht="15" x14ac:dyDescent="0.25">
      <c r="I38" s="190"/>
      <c r="J38" s="190"/>
      <c r="K38" s="190"/>
    </row>
    <row r="39" spans="2:11" ht="15" x14ac:dyDescent="0.25">
      <c r="I39" s="190"/>
      <c r="J39" s="190"/>
      <c r="K39" s="190"/>
    </row>
  </sheetData>
  <mergeCells count="8">
    <mergeCell ref="B36:D36"/>
    <mergeCell ref="H36:J36"/>
    <mergeCell ref="J11:J12"/>
    <mergeCell ref="M2:N7"/>
    <mergeCell ref="B4:E4"/>
    <mergeCell ref="B5:E5"/>
    <mergeCell ref="A8:H8"/>
    <mergeCell ref="D6:H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/>
      <c r="B4" s="247"/>
      <c r="C4" s="247"/>
      <c r="D4" s="247"/>
      <c r="E4" s="247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6"/>
      <c r="N5" s="150"/>
      <c r="O5" s="150"/>
      <c r="P5" s="150"/>
      <c r="Q5" s="150"/>
      <c r="R5" s="257"/>
      <c r="S5" s="257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6"/>
      <c r="N6" s="150"/>
      <c r="O6" s="150"/>
      <c r="P6" s="150"/>
      <c r="Q6" s="150"/>
      <c r="R6" s="257"/>
      <c r="S6" s="257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6"/>
      <c r="N7" s="150"/>
      <c r="O7" s="150"/>
      <c r="P7" s="150"/>
      <c r="Q7" s="150"/>
      <c r="R7" s="257"/>
      <c r="S7" s="257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6"/>
      <c r="N8" s="150"/>
      <c r="O8" s="150"/>
      <c r="P8" s="150"/>
      <c r="Q8" s="150"/>
      <c r="R8" s="257"/>
      <c r="S8" s="257"/>
    </row>
    <row r="9" spans="1:19" ht="2.25" customHeight="1" x14ac:dyDescent="0.25">
      <c r="A9" s="95"/>
      <c r="B9" s="248"/>
      <c r="C9" s="248"/>
      <c r="D9" s="248"/>
      <c r="E9" s="248"/>
      <c r="F9" s="97"/>
      <c r="G9" s="97"/>
      <c r="H9" s="97"/>
      <c r="I9" s="95"/>
      <c r="J9" s="102"/>
      <c r="K9" s="102"/>
      <c r="L9" s="27"/>
      <c r="M9" s="256"/>
      <c r="N9" s="150"/>
      <c r="O9" s="150"/>
      <c r="P9" s="150"/>
      <c r="Q9" s="150"/>
      <c r="R9" s="257"/>
      <c r="S9" s="257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7"/>
      <c r="S10" s="257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7"/>
      <c r="S11" s="257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/>
      <c r="B4" s="247"/>
      <c r="C4" s="247"/>
      <c r="D4" s="247"/>
      <c r="E4" s="247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6"/>
      <c r="N5" s="150"/>
      <c r="O5" s="150"/>
      <c r="P5" s="150"/>
      <c r="Q5" s="150"/>
      <c r="R5" s="257"/>
      <c r="S5" s="257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6"/>
      <c r="N6" s="150"/>
      <c r="O6" s="150"/>
      <c r="P6" s="150"/>
      <c r="Q6" s="150"/>
      <c r="R6" s="257"/>
      <c r="S6" s="257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6"/>
      <c r="N7" s="150"/>
      <c r="O7" s="150"/>
      <c r="P7" s="150"/>
      <c r="Q7" s="150"/>
      <c r="R7" s="257"/>
      <c r="S7" s="257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6"/>
      <c r="N8" s="150"/>
      <c r="O8" s="150"/>
      <c r="P8" s="150"/>
      <c r="Q8" s="150"/>
      <c r="R8" s="257"/>
      <c r="S8" s="257"/>
    </row>
    <row r="9" spans="1:19" ht="2.25" customHeight="1" x14ac:dyDescent="0.25">
      <c r="A9" s="95"/>
      <c r="B9" s="248"/>
      <c r="C9" s="248"/>
      <c r="D9" s="248"/>
      <c r="E9" s="248"/>
      <c r="F9" s="97"/>
      <c r="G9" s="97"/>
      <c r="H9" s="97"/>
      <c r="I9" s="95"/>
      <c r="J9" s="102"/>
      <c r="K9" s="102"/>
      <c r="L9" s="27"/>
      <c r="M9" s="256"/>
      <c r="N9" s="150"/>
      <c r="O9" s="150"/>
      <c r="P9" s="150"/>
      <c r="Q9" s="150"/>
      <c r="R9" s="257"/>
      <c r="S9" s="257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7"/>
      <c r="S10" s="257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7"/>
      <c r="S11" s="257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customXml/itemProps3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</vt:i4>
      </vt:variant>
    </vt:vector>
  </HeadingPairs>
  <TitlesOfParts>
    <vt:vector size="44" baseType="lpstr">
      <vt:lpstr>A1</vt:lpstr>
      <vt:lpstr>Analisis </vt:lpstr>
      <vt:lpstr>Correlacion v,Vs</vt:lpstr>
      <vt:lpstr>A2</vt:lpstr>
      <vt:lpstr>A3</vt:lpstr>
      <vt:lpstr>A4</vt:lpstr>
      <vt:lpstr>Vs anterior</vt:lpstr>
      <vt:lpstr>Vs</vt:lpstr>
      <vt:lpstr>Módulos elásticos</vt:lpstr>
      <vt:lpstr>Espectro G01</vt:lpstr>
      <vt:lpstr>Espectro G06</vt:lpstr>
      <vt:lpstr>Espectro G12</vt:lpstr>
      <vt:lpstr>Espectro G18</vt:lpstr>
      <vt:lpstr>Espectro G24</vt:lpstr>
      <vt:lpstr>Inversión Linea G01</vt:lpstr>
      <vt:lpstr>Inversión Linea G06</vt:lpstr>
      <vt:lpstr>Inversión Linea G12</vt:lpstr>
      <vt:lpstr>Inversión Linea G18</vt:lpstr>
      <vt:lpstr>Inversión Linea G24</vt:lpstr>
      <vt:lpstr>Vp</vt:lpstr>
      <vt:lpstr>Fotos Linea</vt:lpstr>
      <vt:lpstr>Hoja1</vt:lpstr>
      <vt:lpstr>Inversion Pasivos</vt:lpstr>
      <vt:lpstr>Espectro PASIVO</vt:lpstr>
      <vt:lpstr>'A2'!modelOasis_1</vt:lpstr>
      <vt:lpstr>'A3'!modelOasis_1</vt:lpstr>
      <vt:lpstr>'A4'!modelOasis_1</vt:lpstr>
      <vt:lpstr>'Espectro G01'!Print_Area</vt:lpstr>
      <vt:lpstr>'Espectro G06'!Print_Area</vt:lpstr>
      <vt:lpstr>'Espectro G12'!Print_Area</vt:lpstr>
      <vt:lpstr>'Espectro G18'!Print_Area</vt:lpstr>
      <vt:lpstr>'Espectro G24'!Print_Area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G12'!Print_Area</vt:lpstr>
      <vt:lpstr>'Inversión Linea G18'!Print_Area</vt:lpstr>
      <vt:lpstr>'Inversión Linea G24'!Print_Area</vt:lpstr>
      <vt:lpstr>'Inversion Pasivos'!Print_Area</vt:lpstr>
      <vt:lpstr>'Módulos elásticos'!Print_Area</vt:lpstr>
      <vt:lpstr>Vp!Print_Area</vt:lpstr>
      <vt:lpstr>Vs!Print_Area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2024-11-21T22:28:04Z</cp:lastPrinted>
  <dcterms:created xsi:type="dcterms:W3CDTF">2009-02-09T22:02:25Z</dcterms:created>
  <dcterms:modified xsi:type="dcterms:W3CDTF">2024-12-12T23:02:44Z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