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0" yWindow="0" windowWidth="25600" windowHeight="15460" tabRatio="703" activeTab="1"/>
  </bookViews>
  <sheets>
    <sheet name="SBT" sheetId="4" r:id="rId1"/>
    <sheet name="Thin Sheet" sheetId="18" r:id="rId2"/>
  </sheets>
  <definedNames>
    <definedName name="NACA0012__13_13_.5" localSheetId="1">'Thin Sheet'!$D$19:$P$38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18" l="1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11" i="18"/>
  <c r="J8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11" i="18"/>
  <c r="Q4" i="18"/>
  <c r="D11" i="18"/>
  <c r="Y5" i="4"/>
  <c r="X5" i="4"/>
  <c r="Z5" i="4"/>
  <c r="Y6" i="4"/>
  <c r="X6" i="4"/>
  <c r="Z6" i="4"/>
  <c r="Y7" i="4"/>
  <c r="X7" i="4"/>
  <c r="Z7" i="4"/>
  <c r="Y8" i="4"/>
  <c r="X8" i="4"/>
  <c r="Z8" i="4"/>
  <c r="Y9" i="4"/>
  <c r="X9" i="4"/>
  <c r="Z9" i="4"/>
  <c r="Y10" i="4"/>
  <c r="X10" i="4"/>
  <c r="Z10" i="4"/>
  <c r="Y11" i="4"/>
  <c r="X11" i="4"/>
  <c r="Z11" i="4"/>
  <c r="Y12" i="4"/>
  <c r="X12" i="4"/>
  <c r="Z12" i="4"/>
  <c r="Y13" i="4"/>
  <c r="X13" i="4"/>
  <c r="Z13" i="4"/>
  <c r="Y14" i="4"/>
  <c r="X14" i="4"/>
  <c r="Z14" i="4"/>
  <c r="X4" i="4"/>
  <c r="Z4" i="4"/>
  <c r="Y4" i="4"/>
  <c r="E6" i="4"/>
  <c r="C9" i="4"/>
  <c r="B9" i="4"/>
  <c r="B6" i="4"/>
  <c r="C6" i="4"/>
  <c r="M4" i="18"/>
  <c r="H4" i="18"/>
  <c r="C23" i="4"/>
  <c r="I8" i="18"/>
  <c r="B23" i="4"/>
  <c r="G23" i="4"/>
  <c r="F23" i="4"/>
  <c r="N8" i="18"/>
  <c r="E23" i="4"/>
  <c r="D23" i="4"/>
  <c r="P4" i="18"/>
  <c r="N4" i="18"/>
  <c r="K4" i="18"/>
  <c r="E11" i="18"/>
  <c r="C11" i="18"/>
  <c r="F11" i="18"/>
  <c r="H11" i="18"/>
  <c r="G11" i="18"/>
  <c r="L11" i="18"/>
  <c r="J12" i="18"/>
  <c r="L12" i="18"/>
  <c r="J13" i="18"/>
  <c r="L13" i="18"/>
  <c r="J14" i="18"/>
  <c r="L14" i="18"/>
  <c r="J15" i="18"/>
  <c r="L15" i="18"/>
  <c r="J16" i="18"/>
  <c r="L16" i="18"/>
  <c r="J17" i="18"/>
  <c r="L17" i="18"/>
  <c r="J18" i="18"/>
  <c r="L18" i="18"/>
  <c r="J19" i="18"/>
  <c r="L19" i="18"/>
  <c r="J20" i="18"/>
  <c r="L20" i="18"/>
  <c r="J21" i="18"/>
  <c r="L21" i="18"/>
  <c r="J22" i="18"/>
  <c r="L22" i="18"/>
  <c r="J23" i="18"/>
  <c r="L23" i="18"/>
  <c r="J24" i="18"/>
  <c r="L24" i="18"/>
  <c r="J25" i="18"/>
  <c r="L25" i="18"/>
  <c r="J26" i="18"/>
  <c r="L26" i="18"/>
  <c r="J27" i="18"/>
  <c r="L27" i="18"/>
  <c r="J28" i="18"/>
  <c r="L28" i="18"/>
  <c r="J29" i="18"/>
  <c r="L29" i="18"/>
  <c r="J30" i="18"/>
  <c r="L30" i="18"/>
  <c r="J31" i="18"/>
  <c r="L31" i="18"/>
  <c r="J32" i="18"/>
  <c r="L32" i="18"/>
  <c r="J33" i="18"/>
  <c r="L33" i="18"/>
  <c r="J34" i="18"/>
  <c r="L34" i="18"/>
  <c r="J35" i="18"/>
  <c r="L35" i="18"/>
  <c r="J36" i="18"/>
  <c r="L36" i="18"/>
  <c r="J37" i="18"/>
  <c r="L37" i="18"/>
  <c r="J38" i="18"/>
  <c r="L38" i="18"/>
  <c r="F8" i="18"/>
  <c r="D9" i="4"/>
  <c r="L4" i="18"/>
  <c r="O8" i="18"/>
  <c r="H8" i="18"/>
  <c r="E8" i="18"/>
  <c r="M11" i="18"/>
  <c r="K11" i="18"/>
  <c r="I11" i="18"/>
  <c r="K8" i="18"/>
  <c r="M8" i="18"/>
  <c r="P11" i="18"/>
  <c r="Q11" i="18"/>
  <c r="R11" i="18"/>
  <c r="T11" i="18"/>
  <c r="M12" i="18"/>
  <c r="K12" i="18"/>
  <c r="I12" i="18"/>
  <c r="P12" i="18"/>
  <c r="Q12" i="18"/>
  <c r="R12" i="18"/>
  <c r="T12" i="18"/>
  <c r="M13" i="18"/>
  <c r="K13" i="18"/>
  <c r="I13" i="18"/>
  <c r="P13" i="18"/>
  <c r="Q13" i="18"/>
  <c r="R13" i="18"/>
  <c r="T13" i="18"/>
  <c r="M14" i="18"/>
  <c r="K14" i="18"/>
  <c r="I14" i="18"/>
  <c r="P14" i="18"/>
  <c r="Q14" i="18"/>
  <c r="R14" i="18"/>
  <c r="T14" i="18"/>
  <c r="M15" i="18"/>
  <c r="K15" i="18"/>
  <c r="I15" i="18"/>
  <c r="P15" i="18"/>
  <c r="Q15" i="18"/>
  <c r="R15" i="18"/>
  <c r="T15" i="18"/>
  <c r="M16" i="18"/>
  <c r="K16" i="18"/>
  <c r="I16" i="18"/>
  <c r="P16" i="18"/>
  <c r="Q16" i="18"/>
  <c r="R16" i="18"/>
  <c r="T16" i="18"/>
  <c r="M17" i="18"/>
  <c r="K17" i="18"/>
  <c r="I17" i="18"/>
  <c r="P17" i="18"/>
  <c r="Q17" i="18"/>
  <c r="R17" i="18"/>
  <c r="T17" i="18"/>
  <c r="M18" i="18"/>
  <c r="K18" i="18"/>
  <c r="I18" i="18"/>
  <c r="P18" i="18"/>
  <c r="Q18" i="18"/>
  <c r="R18" i="18"/>
  <c r="T18" i="18"/>
  <c r="M19" i="18"/>
  <c r="K19" i="18"/>
  <c r="I19" i="18"/>
  <c r="P19" i="18"/>
  <c r="Q19" i="18"/>
  <c r="R19" i="18"/>
  <c r="T19" i="18"/>
  <c r="M20" i="18"/>
  <c r="K20" i="18"/>
  <c r="I20" i="18"/>
  <c r="P20" i="18"/>
  <c r="Q20" i="18"/>
  <c r="R20" i="18"/>
  <c r="T20" i="18"/>
  <c r="M21" i="18"/>
  <c r="K21" i="18"/>
  <c r="I21" i="18"/>
  <c r="P21" i="18"/>
  <c r="Q21" i="18"/>
  <c r="R21" i="18"/>
  <c r="T21" i="18"/>
  <c r="M22" i="18"/>
  <c r="K22" i="18"/>
  <c r="I22" i="18"/>
  <c r="P22" i="18"/>
  <c r="Q22" i="18"/>
  <c r="R22" i="18"/>
  <c r="T22" i="18"/>
  <c r="M23" i="18"/>
  <c r="K23" i="18"/>
  <c r="I23" i="18"/>
  <c r="P23" i="18"/>
  <c r="Q23" i="18"/>
  <c r="R23" i="18"/>
  <c r="T23" i="18"/>
  <c r="M24" i="18"/>
  <c r="K24" i="18"/>
  <c r="I24" i="18"/>
  <c r="P24" i="18"/>
  <c r="Q24" i="18"/>
  <c r="R24" i="18"/>
  <c r="T24" i="18"/>
  <c r="M25" i="18"/>
  <c r="K25" i="18"/>
  <c r="I25" i="18"/>
  <c r="P25" i="18"/>
  <c r="Q25" i="18"/>
  <c r="R25" i="18"/>
  <c r="T25" i="18"/>
  <c r="M26" i="18"/>
  <c r="K26" i="18"/>
  <c r="I26" i="18"/>
  <c r="P26" i="18"/>
  <c r="Q26" i="18"/>
  <c r="R26" i="18"/>
  <c r="T26" i="18"/>
  <c r="M27" i="18"/>
  <c r="K27" i="18"/>
  <c r="I27" i="18"/>
  <c r="P27" i="18"/>
  <c r="Q27" i="18"/>
  <c r="R27" i="18"/>
  <c r="T27" i="18"/>
  <c r="M28" i="18"/>
  <c r="K28" i="18"/>
  <c r="I28" i="18"/>
  <c r="P28" i="18"/>
  <c r="Q28" i="18"/>
  <c r="R28" i="18"/>
  <c r="T28" i="18"/>
  <c r="M29" i="18"/>
  <c r="K29" i="18"/>
  <c r="I29" i="18"/>
  <c r="P29" i="18"/>
  <c r="Q29" i="18"/>
  <c r="R29" i="18"/>
  <c r="T29" i="18"/>
  <c r="M30" i="18"/>
  <c r="K30" i="18"/>
  <c r="I30" i="18"/>
  <c r="P30" i="18"/>
  <c r="Q30" i="18"/>
  <c r="R30" i="18"/>
  <c r="T30" i="18"/>
  <c r="M31" i="18"/>
  <c r="K31" i="18"/>
  <c r="I31" i="18"/>
  <c r="P31" i="18"/>
  <c r="Q31" i="18"/>
  <c r="R31" i="18"/>
  <c r="T31" i="18"/>
  <c r="M32" i="18"/>
  <c r="K32" i="18"/>
  <c r="I32" i="18"/>
  <c r="P32" i="18"/>
  <c r="Q32" i="18"/>
  <c r="R32" i="18"/>
  <c r="T32" i="18"/>
  <c r="M33" i="18"/>
  <c r="K33" i="18"/>
  <c r="I33" i="18"/>
  <c r="P33" i="18"/>
  <c r="Q33" i="18"/>
  <c r="R33" i="18"/>
  <c r="T33" i="18"/>
  <c r="M34" i="18"/>
  <c r="K34" i="18"/>
  <c r="I34" i="18"/>
  <c r="P34" i="18"/>
  <c r="Q34" i="18"/>
  <c r="R34" i="18"/>
  <c r="T34" i="18"/>
  <c r="M35" i="18"/>
  <c r="K35" i="18"/>
  <c r="I35" i="18"/>
  <c r="P35" i="18"/>
  <c r="Q35" i="18"/>
  <c r="R35" i="18"/>
  <c r="T35" i="18"/>
  <c r="M36" i="18"/>
  <c r="K36" i="18"/>
  <c r="I36" i="18"/>
  <c r="P36" i="18"/>
  <c r="Q36" i="18"/>
  <c r="R36" i="18"/>
  <c r="T36" i="18"/>
  <c r="M37" i="18"/>
  <c r="K37" i="18"/>
  <c r="I37" i="18"/>
  <c r="P37" i="18"/>
  <c r="Q37" i="18"/>
  <c r="R37" i="18"/>
  <c r="T37" i="18"/>
  <c r="M38" i="18"/>
  <c r="K38" i="18"/>
  <c r="I38" i="18"/>
  <c r="P38" i="18"/>
  <c r="Q38" i="18"/>
  <c r="R38" i="18"/>
  <c r="T38" i="18"/>
  <c r="D8" i="18"/>
  <c r="J10" i="4"/>
  <c r="K10" i="4"/>
  <c r="L10" i="4"/>
  <c r="F6" i="4"/>
  <c r="I4" i="18"/>
  <c r="E9" i="4"/>
  <c r="F9" i="4"/>
  <c r="G9" i="4"/>
  <c r="D6" i="4"/>
  <c r="J4" i="18"/>
  <c r="O4" i="18"/>
  <c r="G8" i="18"/>
  <c r="D26" i="4"/>
  <c r="G26" i="4"/>
  <c r="L8" i="18"/>
  <c r="E26" i="4"/>
  <c r="S35" i="18"/>
  <c r="S34" i="18"/>
  <c r="S33" i="18"/>
  <c r="S18" i="18"/>
  <c r="S37" i="18"/>
  <c r="S12" i="18"/>
  <c r="S31" i="18"/>
  <c r="S27" i="18"/>
  <c r="S16" i="18"/>
  <c r="S20" i="18"/>
  <c r="S13" i="18"/>
  <c r="S29" i="18"/>
  <c r="S17" i="18"/>
  <c r="S22" i="18"/>
  <c r="S11" i="18"/>
  <c r="S23" i="18"/>
  <c r="S38" i="18"/>
  <c r="S19" i="18"/>
  <c r="S15" i="18"/>
  <c r="S26" i="18"/>
  <c r="S14" i="18"/>
  <c r="S25" i="18"/>
  <c r="S36" i="18"/>
  <c r="S32" i="18"/>
  <c r="S28" i="18"/>
  <c r="S30" i="18"/>
  <c r="S21" i="18"/>
  <c r="S24" i="18"/>
</calcChain>
</file>

<file path=xl/comments1.xml><?xml version="1.0" encoding="utf-8"?>
<comments xmlns="http://schemas.openxmlformats.org/spreadsheetml/2006/main">
  <authors>
    <author>Andrew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mass at the mast no inluding mast
- 2 servos
- batteries and pack</t>
        </r>
      </text>
    </comment>
  </commentList>
</comments>
</file>

<file path=xl/comments2.xml><?xml version="1.0" encoding="utf-8"?>
<comments xmlns="http://schemas.openxmlformats.org/spreadsheetml/2006/main">
  <authors>
    <author>Andrew</author>
  </authors>
  <commentList>
    <comment ref="R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time from side to side</t>
        </r>
      </text>
    </comment>
    <comment ref="S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x distance covered before hitting wall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velocity starting first tack assumed to be held through out 
</t>
        </r>
      </text>
    </comment>
  </commentList>
</comments>
</file>

<file path=xl/connections.xml><?xml version="1.0" encoding="utf-8"?>
<connections xmlns="http://schemas.openxmlformats.org/spreadsheetml/2006/main">
  <connection id="1" name="NACA0012(-13 13 .5)121" type="6" refreshedVersion="5" background="1" saveData="1">
    <textPr codePage="437" sourceFile="C:\Users\Andrew\Documents\School\UCLA\Spring 2016\MAE 157A\xFoil Sail Analysis\4-5-2016 x foil\NACA0012(-13 13 .5)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<sst xmlns="http://schemas.openxmlformats.org/spreadsheetml/2006/main" count="103" uniqueCount="97">
  <si>
    <t>Mach</t>
  </si>
  <si>
    <t>Re</t>
  </si>
  <si>
    <t>Airfoil</t>
  </si>
  <si>
    <t>b [m]</t>
  </si>
  <si>
    <t>c [m]</t>
  </si>
  <si>
    <r>
      <t>S [m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</si>
  <si>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</rPr>
      <t>α</t>
    </r>
    <r>
      <rPr>
        <b/>
        <sz val="11"/>
        <color theme="1"/>
        <rFont val="Calibri"/>
        <family val="2"/>
      </rPr>
      <t xml:space="preserve"> [degree]</t>
    </r>
  </si>
  <si>
    <r>
      <t>a</t>
    </r>
    <r>
      <rPr>
        <b/>
        <vertAlign val="subscript"/>
        <sz val="11"/>
        <color theme="1"/>
        <rFont val="Calibri"/>
        <family val="2"/>
      </rPr>
      <t>x</t>
    </r>
  </si>
  <si>
    <r>
      <t>a</t>
    </r>
    <r>
      <rPr>
        <b/>
        <vertAlign val="subscript"/>
        <sz val="11"/>
        <color theme="1"/>
        <rFont val="Calibri"/>
        <family val="2"/>
      </rPr>
      <t>y</t>
    </r>
  </si>
  <si>
    <r>
      <t>C</t>
    </r>
    <r>
      <rPr>
        <b/>
        <vertAlign val="subscript"/>
        <sz val="11"/>
        <color theme="1"/>
        <rFont val="Calibri"/>
        <family val="2"/>
      </rPr>
      <t>D</t>
    </r>
  </si>
  <si>
    <r>
      <t>Rho [kg/m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</si>
  <si>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 xml:space="preserve">inf </t>
    </r>
    <r>
      <rPr>
        <b/>
        <sz val="11"/>
        <color theme="1"/>
        <rFont val="Calibri"/>
        <family val="2"/>
        <scheme val="minor"/>
      </rPr>
      <t>[m/s]</t>
    </r>
  </si>
  <si>
    <t>L [N]</t>
  </si>
  <si>
    <t>D [N]</t>
  </si>
  <si>
    <r>
      <t>q</t>
    </r>
    <r>
      <rPr>
        <b/>
        <vertAlign val="subscript"/>
        <sz val="11"/>
        <color theme="1"/>
        <rFont val="Calibri"/>
        <family val="2"/>
      </rPr>
      <t>inf</t>
    </r>
    <r>
      <rPr>
        <b/>
        <sz val="11"/>
        <color theme="1"/>
        <rFont val="Calibri"/>
        <family val="2"/>
      </rPr>
      <t>*S [N]</t>
    </r>
  </si>
  <si>
    <t>ϴ °</t>
  </si>
  <si>
    <t>α°</t>
  </si>
  <si>
    <t>L/D</t>
  </si>
  <si>
    <r>
      <t xml:space="preserve">time </t>
    </r>
    <r>
      <rPr>
        <b/>
        <vertAlign val="subscript"/>
        <sz val="11"/>
        <color theme="1"/>
        <rFont val="Calibri"/>
        <family val="2"/>
      </rPr>
      <t>0 tack</t>
    </r>
  </si>
  <si>
    <r>
      <t>μ [N s/m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]</t>
    </r>
  </si>
  <si>
    <t>Conditions</t>
  </si>
  <si>
    <t>Track Width [m]</t>
  </si>
  <si>
    <r>
      <t xml:space="preserve">y </t>
    </r>
    <r>
      <rPr>
        <b/>
        <vertAlign val="subscript"/>
        <sz val="11"/>
        <color theme="1"/>
        <rFont val="Calibri"/>
        <family val="2"/>
      </rPr>
      <t>0 tack</t>
    </r>
  </si>
  <si>
    <r>
      <t xml:space="preserve">x </t>
    </r>
    <r>
      <rPr>
        <b/>
        <vertAlign val="subscript"/>
        <sz val="11"/>
        <color theme="1"/>
        <rFont val="Calibri"/>
        <family val="2"/>
      </rPr>
      <t xml:space="preserve">0 tack </t>
    </r>
  </si>
  <si>
    <t>Track Length [m]</t>
  </si>
  <si>
    <r>
      <t>V</t>
    </r>
    <r>
      <rPr>
        <b/>
        <vertAlign val="subscript"/>
        <sz val="11"/>
        <color theme="1"/>
        <rFont val="Calibri"/>
        <family val="2"/>
      </rPr>
      <t>f tack 0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</si>
  <si>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 xml:space="preserve">sea level </t>
    </r>
    <r>
      <rPr>
        <b/>
        <sz val="11"/>
        <color theme="1"/>
        <rFont val="Calibri"/>
        <family val="2"/>
        <scheme val="minor"/>
      </rPr>
      <t>[m/s]</t>
    </r>
  </si>
  <si>
    <t>Max Lift</t>
  </si>
  <si>
    <t xml:space="preserve">Max Moment </t>
  </si>
  <si>
    <t>AR</t>
  </si>
  <si>
    <t>Track Width</t>
  </si>
  <si>
    <t>Track Length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</si>
  <si>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</rPr>
      <t>α</t>
    </r>
    <r>
      <rPr>
        <b/>
        <sz val="11"/>
        <color theme="1"/>
        <rFont val="Calibri"/>
        <family val="2"/>
      </rPr>
      <t xml:space="preserve"> [rad]</t>
    </r>
  </si>
  <si>
    <t xml:space="preserve">2D to 3D </t>
  </si>
  <si>
    <r>
      <t>Flap Angle [</t>
    </r>
    <r>
      <rPr>
        <b/>
        <sz val="11"/>
        <color theme="1"/>
        <rFont val="Calibri"/>
        <family val="2"/>
      </rPr>
      <t>°]</t>
    </r>
  </si>
  <si>
    <t>V max [m/s]</t>
  </si>
  <si>
    <t>Constant</t>
  </si>
  <si>
    <r>
      <t>C</t>
    </r>
    <r>
      <rPr>
        <b/>
        <vertAlign val="subscript"/>
        <sz val="11"/>
        <color rgb="FFFF0000"/>
        <rFont val="Calibri"/>
        <family val="2"/>
      </rPr>
      <t>L</t>
    </r>
  </si>
  <si>
    <r>
      <t>C</t>
    </r>
    <r>
      <rPr>
        <b/>
        <vertAlign val="subscript"/>
        <sz val="11"/>
        <color theme="4" tint="-0.249977111117893"/>
        <rFont val="Calibri"/>
        <family val="2"/>
      </rPr>
      <t>lα</t>
    </r>
    <r>
      <rPr>
        <b/>
        <sz val="11"/>
        <color theme="4" tint="-0.249977111117893"/>
        <rFont val="Calibri"/>
        <family val="2"/>
      </rPr>
      <t xml:space="preserve"> [rad]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</si>
  <si>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L0</t>
    </r>
    <r>
      <rPr>
        <b/>
        <sz val="11"/>
        <color theme="1"/>
        <rFont val="Calibri"/>
        <family val="2"/>
      </rPr>
      <t xml:space="preserve"> </t>
    </r>
  </si>
  <si>
    <r>
      <t>C</t>
    </r>
    <r>
      <rPr>
        <b/>
        <vertAlign val="subscript"/>
        <sz val="11"/>
        <color theme="4" tint="-0.249977111117893"/>
        <rFont val="Calibri"/>
        <family val="2"/>
      </rPr>
      <t>l0</t>
    </r>
    <r>
      <rPr>
        <b/>
        <sz val="11"/>
        <color theme="4" tint="-0.249977111117893"/>
        <rFont val="Calibri"/>
        <family val="2"/>
      </rPr>
      <t xml:space="preserve"> </t>
    </r>
  </si>
  <si>
    <t>Track Height</t>
  </si>
  <si>
    <t>Track Geometry</t>
  </si>
  <si>
    <t>Component Mass [kg]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</si>
  <si>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1D Wheel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</si>
  <si>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 xml:space="preserve">2D Wheel 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</si>
  <si>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Servo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</si>
  <si>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Battery Pack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</si>
  <si>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battery (4)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</si>
  <si>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end</t>
    </r>
  </si>
  <si>
    <r>
      <t>d</t>
    </r>
    <r>
      <rPr>
        <b/>
        <vertAlign val="subscript"/>
        <sz val="11"/>
        <rFont val="Calibri"/>
        <family val="2"/>
        <scheme val="minor"/>
      </rPr>
      <t xml:space="preserve">min </t>
    </r>
    <r>
      <rPr>
        <b/>
        <sz val="11"/>
        <rFont val="Calibri"/>
        <family val="2"/>
        <scheme val="minor"/>
      </rPr>
      <t>[m]</t>
    </r>
  </si>
  <si>
    <t>Solid Airfoil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</si>
  <si>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 xml:space="preserve">max </t>
    </r>
    <r>
      <rPr>
        <b/>
        <sz val="11"/>
        <color theme="1"/>
        <rFont val="Calibri"/>
        <family val="2"/>
        <scheme val="minor"/>
      </rPr>
      <t>[m/s]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</si>
  <si>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vmax </t>
    </r>
    <r>
      <rPr>
        <b/>
        <sz val="11"/>
        <color theme="1"/>
        <rFont val="Calibri"/>
        <family val="2"/>
        <scheme val="minor"/>
      </rPr>
      <t>[m]</t>
    </r>
  </si>
  <si>
    <r>
      <t>ϴ</t>
    </r>
    <r>
      <rPr>
        <b/>
        <vertAlign val="subscript"/>
        <sz val="11"/>
        <color theme="1"/>
        <rFont val="Calibri"/>
        <family val="2"/>
      </rPr>
      <t>Flap</t>
    </r>
    <r>
      <rPr>
        <b/>
        <sz val="11"/>
        <color theme="1"/>
        <rFont val="Calibri"/>
        <family val="2"/>
      </rPr>
      <t xml:space="preserve"> [°]</t>
    </r>
  </si>
  <si>
    <t>τ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</si>
  <si>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 xml:space="preserve">r </t>
    </r>
    <r>
      <rPr>
        <b/>
        <sz val="11"/>
        <color theme="1"/>
        <rFont val="Calibri"/>
        <family val="2"/>
        <scheme val="minor"/>
      </rPr>
      <t>[m]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</si>
  <si>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tip</t>
    </r>
    <r>
      <rPr>
        <b/>
        <sz val="11"/>
        <color theme="1"/>
        <rFont val="Calibri"/>
        <family val="2"/>
        <scheme val="minor"/>
      </rPr>
      <t xml:space="preserve"> [m]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</si>
  <si>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root</t>
    </r>
    <r>
      <rPr>
        <b/>
        <sz val="11"/>
        <color theme="1"/>
        <rFont val="Calibri"/>
        <family val="2"/>
        <scheme val="minor"/>
      </rPr>
      <t xml:space="preserve"> [m]</t>
    </r>
  </si>
  <si>
    <t>Fudgin'</t>
  </si>
  <si>
    <r>
      <t>λ</t>
    </r>
    <r>
      <rPr>
        <b/>
        <vertAlign val="subscript"/>
        <sz val="11"/>
        <color theme="1"/>
        <rFont val="Calibri"/>
        <family val="2"/>
      </rPr>
      <t xml:space="preserve">aluminum </t>
    </r>
  </si>
  <si>
    <r>
      <t>λ</t>
    </r>
    <r>
      <rPr>
        <b/>
        <vertAlign val="subscript"/>
        <sz val="11"/>
        <color theme="1"/>
        <rFont val="Calibri"/>
        <family val="2"/>
      </rPr>
      <t>wooden h</t>
    </r>
  </si>
  <si>
    <r>
      <t>λ</t>
    </r>
    <r>
      <rPr>
        <b/>
        <vertAlign val="subscript"/>
        <sz val="11"/>
        <color theme="1"/>
        <rFont val="Calibri"/>
        <family val="2"/>
      </rPr>
      <t>wooden l</t>
    </r>
  </si>
  <si>
    <t>?</t>
  </si>
  <si>
    <t>Dowell Selection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</si>
  <si>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m0</t>
    </r>
  </si>
  <si>
    <r>
      <t>ρ</t>
    </r>
    <r>
      <rPr>
        <b/>
        <vertAlign val="subscript"/>
        <sz val="11"/>
        <color theme="1"/>
        <rFont val="Calibri"/>
        <family val="2"/>
      </rPr>
      <t>mast</t>
    </r>
  </si>
  <si>
    <r>
      <t>ρ</t>
    </r>
    <r>
      <rPr>
        <b/>
        <vertAlign val="subscript"/>
        <sz val="11"/>
        <color theme="1"/>
        <rFont val="Calibri"/>
        <family val="2"/>
      </rPr>
      <t>length</t>
    </r>
  </si>
  <si>
    <t>Base Geometry</t>
  </si>
  <si>
    <t>l/d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</si>
  <si>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 xml:space="preserve">mast </t>
    </r>
    <r>
      <rPr>
        <b/>
        <sz val="11"/>
        <color theme="1"/>
        <rFont val="Calibri"/>
        <family val="2"/>
        <scheme val="minor"/>
      </rPr>
      <t>[kg]</t>
    </r>
  </si>
  <si>
    <r>
      <t>ρ</t>
    </r>
    <r>
      <rPr>
        <b/>
        <vertAlign val="subscript"/>
        <sz val="11"/>
        <color theme="1"/>
        <rFont val="Calibri"/>
        <family val="2"/>
      </rPr>
      <t>axle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</si>
  <si>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front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</si>
  <si>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 xml:space="preserve">m </t>
    </r>
    <r>
      <rPr>
        <b/>
        <sz val="11"/>
        <color theme="1"/>
        <rFont val="Calibri"/>
        <family val="2"/>
        <scheme val="minor"/>
      </rPr>
      <t>[kg]</t>
    </r>
  </si>
  <si>
    <t>Sail</t>
  </si>
  <si>
    <t>Base</t>
  </si>
  <si>
    <t>Track</t>
  </si>
  <si>
    <t>Sail Geometry</t>
  </si>
  <si>
    <r>
      <t>y</t>
    </r>
    <r>
      <rPr>
        <b/>
        <vertAlign val="subscript"/>
        <sz val="11"/>
        <color theme="1"/>
        <rFont val="Calibri"/>
        <family val="2"/>
        <scheme val="minor"/>
      </rPr>
      <t>c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</si>
  <si>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q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</si>
  <si>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total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</si>
  <si>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q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</si>
  <si>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q</t>
    </r>
  </si>
  <si>
    <t>Results</t>
  </si>
  <si>
    <t>length [m]</t>
  </si>
  <si>
    <t>luff</t>
  </si>
  <si>
    <t xml:space="preserve">head </t>
  </si>
  <si>
    <t>ϴ</t>
  </si>
  <si>
    <t>Thin Sheet</t>
  </si>
  <si>
    <t>l [m]</t>
  </si>
  <si>
    <r>
      <t>t</t>
    </r>
    <r>
      <rPr>
        <b/>
        <vertAlign val="subscript"/>
        <sz val="11"/>
        <color rgb="FF000000"/>
        <rFont val="Calibri"/>
        <family val="2"/>
        <scheme val="minor"/>
      </rPr>
      <t>max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</si>
  <si>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max %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</si>
  <si>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mast</t>
    </r>
  </si>
  <si>
    <t>x/c</t>
  </si>
  <si>
    <t>z/c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</si>
  <si>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c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</si>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</sst>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00E+00"/>
    <numFmt numFmtId="166" formatCode="0.000"/>
    <numFmt numFmtId="167" formatCode="0.000000"/>
    <numFmt numFmtId="169" formatCode="0.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</font>
    <font>
      <b/>
      <vertAlign val="subscript"/>
      <sz val="11"/>
      <color rgb="FFFF0000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vertAlign val="subscript"/>
      <sz val="11"/>
      <color theme="4" tint="-0.249977111117893"/>
      <name val="Calibri"/>
      <family val="2"/>
    </font>
    <font>
      <b/>
      <sz val="11"/>
      <color theme="4" tint="-0.249977111117893"/>
      <name val="Calibri"/>
      <family val="2"/>
    </font>
    <font>
      <b/>
      <sz val="11"/>
      <name val="Calibri"/>
      <family val="2"/>
    </font>
    <font>
      <b/>
      <sz val="11"/>
      <color theme="4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b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</borders>
  <cellStyleXfs count="15">
    <xf numFmtId="0" fontId="0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58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/>
    <xf numFmtId="2" fontId="0" fillId="0" borderId="0" xfId="0" applyNumberFormat="1" applyBorder="1"/>
    <xf numFmtId="2" fontId="0" fillId="0" borderId="4" xfId="0" applyNumberFormat="1" applyBorder="1"/>
    <xf numFmtId="2" fontId="2" fillId="0" borderId="0" xfId="0" applyNumberFormat="1" applyFont="1" applyBorder="1" applyAlignment="1">
      <alignment horizontal="center"/>
    </xf>
    <xf numFmtId="2" fontId="0" fillId="0" borderId="0" xfId="0" applyNumberFormat="1" applyFill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6" xfId="0" applyNumberForma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0" fillId="0" borderId="6" xfId="0" applyNumberFormat="1" applyFill="1" applyBorder="1"/>
    <xf numFmtId="2" fontId="0" fillId="0" borderId="7" xfId="0" applyNumberFormat="1" applyBorder="1"/>
    <xf numFmtId="2" fontId="1" fillId="0" borderId="10" xfId="0" applyNumberFormat="1" applyFont="1" applyBorder="1" applyAlignment="1">
      <alignment horizontal="center"/>
    </xf>
    <xf numFmtId="2" fontId="1" fillId="0" borderId="10" xfId="0" applyNumberFormat="1" applyFont="1" applyBorder="1"/>
    <xf numFmtId="2" fontId="5" fillId="0" borderId="10" xfId="0" applyNumberFormat="1" applyFont="1" applyBorder="1" applyAlignment="1">
      <alignment horizontal="center"/>
    </xf>
    <xf numFmtId="2" fontId="5" fillId="0" borderId="10" xfId="0" applyNumberFormat="1" applyFont="1" applyFill="1" applyBorder="1" applyAlignment="1">
      <alignment horizontal="center"/>
    </xf>
    <xf numFmtId="2" fontId="5" fillId="0" borderId="11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/>
    <xf numFmtId="2" fontId="0" fillId="0" borderId="3" xfId="0" applyNumberFormat="1" applyFont="1" applyFill="1" applyBorder="1" applyAlignment="1">
      <alignment horizontal="center" vertical="center"/>
    </xf>
    <xf numFmtId="2" fontId="1" fillId="3" borderId="19" xfId="0" applyNumberFormat="1" applyFont="1" applyFill="1" applyBorder="1"/>
    <xf numFmtId="2" fontId="1" fillId="3" borderId="20" xfId="0" applyNumberFormat="1" applyFont="1" applyFill="1" applyBorder="1" applyAlignment="1">
      <alignment horizontal="center"/>
    </xf>
    <xf numFmtId="2" fontId="0" fillId="3" borderId="21" xfId="0" applyNumberFormat="1" applyFont="1" applyFill="1" applyBorder="1" applyAlignment="1">
      <alignment horizontal="center" vertical="center"/>
    </xf>
    <xf numFmtId="2" fontId="0" fillId="3" borderId="22" xfId="0" applyNumberFormat="1" applyFill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12" fillId="0" borderId="10" xfId="0" applyNumberFormat="1" applyFont="1" applyBorder="1" applyAlignment="1">
      <alignment horizontal="center"/>
    </xf>
    <xf numFmtId="0" fontId="0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2" fontId="15" fillId="0" borderId="10" xfId="0" applyNumberFormat="1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2" fontId="17" fillId="0" borderId="0" xfId="0" applyNumberFormat="1" applyFont="1" applyAlignment="1">
      <alignment horizontal="center"/>
    </xf>
    <xf numFmtId="2" fontId="17" fillId="0" borderId="6" xfId="0" applyNumberFormat="1" applyFont="1" applyBorder="1" applyAlignment="1">
      <alignment horizontal="center"/>
    </xf>
    <xf numFmtId="2" fontId="17" fillId="0" borderId="0" xfId="0" applyNumberFormat="1" applyFont="1" applyBorder="1"/>
    <xf numFmtId="166" fontId="0" fillId="0" borderId="0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66" fontId="1" fillId="5" borderId="28" xfId="0" applyNumberFormat="1" applyFont="1" applyFill="1" applyBorder="1" applyAlignment="1">
      <alignment horizontal="center"/>
    </xf>
    <xf numFmtId="166" fontId="1" fillId="5" borderId="29" xfId="0" applyNumberFormat="1" applyFon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2" fontId="18" fillId="0" borderId="15" xfId="0" applyNumberFormat="1" applyFont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21" fillId="3" borderId="27" xfId="0" applyFont="1" applyFill="1" applyBorder="1" applyAlignment="1">
      <alignment horizontal="center"/>
    </xf>
    <xf numFmtId="0" fontId="21" fillId="3" borderId="13" xfId="0" applyFont="1" applyFill="1" applyBorder="1" applyAlignment="1">
      <alignment horizontal="center"/>
    </xf>
    <xf numFmtId="2" fontId="1" fillId="0" borderId="24" xfId="0" applyNumberFormat="1" applyFont="1" applyBorder="1" applyAlignment="1">
      <alignment horizontal="center"/>
    </xf>
    <xf numFmtId="2" fontId="18" fillId="0" borderId="25" xfId="0" applyNumberFormat="1" applyFont="1" applyBorder="1" applyAlignment="1">
      <alignment horizontal="center"/>
    </xf>
    <xf numFmtId="2" fontId="1" fillId="0" borderId="25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5" fillId="5" borderId="35" xfId="0" applyFont="1" applyFill="1" applyBorder="1" applyAlignment="1">
      <alignment horizontal="center"/>
    </xf>
    <xf numFmtId="166" fontId="1" fillId="5" borderId="32" xfId="0" applyNumberFormat="1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166" fontId="0" fillId="0" borderId="38" xfId="0" applyNumberFormat="1" applyBorder="1" applyAlignment="1">
      <alignment horizontal="center"/>
    </xf>
    <xf numFmtId="166" fontId="0" fillId="0" borderId="36" xfId="0" applyNumberFormat="1" applyBorder="1" applyAlignment="1">
      <alignment horizontal="center"/>
    </xf>
    <xf numFmtId="166" fontId="0" fillId="0" borderId="39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7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0" fontId="0" fillId="5" borderId="18" xfId="0" applyFill="1" applyBorder="1" applyAlignment="1"/>
    <xf numFmtId="0" fontId="0" fillId="5" borderId="17" xfId="0" applyFill="1" applyBorder="1" applyAlignment="1"/>
    <xf numFmtId="0" fontId="0" fillId="5" borderId="14" xfId="0" applyFill="1" applyBorder="1" applyAlignment="1"/>
    <xf numFmtId="166" fontId="24" fillId="0" borderId="28" xfId="0" applyNumberFormat="1" applyFont="1" applyFill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/>
    </xf>
    <xf numFmtId="2" fontId="1" fillId="2" borderId="13" xfId="0" applyNumberFormat="1" applyFont="1" applyFill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9" fontId="0" fillId="0" borderId="3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169" fontId="1" fillId="0" borderId="3" xfId="0" applyNumberFormat="1" applyFont="1" applyBorder="1" applyAlignment="1">
      <alignment horizontal="center"/>
    </xf>
    <xf numFmtId="169" fontId="5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69" fontId="1" fillId="0" borderId="4" xfId="0" applyNumberFormat="1" applyFon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164" fontId="20" fillId="0" borderId="6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7" fontId="0" fillId="0" borderId="6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2" fontId="0" fillId="2" borderId="0" xfId="0" applyNumberFormat="1" applyFill="1"/>
    <xf numFmtId="2" fontId="1" fillId="2" borderId="3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17" fillId="2" borderId="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9" fontId="0" fillId="2" borderId="0" xfId="0" applyNumberForma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2" fontId="0" fillId="2" borderId="0" xfId="0" applyNumberFormat="1" applyFill="1" applyBorder="1"/>
    <xf numFmtId="2" fontId="0" fillId="2" borderId="4" xfId="0" applyNumberFormat="1" applyFill="1" applyBorder="1"/>
    <xf numFmtId="0" fontId="0" fillId="2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8">
    <dxf>
      <font>
        <b/>
        <i val="0"/>
        <strike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numFmt numFmtId="166" formatCode="0.000"/>
      <fill>
        <patternFill>
          <bgColor theme="9" tint="0.59996337778862885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Cambered</a:t>
            </a:r>
            <a:r>
              <a:rPr lang="en-US" baseline="0"/>
              <a:t> Thin Airfoil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SBT!$Y$4:$Y$14</c:f>
              <c:numCache>
                <c:formatCode>General</c:formatCode>
                <c:ptCount val="11"/>
                <c:pt idx="0">
                  <c:v>0.0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</c:numCache>
            </c:numRef>
          </c:xVal>
          <c:yVal>
            <c:numRef>
              <c:f>SBT!$Z$4:$Z$14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76488"/>
        <c:axId val="2066410056"/>
      </c:scatterChart>
      <c:valAx>
        <c:axId val="2067476488"/>
        <c:scaling>
          <c:orientation val="minMax"/>
          <c:max val="0.35"/>
          <c:min val="0.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38352890214895"/>
              <c:y val="0.891640866873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6410056"/>
        <c:crosses val="autoZero"/>
        <c:crossBetween val="midCat"/>
        <c:majorUnit val="0.05"/>
        <c:minorUnit val="0.025"/>
      </c:valAx>
      <c:valAx>
        <c:axId val="2066410056"/>
        <c:scaling>
          <c:orientation val="minMax"/>
          <c:max val="0.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476488"/>
        <c:crosses val="autoZero"/>
        <c:crossBetween val="midCat"/>
        <c:minorUnit val="0.0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20320</xdr:colOff>
      <xdr:row>12</xdr:row>
      <xdr:rowOff>60960</xdr:rowOff>
    </xdr:from>
    <xdr:to>
      <xdr:col>11</xdr:col>
      <xdr:colOff>266700</xdr:colOff>
      <xdr:row>30</xdr:row>
      <xdr:rowOff>137160</xdr:rowOff>
    </xdr:to>
    <xdr:pic>
      <xdr:nvPicPr>
        <xdr:cNvPr id="2" name="Picture 2" descr="D:\land sailing\LS3 Ugly Duck\sail_schematic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9760" y="2529840"/>
          <a:ext cx="2501900" cy="3581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650240</xdr:colOff>
      <xdr:row>17</xdr:row>
      <xdr:rowOff>0</xdr:rowOff>
    </xdr:from>
    <xdr:to>
      <xdr:col>25</xdr:col>
      <xdr:colOff>406400</xdr:colOff>
      <xdr:row>33</xdr:row>
      <xdr:rowOff>142240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ACA0012(-13 13 .5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1.x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B1:Z31"/>
  <sheetViews>
    <sheetView zoomScale="125" zoomScaleNormal="125" zoomScalePageLayoutView="125" workbookViewId="0">
      <selection activeCell="B13" sqref="B13"/>
    </sheetView>
  </sheetViews>
  <sheetFormatPr baseColWidth="10" defaultColWidth="8.83203125" defaultRowHeight="14" x14ac:dyDescent="0"/>
  <cols>
    <col min="2" max="2" width="11.5" style="42" bestFit="1" customWidth="1"/>
    <col min="3" max="3" width="12" style="42" bestFit="1" customWidth="1"/>
    <col min="4" max="4" width="11.83203125" style="42" bestFit="1" customWidth="1"/>
    <col min="5" max="5" width="11.5" style="42" bestFit="1" customWidth="1"/>
    <col min="6" max="6" width="12.1640625" style="42" bestFit="1" customWidth="1"/>
    <col min="7" max="7" width="12" style="42" bestFit="1" customWidth="1"/>
    <col min="8" max="8" width="11.5" style="42" bestFit="1" customWidth="1"/>
    <col min="9" max="9" width="12" style="42" customWidth="1"/>
  </cols>
  <sheetData>
    <row r="1" spans="2:26" ht="15" thickBot="1"/>
    <row r="2" spans="2:26" ht="21" thickBot="1">
      <c r="B2" s="79" t="s">
        <v>74</v>
      </c>
      <c r="C2" s="80" t="s">
        <v>75</v>
      </c>
      <c r="D2" s="81" t="s">
        <v>76</v>
      </c>
    </row>
    <row r="3" spans="2:26" ht="17" thickBot="1">
      <c r="H3" s="1"/>
      <c r="I3" s="1"/>
      <c r="J3" s="1"/>
      <c r="K3" s="1"/>
      <c r="W3" s="107" t="s">
        <v>93</v>
      </c>
      <c r="X3" s="125" t="s">
        <v>94</v>
      </c>
      <c r="Y3" s="126" t="s">
        <v>95</v>
      </c>
      <c r="Z3" s="127" t="s">
        <v>96</v>
      </c>
    </row>
    <row r="4" spans="2:26" ht="15" thickTop="1">
      <c r="B4" s="114" t="s">
        <v>77</v>
      </c>
      <c r="C4" s="115"/>
      <c r="D4" s="115"/>
      <c r="E4" s="115"/>
      <c r="F4" s="115"/>
      <c r="G4" s="116"/>
      <c r="I4" s="101" t="s">
        <v>59</v>
      </c>
      <c r="J4" s="102"/>
      <c r="K4" s="102"/>
      <c r="L4" s="103"/>
      <c r="W4" s="46">
        <v>0</v>
      </c>
      <c r="X4" s="44">
        <f>4*$K$6*(W4-W4^2)</f>
        <v>0</v>
      </c>
      <c r="Y4" s="128">
        <f>W4*$J$6</f>
        <v>0</v>
      </c>
      <c r="Z4" s="129">
        <f>X4*$J$6</f>
        <v>0</v>
      </c>
    </row>
    <row r="5" spans="2:26" ht="18" thickBot="1">
      <c r="B5" s="52" t="s">
        <v>3</v>
      </c>
      <c r="C5" s="53" t="s">
        <v>57</v>
      </c>
      <c r="D5" s="53" t="s">
        <v>5</v>
      </c>
      <c r="E5" s="53" t="s">
        <v>29</v>
      </c>
      <c r="F5" s="104" t="s">
        <v>90</v>
      </c>
      <c r="G5" s="55"/>
      <c r="I5" s="89" t="s">
        <v>29</v>
      </c>
      <c r="J5" s="69" t="s">
        <v>58</v>
      </c>
      <c r="K5" s="69" t="s">
        <v>91</v>
      </c>
      <c r="L5" s="70" t="s">
        <v>55</v>
      </c>
      <c r="W5" s="46">
        <v>0.1</v>
      </c>
      <c r="X5" s="44">
        <f t="shared" ref="X5:X14" si="0">4*$K$6*(W5-W5^2)</f>
        <v>0</v>
      </c>
      <c r="Y5" s="128">
        <f t="shared" ref="Y5:Y14" si="1">W5*$J$6</f>
        <v>0.03</v>
      </c>
      <c r="Z5" s="129">
        <f t="shared" ref="Z5:Z14" si="2">X5*$J$6</f>
        <v>0</v>
      </c>
    </row>
    <row r="6" spans="2:26" ht="16" thickTop="1" thickBot="1">
      <c r="B6" s="43">
        <f>(E6/2)*C9*(1+B9)</f>
        <v>0.6</v>
      </c>
      <c r="C6" s="7">
        <f>B9*C9</f>
        <v>0.3</v>
      </c>
      <c r="D6" s="7">
        <f>(1+B9)*B6*C9*0.5</f>
        <v>0.18</v>
      </c>
      <c r="E6" s="7">
        <f>SBT!I6</f>
        <v>2</v>
      </c>
      <c r="F6" s="44">
        <f>SBT!K6</f>
        <v>0</v>
      </c>
      <c r="G6" s="45"/>
      <c r="I6" s="91">
        <v>2</v>
      </c>
      <c r="J6" s="92">
        <v>0.3</v>
      </c>
      <c r="K6" s="66">
        <v>0</v>
      </c>
      <c r="L6" s="93">
        <v>1</v>
      </c>
      <c r="O6" s="106"/>
      <c r="W6" s="46">
        <v>0.2</v>
      </c>
      <c r="X6" s="44">
        <f t="shared" si="0"/>
        <v>0</v>
      </c>
      <c r="Y6" s="128">
        <f t="shared" si="1"/>
        <v>0.06</v>
      </c>
      <c r="Z6" s="129">
        <f t="shared" si="2"/>
        <v>0</v>
      </c>
    </row>
    <row r="7" spans="2:26" ht="15" thickBot="1">
      <c r="B7" s="43"/>
      <c r="C7" s="7"/>
      <c r="D7" s="7"/>
      <c r="E7" s="7"/>
      <c r="F7" s="44"/>
      <c r="G7" s="45"/>
      <c r="J7" s="65"/>
      <c r="K7" s="65"/>
      <c r="L7" s="42"/>
      <c r="M7" s="65"/>
      <c r="N7" s="65"/>
      <c r="W7" s="46">
        <v>0.3</v>
      </c>
      <c r="X7" s="44">
        <f t="shared" si="0"/>
        <v>0</v>
      </c>
      <c r="Y7" s="128">
        <f t="shared" si="1"/>
        <v>0.09</v>
      </c>
      <c r="Z7" s="129">
        <f t="shared" si="2"/>
        <v>0</v>
      </c>
    </row>
    <row r="8" spans="2:26" ht="16">
      <c r="B8" s="68" t="s">
        <v>55</v>
      </c>
      <c r="C8" s="5" t="s">
        <v>56</v>
      </c>
      <c r="D8" s="5" t="s">
        <v>78</v>
      </c>
      <c r="E8" s="5" t="s">
        <v>85</v>
      </c>
      <c r="F8" s="97" t="s">
        <v>86</v>
      </c>
      <c r="G8" s="105" t="s">
        <v>87</v>
      </c>
      <c r="I8" s="108" t="s">
        <v>83</v>
      </c>
      <c r="J8" s="109"/>
      <c r="K8" s="109"/>
      <c r="L8" s="109"/>
      <c r="M8" s="110"/>
      <c r="N8" s="65"/>
      <c r="W8" s="46">
        <v>0.4</v>
      </c>
      <c r="X8" s="44">
        <f t="shared" si="0"/>
        <v>0</v>
      </c>
      <c r="Y8" s="128">
        <f t="shared" si="1"/>
        <v>0.12</v>
      </c>
      <c r="Z8" s="129">
        <f t="shared" si="2"/>
        <v>0</v>
      </c>
    </row>
    <row r="9" spans="2:26" ht="17" thickBot="1">
      <c r="B9" s="46">
        <f>SBT!L6</f>
        <v>1</v>
      </c>
      <c r="C9" s="44">
        <f>SBT!J6</f>
        <v>0.3</v>
      </c>
      <c r="D9" s="44">
        <f>((1+2*B9)/(1+B9))*B6/3</f>
        <v>0.3</v>
      </c>
      <c r="E9" s="7">
        <f>(('Thin Sheet'!I4*(1-SBT!B9))^2+'Thin Sheet'!H4^2)^0.5</f>
        <v>0.6</v>
      </c>
      <c r="F9" s="44">
        <f>'Thin Sheet'!I4*SBT!B9</f>
        <v>0.3</v>
      </c>
      <c r="G9" s="45" t="e">
        <f>ATAN('Thin Sheet'!H4/('Thin Sheet'!I4-SBT!C6))*180/PI()</f>
        <v>#DIV/0!</v>
      </c>
      <c r="I9" s="86" t="s">
        <v>2</v>
      </c>
      <c r="J9" s="87" t="s">
        <v>52</v>
      </c>
      <c r="K9" s="87" t="s">
        <v>53</v>
      </c>
      <c r="L9" s="90" t="s">
        <v>84</v>
      </c>
      <c r="M9" s="88" t="s">
        <v>54</v>
      </c>
      <c r="N9" s="65"/>
      <c r="W9" s="46">
        <v>0.5</v>
      </c>
      <c r="X9" s="44">
        <f t="shared" si="0"/>
        <v>0</v>
      </c>
      <c r="Y9" s="128">
        <f t="shared" si="1"/>
        <v>0.15</v>
      </c>
      <c r="Z9" s="129">
        <f t="shared" si="2"/>
        <v>0</v>
      </c>
    </row>
    <row r="10" spans="2:26" ht="16" thickTop="1" thickBot="1">
      <c r="B10" s="111" t="s">
        <v>68</v>
      </c>
      <c r="C10" s="112"/>
      <c r="D10" s="112"/>
      <c r="E10" s="112"/>
      <c r="F10" s="112"/>
      <c r="G10" s="113"/>
      <c r="I10" s="71" t="s">
        <v>88</v>
      </c>
      <c r="J10" s="66">
        <f>'Thin Sheet'!D8</f>
        <v>1.8556179260726391</v>
      </c>
      <c r="K10" s="66">
        <f>'Thin Sheet'!H8</f>
        <v>0.21277353577625902</v>
      </c>
      <c r="L10" s="66">
        <f>'Thin Sheet'!K8</f>
        <v>0.31916030366438852</v>
      </c>
      <c r="M10" s="67">
        <v>0</v>
      </c>
      <c r="N10" s="65"/>
      <c r="W10" s="46">
        <v>0.6</v>
      </c>
      <c r="X10" s="44">
        <f t="shared" si="0"/>
        <v>0</v>
      </c>
      <c r="Y10" s="128">
        <f t="shared" si="1"/>
        <v>0.18</v>
      </c>
      <c r="Z10" s="129">
        <f t="shared" si="2"/>
        <v>0</v>
      </c>
    </row>
    <row r="11" spans="2:26" ht="15" thickBot="1">
      <c r="B11" s="75" t="s">
        <v>69</v>
      </c>
      <c r="C11" s="76"/>
      <c r="D11" s="76"/>
      <c r="E11" s="76"/>
      <c r="F11" s="76"/>
      <c r="G11" s="77"/>
      <c r="W11" s="46">
        <v>0.7</v>
      </c>
      <c r="X11" s="44">
        <f t="shared" si="0"/>
        <v>0</v>
      </c>
      <c r="Y11" s="128">
        <f t="shared" si="1"/>
        <v>0.21</v>
      </c>
      <c r="Z11" s="129">
        <f t="shared" si="2"/>
        <v>0</v>
      </c>
    </row>
    <row r="12" spans="2:26" ht="15" thickTop="1">
      <c r="B12" s="46">
        <v>1.5</v>
      </c>
      <c r="C12" s="44"/>
      <c r="D12" s="44"/>
      <c r="E12" s="44"/>
      <c r="F12" s="44"/>
      <c r="G12" s="47"/>
      <c r="W12" s="46">
        <v>0.8</v>
      </c>
      <c r="X12" s="44">
        <f t="shared" si="0"/>
        <v>0</v>
      </c>
      <c r="Y12" s="128">
        <f t="shared" si="1"/>
        <v>0.24</v>
      </c>
      <c r="Z12" s="129">
        <f t="shared" si="2"/>
        <v>0</v>
      </c>
    </row>
    <row r="13" spans="2:26">
      <c r="B13" s="46"/>
      <c r="C13" s="44"/>
      <c r="D13" s="44"/>
      <c r="E13" s="44"/>
      <c r="F13" s="44"/>
      <c r="G13" s="47"/>
      <c r="W13" s="46">
        <v>0.9</v>
      </c>
      <c r="X13" s="44">
        <f t="shared" si="0"/>
        <v>0</v>
      </c>
      <c r="Y13" s="128">
        <f t="shared" si="1"/>
        <v>0.27</v>
      </c>
      <c r="Z13" s="129">
        <f t="shared" si="2"/>
        <v>0</v>
      </c>
    </row>
    <row r="14" spans="2:26" ht="15" thickBot="1">
      <c r="B14" s="111" t="s">
        <v>42</v>
      </c>
      <c r="C14" s="112"/>
      <c r="D14" s="112"/>
      <c r="E14" s="112"/>
      <c r="F14" s="112"/>
      <c r="G14" s="113"/>
      <c r="W14" s="49">
        <v>1</v>
      </c>
      <c r="X14" s="50">
        <f t="shared" si="0"/>
        <v>0</v>
      </c>
      <c r="Y14" s="130">
        <f t="shared" si="1"/>
        <v>0.3</v>
      </c>
      <c r="Z14" s="131">
        <f t="shared" si="2"/>
        <v>0</v>
      </c>
    </row>
    <row r="15" spans="2:26" ht="15" thickBot="1">
      <c r="B15" s="52" t="s">
        <v>30</v>
      </c>
      <c r="C15" s="53" t="s">
        <v>31</v>
      </c>
      <c r="D15" s="53" t="s">
        <v>41</v>
      </c>
      <c r="E15" s="57"/>
      <c r="F15" s="57"/>
      <c r="G15" s="58"/>
    </row>
    <row r="16" spans="2:26" ht="15" thickTop="1">
      <c r="B16" s="46">
        <v>1.2192000000000001</v>
      </c>
      <c r="C16" s="44">
        <v>4.2671999999999999</v>
      </c>
      <c r="D16" s="44">
        <v>1.2192000000000001</v>
      </c>
      <c r="E16" s="44"/>
      <c r="F16" s="44"/>
      <c r="G16" s="47"/>
    </row>
    <row r="17" spans="2:7">
      <c r="B17" s="46"/>
      <c r="C17" s="44"/>
      <c r="D17" s="44"/>
      <c r="E17" s="44"/>
      <c r="F17" s="44"/>
      <c r="G17" s="47"/>
    </row>
    <row r="18" spans="2:7">
      <c r="B18" s="111" t="s">
        <v>43</v>
      </c>
      <c r="C18" s="112"/>
      <c r="D18" s="112"/>
      <c r="E18" s="112"/>
      <c r="F18" s="112"/>
      <c r="G18" s="113"/>
    </row>
    <row r="19" spans="2:7" ht="17" thickBot="1">
      <c r="B19" s="52" t="s">
        <v>44</v>
      </c>
      <c r="C19" s="53" t="s">
        <v>45</v>
      </c>
      <c r="D19" s="53" t="s">
        <v>46</v>
      </c>
      <c r="E19" s="53" t="s">
        <v>47</v>
      </c>
      <c r="F19" s="53" t="s">
        <v>48</v>
      </c>
      <c r="G19" s="56"/>
    </row>
    <row r="20" spans="2:7" ht="15" thickTop="1">
      <c r="B20" s="132">
        <v>0.14299999999999999</v>
      </c>
      <c r="C20" s="133">
        <v>0.16950000000000001</v>
      </c>
      <c r="D20" s="133">
        <v>0.04</v>
      </c>
      <c r="E20" s="133">
        <v>0.01</v>
      </c>
      <c r="F20" s="133">
        <v>0.06</v>
      </c>
      <c r="G20" s="134"/>
    </row>
    <row r="21" spans="2:7">
      <c r="B21" s="132"/>
      <c r="C21" s="133"/>
      <c r="D21" s="133"/>
      <c r="E21" s="133"/>
      <c r="F21" s="133"/>
      <c r="G21" s="134"/>
    </row>
    <row r="22" spans="2:7" ht="16">
      <c r="B22" s="135" t="s">
        <v>65</v>
      </c>
      <c r="C22" s="136" t="s">
        <v>66</v>
      </c>
      <c r="D22" s="136" t="s">
        <v>71</v>
      </c>
      <c r="E22" s="136" t="s">
        <v>67</v>
      </c>
      <c r="F22" s="137" t="s">
        <v>72</v>
      </c>
      <c r="G22" s="138" t="s">
        <v>49</v>
      </c>
    </row>
    <row r="23" spans="2:7" ht="15" thickBot="1">
      <c r="B23" s="139">
        <f>2*D20+E20+F20</f>
        <v>0.15</v>
      </c>
      <c r="C23" s="140">
        <f>B31</f>
        <v>8.9344262295081966E-2</v>
      </c>
      <c r="D23" s="140">
        <f>B31</f>
        <v>8.9344262295081966E-2</v>
      </c>
      <c r="E23" s="140">
        <f>B31</f>
        <v>8.9344262295081966E-2</v>
      </c>
      <c r="F23" s="140">
        <f>C20</f>
        <v>0.16950000000000001</v>
      </c>
      <c r="G23" s="141">
        <f>B20</f>
        <v>0.14299999999999999</v>
      </c>
    </row>
    <row r="24" spans="2:7">
      <c r="B24" s="111" t="s">
        <v>20</v>
      </c>
      <c r="C24" s="112"/>
      <c r="D24" s="112"/>
      <c r="E24" s="112"/>
      <c r="F24" s="112"/>
      <c r="G24" s="113"/>
    </row>
    <row r="25" spans="2:7" ht="18" thickBot="1">
      <c r="B25" s="52" t="s">
        <v>10</v>
      </c>
      <c r="C25" s="53" t="s">
        <v>11</v>
      </c>
      <c r="D25" s="54" t="s">
        <v>19</v>
      </c>
      <c r="E25" s="53" t="s">
        <v>1</v>
      </c>
      <c r="F25" s="53" t="s">
        <v>26</v>
      </c>
      <c r="G25" s="56" t="s">
        <v>0</v>
      </c>
    </row>
    <row r="26" spans="2:7" ht="15" thickTop="1">
      <c r="B26" s="46">
        <v>1.2250000000000001</v>
      </c>
      <c r="C26" s="44">
        <v>6.03</v>
      </c>
      <c r="D26" s="44">
        <f>0.00001789</f>
        <v>1.789E-5</v>
      </c>
      <c r="E26" s="48">
        <f>B26*C26*C6/D26</f>
        <v>123869.48015651203</v>
      </c>
      <c r="F26" s="44">
        <v>340.29</v>
      </c>
      <c r="G26" s="47">
        <f>C26/F26</f>
        <v>1.7720179846601427E-2</v>
      </c>
    </row>
    <row r="27" spans="2:7" ht="15" thickBot="1">
      <c r="B27" s="49"/>
      <c r="C27" s="50"/>
      <c r="D27" s="50"/>
      <c r="E27" s="50"/>
      <c r="F27" s="50"/>
      <c r="G27" s="51"/>
    </row>
    <row r="28" spans="2:7" ht="15" thickBot="1"/>
    <row r="29" spans="2:7">
      <c r="B29" s="117" t="s">
        <v>64</v>
      </c>
      <c r="C29" s="118"/>
      <c r="D29" s="119"/>
    </row>
    <row r="30" spans="2:7" ht="17" thickBot="1">
      <c r="B30" s="72" t="s">
        <v>61</v>
      </c>
      <c r="C30" s="73" t="s">
        <v>62</v>
      </c>
      <c r="D30" s="74" t="s">
        <v>60</v>
      </c>
    </row>
    <row r="31" spans="2:7" ht="17" thickTop="1" thickBot="1">
      <c r="B31" s="49">
        <v>8.9344262295081966E-2</v>
      </c>
      <c r="C31" s="142">
        <v>7.7237991266375539E-2</v>
      </c>
      <c r="D31" s="51" t="s">
        <v>63</v>
      </c>
    </row>
  </sheetData>
  <mergeCells count="7">
    <mergeCell ref="B29:D29"/>
    <mergeCell ref="B10:G10"/>
    <mergeCell ref="I8:M8"/>
    <mergeCell ref="B24:G24"/>
    <mergeCell ref="B14:G14"/>
    <mergeCell ref="B4:G4"/>
    <mergeCell ref="B18:G18"/>
  </mergeCells>
  <conditionalFormatting sqref="J10">
    <cfRule type="top10" dxfId="7" priority="1" rank="1"/>
  </conditionalFormatting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50"/>
  <sheetViews>
    <sheetView tabSelected="1" zoomScale="130" zoomScaleNormal="130" zoomScalePageLayoutView="130" workbookViewId="0">
      <selection activeCell="M11" sqref="M11"/>
    </sheetView>
  </sheetViews>
  <sheetFormatPr baseColWidth="10" defaultColWidth="8.83203125" defaultRowHeight="14" x14ac:dyDescent="0"/>
  <cols>
    <col min="1" max="1" width="5.5" style="2" customWidth="1"/>
    <col min="2" max="2" width="15.5" style="2" bestFit="1" customWidth="1"/>
    <col min="3" max="3" width="13.1640625" style="2" customWidth="1"/>
    <col min="4" max="4" width="12" style="3" customWidth="1"/>
    <col min="5" max="5" width="9.33203125" style="3" bestFit="1" customWidth="1"/>
    <col min="6" max="6" width="9.1640625" style="3" customWidth="1"/>
    <col min="7" max="7" width="13.83203125" style="3" customWidth="1"/>
    <col min="8" max="8" width="13.6640625" style="3" customWidth="1"/>
    <col min="9" max="9" width="16.5" style="62" customWidth="1"/>
    <col min="10" max="10" width="8.6640625" style="3" bestFit="1" customWidth="1"/>
    <col min="11" max="11" width="8.1640625" style="3" customWidth="1"/>
    <col min="12" max="12" width="15" style="3" bestFit="1" customWidth="1"/>
    <col min="13" max="13" width="15.5" style="3" bestFit="1" customWidth="1"/>
    <col min="14" max="14" width="16.1640625" style="3" bestFit="1" customWidth="1"/>
    <col min="15" max="15" width="9.5" style="3" customWidth="1"/>
    <col min="16" max="16" width="6.5" style="3" customWidth="1"/>
    <col min="17" max="17" width="8.6640625" style="3" bestFit="1" customWidth="1"/>
    <col min="18" max="18" width="9.83203125" style="3" customWidth="1"/>
    <col min="19" max="19" width="9.1640625" style="3" bestFit="1" customWidth="1"/>
    <col min="20" max="21" width="6.5" style="3" bestFit="1" customWidth="1"/>
    <col min="22" max="22" width="8" style="2" bestFit="1" customWidth="1"/>
    <col min="23" max="23" width="10" style="2" bestFit="1" customWidth="1"/>
    <col min="24" max="24" width="12.6640625" style="2" bestFit="1" customWidth="1"/>
    <col min="25" max="26" width="12" bestFit="1" customWidth="1"/>
    <col min="27" max="28" width="12.6640625" bestFit="1" customWidth="1"/>
  </cols>
  <sheetData>
    <row r="1" spans="1:30" ht="15" thickBot="1"/>
    <row r="2" spans="1:30" ht="15" thickBot="1">
      <c r="C2" s="120" t="s">
        <v>51</v>
      </c>
      <c r="D2" s="121"/>
      <c r="E2" s="5"/>
      <c r="F2" s="7"/>
      <c r="G2" s="7"/>
      <c r="H2" s="122" t="s">
        <v>36</v>
      </c>
      <c r="I2" s="123"/>
      <c r="J2" s="123"/>
      <c r="K2" s="123"/>
      <c r="L2" s="123"/>
      <c r="M2" s="123"/>
      <c r="N2" s="123"/>
      <c r="O2" s="123"/>
      <c r="P2" s="124"/>
      <c r="Q2" s="7"/>
      <c r="R2"/>
      <c r="S2"/>
      <c r="T2"/>
      <c r="U2"/>
      <c r="V2" s="7"/>
      <c r="W2" s="7"/>
      <c r="X2" s="3"/>
      <c r="Y2" s="42"/>
      <c r="Z2" s="42"/>
      <c r="AA2" s="42"/>
      <c r="AB2" s="42"/>
    </row>
    <row r="3" spans="1:30" ht="18" thickBot="1">
      <c r="C3" s="12"/>
      <c r="D3" s="7"/>
      <c r="E3" s="7"/>
      <c r="F3" s="7"/>
      <c r="G3" s="7"/>
      <c r="H3" s="82" t="s">
        <v>3</v>
      </c>
      <c r="I3" s="83" t="s">
        <v>4</v>
      </c>
      <c r="J3" s="84" t="s">
        <v>5</v>
      </c>
      <c r="K3" s="84" t="s">
        <v>29</v>
      </c>
      <c r="L3" s="84" t="s">
        <v>78</v>
      </c>
      <c r="M3" s="84" t="s">
        <v>21</v>
      </c>
      <c r="N3" s="84" t="s">
        <v>24</v>
      </c>
      <c r="O3" s="85" t="s">
        <v>14</v>
      </c>
      <c r="P3" s="55" t="s">
        <v>79</v>
      </c>
      <c r="V3"/>
      <c r="Y3" s="2"/>
      <c r="Z3" s="2"/>
      <c r="AA3" s="3"/>
      <c r="AB3" s="42"/>
      <c r="AC3" s="42"/>
      <c r="AD3" s="42"/>
    </row>
    <row r="4" spans="1:30" ht="16" thickTop="1" thickBot="1">
      <c r="C4" s="12"/>
      <c r="D4" s="7"/>
      <c r="E4" s="7"/>
      <c r="F4" s="7"/>
      <c r="G4" s="7"/>
      <c r="H4" s="94">
        <f>SBT!B6</f>
        <v>0.6</v>
      </c>
      <c r="I4" s="95">
        <f>SBT!C9</f>
        <v>0.3</v>
      </c>
      <c r="J4" s="96">
        <f>SBT!D6</f>
        <v>0.18</v>
      </c>
      <c r="K4" s="96">
        <f>SBT!E6</f>
        <v>2</v>
      </c>
      <c r="L4" s="96">
        <f>SBT!D9</f>
        <v>0.3</v>
      </c>
      <c r="M4" s="18">
        <f>SBT!B16</f>
        <v>1.2192000000000001</v>
      </c>
      <c r="N4" s="18">
        <f>SBT!C16</f>
        <v>4.2671999999999999</v>
      </c>
      <c r="O4" s="144">
        <f>0.5*SBT!$B$26*$J$4*SBT!$C$26^2</f>
        <v>4.0087892250000001</v>
      </c>
      <c r="P4" s="67">
        <f>(SBT!$B$12*SBT!$E$23+SBT!$D$23)*0.5*9.81</f>
        <v>1.0955840163934427</v>
      </c>
      <c r="Q4" s="145">
        <f>O4/J4</f>
        <v>22.271051250000003</v>
      </c>
      <c r="V4"/>
      <c r="Y4" s="3"/>
      <c r="Z4" s="2"/>
      <c r="AA4" s="2"/>
    </row>
    <row r="5" spans="1:30">
      <c r="C5" s="12"/>
      <c r="D5" s="7"/>
      <c r="E5" s="7"/>
      <c r="F5" s="7"/>
      <c r="G5" s="7"/>
      <c r="H5" s="98"/>
      <c r="I5" s="98"/>
      <c r="J5" s="98"/>
      <c r="K5" s="98"/>
      <c r="L5" s="98"/>
      <c r="M5" s="98"/>
      <c r="N5" s="98"/>
      <c r="O5" s="98"/>
      <c r="P5" s="99"/>
      <c r="Q5" s="99"/>
      <c r="R5" s="100"/>
      <c r="S5"/>
      <c r="T5"/>
      <c r="U5"/>
      <c r="X5" s="3"/>
      <c r="Y5" s="2"/>
      <c r="Z5" s="2"/>
    </row>
    <row r="6" spans="1:30" ht="15" thickBot="1">
      <c r="C6" s="12"/>
      <c r="D6" s="7"/>
      <c r="E6" s="7"/>
      <c r="F6" s="27"/>
      <c r="G6" s="7"/>
      <c r="H6" s="7"/>
      <c r="I6" s="61"/>
      <c r="J6" s="7"/>
      <c r="K6" s="7"/>
      <c r="L6" s="7"/>
      <c r="M6" s="7"/>
      <c r="N6" s="7"/>
      <c r="O6" s="7"/>
      <c r="P6" s="7"/>
      <c r="Q6" s="7"/>
      <c r="R6" s="7"/>
      <c r="S6" s="7"/>
      <c r="T6" s="12"/>
      <c r="U6" s="12"/>
      <c r="V6" s="12"/>
      <c r="W6" s="7"/>
      <c r="X6" s="3"/>
      <c r="Y6" s="2"/>
      <c r="Z6" s="2"/>
    </row>
    <row r="7" spans="1:30" ht="17" thickBot="1">
      <c r="C7" s="34" t="s">
        <v>34</v>
      </c>
      <c r="D7" s="35" t="s">
        <v>35</v>
      </c>
      <c r="E7" s="28" t="s">
        <v>22</v>
      </c>
      <c r="F7" s="29" t="s">
        <v>27</v>
      </c>
      <c r="G7" s="29" t="s">
        <v>28</v>
      </c>
      <c r="H7" s="78" t="s">
        <v>50</v>
      </c>
      <c r="I7" s="29" t="s">
        <v>70</v>
      </c>
      <c r="J7" s="29" t="s">
        <v>73</v>
      </c>
      <c r="K7" s="29" t="s">
        <v>89</v>
      </c>
      <c r="L7" s="29" t="s">
        <v>92</v>
      </c>
      <c r="M7" s="29" t="s">
        <v>80</v>
      </c>
      <c r="N7" s="29" t="s">
        <v>81</v>
      </c>
      <c r="O7" s="31" t="s">
        <v>82</v>
      </c>
      <c r="P7" s="9"/>
      <c r="Q7" s="9"/>
      <c r="R7" s="9"/>
      <c r="S7" s="9"/>
      <c r="T7" s="32"/>
      <c r="U7" s="32"/>
      <c r="V7" s="10"/>
      <c r="W7" s="3"/>
      <c r="Y7" s="2"/>
    </row>
    <row r="8" spans="1:30" ht="16" thickTop="1" thickBot="1">
      <c r="C8" s="36">
        <v>0</v>
      </c>
      <c r="D8" s="37">
        <f>MAX(T11:T38)</f>
        <v>1.8556179260726391</v>
      </c>
      <c r="E8" s="18">
        <f>$M$4-H8</f>
        <v>1.006426464223741</v>
      </c>
      <c r="F8" s="18">
        <f>MAX(N11:N38)</f>
        <v>2.4582641151602367</v>
      </c>
      <c r="G8" s="18">
        <f>F8*$L$4</f>
        <v>0.73747923454807096</v>
      </c>
      <c r="H8" s="63">
        <f>(-N8+SQRT(N8^2-4*$P$4*O8))/(2*$P$4)</f>
        <v>0.21277353577625902</v>
      </c>
      <c r="I8" s="96">
        <f>$H$4*SBT!$C$23</f>
        <v>5.3606557377049176E-2</v>
      </c>
      <c r="J8" s="140">
        <f>I8+SBT!$B$23</f>
        <v>0.20360655737704916</v>
      </c>
      <c r="K8" s="18">
        <f>SBT!$B$12*H8</f>
        <v>0.31916030366438852</v>
      </c>
      <c r="L8" s="18">
        <f>(F8*$L$4-(SBT!$F$23*K8+0.5*SBT!$E$23*K8^2)*9.81)/(J8*9.81)</f>
        <v>8.1176906604535581E-2</v>
      </c>
      <c r="M8" s="66">
        <f>J8+SBT!$F$23+2*SBT!$G$23+H8*SBT!$D$23+K8*SBT!$E$23</f>
        <v>0.70663179385166441</v>
      </c>
      <c r="N8" s="18">
        <f>(SBT!$G$23+(SBT!$F$23+J8)*0.5)*9.81</f>
        <v>3.2329176639344261</v>
      </c>
      <c r="O8" s="30">
        <f>-F8*$L$4</f>
        <v>-0.73747923454807096</v>
      </c>
      <c r="P8" s="7"/>
      <c r="Q8" s="7"/>
      <c r="R8" s="7"/>
      <c r="S8" s="7"/>
      <c r="T8" s="7"/>
      <c r="U8" s="7"/>
      <c r="V8" s="13"/>
      <c r="X8"/>
    </row>
    <row r="9" spans="1:30">
      <c r="C9" s="33"/>
      <c r="D9" s="7"/>
      <c r="E9" s="7"/>
      <c r="F9" s="7"/>
      <c r="G9" s="7"/>
      <c r="H9" s="7"/>
      <c r="I9" s="64"/>
      <c r="J9" s="12"/>
      <c r="K9" s="12"/>
      <c r="L9" s="7"/>
      <c r="M9" s="7"/>
      <c r="N9" s="7"/>
      <c r="O9" s="7"/>
      <c r="P9" s="7"/>
      <c r="Q9" s="7"/>
      <c r="R9" s="7"/>
      <c r="S9" s="7"/>
      <c r="T9" s="7"/>
      <c r="U9" s="7"/>
      <c r="V9" s="13"/>
      <c r="X9"/>
    </row>
    <row r="10" spans="1:30" ht="17" thickBot="1">
      <c r="C10" s="39" t="s">
        <v>38</v>
      </c>
      <c r="D10" s="40" t="s">
        <v>40</v>
      </c>
      <c r="E10" s="23" t="s">
        <v>33</v>
      </c>
      <c r="F10" s="22" t="s">
        <v>32</v>
      </c>
      <c r="G10" s="22" t="s">
        <v>39</v>
      </c>
      <c r="H10" s="22" t="s">
        <v>6</v>
      </c>
      <c r="I10" s="59" t="s">
        <v>15</v>
      </c>
      <c r="J10" s="60" t="s">
        <v>16</v>
      </c>
      <c r="K10" s="22" t="s">
        <v>17</v>
      </c>
      <c r="L10" s="38" t="s">
        <v>37</v>
      </c>
      <c r="M10" s="24" t="s">
        <v>9</v>
      </c>
      <c r="N10" s="24" t="s">
        <v>12</v>
      </c>
      <c r="O10" s="24" t="s">
        <v>13</v>
      </c>
      <c r="P10" s="24" t="s">
        <v>7</v>
      </c>
      <c r="Q10" s="24" t="s">
        <v>8</v>
      </c>
      <c r="R10" s="24" t="s">
        <v>18</v>
      </c>
      <c r="S10" s="24" t="s">
        <v>23</v>
      </c>
      <c r="T10" s="25" t="s">
        <v>25</v>
      </c>
      <c r="U10" s="25"/>
      <c r="V10" s="26"/>
      <c r="X10"/>
    </row>
    <row r="11" spans="1:30" ht="15" thickTop="1">
      <c r="C11" s="41">
        <f>2*PI()</f>
        <v>6.2831853071795862</v>
      </c>
      <c r="D11" s="143">
        <f>4*PI()*SBT!K6*SBT!C9</f>
        <v>0</v>
      </c>
      <c r="E11" s="4">
        <f>$K$4/(2+SQRT(4+$K$4^2))</f>
        <v>0.41421356237309509</v>
      </c>
      <c r="F11" s="4">
        <f>C11*E11</f>
        <v>2.602580569137146</v>
      </c>
      <c r="G11" s="6">
        <f>D11*E11</f>
        <v>0</v>
      </c>
      <c r="H11" s="8">
        <f>F11*PI()/180</f>
        <v>4.542359997987111E-2</v>
      </c>
      <c r="I11" s="61">
        <f t="shared" ref="I11:I38" si="0">0.5*ATAN(K11)*180/PI()-J11</f>
        <v>0</v>
      </c>
      <c r="J11" s="7">
        <v>0</v>
      </c>
      <c r="K11" s="7">
        <f t="shared" ref="K11:K38" si="1">L11/M11</f>
        <v>0</v>
      </c>
      <c r="L11" s="6">
        <f>$H$11*J11+$G$11</f>
        <v>0</v>
      </c>
      <c r="M11" s="6">
        <f t="shared" ref="M11:M38" si="2">0.015+0.1572*(L11^2)</f>
        <v>1.4999999999999999E-2</v>
      </c>
      <c r="N11" s="133">
        <f>$O$4*L11</f>
        <v>0</v>
      </c>
      <c r="O11" s="133">
        <f>$O$4*M11</f>
        <v>6.0131838374999996E-2</v>
      </c>
      <c r="P11" s="65">
        <f>((N11*COS(I11+J11)+O11*SIN(I11+J11))*SIN(J11+I11)-O11)/$M$8</f>
        <v>-8.5096423481368047E-2</v>
      </c>
      <c r="Q11" s="65">
        <f t="shared" ref="Q11:Q38" si="3">P11*TAN(I11+J11)</f>
        <v>0</v>
      </c>
      <c r="R11" s="14">
        <f t="shared" ref="R11:R38" si="4">IF(ISERROR(SQRT(2*$E$8/Q11)),0,SQRT(2*$E$8/Q11))</f>
        <v>0</v>
      </c>
      <c r="S11" s="7">
        <f t="shared" ref="S11:S38" si="5">0.5*P11*R11^2</f>
        <v>0</v>
      </c>
      <c r="T11" s="15">
        <f t="shared" ref="T11:T38" si="6">R11*P11</f>
        <v>0</v>
      </c>
      <c r="U11" s="15"/>
      <c r="V11" s="13"/>
      <c r="X11"/>
    </row>
    <row r="12" spans="1:30">
      <c r="C12" s="11"/>
      <c r="D12" s="12"/>
      <c r="E12" s="7"/>
      <c r="F12" s="7"/>
      <c r="G12" s="7"/>
      <c r="H12" s="7"/>
      <c r="I12" s="61">
        <f t="shared" si="0"/>
        <v>27.707523530329862</v>
      </c>
      <c r="J12" s="7">
        <f>J11+0.5</f>
        <v>0.5</v>
      </c>
      <c r="K12" s="7">
        <f t="shared" si="1"/>
        <v>1.5059788957852951</v>
      </c>
      <c r="L12" s="6">
        <f t="shared" ref="L12:L38" si="7">$H$11*J12+$G$11</f>
        <v>2.2711799989935555E-2</v>
      </c>
      <c r="M12" s="98">
        <f t="shared" si="2"/>
        <v>1.5081087825000662E-2</v>
      </c>
      <c r="N12" s="133">
        <f t="shared" ref="N12:N38" si="8">$O$4*L12</f>
        <v>9.1046819080008765E-2</v>
      </c>
      <c r="O12" s="133">
        <f t="shared" ref="O12:O38" si="9">$O$4*M12</f>
        <v>6.0456902374141336E-2</v>
      </c>
      <c r="P12" s="65">
        <f t="shared" ref="P12:P38" si="10">((N12*COS(I12+J12)+O12*SIN(I12+J12))*SIN(J12+I12)-O12)/$M$8</f>
        <v>-9.3757785151513021E-2</v>
      </c>
      <c r="Q12" s="65">
        <f t="shared" si="3"/>
        <v>6.2733273283899398E-3</v>
      </c>
      <c r="R12" s="14">
        <f t="shared" si="4"/>
        <v>17.912534817547652</v>
      </c>
      <c r="S12" s="7">
        <f t="shared" si="5"/>
        <v>-15.041510073363916</v>
      </c>
      <c r="T12" s="15">
        <f t="shared" si="6"/>
        <v>-1.6794395909426292</v>
      </c>
      <c r="U12" s="15"/>
      <c r="V12" s="13"/>
      <c r="X12"/>
    </row>
    <row r="13" spans="1:30" s="157" customFormat="1">
      <c r="A13" s="146"/>
      <c r="B13" s="146"/>
      <c r="C13" s="147"/>
      <c r="D13" s="148"/>
      <c r="E13" s="149"/>
      <c r="F13" s="149"/>
      <c r="G13" s="149"/>
      <c r="H13" s="149"/>
      <c r="I13" s="150">
        <f t="shared" si="0"/>
        <v>34.678692278077662</v>
      </c>
      <c r="J13" s="149">
        <f t="shared" ref="J13:J38" si="11">J12+0.5</f>
        <v>1</v>
      </c>
      <c r="K13" s="149">
        <f t="shared" si="1"/>
        <v>2.9641450453999485</v>
      </c>
      <c r="L13" s="151">
        <f t="shared" si="7"/>
        <v>4.542359997987111E-2</v>
      </c>
      <c r="M13" s="151">
        <f t="shared" si="2"/>
        <v>1.5324351300002648E-2</v>
      </c>
      <c r="N13" s="152">
        <f t="shared" si="8"/>
        <v>0.18209363816001753</v>
      </c>
      <c r="O13" s="152">
        <f t="shared" si="9"/>
        <v>6.1432094371565361E-2</v>
      </c>
      <c r="P13" s="153">
        <f t="shared" si="10"/>
        <v>8.444601047940932E-2</v>
      </c>
      <c r="Q13" s="153">
        <f t="shared" si="3"/>
        <v>0.1749848267660713</v>
      </c>
      <c r="R13" s="154">
        <f t="shared" si="4"/>
        <v>3.3916093662964437</v>
      </c>
      <c r="S13" s="149">
        <f t="shared" si="5"/>
        <v>0.48569182434434821</v>
      </c>
      <c r="T13" s="155">
        <f t="shared" si="6"/>
        <v>0.28640788008833229</v>
      </c>
      <c r="U13" s="155"/>
      <c r="V13" s="156"/>
      <c r="W13" s="146"/>
    </row>
    <row r="14" spans="1:30">
      <c r="C14" s="11"/>
      <c r="D14" s="12"/>
      <c r="E14" s="7"/>
      <c r="F14" s="7"/>
      <c r="G14" s="7"/>
      <c r="H14" s="7"/>
      <c r="I14" s="61">
        <f t="shared" si="0"/>
        <v>37.00020203186557</v>
      </c>
      <c r="J14" s="7">
        <f t="shared" si="11"/>
        <v>1.5</v>
      </c>
      <c r="K14" s="7">
        <f t="shared" si="1"/>
        <v>4.3316152427237986</v>
      </c>
      <c r="L14" s="6">
        <f t="shared" si="7"/>
        <v>6.8135399969806665E-2</v>
      </c>
      <c r="M14" s="6">
        <f t="shared" si="2"/>
        <v>1.5729790425005958E-2</v>
      </c>
      <c r="N14" s="133">
        <f t="shared" si="8"/>
        <v>0.27314045724002628</v>
      </c>
      <c r="O14" s="133">
        <f t="shared" si="9"/>
        <v>6.3057414367272052E-2</v>
      </c>
      <c r="P14" s="65">
        <f t="shared" si="10"/>
        <v>0.14995589780223034</v>
      </c>
      <c r="Q14" s="65">
        <f t="shared" si="3"/>
        <v>0.15473754756703009</v>
      </c>
      <c r="R14" s="14">
        <f t="shared" si="4"/>
        <v>3.606684614074664</v>
      </c>
      <c r="S14" s="7">
        <f t="shared" si="5"/>
        <v>0.975326198376119</v>
      </c>
      <c r="T14" s="15">
        <f t="shared" si="6"/>
        <v>0.54084362939305686</v>
      </c>
      <c r="U14" s="15"/>
      <c r="V14" s="13"/>
      <c r="X14"/>
    </row>
    <row r="15" spans="1:30">
      <c r="C15" s="11"/>
      <c r="D15" s="7"/>
      <c r="E15" s="7"/>
      <c r="F15" s="7"/>
      <c r="G15" s="7"/>
      <c r="H15" s="7"/>
      <c r="I15" s="61">
        <f t="shared" si="0"/>
        <v>37.914842126569269</v>
      </c>
      <c r="J15" s="7">
        <f t="shared" si="11"/>
        <v>2</v>
      </c>
      <c r="K15" s="7">
        <f t="shared" si="1"/>
        <v>5.5743352297384856</v>
      </c>
      <c r="L15" s="6">
        <f t="shared" si="7"/>
        <v>9.084719995974222E-2</v>
      </c>
      <c r="M15" s="6">
        <f t="shared" si="2"/>
        <v>1.6297405200010589E-2</v>
      </c>
      <c r="N15" s="133">
        <f t="shared" si="8"/>
        <v>0.36418727632003506</v>
      </c>
      <c r="O15" s="133">
        <f t="shared" si="9"/>
        <v>6.5332862361261415E-2</v>
      </c>
      <c r="P15" s="65">
        <f t="shared" si="10"/>
        <v>-0.2810021043824425</v>
      </c>
      <c r="Q15" s="65">
        <f t="shared" si="3"/>
        <v>0.37355317861801757</v>
      </c>
      <c r="R15" s="14">
        <f t="shared" si="4"/>
        <v>2.3212921555803581</v>
      </c>
      <c r="S15" s="7">
        <f t="shared" si="5"/>
        <v>-0.75707548627833199</v>
      </c>
      <c r="T15" s="15">
        <f t="shared" si="6"/>
        <v>-0.65228798060453674</v>
      </c>
      <c r="U15" s="15"/>
      <c r="V15" s="13"/>
      <c r="X15"/>
    </row>
    <row r="16" spans="1:30">
      <c r="C16" s="11"/>
      <c r="D16" s="7"/>
      <c r="E16" s="7"/>
      <c r="F16" s="7"/>
      <c r="G16" s="7"/>
      <c r="H16" s="7"/>
      <c r="I16" s="61">
        <f t="shared" si="0"/>
        <v>38.236258987540893</v>
      </c>
      <c r="J16" s="7">
        <f t="shared" si="11"/>
        <v>2.5</v>
      </c>
      <c r="K16" s="7">
        <f t="shared" si="1"/>
        <v>6.669272054573427</v>
      </c>
      <c r="L16" s="6">
        <f t="shared" si="7"/>
        <v>0.11355899994967777</v>
      </c>
      <c r="M16" s="6">
        <f t="shared" si="2"/>
        <v>1.7027195625016547E-2</v>
      </c>
      <c r="N16" s="133">
        <f t="shared" si="8"/>
        <v>0.45523409540004384</v>
      </c>
      <c r="O16" s="133">
        <f t="shared" si="9"/>
        <v>6.8258438353533471E-2</v>
      </c>
      <c r="P16" s="65">
        <f t="shared" si="10"/>
        <v>-0.16234570992235264</v>
      </c>
      <c r="Q16" s="65">
        <f t="shared" si="3"/>
        <v>1.7018208488546981E-2</v>
      </c>
      <c r="R16" s="14">
        <f t="shared" si="4"/>
        <v>10.875496725489294</v>
      </c>
      <c r="S16" s="7">
        <f t="shared" si="5"/>
        <v>-9.600835418663781</v>
      </c>
      <c r="T16" s="15">
        <f t="shared" si="6"/>
        <v>-1.7655902366577809</v>
      </c>
      <c r="U16" s="15"/>
      <c r="V16" s="13"/>
      <c r="X16"/>
    </row>
    <row r="17" spans="3:24">
      <c r="C17" s="11"/>
      <c r="D17" s="7"/>
      <c r="E17" s="7"/>
      <c r="F17" s="7"/>
      <c r="G17" s="7"/>
      <c r="H17" s="7"/>
      <c r="I17" s="61">
        <f t="shared" si="0"/>
        <v>38.254387071058233</v>
      </c>
      <c r="J17" s="7">
        <f t="shared" si="11"/>
        <v>3</v>
      </c>
      <c r="K17" s="7">
        <f t="shared" si="1"/>
        <v>7.6047530694157475</v>
      </c>
      <c r="L17" s="6">
        <f t="shared" si="7"/>
        <v>0.13627079993961333</v>
      </c>
      <c r="M17" s="6">
        <f t="shared" si="2"/>
        <v>1.791916170002383E-2</v>
      </c>
      <c r="N17" s="133">
        <f t="shared" si="8"/>
        <v>0.54628091448005256</v>
      </c>
      <c r="O17" s="133">
        <f t="shared" si="9"/>
        <v>7.183414234408822E-2</v>
      </c>
      <c r="P17" s="65">
        <f t="shared" si="10"/>
        <v>0.19932040139582688</v>
      </c>
      <c r="Q17" s="65">
        <f t="shared" si="3"/>
        <v>8.7504939375315213E-2</v>
      </c>
      <c r="R17" s="14">
        <f t="shared" si="4"/>
        <v>4.7961166544924314</v>
      </c>
      <c r="S17" s="7">
        <f t="shared" si="5"/>
        <v>2.2924571830632878</v>
      </c>
      <c r="T17" s="15">
        <f t="shared" si="6"/>
        <v>0.95596389671464177</v>
      </c>
      <c r="U17" s="15"/>
      <c r="V17" s="13"/>
      <c r="X17"/>
    </row>
    <row r="18" spans="3:24">
      <c r="C18" s="11"/>
      <c r="D18" s="7"/>
      <c r="E18" s="7"/>
      <c r="F18" s="7"/>
      <c r="G18" s="7"/>
      <c r="H18" s="7"/>
      <c r="I18" s="61">
        <f t="shared" si="0"/>
        <v>38.097197105410928</v>
      </c>
      <c r="J18" s="7">
        <f t="shared" si="11"/>
        <v>3.5</v>
      </c>
      <c r="K18" s="7">
        <f t="shared" si="1"/>
        <v>8.3792788408050836</v>
      </c>
      <c r="L18" s="6">
        <f t="shared" si="7"/>
        <v>0.15898259992954888</v>
      </c>
      <c r="M18" s="6">
        <f t="shared" si="2"/>
        <v>1.8973303425032433E-2</v>
      </c>
      <c r="N18" s="133">
        <f t="shared" si="8"/>
        <v>0.63732773356006134</v>
      </c>
      <c r="O18" s="133">
        <f t="shared" si="9"/>
        <v>7.605997433292562E-2</v>
      </c>
      <c r="P18" s="65">
        <f t="shared" si="10"/>
        <v>0.39328005317543036</v>
      </c>
      <c r="Q18" s="65">
        <f t="shared" si="3"/>
        <v>0.37117684617560059</v>
      </c>
      <c r="R18" s="14">
        <f t="shared" si="4"/>
        <v>2.3287109388773635</v>
      </c>
      <c r="S18" s="7">
        <f t="shared" si="5"/>
        <v>1.0663581455719902</v>
      </c>
      <c r="T18" s="15">
        <f t="shared" si="6"/>
        <v>0.91583556187189585</v>
      </c>
      <c r="U18" s="15"/>
      <c r="V18" s="13"/>
      <c r="X18"/>
    </row>
    <row r="19" spans="3:24">
      <c r="C19" s="11"/>
      <c r="D19" s="7"/>
      <c r="E19" s="7"/>
      <c r="F19" s="7"/>
      <c r="G19" s="7"/>
      <c r="H19" s="7"/>
      <c r="I19" s="61">
        <f t="shared" si="0"/>
        <v>37.829693222364696</v>
      </c>
      <c r="J19" s="7">
        <f t="shared" si="11"/>
        <v>4</v>
      </c>
      <c r="K19" s="7">
        <f t="shared" si="1"/>
        <v>8.9993963590986912</v>
      </c>
      <c r="L19" s="6">
        <f t="shared" si="7"/>
        <v>0.18169439991948444</v>
      </c>
      <c r="M19" s="6">
        <f t="shared" si="2"/>
        <v>2.0189620800042364E-2</v>
      </c>
      <c r="N19" s="133">
        <f t="shared" si="8"/>
        <v>0.72837455264007012</v>
      </c>
      <c r="O19" s="133">
        <f t="shared" si="9"/>
        <v>8.0935934320045713E-2</v>
      </c>
      <c r="P19" s="65">
        <f t="shared" si="10"/>
        <v>0.43865826548826581</v>
      </c>
      <c r="Q19" s="65">
        <f t="shared" si="3"/>
        <v>0.66690219237989246</v>
      </c>
      <c r="R19" s="14">
        <f t="shared" si="4"/>
        <v>1.7373005187601571</v>
      </c>
      <c r="S19" s="7">
        <f t="shared" si="5"/>
        <v>0.66198206001157134</v>
      </c>
      <c r="T19" s="15">
        <f t="shared" si="6"/>
        <v>0.76208123219119495</v>
      </c>
      <c r="U19" s="15"/>
      <c r="V19" s="13"/>
      <c r="X19"/>
    </row>
    <row r="20" spans="3:24">
      <c r="C20" s="11"/>
      <c r="D20" s="12"/>
      <c r="E20" s="7"/>
      <c r="F20" s="7"/>
      <c r="G20" s="7"/>
      <c r="H20" s="7"/>
      <c r="I20" s="61">
        <f t="shared" si="0"/>
        <v>37.488334688930784</v>
      </c>
      <c r="J20" s="7">
        <f t="shared" si="11"/>
        <v>4.5</v>
      </c>
      <c r="K20" s="7">
        <f t="shared" si="1"/>
        <v>9.4772404099602277</v>
      </c>
      <c r="L20" s="6">
        <f t="shared" si="7"/>
        <v>0.20440619990941999</v>
      </c>
      <c r="M20" s="6">
        <f t="shared" si="2"/>
        <v>2.1568113825053616E-2</v>
      </c>
      <c r="N20" s="133">
        <f t="shared" si="8"/>
        <v>0.81942137172007889</v>
      </c>
      <c r="O20" s="133">
        <f t="shared" si="9"/>
        <v>8.6462022305448472E-2</v>
      </c>
      <c r="P20" s="65">
        <f t="shared" si="10"/>
        <v>0.41355829213911982</v>
      </c>
      <c r="Q20" s="65">
        <f t="shared" si="3"/>
        <v>0.9182522304493641</v>
      </c>
      <c r="R20" s="14">
        <f t="shared" si="4"/>
        <v>1.4805566385379763</v>
      </c>
      <c r="S20" s="7">
        <f t="shared" si="5"/>
        <v>0.45326980529554517</v>
      </c>
      <c r="T20" s="15">
        <f t="shared" si="6"/>
        <v>0.61229647484900163</v>
      </c>
      <c r="U20" s="15"/>
      <c r="V20" s="13"/>
      <c r="X20"/>
    </row>
    <row r="21" spans="3:24">
      <c r="C21" s="11"/>
      <c r="D21" s="15"/>
      <c r="E21" s="7"/>
      <c r="F21" s="7"/>
      <c r="G21" s="7"/>
      <c r="H21" s="7"/>
      <c r="I21" s="61">
        <f t="shared" si="0"/>
        <v>37.095133822021282</v>
      </c>
      <c r="J21" s="7">
        <f t="shared" si="11"/>
        <v>5</v>
      </c>
      <c r="K21" s="7">
        <f t="shared" si="1"/>
        <v>9.8282114126395452</v>
      </c>
      <c r="L21" s="6">
        <f t="shared" si="7"/>
        <v>0.22711799989935555</v>
      </c>
      <c r="M21" s="6">
        <f t="shared" si="2"/>
        <v>2.3108782500066191E-2</v>
      </c>
      <c r="N21" s="133">
        <f t="shared" si="8"/>
        <v>0.91046819080008767</v>
      </c>
      <c r="O21" s="133">
        <f t="shared" si="9"/>
        <v>9.2638238289133909E-2</v>
      </c>
      <c r="P21" s="65">
        <f t="shared" si="10"/>
        <v>0.368277674438584</v>
      </c>
      <c r="Q21" s="65">
        <f t="shared" si="3"/>
        <v>1.1249851111262121</v>
      </c>
      <c r="R21" s="14">
        <f t="shared" si="4"/>
        <v>1.3376196330336738</v>
      </c>
      <c r="S21" s="7">
        <f t="shared" si="5"/>
        <v>0.32946604721436484</v>
      </c>
      <c r="T21" s="15">
        <f t="shared" si="6"/>
        <v>0.49261544773703353</v>
      </c>
      <c r="U21" s="15"/>
      <c r="V21" s="13"/>
      <c r="X21"/>
    </row>
    <row r="22" spans="3:24">
      <c r="C22" s="11"/>
      <c r="D22" s="12"/>
      <c r="E22" s="7"/>
      <c r="F22" s="7"/>
      <c r="G22" s="7"/>
      <c r="H22" s="7"/>
      <c r="I22" s="61">
        <f t="shared" si="0"/>
        <v>36.664159208132183</v>
      </c>
      <c r="J22" s="7">
        <f t="shared" si="11"/>
        <v>5.5</v>
      </c>
      <c r="K22" s="7">
        <f t="shared" si="1"/>
        <v>10.069061639954947</v>
      </c>
      <c r="L22" s="6">
        <f t="shared" si="7"/>
        <v>0.2498297998892911</v>
      </c>
      <c r="M22" s="6">
        <f t="shared" si="2"/>
        <v>2.4811626825080091E-2</v>
      </c>
      <c r="N22" s="133">
        <f t="shared" si="8"/>
        <v>1.0015150098800965</v>
      </c>
      <c r="O22" s="133">
        <f t="shared" si="9"/>
        <v>9.9464582271102026E-2</v>
      </c>
      <c r="P22" s="65">
        <f t="shared" si="10"/>
        <v>0.32799842868995321</v>
      </c>
      <c r="Q22" s="65">
        <f t="shared" si="3"/>
        <v>1.2989413010210922</v>
      </c>
      <c r="R22" s="14">
        <f t="shared" si="4"/>
        <v>1.2448334764688789</v>
      </c>
      <c r="S22" s="7">
        <f t="shared" si="5"/>
        <v>0.25413488553938296</v>
      </c>
      <c r="T22" s="15">
        <f t="shared" si="6"/>
        <v>0.40830342426244409</v>
      </c>
      <c r="U22" s="15"/>
      <c r="V22" s="13"/>
      <c r="X22"/>
    </row>
    <row r="23" spans="3:24">
      <c r="C23" s="11"/>
      <c r="D23" s="12"/>
      <c r="E23" s="7"/>
      <c r="F23" s="7"/>
      <c r="G23" s="7"/>
      <c r="H23" s="7"/>
      <c r="I23" s="61">
        <f t="shared" si="0"/>
        <v>36.204819539186389</v>
      </c>
      <c r="J23" s="7">
        <f t="shared" si="11"/>
        <v>6</v>
      </c>
      <c r="K23" s="7">
        <f t="shared" si="1"/>
        <v>10.216486424307753</v>
      </c>
      <c r="L23" s="6">
        <f t="shared" si="7"/>
        <v>0.27254159987922666</v>
      </c>
      <c r="M23" s="6">
        <f t="shared" si="2"/>
        <v>2.6676646800095315E-2</v>
      </c>
      <c r="N23" s="133">
        <f t="shared" si="8"/>
        <v>1.0925618289601051</v>
      </c>
      <c r="O23" s="133">
        <f t="shared" si="9"/>
        <v>0.10694105425135284</v>
      </c>
      <c r="P23" s="65">
        <f t="shared" si="10"/>
        <v>0.30416485906686064</v>
      </c>
      <c r="Q23" s="65">
        <f t="shared" si="3"/>
        <v>1.4506463748564651</v>
      </c>
      <c r="R23" s="14">
        <f t="shared" si="4"/>
        <v>1.1779456246467046</v>
      </c>
      <c r="S23" s="7">
        <f t="shared" si="5"/>
        <v>0.21102287156789828</v>
      </c>
      <c r="T23" s="15">
        <f t="shared" si="6"/>
        <v>0.35828966490909003</v>
      </c>
      <c r="U23" s="15"/>
      <c r="V23" s="13"/>
      <c r="X23"/>
    </row>
    <row r="24" spans="3:24">
      <c r="C24" s="11"/>
      <c r="D24" s="12"/>
      <c r="E24" s="7"/>
      <c r="F24" s="7"/>
      <c r="G24" s="7"/>
      <c r="H24" s="7"/>
      <c r="I24" s="61">
        <f t="shared" si="0"/>
        <v>35.723644170884349</v>
      </c>
      <c r="J24" s="7">
        <f t="shared" si="11"/>
        <v>6.5</v>
      </c>
      <c r="K24" s="7">
        <f t="shared" si="1"/>
        <v>10.286197767406101</v>
      </c>
      <c r="L24" s="6">
        <f t="shared" si="7"/>
        <v>0.29525339986916221</v>
      </c>
      <c r="M24" s="6">
        <f t="shared" si="2"/>
        <v>2.8703842425111866E-2</v>
      </c>
      <c r="N24" s="133">
        <f t="shared" si="8"/>
        <v>1.183608648040114</v>
      </c>
      <c r="O24" s="133">
        <f t="shared" si="9"/>
        <v>0.11506765422988632</v>
      </c>
      <c r="P24" s="65">
        <f t="shared" si="10"/>
        <v>0.30162979831660003</v>
      </c>
      <c r="Q24" s="65">
        <f t="shared" si="3"/>
        <v>1.5867057899111618</v>
      </c>
      <c r="R24" s="14">
        <f t="shared" si="4"/>
        <v>1.1263096852005119</v>
      </c>
      <c r="S24" s="7">
        <f t="shared" si="5"/>
        <v>0.19131978552954823</v>
      </c>
      <c r="T24" s="15">
        <f t="shared" si="6"/>
        <v>0.33972856318906369</v>
      </c>
      <c r="U24" s="15"/>
      <c r="V24" s="13"/>
      <c r="X24"/>
    </row>
    <row r="25" spans="3:24">
      <c r="C25" s="11"/>
      <c r="D25" s="12"/>
      <c r="E25" s="7"/>
      <c r="F25" s="7"/>
      <c r="G25" s="7"/>
      <c r="H25" s="7"/>
      <c r="I25" s="61">
        <f t="shared" si="0"/>
        <v>35.225305786603037</v>
      </c>
      <c r="J25" s="7">
        <f t="shared" si="11"/>
        <v>7</v>
      </c>
      <c r="K25" s="7">
        <f t="shared" si="1"/>
        <v>10.292396347802509</v>
      </c>
      <c r="L25" s="6">
        <f t="shared" si="7"/>
        <v>0.31796519985909777</v>
      </c>
      <c r="M25" s="6">
        <f t="shared" si="2"/>
        <v>3.0893213700129738E-2</v>
      </c>
      <c r="N25" s="133">
        <f t="shared" si="8"/>
        <v>1.2746554671201227</v>
      </c>
      <c r="O25" s="133">
        <f t="shared" si="9"/>
        <v>0.12384438220670248</v>
      </c>
      <c r="P25" s="65">
        <f t="shared" si="10"/>
        <v>0.32215213181244917</v>
      </c>
      <c r="Q25" s="65">
        <f t="shared" si="3"/>
        <v>1.7101457197206249</v>
      </c>
      <c r="R25" s="14">
        <f t="shared" si="4"/>
        <v>1.0848993850358606</v>
      </c>
      <c r="S25" s="7">
        <f t="shared" si="5"/>
        <v>0.18958760485925716</v>
      </c>
      <c r="T25" s="15">
        <f t="shared" si="6"/>
        <v>0.34950264969131761</v>
      </c>
      <c r="U25" s="15"/>
      <c r="V25" s="13"/>
      <c r="X25"/>
    </row>
    <row r="26" spans="3:24">
      <c r="C26" s="11"/>
      <c r="D26" s="12"/>
      <c r="E26" s="7"/>
      <c r="F26" s="7"/>
      <c r="G26" s="7"/>
      <c r="H26" s="7"/>
      <c r="I26" s="61">
        <f t="shared" si="0"/>
        <v>34.713236367101679</v>
      </c>
      <c r="J26" s="7">
        <f t="shared" si="11"/>
        <v>7.5</v>
      </c>
      <c r="K26" s="7">
        <f t="shared" si="1"/>
        <v>10.247539565417075</v>
      </c>
      <c r="L26" s="6">
        <f t="shared" si="7"/>
        <v>0.34067699984903332</v>
      </c>
      <c r="M26" s="6">
        <f t="shared" si="2"/>
        <v>3.3244760625148931E-2</v>
      </c>
      <c r="N26" s="133">
        <f t="shared" si="8"/>
        <v>1.3657022862001316</v>
      </c>
      <c r="O26" s="133">
        <f t="shared" si="9"/>
        <v>0.13327123818180131</v>
      </c>
      <c r="P26" s="65">
        <f t="shared" si="10"/>
        <v>0.36590425918260944</v>
      </c>
      <c r="Q26" s="65">
        <f t="shared" si="3"/>
        <v>1.8212907948252177</v>
      </c>
      <c r="R26" s="14">
        <f t="shared" si="4"/>
        <v>1.0512750940925233</v>
      </c>
      <c r="S26" s="7">
        <f t="shared" si="5"/>
        <v>0.20219491080714605</v>
      </c>
      <c r="T26" s="15">
        <f t="shared" si="6"/>
        <v>0.38466603450105274</v>
      </c>
      <c r="U26" s="15"/>
      <c r="V26" s="13"/>
      <c r="X26"/>
    </row>
    <row r="27" spans="3:24">
      <c r="C27" s="11"/>
      <c r="D27" s="12"/>
      <c r="E27" s="7"/>
      <c r="F27" s="7"/>
      <c r="G27" s="7"/>
      <c r="H27" s="7"/>
      <c r="I27" s="61">
        <f t="shared" si="0"/>
        <v>34.190013324980846</v>
      </c>
      <c r="J27" s="7">
        <f t="shared" si="11"/>
        <v>8</v>
      </c>
      <c r="K27" s="7">
        <f t="shared" si="1"/>
        <v>10.162310235721824</v>
      </c>
      <c r="L27" s="6">
        <f t="shared" si="7"/>
        <v>0.36338879983896888</v>
      </c>
      <c r="M27" s="6">
        <f t="shared" si="2"/>
        <v>3.5758483200169451E-2</v>
      </c>
      <c r="N27" s="133">
        <f t="shared" si="8"/>
        <v>1.4567491052801402</v>
      </c>
      <c r="O27" s="133">
        <f t="shared" si="9"/>
        <v>0.14334822215518281</v>
      </c>
      <c r="P27" s="65">
        <f t="shared" si="10"/>
        <v>0.43202791267537971</v>
      </c>
      <c r="Q27" s="65">
        <f t="shared" si="3"/>
        <v>1.9185736426324229</v>
      </c>
      <c r="R27" s="14">
        <f t="shared" si="4"/>
        <v>1.0242755004160977</v>
      </c>
      <c r="S27" s="7">
        <f t="shared" si="5"/>
        <v>0.22662894711889317</v>
      </c>
      <c r="T27" s="15">
        <f t="shared" si="6"/>
        <v>0.44251560644929672</v>
      </c>
      <c r="U27" s="15"/>
      <c r="V27" s="13"/>
      <c r="X27"/>
    </row>
    <row r="28" spans="3:24">
      <c r="C28" s="11"/>
      <c r="D28" s="12"/>
      <c r="E28" s="7"/>
      <c r="F28" s="7"/>
      <c r="G28" s="7"/>
      <c r="H28" s="7"/>
      <c r="I28" s="61">
        <f t="shared" si="0"/>
        <v>33.657609948911606</v>
      </c>
      <c r="J28" s="7">
        <f t="shared" si="11"/>
        <v>8.5</v>
      </c>
      <c r="K28" s="7">
        <f t="shared" si="1"/>
        <v>10.045708699134675</v>
      </c>
      <c r="L28" s="6">
        <f t="shared" si="7"/>
        <v>0.38610059982890443</v>
      </c>
      <c r="M28" s="6">
        <f t="shared" si="2"/>
        <v>3.8434381425191302E-2</v>
      </c>
      <c r="N28" s="133">
        <f t="shared" si="8"/>
        <v>1.5477959243601489</v>
      </c>
      <c r="O28" s="133">
        <f t="shared" si="9"/>
        <v>0.15407533412684704</v>
      </c>
      <c r="P28" s="65">
        <f t="shared" si="10"/>
        <v>0.51877088380959313</v>
      </c>
      <c r="Q28" s="65">
        <f t="shared" si="3"/>
        <v>1.9991893378483523</v>
      </c>
      <c r="R28" s="14">
        <f t="shared" si="4"/>
        <v>1.0034114637382696</v>
      </c>
      <c r="S28" s="7">
        <f t="shared" si="5"/>
        <v>0.26115822871316158</v>
      </c>
      <c r="T28" s="15">
        <f t="shared" si="6"/>
        <v>0.52054065186817966</v>
      </c>
      <c r="U28" s="15"/>
      <c r="V28" s="13"/>
      <c r="X28"/>
    </row>
    <row r="29" spans="3:24">
      <c r="C29" s="11"/>
      <c r="D29" s="12"/>
      <c r="E29" s="7"/>
      <c r="F29" s="7"/>
      <c r="G29" s="7"/>
      <c r="H29" s="7"/>
      <c r="I29" s="61">
        <f t="shared" si="0"/>
        <v>33.11756268542026</v>
      </c>
      <c r="J29" s="7">
        <f t="shared" si="11"/>
        <v>9</v>
      </c>
      <c r="K29" s="7">
        <f t="shared" si="1"/>
        <v>9.9052115229189113</v>
      </c>
      <c r="L29" s="6">
        <f t="shared" si="7"/>
        <v>0.40881239981883999</v>
      </c>
      <c r="M29" s="6">
        <f t="shared" si="2"/>
        <v>4.1272455300214464E-2</v>
      </c>
      <c r="N29" s="133">
        <f t="shared" si="8"/>
        <v>1.6388427434401578</v>
      </c>
      <c r="O29" s="133">
        <f t="shared" si="9"/>
        <v>0.1654525740967939</v>
      </c>
      <c r="P29" s="65">
        <f t="shared" si="10"/>
        <v>0.62346331808686517</v>
      </c>
      <c r="Q29" s="65">
        <f t="shared" si="3"/>
        <v>2.0596285089759436</v>
      </c>
      <c r="R29" s="14">
        <f t="shared" si="4"/>
        <v>0.98857944140485843</v>
      </c>
      <c r="S29" s="7">
        <f t="shared" si="5"/>
        <v>0.30465201858530599</v>
      </c>
      <c r="T29" s="15">
        <f t="shared" si="6"/>
        <v>0.61634301873073272</v>
      </c>
      <c r="U29" s="15"/>
      <c r="V29" s="13"/>
      <c r="X29"/>
    </row>
    <row r="30" spans="3:24">
      <c r="C30" s="11"/>
      <c r="D30" s="12"/>
      <c r="E30" s="7"/>
      <c r="F30" s="7"/>
      <c r="G30" s="7"/>
      <c r="H30" s="7"/>
      <c r="I30" s="61">
        <f t="shared" si="0"/>
        <v>32.571085773644434</v>
      </c>
      <c r="J30" s="7">
        <f t="shared" si="11"/>
        <v>9.5</v>
      </c>
      <c r="K30" s="7">
        <f t="shared" si="1"/>
        <v>9.7469581204076903</v>
      </c>
      <c r="L30" s="6">
        <f t="shared" si="7"/>
        <v>0.43152419980877554</v>
      </c>
      <c r="M30" s="6">
        <f t="shared" si="2"/>
        <v>4.4272704825238957E-2</v>
      </c>
      <c r="N30" s="133">
        <f t="shared" si="8"/>
        <v>1.7298895625201665</v>
      </c>
      <c r="O30" s="133">
        <f t="shared" si="9"/>
        <v>0.17747994206502343</v>
      </c>
      <c r="P30" s="65">
        <f t="shared" si="10"/>
        <v>0.74245854543912126</v>
      </c>
      <c r="Q30" s="65">
        <f t="shared" si="3"/>
        <v>2.09613298812052</v>
      </c>
      <c r="R30" s="14">
        <f t="shared" si="4"/>
        <v>0.97993350179170591</v>
      </c>
      <c r="S30" s="7">
        <f t="shared" si="5"/>
        <v>0.35648021044170197</v>
      </c>
      <c r="T30" s="15">
        <f t="shared" si="6"/>
        <v>0.72756000236733454</v>
      </c>
      <c r="U30" s="15"/>
      <c r="V30" s="13"/>
      <c r="X30"/>
    </row>
    <row r="31" spans="3:24">
      <c r="C31" s="11"/>
      <c r="D31" s="12"/>
      <c r="E31" s="7"/>
      <c r="F31" s="7"/>
      <c r="G31" s="7"/>
      <c r="H31" s="7"/>
      <c r="I31" s="61">
        <f t="shared" si="0"/>
        <v>32.019151593496517</v>
      </c>
      <c r="J31" s="7">
        <f t="shared" si="11"/>
        <v>10</v>
      </c>
      <c r="K31" s="7">
        <f t="shared" si="1"/>
        <v>9.5759408648437478</v>
      </c>
      <c r="L31" s="6">
        <f t="shared" si="7"/>
        <v>0.4542359997987111</v>
      </c>
      <c r="M31" s="6">
        <f t="shared" si="2"/>
        <v>4.7435130000264773E-2</v>
      </c>
      <c r="N31" s="133">
        <f t="shared" si="8"/>
        <v>1.8209363816001753</v>
      </c>
      <c r="O31" s="133">
        <f t="shared" si="9"/>
        <v>0.19015743803153567</v>
      </c>
      <c r="P31" s="65">
        <f t="shared" si="10"/>
        <v>0.87109966580166398</v>
      </c>
      <c r="Q31" s="65">
        <f t="shared" si="3"/>
        <v>2.1051033888549862</v>
      </c>
      <c r="R31" s="14">
        <f t="shared" si="4"/>
        <v>0.97784339524263109</v>
      </c>
      <c r="S31" s="7">
        <f t="shared" si="5"/>
        <v>0.41646303990613359</v>
      </c>
      <c r="T31" s="15">
        <f t="shared" si="6"/>
        <v>0.8517990548022204</v>
      </c>
      <c r="U31" s="15"/>
      <c r="V31" s="13"/>
      <c r="X31"/>
    </row>
    <row r="32" spans="3:24">
      <c r="C32" s="11"/>
      <c r="D32" s="12"/>
      <c r="E32" s="7"/>
      <c r="F32" s="7"/>
      <c r="G32" s="7"/>
      <c r="H32" s="7"/>
      <c r="I32" s="61">
        <f t="shared" si="0"/>
        <v>31.462548119416219</v>
      </c>
      <c r="J32" s="7">
        <f t="shared" si="11"/>
        <v>10.5</v>
      </c>
      <c r="K32" s="7">
        <f t="shared" si="1"/>
        <v>9.3961845745446553</v>
      </c>
      <c r="L32" s="6">
        <f t="shared" si="7"/>
        <v>0.47694779978864665</v>
      </c>
      <c r="M32" s="6">
        <f t="shared" si="2"/>
        <v>5.0759730825291907E-2</v>
      </c>
      <c r="N32" s="133">
        <f t="shared" si="8"/>
        <v>1.911983200680184</v>
      </c>
      <c r="O32" s="133">
        <f t="shared" si="9"/>
        <v>0.20348506199633057</v>
      </c>
      <c r="P32" s="65">
        <f t="shared" si="10"/>
        <v>1.003742014635411</v>
      </c>
      <c r="Q32" s="65">
        <f t="shared" si="3"/>
        <v>2.0834722457459467</v>
      </c>
      <c r="R32" s="14">
        <f t="shared" si="4"/>
        <v>0.98290639826330473</v>
      </c>
      <c r="S32" s="7">
        <f t="shared" si="5"/>
        <v>0.48486008337521741</v>
      </c>
      <c r="T32" s="15">
        <f t="shared" si="6"/>
        <v>0.98658444839084514</v>
      </c>
      <c r="U32" s="15"/>
      <c r="V32" s="13"/>
      <c r="X32"/>
    </row>
    <row r="33" spans="1:24" ht="18.75" customHeight="1">
      <c r="B33"/>
      <c r="C33" s="11"/>
      <c r="D33" s="12"/>
      <c r="E33" s="7"/>
      <c r="F33" s="7"/>
      <c r="G33" s="7"/>
      <c r="H33" s="7"/>
      <c r="I33" s="61">
        <f t="shared" si="0"/>
        <v>30.901920743229269</v>
      </c>
      <c r="J33" s="7">
        <f t="shared" si="11"/>
        <v>11</v>
      </c>
      <c r="K33" s="7">
        <f t="shared" si="1"/>
        <v>9.2109082159402238</v>
      </c>
      <c r="L33" s="6">
        <f t="shared" si="7"/>
        <v>0.49965959977858221</v>
      </c>
      <c r="M33" s="6">
        <f t="shared" si="2"/>
        <v>5.4246507300320372E-2</v>
      </c>
      <c r="N33" s="133">
        <f t="shared" si="8"/>
        <v>2.0030300197601929</v>
      </c>
      <c r="O33" s="133">
        <f t="shared" si="9"/>
        <v>0.21746281395940814</v>
      </c>
      <c r="P33" s="65">
        <f t="shared" si="10"/>
        <v>1.1338453376007334</v>
      </c>
      <c r="Q33" s="65">
        <f t="shared" si="3"/>
        <v>2.0290444502667047</v>
      </c>
      <c r="R33" s="14">
        <f t="shared" si="4"/>
        <v>0.99600207059872481</v>
      </c>
      <c r="S33" s="7">
        <f t="shared" si="5"/>
        <v>0.56239869656285046</v>
      </c>
      <c r="T33" s="15">
        <f t="shared" si="6"/>
        <v>1.1293123039890407</v>
      </c>
      <c r="U33" s="15"/>
      <c r="V33" s="13"/>
      <c r="W33"/>
      <c r="X33"/>
    </row>
    <row r="34" spans="1:24">
      <c r="A34"/>
      <c r="B34"/>
      <c r="C34" s="11"/>
      <c r="D34" s="12"/>
      <c r="E34" s="7"/>
      <c r="F34" s="7"/>
      <c r="G34" s="7"/>
      <c r="H34" s="7"/>
      <c r="I34" s="61">
        <f t="shared" si="0"/>
        <v>30.337803210876807</v>
      </c>
      <c r="J34" s="7">
        <f t="shared" si="11"/>
        <v>11.5</v>
      </c>
      <c r="K34" s="7">
        <f t="shared" si="1"/>
        <v>9.0226661115291495</v>
      </c>
      <c r="L34" s="6">
        <f t="shared" si="7"/>
        <v>0.52237139976851776</v>
      </c>
      <c r="M34" s="6">
        <f t="shared" si="2"/>
        <v>5.7895459425350161E-2</v>
      </c>
      <c r="N34" s="133">
        <f t="shared" si="8"/>
        <v>2.0940768388402016</v>
      </c>
      <c r="O34" s="133">
        <f t="shared" si="9"/>
        <v>0.23209069392076842</v>
      </c>
      <c r="P34" s="65">
        <f t="shared" si="10"/>
        <v>1.2541398141610522</v>
      </c>
      <c r="Q34" s="65">
        <f t="shared" si="3"/>
        <v>1.940798910958438</v>
      </c>
      <c r="R34" s="14">
        <f t="shared" si="4"/>
        <v>1.0183938124794107</v>
      </c>
      <c r="S34" s="7">
        <f t="shared" si="5"/>
        <v>0.65035047767262333</v>
      </c>
      <c r="T34" s="15">
        <f t="shared" si="6"/>
        <v>1.2772082267256937</v>
      </c>
      <c r="U34" s="15"/>
      <c r="V34" s="13"/>
      <c r="W34"/>
      <c r="X34"/>
    </row>
    <row r="35" spans="1:24">
      <c r="A35"/>
      <c r="B35"/>
      <c r="C35" s="11"/>
      <c r="D35" s="12"/>
      <c r="E35" s="7"/>
      <c r="F35" s="7"/>
      <c r="G35" s="7"/>
      <c r="H35" s="7"/>
      <c r="I35" s="61">
        <f t="shared" si="0"/>
        <v>29.7706408405651</v>
      </c>
      <c r="J35" s="7">
        <f t="shared" si="11"/>
        <v>12</v>
      </c>
      <c r="K35" s="7">
        <f t="shared" si="1"/>
        <v>8.8334685888297741</v>
      </c>
      <c r="L35" s="6">
        <f t="shared" si="7"/>
        <v>0.54508319975845332</v>
      </c>
      <c r="M35" s="6">
        <f t="shared" si="2"/>
        <v>6.1706587200381267E-2</v>
      </c>
      <c r="N35" s="133">
        <f t="shared" si="8"/>
        <v>2.1851236579202102</v>
      </c>
      <c r="O35" s="133">
        <f t="shared" si="9"/>
        <v>0.24736870188041135</v>
      </c>
      <c r="P35" s="65">
        <f t="shared" si="10"/>
        <v>1.3568633431964434</v>
      </c>
      <c r="Q35" s="65">
        <f t="shared" si="3"/>
        <v>1.8191409012607569</v>
      </c>
      <c r="R35" s="14">
        <f t="shared" si="4"/>
        <v>1.0518961186064897</v>
      </c>
      <c r="S35" s="7">
        <f t="shared" si="5"/>
        <v>0.75067476960227897</v>
      </c>
      <c r="T35" s="15">
        <f t="shared" si="6"/>
        <v>1.4272792841877642</v>
      </c>
      <c r="U35" s="15"/>
      <c r="V35" s="13"/>
      <c r="W35"/>
      <c r="X35"/>
    </row>
    <row r="36" spans="1:24">
      <c r="A36"/>
      <c r="B36"/>
      <c r="C36" s="11"/>
      <c r="D36" s="12"/>
      <c r="E36" s="7"/>
      <c r="F36" s="7"/>
      <c r="G36" s="7"/>
      <c r="H36" s="7"/>
      <c r="I36" s="61">
        <f t="shared" si="0"/>
        <v>29.200808178826087</v>
      </c>
      <c r="J36" s="7">
        <f t="shared" si="11"/>
        <v>12.5</v>
      </c>
      <c r="K36" s="7">
        <f t="shared" si="1"/>
        <v>8.644883454307859</v>
      </c>
      <c r="L36" s="6">
        <f t="shared" si="7"/>
        <v>0.56779499974838887</v>
      </c>
      <c r="M36" s="6">
        <f t="shared" si="2"/>
        <v>6.5679890625413712E-2</v>
      </c>
      <c r="N36" s="133">
        <f t="shared" si="8"/>
        <v>2.2761704770002189</v>
      </c>
      <c r="O36" s="133">
        <f t="shared" si="9"/>
        <v>0.26329683783833702</v>
      </c>
      <c r="P36" s="65">
        <f t="shared" si="10"/>
        <v>1.434062201435474</v>
      </c>
      <c r="Q36" s="65">
        <f t="shared" si="3"/>
        <v>1.6660926888814993</v>
      </c>
      <c r="R36" s="14">
        <f t="shared" si="4"/>
        <v>1.0991486797457144</v>
      </c>
      <c r="S36" s="7">
        <f t="shared" si="5"/>
        <v>0.86626522071622358</v>
      </c>
      <c r="T36" s="15">
        <f t="shared" si="6"/>
        <v>1.5762475753810341</v>
      </c>
      <c r="U36" s="15"/>
      <c r="V36" s="13"/>
      <c r="W36"/>
      <c r="X36"/>
    </row>
    <row r="37" spans="1:24">
      <c r="A37"/>
      <c r="B37"/>
      <c r="C37" s="11"/>
      <c r="D37" s="12"/>
      <c r="E37" s="7"/>
      <c r="F37" s="7"/>
      <c r="G37" s="7"/>
      <c r="H37" s="7"/>
      <c r="I37" s="61">
        <f t="shared" si="0"/>
        <v>28.628622588979063</v>
      </c>
      <c r="J37" s="7">
        <f t="shared" si="11"/>
        <v>13</v>
      </c>
      <c r="K37" s="7">
        <f t="shared" si="1"/>
        <v>8.45812035762291</v>
      </c>
      <c r="L37" s="6">
        <f t="shared" si="7"/>
        <v>0.59050679973832443</v>
      </c>
      <c r="M37" s="6">
        <f t="shared" si="2"/>
        <v>6.9815369700447466E-2</v>
      </c>
      <c r="N37" s="133">
        <f t="shared" si="8"/>
        <v>2.367217296080228</v>
      </c>
      <c r="O37" s="133">
        <f t="shared" si="9"/>
        <v>0.27987510179454528</v>
      </c>
      <c r="P37" s="65">
        <f t="shared" si="10"/>
        <v>1.4779427372341465</v>
      </c>
      <c r="Q37" s="65">
        <f t="shared" si="3"/>
        <v>1.4854101917694482</v>
      </c>
      <c r="R37" s="14">
        <f t="shared" si="4"/>
        <v>1.1640799852409214</v>
      </c>
      <c r="S37" s="7">
        <f t="shared" si="5"/>
        <v>1.0013669568187442</v>
      </c>
      <c r="T37" s="15">
        <f t="shared" si="6"/>
        <v>1.7204435597464522</v>
      </c>
      <c r="U37" s="15"/>
      <c r="V37" s="13"/>
      <c r="W37"/>
      <c r="X37"/>
    </row>
    <row r="38" spans="1:24" ht="15" thickBot="1">
      <c r="B38"/>
      <c r="C38" s="16"/>
      <c r="D38" s="17"/>
      <c r="E38" s="18"/>
      <c r="F38" s="18"/>
      <c r="G38" s="18"/>
      <c r="H38" s="18"/>
      <c r="I38" s="63">
        <f t="shared" si="0"/>
        <v>28.05435482461295</v>
      </c>
      <c r="J38" s="18">
        <f t="shared" si="11"/>
        <v>13.5</v>
      </c>
      <c r="K38" s="18">
        <f t="shared" si="1"/>
        <v>8.2741003282739456</v>
      </c>
      <c r="L38" s="96">
        <f t="shared" si="7"/>
        <v>0.61321859972825998</v>
      </c>
      <c r="M38" s="96">
        <f t="shared" si="2"/>
        <v>7.4113024425482538E-2</v>
      </c>
      <c r="N38" s="133">
        <f t="shared" si="8"/>
        <v>2.4582641151602367</v>
      </c>
      <c r="O38" s="133">
        <f t="shared" si="9"/>
        <v>0.29710349374903622</v>
      </c>
      <c r="P38" s="65">
        <f t="shared" si="10"/>
        <v>1.4812580360105145</v>
      </c>
      <c r="Q38" s="66">
        <f t="shared" si="3"/>
        <v>1.2826151459382196</v>
      </c>
      <c r="R38" s="19">
        <f t="shared" si="4"/>
        <v>1.2527310441267825</v>
      </c>
      <c r="S38" s="18">
        <f t="shared" si="5"/>
        <v>1.1622950910146759</v>
      </c>
      <c r="T38" s="20">
        <f t="shared" si="6"/>
        <v>1.8556179260726391</v>
      </c>
      <c r="U38" s="20"/>
      <c r="V38" s="21"/>
      <c r="W38"/>
      <c r="X38"/>
    </row>
    <row r="39" spans="1:24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2:24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2:24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2:24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2:24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2:24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2:24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2:24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2:24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2:24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2:24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2:24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2:24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2:24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2:24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2:24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2:24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2:24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2:24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2:24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2:24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2:24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2:24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2:24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2:24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2:24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2:24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2:24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2:24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2:24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2:24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2:24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2:24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2:24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2:24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2:24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2:24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2:24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2:24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2:24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2:24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2:24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2:24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2:24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2:24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2:24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2:24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2:24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2:24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2:24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2:24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2:24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2:24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2:24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2:24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2:24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2:24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2:24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2:24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2:24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2:24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2:24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2:24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2:24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2:24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2:24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2:24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2:24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2:24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2:24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2:24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2:24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2:24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2:24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2:24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2:24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2:24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2:24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2:24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2:24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2:24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2:24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2:24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2:24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2:24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2:24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2:24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2:24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2:24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2:24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2:24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2:24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2:24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2:24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2:24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2:24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2:24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2:24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2:24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2:24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2:24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2:24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2:24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2:24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2:24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2:24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2:24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2:24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2:24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2:24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2:24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2:24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2:24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2:24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2:24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2:24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2:24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2:24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2:24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2:24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2:24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2:24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2:24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2:24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2:24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2:24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2:24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2:24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2:24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2:24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2:24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2:24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2:24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2:24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2:24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2:24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2:24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</row>
    <row r="185" spans="2:24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</row>
    <row r="186" spans="2:24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2:24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</row>
    <row r="188" spans="2:24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</row>
    <row r="189" spans="2:24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</row>
    <row r="190" spans="2:24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2:24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2:24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2:24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2:24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2:24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2:24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2:24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2:24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2:24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2:24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2:24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2:24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2:24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2:24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2:24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2:24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2:24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2:24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2:24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2:24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2:24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2:24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2:24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2:24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2:24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2:24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2:24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2:24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2:24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2:24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2:24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2:24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2:24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2:24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2:24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2:24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2:24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2:24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2:24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2:24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2:24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2:24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2:24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2:24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2:24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2:24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2:24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2:24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2:24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2:24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2:24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2:24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2:24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2:24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2:24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2:24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2:24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2:24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2:24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2:24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2:24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2:24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2:24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2:24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2:24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2:24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2:24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2:24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2:24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2:24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2:24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2:24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2:24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2:24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2:24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2:24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2:24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2:24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2:24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2:24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2:24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2:24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2:24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2:24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2:24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2:24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2:24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2:24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2:24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2:24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2:24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2:24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2:24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2:24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2:24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2:24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2:24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2:24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2:24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2:24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2:24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2:24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2:24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2:24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2:24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2:24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2:24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2:24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2:24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2:24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2:24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2:24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2:24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2:24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2:24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2:24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2:24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2:24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2:24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2:24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2:24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2:24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2:24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2:24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2:24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2:24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2:24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</row>
    <row r="318" spans="2:24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</row>
    <row r="319" spans="2:24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</row>
    <row r="320" spans="2:24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</row>
    <row r="321" spans="2:24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</row>
    <row r="322" spans="2:24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</row>
    <row r="323" spans="2:24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</row>
    <row r="324" spans="2:24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</row>
    <row r="325" spans="2:24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</row>
    <row r="326" spans="2:24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2:24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</row>
    <row r="328" spans="2:24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</row>
    <row r="329" spans="2:24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</row>
    <row r="330" spans="2:24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</row>
    <row r="331" spans="2:24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</row>
    <row r="332" spans="2:24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</row>
    <row r="333" spans="2:24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</row>
    <row r="334" spans="2:24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</row>
    <row r="335" spans="2:24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</row>
    <row r="336" spans="2:24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2:24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</row>
    <row r="338" spans="2:24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</row>
    <row r="339" spans="2:24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</row>
    <row r="340" spans="2:24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</row>
    <row r="341" spans="2:24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</row>
    <row r="342" spans="2:24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</row>
    <row r="343" spans="2:24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</row>
    <row r="344" spans="2:24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</row>
    <row r="345" spans="2:24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</row>
    <row r="346" spans="2:24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2:24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</row>
    <row r="348" spans="2:24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</row>
    <row r="349" spans="2:24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</row>
    <row r="350" spans="2:24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</row>
    <row r="351" spans="2:24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</row>
    <row r="352" spans="2:24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</row>
    <row r="353" spans="2:24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</row>
    <row r="354" spans="2:24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</row>
    <row r="355" spans="2:24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</row>
    <row r="356" spans="2:24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2:24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</row>
    <row r="358" spans="2:24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</row>
    <row r="359" spans="2:24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</row>
    <row r="360" spans="2:24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</row>
    <row r="361" spans="2:24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</row>
    <row r="362" spans="2:24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</row>
    <row r="363" spans="2:24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</row>
    <row r="364" spans="2:24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</row>
    <row r="365" spans="2:24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</row>
    <row r="366" spans="2:24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2:24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</row>
    <row r="368" spans="2:24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</row>
    <row r="369" spans="2:24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</row>
    <row r="370" spans="2:24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</row>
    <row r="371" spans="2:24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</row>
    <row r="372" spans="2:24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</row>
    <row r="373" spans="2:24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</row>
    <row r="374" spans="2:24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</row>
    <row r="375" spans="2:24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</row>
    <row r="376" spans="2:24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2:24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</row>
    <row r="378" spans="2:24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</row>
    <row r="379" spans="2:24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</row>
    <row r="380" spans="2:24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</row>
    <row r="381" spans="2:24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2:24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</row>
    <row r="383" spans="2:24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</row>
    <row r="384" spans="2:24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</row>
    <row r="385" spans="2:24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</row>
    <row r="386" spans="2:24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</row>
    <row r="387" spans="2:24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</row>
    <row r="388" spans="2:24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</row>
    <row r="389" spans="2:24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</row>
    <row r="390" spans="2:24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</row>
    <row r="391" spans="2:24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</row>
    <row r="392" spans="2:24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</row>
    <row r="393" spans="2:24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</row>
    <row r="394" spans="2:24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</row>
    <row r="395" spans="2:24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</row>
    <row r="396" spans="2:24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</row>
    <row r="397" spans="2:24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</row>
    <row r="398" spans="2:24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</row>
    <row r="399" spans="2:24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</row>
    <row r="400" spans="2:24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</row>
    <row r="401" spans="2:24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</row>
    <row r="402" spans="2:24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</row>
    <row r="403" spans="2:24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</row>
    <row r="404" spans="2:24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</row>
    <row r="405" spans="2:24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</row>
    <row r="406" spans="2:24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</row>
    <row r="407" spans="2:24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</row>
    <row r="408" spans="2:24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</row>
    <row r="409" spans="2:24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</row>
    <row r="410" spans="2:24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</row>
    <row r="411" spans="2:24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</row>
    <row r="412" spans="2:24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</row>
    <row r="413" spans="2:24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</row>
    <row r="414" spans="2:24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</row>
    <row r="415" spans="2:24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</row>
    <row r="416" spans="2:24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2:24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</row>
    <row r="418" spans="2:24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</row>
    <row r="419" spans="2:24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</row>
    <row r="420" spans="2:24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</row>
    <row r="421" spans="2:24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</row>
    <row r="422" spans="2:24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</row>
    <row r="423" spans="2:24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</row>
    <row r="424" spans="2:24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</row>
    <row r="425" spans="2:24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</row>
    <row r="426" spans="2:24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2:24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</row>
    <row r="428" spans="2:24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</row>
    <row r="429" spans="2:24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</row>
    <row r="430" spans="2:24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</row>
    <row r="431" spans="2:24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</row>
    <row r="432" spans="2:24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</row>
    <row r="433" spans="2:24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</row>
    <row r="434" spans="2:24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</row>
    <row r="435" spans="2:24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</row>
    <row r="436" spans="2:24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2:24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</row>
    <row r="438" spans="2:24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</row>
    <row r="439" spans="2:24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</row>
    <row r="440" spans="2:24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</row>
    <row r="441" spans="2:24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</row>
    <row r="442" spans="2:24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</row>
    <row r="443" spans="2:24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</row>
    <row r="444" spans="2:24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</row>
    <row r="445" spans="2:24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</row>
    <row r="446" spans="2:24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2:24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</row>
    <row r="448" spans="2:24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</row>
    <row r="449" spans="2:24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</row>
    <row r="450" spans="2:24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</row>
    <row r="451" spans="2:24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</row>
    <row r="452" spans="2:24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</row>
    <row r="453" spans="2:24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</row>
    <row r="454" spans="2:24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</row>
    <row r="455" spans="2:24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</row>
    <row r="456" spans="2:24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</row>
    <row r="457" spans="2:24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</row>
    <row r="458" spans="2:24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</row>
    <row r="459" spans="2:24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</row>
    <row r="460" spans="2:24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</row>
    <row r="461" spans="2:24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</row>
    <row r="462" spans="2:24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</row>
    <row r="463" spans="2:24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</row>
    <row r="464" spans="2:24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</row>
    <row r="465" spans="2:24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</row>
    <row r="466" spans="2:24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</row>
    <row r="467" spans="2:24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</row>
    <row r="468" spans="2:24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</row>
    <row r="469" spans="2:24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</row>
    <row r="470" spans="2:24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</row>
    <row r="471" spans="2:24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</row>
    <row r="472" spans="2:24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</row>
    <row r="473" spans="2:24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</row>
    <row r="474" spans="2:24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</row>
    <row r="475" spans="2:24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</row>
    <row r="476" spans="2:24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</row>
    <row r="477" spans="2:24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</row>
    <row r="478" spans="2:24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</row>
    <row r="479" spans="2:24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</row>
    <row r="480" spans="2:24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</row>
    <row r="481" spans="2:24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</row>
    <row r="482" spans="2:24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</row>
    <row r="483" spans="2:24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</row>
    <row r="484" spans="2:24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</row>
    <row r="485" spans="2:24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</row>
    <row r="486" spans="2:24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</row>
    <row r="487" spans="2:24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</row>
    <row r="488" spans="2:24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</row>
    <row r="489" spans="2:24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</row>
    <row r="490" spans="2:24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</row>
    <row r="491" spans="2:24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</row>
    <row r="492" spans="2:24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</row>
    <row r="493" spans="2:24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</row>
    <row r="494" spans="2:24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</row>
    <row r="495" spans="2:24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</row>
    <row r="496" spans="2:24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</row>
    <row r="497" spans="2:24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</row>
    <row r="498" spans="2:24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</row>
    <row r="499" spans="2:24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</row>
    <row r="500" spans="2:24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</row>
    <row r="501" spans="2:24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</row>
    <row r="502" spans="2:24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</row>
    <row r="503" spans="2:24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</row>
    <row r="504" spans="2:24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</row>
    <row r="505" spans="2:24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</row>
    <row r="506" spans="2:24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</row>
    <row r="507" spans="2:24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</row>
    <row r="508" spans="2:24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</row>
    <row r="509" spans="2:24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</row>
    <row r="510" spans="2:24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</row>
    <row r="511" spans="2:24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</row>
    <row r="512" spans="2:24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</row>
    <row r="513" spans="2:24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</row>
    <row r="514" spans="2:24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</row>
    <row r="515" spans="2:24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</row>
    <row r="516" spans="2:24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</row>
    <row r="517" spans="2:24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</row>
    <row r="518" spans="2:24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</row>
    <row r="519" spans="2:24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</row>
    <row r="520" spans="2:24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</row>
    <row r="521" spans="2:24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</row>
    <row r="522" spans="2:24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</row>
    <row r="523" spans="2:24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</row>
    <row r="524" spans="2:24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</row>
    <row r="525" spans="2:24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</row>
    <row r="526" spans="2:24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</row>
    <row r="527" spans="2:24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</row>
    <row r="528" spans="2:24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</row>
    <row r="529" spans="2:24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</row>
    <row r="530" spans="2:24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</row>
    <row r="531" spans="2:24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</row>
    <row r="532" spans="2:24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</row>
    <row r="533" spans="2:24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</row>
    <row r="534" spans="2:24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</row>
    <row r="535" spans="2:24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</row>
    <row r="536" spans="2:24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</row>
    <row r="537" spans="2:24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</row>
    <row r="538" spans="2:24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</row>
    <row r="539" spans="2:24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</row>
    <row r="540" spans="2:24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</row>
    <row r="541" spans="2:24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</row>
    <row r="542" spans="2:24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</row>
    <row r="543" spans="2:24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</row>
    <row r="544" spans="2:24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</row>
    <row r="545" spans="2:24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</row>
    <row r="546" spans="2:24"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</row>
    <row r="547" spans="2:24"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</row>
    <row r="548" spans="2:24"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</row>
    <row r="549" spans="2:24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</row>
    <row r="550" spans="2:24"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</row>
    <row r="551" spans="2:24"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</row>
    <row r="552" spans="2:24"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</row>
    <row r="553" spans="2:24"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</row>
    <row r="554" spans="2:24"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</row>
    <row r="555" spans="2:24"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</row>
    <row r="556" spans="2:24"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</row>
    <row r="557" spans="2:24"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</row>
    <row r="558" spans="2:24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</row>
    <row r="559" spans="2:24"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</row>
    <row r="560" spans="2:24"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</row>
    <row r="561" spans="2:24"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</row>
    <row r="562" spans="2:24"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</row>
    <row r="563" spans="2:24"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</row>
    <row r="564" spans="2:24"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</row>
    <row r="565" spans="2:24"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</row>
    <row r="566" spans="2:24"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</row>
    <row r="567" spans="2:24"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</row>
    <row r="568" spans="2:24"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</row>
    <row r="569" spans="2:24"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</row>
    <row r="570" spans="2:24"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</row>
    <row r="571" spans="2:24"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</row>
    <row r="572" spans="2:24"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</row>
    <row r="573" spans="2:24"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</row>
    <row r="574" spans="2:24"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</row>
    <row r="575" spans="2:24"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</row>
    <row r="576" spans="2:24"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</row>
    <row r="577" spans="2:24"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</row>
    <row r="578" spans="2:24"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</row>
    <row r="579" spans="2:24"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</row>
    <row r="580" spans="2:24"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</row>
    <row r="581" spans="2:24"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</row>
    <row r="582" spans="2:24"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</row>
    <row r="583" spans="2:24"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</row>
    <row r="584" spans="2:24"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</row>
    <row r="585" spans="2:24"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</row>
    <row r="586" spans="2:24"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</row>
    <row r="587" spans="2:24"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</row>
    <row r="588" spans="2:24"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</row>
    <row r="589" spans="2:24"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</row>
    <row r="590" spans="2:24"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</row>
    <row r="591" spans="2:24"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</row>
    <row r="592" spans="2:24"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</row>
    <row r="593" spans="2:24"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</row>
    <row r="594" spans="2:24"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</row>
    <row r="595" spans="2:24"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</row>
    <row r="596" spans="2:24"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</row>
    <row r="597" spans="2:24"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</row>
    <row r="598" spans="2:24"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</row>
    <row r="599" spans="2:24"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</row>
    <row r="600" spans="2:24"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</row>
    <row r="601" spans="2:24"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</row>
    <row r="602" spans="2:24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</row>
    <row r="603" spans="2:24"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</row>
    <row r="604" spans="2:24"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</row>
    <row r="605" spans="2:24"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</row>
    <row r="606" spans="2:24"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</row>
    <row r="607" spans="2:24"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</row>
    <row r="608" spans="2:24"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</row>
    <row r="609" spans="2:24"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</row>
    <row r="610" spans="2:24"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</row>
    <row r="611" spans="2:24"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</row>
    <row r="612" spans="2:24"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</row>
    <row r="613" spans="2:24"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</row>
    <row r="614" spans="2:24"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</row>
    <row r="615" spans="2:24"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</row>
    <row r="616" spans="2:24"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</row>
    <row r="617" spans="2:24"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</row>
    <row r="618" spans="2:24"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</row>
    <row r="619" spans="2:24"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</row>
    <row r="620" spans="2:24"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</row>
    <row r="621" spans="2:24"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</row>
    <row r="622" spans="2:24"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</row>
    <row r="623" spans="2:24"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</row>
    <row r="624" spans="2:24"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</row>
    <row r="625" spans="2:24"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</row>
    <row r="626" spans="2:24"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</row>
    <row r="627" spans="2:24"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</row>
    <row r="628" spans="2:24"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</row>
    <row r="629" spans="2:24"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</row>
    <row r="630" spans="2:24"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</row>
    <row r="631" spans="2:24"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</row>
    <row r="632" spans="2:24"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</row>
    <row r="633" spans="2:24"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</row>
    <row r="634" spans="2:24"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</row>
    <row r="635" spans="2:24"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</row>
    <row r="636" spans="2:24"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</row>
    <row r="637" spans="2:24"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</row>
    <row r="638" spans="2:24"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</row>
    <row r="639" spans="2:24"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</row>
    <row r="640" spans="2:24"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</row>
    <row r="641" spans="2:24"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</row>
    <row r="642" spans="2:24"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</row>
    <row r="643" spans="2:24"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</row>
    <row r="644" spans="2:24"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</row>
    <row r="645" spans="2:24"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</row>
    <row r="646" spans="2:24"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</row>
    <row r="647" spans="2:24"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</row>
    <row r="648" spans="2:24"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</row>
    <row r="649" spans="2:24"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</row>
    <row r="650" spans="2:24"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</row>
  </sheetData>
  <mergeCells count="2">
    <mergeCell ref="C2:D2"/>
    <mergeCell ref="H2:P2"/>
  </mergeCells>
  <conditionalFormatting sqref="U34:U38">
    <cfRule type="cellIs" dxfId="6" priority="7" operator="greaterThan">
      <formula>0</formula>
    </cfRule>
  </conditionalFormatting>
  <conditionalFormatting sqref="S11:S38">
    <cfRule type="cellIs" dxfId="5" priority="4" operator="greaterThan">
      <formula>0</formula>
    </cfRule>
  </conditionalFormatting>
  <conditionalFormatting sqref="T11:U33 T34:T38">
    <cfRule type="cellIs" dxfId="4" priority="3" operator="greaterThan">
      <formula>0</formula>
    </cfRule>
  </conditionalFormatting>
  <conditionalFormatting sqref="K11:K38">
    <cfRule type="cellIs" dxfId="3" priority="1" operator="equal">
      <formula>"max($K$11:$K$32)"</formula>
    </cfRule>
    <cfRule type="cellIs" dxfId="2" priority="2" operator="equal">
      <formula>"max($K$11:$K$32)"</formula>
    </cfRule>
  </conditionalFormatting>
  <conditionalFormatting sqref="T11:T38">
    <cfRule type="top10" dxfId="1" priority="5" rank="1"/>
    <cfRule type="top10" dxfId="0" priority="6" rank="1"/>
  </conditionalFormatting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SBT</vt:lpstr>
      <vt:lpstr>Thin 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2016-04-05T07:57:52Z</dcterms:created>
  <dcterms:modified xsi:type="dcterms:W3CDTF">2016-04-20T23:54:58Z</dcterms:modified>
</cp:coreProperties>
</file>