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queryTables/queryTable2.xml" ContentType="application/vnd.openxmlformats-officedocument.spreadsheetml.queryTable+xml"/>
  <Override PartName="/xl/comments3.xml" ContentType="application/vnd.openxmlformats-officedocument.spreadsheetml.comments+xml"/>
  <Override PartName="/xl/queryTables/queryTable3.xml" ContentType="application/vnd.openxmlformats-officedocument.spreadsheetml.queryTable+xml"/>
  <Override PartName="/xl/comments4.xml" ContentType="application/vnd.openxmlformats-officedocument.spreadsheetml.comments+xml"/>
  <Override PartName="/xl/queryTables/queryTable4.xml" ContentType="application/vnd.openxmlformats-officedocument.spreadsheetml.queryTable+xml"/>
  <Override PartName="/xl/comments5.xml" ContentType="application/vnd.openxmlformats-officedocument.spreadsheetml.comments+xml"/>
  <Override PartName="/xl/queryTables/queryTable5.xml" ContentType="application/vnd.openxmlformats-officedocument.spreadsheetml.queryTable+xml"/>
  <Override PartName="/xl/comments6.xml" ContentType="application/vnd.openxmlformats-officedocument.spreadsheetml.comments+xml"/>
  <Override PartName="/xl/queryTables/queryTable6.xml" ContentType="application/vnd.openxmlformats-officedocument.spreadsheetml.queryTable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7.xml" ContentType="application/vnd.openxmlformats-officedocument.spreadsheetml.query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-20" windowWidth="38400" windowHeight="21060" tabRatio="703" activeTab="2"/>
  </bookViews>
  <sheets>
    <sheet name="SBT" sheetId="4" r:id="rId1"/>
    <sheet name=".40c" sheetId="6" r:id="rId2"/>
    <sheet name=".50c" sheetId="9" r:id="rId3"/>
    <sheet name=".60c" sheetId="11" r:id="rId4"/>
    <sheet name=".70c" sheetId="12" r:id="rId5"/>
    <sheet name=".80c" sheetId="14" r:id="rId6"/>
    <sheet name="NACA00122" sheetId="17" r:id="rId7"/>
    <sheet name="Results" sheetId="15" r:id="rId8"/>
    <sheet name="Thin Sheet" sheetId="18" r:id="rId9"/>
  </sheets>
  <definedNames>
    <definedName name="NACA0012__13_13_.5" localSheetId="1">'.40c'!$D$19:$P$33</definedName>
    <definedName name="NACA0012__13_13_.5" localSheetId="2">'.50c'!$D$19:$P$33</definedName>
    <definedName name="NACA0012__13_13_.5" localSheetId="3">'.60c'!$D$19:$P$33</definedName>
    <definedName name="NACA0012__13_13_.5" localSheetId="4">'.70c'!$D$19:$P$34</definedName>
    <definedName name="NACA0012__13_13_.5" localSheetId="5">'.80c'!$D$19:$P$34</definedName>
    <definedName name="NACA0012__13_13_.5" localSheetId="6">NACA00122!$D$19:$P$38</definedName>
    <definedName name="NACA0012__13_13_.5" localSheetId="8">'Thin Sheet'!$D$19:$P$38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9" l="1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11" i="9"/>
  <c r="B29" i="4"/>
  <c r="C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B12" i="4"/>
  <c r="E23" i="4"/>
  <c r="D23" i="4"/>
  <c r="P4" i="18"/>
  <c r="N4" i="18"/>
  <c r="M4" i="18"/>
  <c r="C9" i="4"/>
  <c r="I4" i="18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P4" i="17"/>
  <c r="N4" i="17"/>
  <c r="M4" i="17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11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P4" i="14"/>
  <c r="N4" i="14"/>
  <c r="M4" i="14"/>
  <c r="P4" i="12"/>
  <c r="N4" i="12"/>
  <c r="M4" i="12"/>
  <c r="P4" i="11"/>
  <c r="N4" i="11"/>
  <c r="M4" i="11"/>
  <c r="P4" i="9"/>
  <c r="N4" i="9"/>
  <c r="M4" i="9"/>
  <c r="F23" i="4"/>
  <c r="G23" i="4"/>
  <c r="P4" i="6"/>
  <c r="C23" i="4"/>
  <c r="B23" i="4"/>
  <c r="B9" i="4"/>
  <c r="E6" i="4"/>
  <c r="K4" i="18"/>
  <c r="E11" i="18"/>
  <c r="F11" i="18"/>
  <c r="H11" i="18"/>
  <c r="G11" i="18"/>
  <c r="I4" i="17"/>
  <c r="I4" i="6"/>
  <c r="I4" i="14"/>
  <c r="I4" i="12"/>
  <c r="I4" i="11"/>
  <c r="I4" i="9"/>
  <c r="K4" i="17"/>
  <c r="E11" i="17"/>
  <c r="K4" i="14"/>
  <c r="K4" i="9"/>
  <c r="K4" i="12"/>
  <c r="K4" i="11"/>
  <c r="E38" i="11"/>
  <c r="B6" i="4"/>
  <c r="H4" i="18"/>
  <c r="I8" i="18"/>
  <c r="J8" i="18"/>
  <c r="N8" i="18"/>
  <c r="L28" i="18"/>
  <c r="L12" i="18"/>
  <c r="L30" i="18"/>
  <c r="L33" i="18"/>
  <c r="L11" i="18"/>
  <c r="L19" i="18"/>
  <c r="L23" i="18"/>
  <c r="L24" i="18"/>
  <c r="L35" i="18"/>
  <c r="L27" i="18"/>
  <c r="L21" i="18"/>
  <c r="L38" i="18"/>
  <c r="L37" i="18"/>
  <c r="L13" i="18"/>
  <c r="L36" i="18"/>
  <c r="L20" i="18"/>
  <c r="L31" i="18"/>
  <c r="L17" i="18"/>
  <c r="L18" i="18"/>
  <c r="L25" i="18"/>
  <c r="L29" i="18"/>
  <c r="L32" i="18"/>
  <c r="L16" i="18"/>
  <c r="L34" i="18"/>
  <c r="L14" i="18"/>
  <c r="L15" i="18"/>
  <c r="L22" i="18"/>
  <c r="L26" i="18"/>
  <c r="E38" i="9"/>
  <c r="E11" i="9"/>
  <c r="G38" i="11"/>
  <c r="F38" i="11"/>
  <c r="H38" i="11"/>
  <c r="E94" i="9"/>
  <c r="E122" i="9"/>
  <c r="E66" i="9"/>
  <c r="I4" i="15"/>
  <c r="H4" i="14"/>
  <c r="H4" i="12"/>
  <c r="H4" i="17"/>
  <c r="I8" i="17"/>
  <c r="J8" i="17"/>
  <c r="H4" i="11"/>
  <c r="H4" i="9"/>
  <c r="E123" i="14"/>
  <c r="E95" i="14"/>
  <c r="E67" i="14"/>
  <c r="E11" i="14"/>
  <c r="E39" i="14"/>
  <c r="G11" i="17"/>
  <c r="F11" i="17"/>
  <c r="H11" i="17"/>
  <c r="D9" i="4"/>
  <c r="L4" i="18"/>
  <c r="D6" i="4"/>
  <c r="J4" i="18"/>
  <c r="O4" i="18"/>
  <c r="C6" i="4"/>
  <c r="J4" i="15"/>
  <c r="N15" i="18"/>
  <c r="M15" i="18"/>
  <c r="O15" i="18"/>
  <c r="N32" i="18"/>
  <c r="M32" i="18"/>
  <c r="O32" i="18"/>
  <c r="K32" i="18"/>
  <c r="I32" i="18"/>
  <c r="N17" i="18"/>
  <c r="M17" i="18"/>
  <c r="O17" i="18"/>
  <c r="K17" i="18"/>
  <c r="I17" i="18"/>
  <c r="N13" i="18"/>
  <c r="M13" i="18"/>
  <c r="O13" i="18"/>
  <c r="K13" i="18"/>
  <c r="I13" i="18"/>
  <c r="N27" i="18"/>
  <c r="M27" i="18"/>
  <c r="O27" i="18"/>
  <c r="N19" i="18"/>
  <c r="M19" i="18"/>
  <c r="O19" i="18"/>
  <c r="K19" i="18"/>
  <c r="I19" i="18"/>
  <c r="N12" i="18"/>
  <c r="M12" i="18"/>
  <c r="O12" i="18"/>
  <c r="K12" i="18"/>
  <c r="I12" i="18"/>
  <c r="N14" i="18"/>
  <c r="M14" i="18"/>
  <c r="O14" i="18"/>
  <c r="K14" i="18"/>
  <c r="I14" i="18"/>
  <c r="N29" i="18"/>
  <c r="M29" i="18"/>
  <c r="O29" i="18"/>
  <c r="N31" i="18"/>
  <c r="M31" i="18"/>
  <c r="O31" i="18"/>
  <c r="K31" i="18"/>
  <c r="I31" i="18"/>
  <c r="N37" i="18"/>
  <c r="M37" i="18"/>
  <c r="O37" i="18"/>
  <c r="K37" i="18"/>
  <c r="I37" i="18"/>
  <c r="N35" i="18"/>
  <c r="M35" i="18"/>
  <c r="O35" i="18"/>
  <c r="K35" i="18"/>
  <c r="I35" i="18"/>
  <c r="N11" i="18"/>
  <c r="M11" i="18"/>
  <c r="O11" i="18"/>
  <c r="N28" i="18"/>
  <c r="M28" i="18"/>
  <c r="O28" i="18"/>
  <c r="K28" i="18"/>
  <c r="I28" i="18"/>
  <c r="N26" i="18"/>
  <c r="M26" i="18"/>
  <c r="O26" i="18"/>
  <c r="K26" i="18"/>
  <c r="I26" i="18"/>
  <c r="M34" i="18"/>
  <c r="O34" i="18"/>
  <c r="N34" i="18"/>
  <c r="N25" i="18"/>
  <c r="M25" i="18"/>
  <c r="O25" i="18"/>
  <c r="N20" i="18"/>
  <c r="M20" i="18"/>
  <c r="O20" i="18"/>
  <c r="K20" i="18"/>
  <c r="I20" i="18"/>
  <c r="N38" i="18"/>
  <c r="M38" i="18"/>
  <c r="O38" i="18"/>
  <c r="K38" i="18"/>
  <c r="I38" i="18"/>
  <c r="N24" i="18"/>
  <c r="M24" i="18"/>
  <c r="O24" i="18"/>
  <c r="K24" i="18"/>
  <c r="I24" i="18"/>
  <c r="N33" i="18"/>
  <c r="M33" i="18"/>
  <c r="O33" i="18"/>
  <c r="M22" i="18"/>
  <c r="O22" i="18"/>
  <c r="N22" i="18"/>
  <c r="N16" i="18"/>
  <c r="M16" i="18"/>
  <c r="O16" i="18"/>
  <c r="K16" i="18"/>
  <c r="I16" i="18"/>
  <c r="N18" i="18"/>
  <c r="M18" i="18"/>
  <c r="O18" i="18"/>
  <c r="K18" i="18"/>
  <c r="I18" i="18"/>
  <c r="N36" i="18"/>
  <c r="M36" i="18"/>
  <c r="O36" i="18"/>
  <c r="N21" i="18"/>
  <c r="M21" i="18"/>
  <c r="O21" i="18"/>
  <c r="K21" i="18"/>
  <c r="I21" i="18"/>
  <c r="N23" i="18"/>
  <c r="M23" i="18"/>
  <c r="O23" i="18"/>
  <c r="M30" i="18"/>
  <c r="O30" i="18"/>
  <c r="N30" i="18"/>
  <c r="L38" i="11"/>
  <c r="N38" i="11"/>
  <c r="I35" i="11"/>
  <c r="J35" i="11"/>
  <c r="I119" i="11"/>
  <c r="J119" i="11"/>
  <c r="I8" i="11"/>
  <c r="J8" i="11"/>
  <c r="I91" i="11"/>
  <c r="J91" i="11"/>
  <c r="I63" i="11"/>
  <c r="J63" i="11"/>
  <c r="G11" i="9"/>
  <c r="F11" i="9"/>
  <c r="H11" i="9"/>
  <c r="N8" i="17"/>
  <c r="F38" i="9"/>
  <c r="H38" i="9"/>
  <c r="G38" i="9"/>
  <c r="I64" i="12"/>
  <c r="J64" i="12"/>
  <c r="I8" i="12"/>
  <c r="J8" i="12"/>
  <c r="I120" i="12"/>
  <c r="J120" i="12"/>
  <c r="I36" i="12"/>
  <c r="J36" i="12"/>
  <c r="I92" i="12"/>
  <c r="J92" i="12"/>
  <c r="M38" i="11"/>
  <c r="O38" i="11"/>
  <c r="I91" i="9"/>
  <c r="J91" i="9"/>
  <c r="I63" i="9"/>
  <c r="J63" i="9"/>
  <c r="I8" i="9"/>
  <c r="J8" i="9"/>
  <c r="N8" i="9"/>
  <c r="I35" i="9"/>
  <c r="J35" i="9"/>
  <c r="I119" i="9"/>
  <c r="J119" i="9"/>
  <c r="I92" i="14"/>
  <c r="J92" i="14"/>
  <c r="I64" i="14"/>
  <c r="J64" i="14"/>
  <c r="I8" i="14"/>
  <c r="J8" i="14"/>
  <c r="I120" i="14"/>
  <c r="J120" i="14"/>
  <c r="I36" i="14"/>
  <c r="J36" i="14"/>
  <c r="G122" i="9"/>
  <c r="F122" i="9"/>
  <c r="H122" i="9"/>
  <c r="F66" i="9"/>
  <c r="H66" i="9"/>
  <c r="G66" i="9"/>
  <c r="G94" i="9"/>
  <c r="F94" i="9"/>
  <c r="H94" i="9"/>
  <c r="L4" i="6"/>
  <c r="L4" i="14"/>
  <c r="L4" i="12"/>
  <c r="L4" i="11"/>
  <c r="L4" i="17"/>
  <c r="L4" i="9"/>
  <c r="F39" i="14"/>
  <c r="H39" i="14"/>
  <c r="G39" i="14"/>
  <c r="G123" i="14"/>
  <c r="F123" i="14"/>
  <c r="H123" i="14"/>
  <c r="G11" i="14"/>
  <c r="F11" i="14"/>
  <c r="H11" i="14"/>
  <c r="J4" i="17"/>
  <c r="O4" i="17"/>
  <c r="J4" i="11"/>
  <c r="O4" i="11"/>
  <c r="J4" i="12"/>
  <c r="O4" i="12"/>
  <c r="J4" i="14"/>
  <c r="O4" i="14"/>
  <c r="J4" i="9"/>
  <c r="O4" i="9"/>
  <c r="L36" i="17"/>
  <c r="L38" i="17"/>
  <c r="L34" i="17"/>
  <c r="L37" i="17"/>
  <c r="L35" i="17"/>
  <c r="L33" i="17"/>
  <c r="L29" i="17"/>
  <c r="L25" i="17"/>
  <c r="L21" i="17"/>
  <c r="L17" i="17"/>
  <c r="L13" i="17"/>
  <c r="L32" i="17"/>
  <c r="L28" i="17"/>
  <c r="L24" i="17"/>
  <c r="L20" i="17"/>
  <c r="L16" i="17"/>
  <c r="L12" i="17"/>
  <c r="L31" i="17"/>
  <c r="L27" i="17"/>
  <c r="L23" i="17"/>
  <c r="L19" i="17"/>
  <c r="L15" i="17"/>
  <c r="L11" i="17"/>
  <c r="L30" i="17"/>
  <c r="L26" i="17"/>
  <c r="L22" i="17"/>
  <c r="L18" i="17"/>
  <c r="L14" i="17"/>
  <c r="F67" i="14"/>
  <c r="H67" i="14"/>
  <c r="G67" i="14"/>
  <c r="G95" i="14"/>
  <c r="F95" i="14"/>
  <c r="H95" i="14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11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F8" i="18"/>
  <c r="K30" i="18"/>
  <c r="I30" i="18"/>
  <c r="K23" i="18"/>
  <c r="I23" i="18"/>
  <c r="K22" i="18"/>
  <c r="I22" i="18"/>
  <c r="K34" i="18"/>
  <c r="I34" i="18"/>
  <c r="K36" i="18"/>
  <c r="I36" i="18"/>
  <c r="K33" i="18"/>
  <c r="I33" i="18"/>
  <c r="K25" i="18"/>
  <c r="I25" i="18"/>
  <c r="K11" i="18"/>
  <c r="I11" i="18"/>
  <c r="K29" i="18"/>
  <c r="I29" i="18"/>
  <c r="K27" i="18"/>
  <c r="I27" i="18"/>
  <c r="K15" i="18"/>
  <c r="I15" i="18"/>
  <c r="N64" i="14"/>
  <c r="N120" i="12"/>
  <c r="L38" i="9"/>
  <c r="L42" i="9"/>
  <c r="L46" i="9"/>
  <c r="L50" i="9"/>
  <c r="L54" i="9"/>
  <c r="L39" i="9"/>
  <c r="L43" i="9"/>
  <c r="L47" i="9"/>
  <c r="L51" i="9"/>
  <c r="L55" i="9"/>
  <c r="L40" i="9"/>
  <c r="L44" i="9"/>
  <c r="L48" i="9"/>
  <c r="L52" i="9"/>
  <c r="L56" i="9"/>
  <c r="L41" i="9"/>
  <c r="L45" i="9"/>
  <c r="L49" i="9"/>
  <c r="L53" i="9"/>
  <c r="L57" i="9"/>
  <c r="N119" i="11"/>
  <c r="N36" i="14"/>
  <c r="N92" i="14"/>
  <c r="N63" i="9"/>
  <c r="N8" i="12"/>
  <c r="N63" i="11"/>
  <c r="N35" i="11"/>
  <c r="N120" i="14"/>
  <c r="N119" i="9"/>
  <c r="N91" i="9"/>
  <c r="N92" i="12"/>
  <c r="N64" i="12"/>
  <c r="N91" i="11"/>
  <c r="N8" i="14"/>
  <c r="N35" i="9"/>
  <c r="K38" i="11"/>
  <c r="I38" i="11"/>
  <c r="N36" i="12"/>
  <c r="L32" i="9"/>
  <c r="L13" i="9"/>
  <c r="L17" i="9"/>
  <c r="L21" i="9"/>
  <c r="L25" i="9"/>
  <c r="L29" i="9"/>
  <c r="L14" i="9"/>
  <c r="L18" i="9"/>
  <c r="L22" i="9"/>
  <c r="L26" i="9"/>
  <c r="L30" i="9"/>
  <c r="L11" i="9"/>
  <c r="L15" i="9"/>
  <c r="L19" i="9"/>
  <c r="L23" i="9"/>
  <c r="L27" i="9"/>
  <c r="L31" i="9"/>
  <c r="L12" i="9"/>
  <c r="L16" i="9"/>
  <c r="L20" i="9"/>
  <c r="L24" i="9"/>
  <c r="L28" i="9"/>
  <c r="N8" i="11"/>
  <c r="L72" i="9"/>
  <c r="L80" i="9"/>
  <c r="L69" i="9"/>
  <c r="L76" i="9"/>
  <c r="L79" i="9"/>
  <c r="L70" i="9"/>
  <c r="L73" i="9"/>
  <c r="L68" i="9"/>
  <c r="L75" i="9"/>
  <c r="L82" i="9"/>
  <c r="L77" i="9"/>
  <c r="L66" i="9"/>
  <c r="L71" i="9"/>
  <c r="L78" i="9"/>
  <c r="L81" i="9"/>
  <c r="L83" i="9"/>
  <c r="L67" i="9"/>
  <c r="L74" i="9"/>
  <c r="L122" i="9"/>
  <c r="L123" i="9"/>
  <c r="L131" i="9"/>
  <c r="L130" i="9"/>
  <c r="L126" i="9"/>
  <c r="L125" i="9"/>
  <c r="L133" i="9"/>
  <c r="L132" i="9"/>
  <c r="L128" i="9"/>
  <c r="L127" i="9"/>
  <c r="L135" i="9"/>
  <c r="L134" i="9"/>
  <c r="L129" i="9"/>
  <c r="L124" i="9"/>
  <c r="L96" i="9"/>
  <c r="L100" i="9"/>
  <c r="L104" i="9"/>
  <c r="L108" i="9"/>
  <c r="L97" i="9"/>
  <c r="L101" i="9"/>
  <c r="L105" i="9"/>
  <c r="L109" i="9"/>
  <c r="L94" i="9"/>
  <c r="L102" i="9"/>
  <c r="L95" i="9"/>
  <c r="L103" i="9"/>
  <c r="L98" i="9"/>
  <c r="L106" i="9"/>
  <c r="L99" i="9"/>
  <c r="L107" i="9"/>
  <c r="N18" i="17"/>
  <c r="M18" i="17"/>
  <c r="O18" i="17"/>
  <c r="N11" i="17"/>
  <c r="M11" i="17"/>
  <c r="O11" i="17"/>
  <c r="N27" i="17"/>
  <c r="M27" i="17"/>
  <c r="O27" i="17"/>
  <c r="M20" i="17"/>
  <c r="O20" i="17"/>
  <c r="N20" i="17"/>
  <c r="N13" i="17"/>
  <c r="M13" i="17"/>
  <c r="O13" i="17"/>
  <c r="N29" i="17"/>
  <c r="M29" i="17"/>
  <c r="O29" i="17"/>
  <c r="N34" i="17"/>
  <c r="M34" i="17"/>
  <c r="O34" i="17"/>
  <c r="L43" i="14"/>
  <c r="L40" i="14"/>
  <c r="L50" i="14"/>
  <c r="L47" i="14"/>
  <c r="L58" i="14"/>
  <c r="L44" i="14"/>
  <c r="L52" i="14"/>
  <c r="L55" i="14"/>
  <c r="L51" i="14"/>
  <c r="L59" i="14"/>
  <c r="L46" i="14"/>
  <c r="L54" i="14"/>
  <c r="L39" i="14"/>
  <c r="L48" i="14"/>
  <c r="L56" i="14"/>
  <c r="L57" i="14"/>
  <c r="L49" i="14"/>
  <c r="L41" i="14"/>
  <c r="L42" i="14"/>
  <c r="L53" i="14"/>
  <c r="M22" i="17"/>
  <c r="O22" i="17"/>
  <c r="N22" i="17"/>
  <c r="M15" i="17"/>
  <c r="O15" i="17"/>
  <c r="N15" i="17"/>
  <c r="N31" i="17"/>
  <c r="M31" i="17"/>
  <c r="O31" i="17"/>
  <c r="M24" i="17"/>
  <c r="O24" i="17"/>
  <c r="N24" i="17"/>
  <c r="M17" i="17"/>
  <c r="O17" i="17"/>
  <c r="N17" i="17"/>
  <c r="N33" i="17"/>
  <c r="M33" i="17"/>
  <c r="O33" i="17"/>
  <c r="N38" i="17"/>
  <c r="M38" i="17"/>
  <c r="O38" i="17"/>
  <c r="L137" i="14"/>
  <c r="L133" i="14"/>
  <c r="L129" i="14"/>
  <c r="L125" i="14"/>
  <c r="L136" i="14"/>
  <c r="L132" i="14"/>
  <c r="L128" i="14"/>
  <c r="L124" i="14"/>
  <c r="L135" i="14"/>
  <c r="L131" i="14"/>
  <c r="L127" i="14"/>
  <c r="L123" i="14"/>
  <c r="L138" i="14"/>
  <c r="L134" i="14"/>
  <c r="L130" i="14"/>
  <c r="L126" i="14"/>
  <c r="L110" i="14"/>
  <c r="L106" i="14"/>
  <c r="L102" i="14"/>
  <c r="L99" i="14"/>
  <c r="L95" i="14"/>
  <c r="L109" i="14"/>
  <c r="L105" i="14"/>
  <c r="L112" i="14"/>
  <c r="L98" i="14"/>
  <c r="L108" i="14"/>
  <c r="L104" i="14"/>
  <c r="L101" i="14"/>
  <c r="L97" i="14"/>
  <c r="L111" i="14"/>
  <c r="L107" i="14"/>
  <c r="L103" i="14"/>
  <c r="L100" i="14"/>
  <c r="L96" i="14"/>
  <c r="L84" i="14"/>
  <c r="L80" i="14"/>
  <c r="L76" i="14"/>
  <c r="L72" i="14"/>
  <c r="L68" i="14"/>
  <c r="L83" i="14"/>
  <c r="L79" i="14"/>
  <c r="L75" i="14"/>
  <c r="L71" i="14"/>
  <c r="L67" i="14"/>
  <c r="L82" i="14"/>
  <c r="L78" i="14"/>
  <c r="L74" i="14"/>
  <c r="L70" i="14"/>
  <c r="L86" i="14"/>
  <c r="L85" i="14"/>
  <c r="L81" i="14"/>
  <c r="L77" i="14"/>
  <c r="L73" i="14"/>
  <c r="L69" i="14"/>
  <c r="N26" i="17"/>
  <c r="M26" i="17"/>
  <c r="O26" i="17"/>
  <c r="N19" i="17"/>
  <c r="M19" i="17"/>
  <c r="O19" i="17"/>
  <c r="M12" i="17"/>
  <c r="O12" i="17"/>
  <c r="N12" i="17"/>
  <c r="N28" i="17"/>
  <c r="M28" i="17"/>
  <c r="O28" i="17"/>
  <c r="N21" i="17"/>
  <c r="M21" i="17"/>
  <c r="O21" i="17"/>
  <c r="N35" i="17"/>
  <c r="M35" i="17"/>
  <c r="O35" i="17"/>
  <c r="N36" i="17"/>
  <c r="M36" i="17"/>
  <c r="O36" i="17"/>
  <c r="L32" i="14"/>
  <c r="L28" i="14"/>
  <c r="L24" i="14"/>
  <c r="L20" i="14"/>
  <c r="L16" i="14"/>
  <c r="L12" i="14"/>
  <c r="L31" i="14"/>
  <c r="L27" i="14"/>
  <c r="L23" i="14"/>
  <c r="L19" i="14"/>
  <c r="L15" i="14"/>
  <c r="L11" i="14"/>
  <c r="L30" i="14"/>
  <c r="L26" i="14"/>
  <c r="L22" i="14"/>
  <c r="L18" i="14"/>
  <c r="L14" i="14"/>
  <c r="L33" i="14"/>
  <c r="L29" i="14"/>
  <c r="L25" i="14"/>
  <c r="L21" i="14"/>
  <c r="L17" i="14"/>
  <c r="L13" i="14"/>
  <c r="N14" i="17"/>
  <c r="M14" i="17"/>
  <c r="O14" i="17"/>
  <c r="N30" i="17"/>
  <c r="M30" i="17"/>
  <c r="O30" i="17"/>
  <c r="N23" i="17"/>
  <c r="M23" i="17"/>
  <c r="O23" i="17"/>
  <c r="N16" i="17"/>
  <c r="M16" i="17"/>
  <c r="O16" i="17"/>
  <c r="M32" i="17"/>
  <c r="O32" i="17"/>
  <c r="N32" i="17"/>
  <c r="N25" i="17"/>
  <c r="M25" i="17"/>
  <c r="O25" i="17"/>
  <c r="N37" i="17"/>
  <c r="M37" i="17"/>
  <c r="O37" i="17"/>
  <c r="L45" i="14"/>
  <c r="J123" i="6"/>
  <c r="J124" i="6"/>
  <c r="J125" i="6"/>
  <c r="J126" i="6"/>
  <c r="J127" i="6"/>
  <c r="J128" i="6"/>
  <c r="J129" i="6"/>
  <c r="J130" i="6"/>
  <c r="J131" i="6"/>
  <c r="J132" i="6"/>
  <c r="J133" i="6"/>
  <c r="J134" i="6"/>
  <c r="J95" i="6"/>
  <c r="J96" i="6"/>
  <c r="J67" i="6"/>
  <c r="J68" i="6"/>
  <c r="J39" i="6"/>
  <c r="J40" i="6"/>
  <c r="J41" i="6"/>
  <c r="O8" i="18"/>
  <c r="H8" i="18"/>
  <c r="G8" i="18"/>
  <c r="F8" i="17"/>
  <c r="M24" i="9"/>
  <c r="M31" i="9"/>
  <c r="M15" i="9"/>
  <c r="M22" i="9"/>
  <c r="M25" i="9"/>
  <c r="M32" i="9"/>
  <c r="M57" i="9"/>
  <c r="N57" i="9"/>
  <c r="M41" i="9"/>
  <c r="N41" i="9"/>
  <c r="M44" i="9"/>
  <c r="O44" i="9"/>
  <c r="N44" i="9"/>
  <c r="M47" i="9"/>
  <c r="O47" i="9"/>
  <c r="N47" i="9"/>
  <c r="M50" i="9"/>
  <c r="N50" i="9"/>
  <c r="M20" i="9"/>
  <c r="M27" i="9"/>
  <c r="M11" i="9"/>
  <c r="M18" i="9"/>
  <c r="M21" i="9"/>
  <c r="M53" i="9"/>
  <c r="O53" i="9"/>
  <c r="N53" i="9"/>
  <c r="M56" i="9"/>
  <c r="N56" i="9"/>
  <c r="M40" i="9"/>
  <c r="N40" i="9"/>
  <c r="M43" i="9"/>
  <c r="O43" i="9"/>
  <c r="N43" i="9"/>
  <c r="M46" i="9"/>
  <c r="O46" i="9"/>
  <c r="N46" i="9"/>
  <c r="M16" i="9"/>
  <c r="M23" i="9"/>
  <c r="M30" i="9"/>
  <c r="M14" i="9"/>
  <c r="M17" i="9"/>
  <c r="M49" i="9"/>
  <c r="O49" i="9"/>
  <c r="N49" i="9"/>
  <c r="N52" i="9"/>
  <c r="M52" i="9"/>
  <c r="O52" i="9"/>
  <c r="M55" i="9"/>
  <c r="N55" i="9"/>
  <c r="M39" i="9"/>
  <c r="O39" i="9"/>
  <c r="N39" i="9"/>
  <c r="M42" i="9"/>
  <c r="O42" i="9"/>
  <c r="N42" i="9"/>
  <c r="M28" i="9"/>
  <c r="M12" i="9"/>
  <c r="M19" i="9"/>
  <c r="M26" i="9"/>
  <c r="M29" i="9"/>
  <c r="M13" i="9"/>
  <c r="M45" i="9"/>
  <c r="N45" i="9"/>
  <c r="N48" i="9"/>
  <c r="M48" i="9"/>
  <c r="O48" i="9"/>
  <c r="M51" i="9"/>
  <c r="O51" i="9"/>
  <c r="N51" i="9"/>
  <c r="M54" i="9"/>
  <c r="N54" i="9"/>
  <c r="N38" i="9"/>
  <c r="M38" i="9"/>
  <c r="M107" i="9"/>
  <c r="N107" i="9"/>
  <c r="M103" i="9"/>
  <c r="O103" i="9"/>
  <c r="N103" i="9"/>
  <c r="N109" i="9"/>
  <c r="M109" i="9"/>
  <c r="O109" i="9"/>
  <c r="M108" i="9"/>
  <c r="O108" i="9"/>
  <c r="N108" i="9"/>
  <c r="N124" i="9"/>
  <c r="M124" i="9"/>
  <c r="O124" i="9"/>
  <c r="N127" i="9"/>
  <c r="M127" i="9"/>
  <c r="O127" i="9"/>
  <c r="N125" i="9"/>
  <c r="M125" i="9"/>
  <c r="O125" i="9"/>
  <c r="N123" i="9"/>
  <c r="M123" i="9"/>
  <c r="O123" i="9"/>
  <c r="M83" i="9"/>
  <c r="O83" i="9"/>
  <c r="K83" i="9"/>
  <c r="I83" i="9"/>
  <c r="N83" i="9"/>
  <c r="N66" i="9"/>
  <c r="M66" i="9"/>
  <c r="O66" i="9"/>
  <c r="M68" i="9"/>
  <c r="O68" i="9"/>
  <c r="N68" i="9"/>
  <c r="M76" i="9"/>
  <c r="N76" i="9"/>
  <c r="N99" i="9"/>
  <c r="M99" i="9"/>
  <c r="O99" i="9"/>
  <c r="M95" i="9"/>
  <c r="O95" i="9"/>
  <c r="N95" i="9"/>
  <c r="M105" i="9"/>
  <c r="O105" i="9"/>
  <c r="N105" i="9"/>
  <c r="M104" i="9"/>
  <c r="O104" i="9"/>
  <c r="N104" i="9"/>
  <c r="N129" i="9"/>
  <c r="M129" i="9"/>
  <c r="O129" i="9"/>
  <c r="N128" i="9"/>
  <c r="M128" i="9"/>
  <c r="O128" i="9"/>
  <c r="N126" i="9"/>
  <c r="M126" i="9"/>
  <c r="O126" i="9"/>
  <c r="N122" i="9"/>
  <c r="M122" i="9"/>
  <c r="O122" i="9"/>
  <c r="N81" i="9"/>
  <c r="M81" i="9"/>
  <c r="O81" i="9"/>
  <c r="N77" i="9"/>
  <c r="M77" i="9"/>
  <c r="O77" i="9"/>
  <c r="N73" i="9"/>
  <c r="M73" i="9"/>
  <c r="O73" i="9"/>
  <c r="N69" i="9"/>
  <c r="M69" i="9"/>
  <c r="M106" i="9"/>
  <c r="O106" i="9"/>
  <c r="N106" i="9"/>
  <c r="N102" i="9"/>
  <c r="M102" i="9"/>
  <c r="O102" i="9"/>
  <c r="M101" i="9"/>
  <c r="O101" i="9"/>
  <c r="N101" i="9"/>
  <c r="N100" i="9"/>
  <c r="M100" i="9"/>
  <c r="O100" i="9"/>
  <c r="M134" i="9"/>
  <c r="O134" i="9"/>
  <c r="N134" i="9"/>
  <c r="N132" i="9"/>
  <c r="M132" i="9"/>
  <c r="O132" i="9"/>
  <c r="N130" i="9"/>
  <c r="M130" i="9"/>
  <c r="O130" i="9"/>
  <c r="N74" i="9"/>
  <c r="M74" i="9"/>
  <c r="O74" i="9"/>
  <c r="N78" i="9"/>
  <c r="M78" i="9"/>
  <c r="N82" i="9"/>
  <c r="M82" i="9"/>
  <c r="O82" i="9"/>
  <c r="N70" i="9"/>
  <c r="M70" i="9"/>
  <c r="N80" i="9"/>
  <c r="M80" i="9"/>
  <c r="O80" i="9"/>
  <c r="M98" i="9"/>
  <c r="N98" i="9"/>
  <c r="N94" i="9"/>
  <c r="M94" i="9"/>
  <c r="O94" i="9"/>
  <c r="M97" i="9"/>
  <c r="O97" i="9"/>
  <c r="N97" i="9"/>
  <c r="N96" i="9"/>
  <c r="M96" i="9"/>
  <c r="O96" i="9"/>
  <c r="N135" i="9"/>
  <c r="M135" i="9"/>
  <c r="O135" i="9"/>
  <c r="M133" i="9"/>
  <c r="N133" i="9"/>
  <c r="N131" i="9"/>
  <c r="M131" i="9"/>
  <c r="N67" i="9"/>
  <c r="M67" i="9"/>
  <c r="O67" i="9"/>
  <c r="N71" i="9"/>
  <c r="M71" i="9"/>
  <c r="O71" i="9"/>
  <c r="N75" i="9"/>
  <c r="M75" i="9"/>
  <c r="N79" i="9"/>
  <c r="M79" i="9"/>
  <c r="O79" i="9"/>
  <c r="M72" i="9"/>
  <c r="O72" i="9"/>
  <c r="N72" i="9"/>
  <c r="K13" i="17"/>
  <c r="I13" i="17"/>
  <c r="K36" i="17"/>
  <c r="I36" i="17"/>
  <c r="K12" i="17"/>
  <c r="I12" i="17"/>
  <c r="K28" i="17"/>
  <c r="I28" i="17"/>
  <c r="K34" i="17"/>
  <c r="I34" i="17"/>
  <c r="K19" i="17"/>
  <c r="I19" i="17"/>
  <c r="K21" i="17"/>
  <c r="I21" i="17"/>
  <c r="K37" i="17"/>
  <c r="I37" i="17"/>
  <c r="K32" i="17"/>
  <c r="I32" i="17"/>
  <c r="K33" i="17"/>
  <c r="I33" i="17"/>
  <c r="K24" i="17"/>
  <c r="I24" i="17"/>
  <c r="K22" i="17"/>
  <c r="I22" i="17"/>
  <c r="K25" i="17"/>
  <c r="I25" i="17"/>
  <c r="K14" i="17"/>
  <c r="I14" i="17"/>
  <c r="K17" i="17"/>
  <c r="I17" i="17"/>
  <c r="K31" i="17"/>
  <c r="I31" i="17"/>
  <c r="N45" i="14"/>
  <c r="M45" i="14"/>
  <c r="O45" i="14"/>
  <c r="N13" i="14"/>
  <c r="M13" i="14"/>
  <c r="O13" i="14"/>
  <c r="M29" i="14"/>
  <c r="O29" i="14"/>
  <c r="N29" i="14"/>
  <c r="M22" i="14"/>
  <c r="O22" i="14"/>
  <c r="N22" i="14"/>
  <c r="N15" i="14"/>
  <c r="M15" i="14"/>
  <c r="O15" i="14"/>
  <c r="N31" i="14"/>
  <c r="M31" i="14"/>
  <c r="O31" i="14"/>
  <c r="N24" i="14"/>
  <c r="M24" i="14"/>
  <c r="O24" i="14"/>
  <c r="N81" i="14"/>
  <c r="M81" i="14"/>
  <c r="O81" i="14"/>
  <c r="N74" i="14"/>
  <c r="M74" i="14"/>
  <c r="O74" i="14"/>
  <c r="N71" i="14"/>
  <c r="M71" i="14"/>
  <c r="O71" i="14"/>
  <c r="N68" i="14"/>
  <c r="M68" i="14"/>
  <c r="O68" i="14"/>
  <c r="M84" i="14"/>
  <c r="O84" i="14"/>
  <c r="N84" i="14"/>
  <c r="N103" i="14"/>
  <c r="M103" i="14"/>
  <c r="O103" i="14"/>
  <c r="M101" i="14"/>
  <c r="O101" i="14"/>
  <c r="N101" i="14"/>
  <c r="M112" i="14"/>
  <c r="O112" i="14"/>
  <c r="N112" i="14"/>
  <c r="M99" i="14"/>
  <c r="O99" i="14"/>
  <c r="N99" i="14"/>
  <c r="M126" i="14"/>
  <c r="O126" i="14"/>
  <c r="N126" i="14"/>
  <c r="M123" i="14"/>
  <c r="O123" i="14"/>
  <c r="N123" i="14"/>
  <c r="M124" i="14"/>
  <c r="O124" i="14"/>
  <c r="N124" i="14"/>
  <c r="M125" i="14"/>
  <c r="O125" i="14"/>
  <c r="N125" i="14"/>
  <c r="N49" i="14"/>
  <c r="M49" i="14"/>
  <c r="O49" i="14"/>
  <c r="N39" i="14"/>
  <c r="M39" i="14"/>
  <c r="O39" i="14"/>
  <c r="M51" i="14"/>
  <c r="O51" i="14"/>
  <c r="N51" i="14"/>
  <c r="N58" i="14"/>
  <c r="M58" i="14"/>
  <c r="O58" i="14"/>
  <c r="M43" i="14"/>
  <c r="O43" i="14"/>
  <c r="N43" i="14"/>
  <c r="M17" i="14"/>
  <c r="O17" i="14"/>
  <c r="N17" i="14"/>
  <c r="N33" i="14"/>
  <c r="M33" i="14"/>
  <c r="O33" i="14"/>
  <c r="N26" i="14"/>
  <c r="M26" i="14"/>
  <c r="O26" i="14"/>
  <c r="N19" i="14"/>
  <c r="M19" i="14"/>
  <c r="O19" i="14"/>
  <c r="N12" i="14"/>
  <c r="M12" i="14"/>
  <c r="O12" i="14"/>
  <c r="M28" i="14"/>
  <c r="O28" i="14"/>
  <c r="N28" i="14"/>
  <c r="N69" i="14"/>
  <c r="M69" i="14"/>
  <c r="O69" i="14"/>
  <c r="M85" i="14"/>
  <c r="O85" i="14"/>
  <c r="N85" i="14"/>
  <c r="N78" i="14"/>
  <c r="M78" i="14"/>
  <c r="O78" i="14"/>
  <c r="N75" i="14"/>
  <c r="M75" i="14"/>
  <c r="O75" i="14"/>
  <c r="M72" i="14"/>
  <c r="O72" i="14"/>
  <c r="N72" i="14"/>
  <c r="N107" i="14"/>
  <c r="M107" i="14"/>
  <c r="O107" i="14"/>
  <c r="M104" i="14"/>
  <c r="O104" i="14"/>
  <c r="N104" i="14"/>
  <c r="N105" i="14"/>
  <c r="M105" i="14"/>
  <c r="O105" i="14"/>
  <c r="N102" i="14"/>
  <c r="M102" i="14"/>
  <c r="O102" i="14"/>
  <c r="N130" i="14"/>
  <c r="M130" i="14"/>
  <c r="O130" i="14"/>
  <c r="M127" i="14"/>
  <c r="O127" i="14"/>
  <c r="N127" i="14"/>
  <c r="M128" i="14"/>
  <c r="O128" i="14"/>
  <c r="N128" i="14"/>
  <c r="M129" i="14"/>
  <c r="O129" i="14"/>
  <c r="N129" i="14"/>
  <c r="N53" i="14"/>
  <c r="M53" i="14"/>
  <c r="O53" i="14"/>
  <c r="M57" i="14"/>
  <c r="O57" i="14"/>
  <c r="N57" i="14"/>
  <c r="N54" i="14"/>
  <c r="M54" i="14"/>
  <c r="O54" i="14"/>
  <c r="M55" i="14"/>
  <c r="O55" i="14"/>
  <c r="N55" i="14"/>
  <c r="M47" i="14"/>
  <c r="O47" i="14"/>
  <c r="N47" i="14"/>
  <c r="N21" i="14"/>
  <c r="M21" i="14"/>
  <c r="O21" i="14"/>
  <c r="N14" i="14"/>
  <c r="M14" i="14"/>
  <c r="O14" i="14"/>
  <c r="N30" i="14"/>
  <c r="M30" i="14"/>
  <c r="O30" i="14"/>
  <c r="M23" i="14"/>
  <c r="O23" i="14"/>
  <c r="N23" i="14"/>
  <c r="N16" i="14"/>
  <c r="M16" i="14"/>
  <c r="O16" i="14"/>
  <c r="N32" i="14"/>
  <c r="M32" i="14"/>
  <c r="O32" i="14"/>
  <c r="M73" i="14"/>
  <c r="O73" i="14"/>
  <c r="N73" i="14"/>
  <c r="M86" i="14"/>
  <c r="O86" i="14"/>
  <c r="N86" i="14"/>
  <c r="N82" i="14"/>
  <c r="M82" i="14"/>
  <c r="O82" i="14"/>
  <c r="M79" i="14"/>
  <c r="O79" i="14"/>
  <c r="N79" i="14"/>
  <c r="N76" i="14"/>
  <c r="M76" i="14"/>
  <c r="O76" i="14"/>
  <c r="M96" i="14"/>
  <c r="O96" i="14"/>
  <c r="N96" i="14"/>
  <c r="M111" i="14"/>
  <c r="O111" i="14"/>
  <c r="N111" i="14"/>
  <c r="N108" i="14"/>
  <c r="M108" i="14"/>
  <c r="O108" i="14"/>
  <c r="N109" i="14"/>
  <c r="M109" i="14"/>
  <c r="O109" i="14"/>
  <c r="N106" i="14"/>
  <c r="M106" i="14"/>
  <c r="O106" i="14"/>
  <c r="M134" i="14"/>
  <c r="O134" i="14"/>
  <c r="N134" i="14"/>
  <c r="N131" i="14"/>
  <c r="M131" i="14"/>
  <c r="O131" i="14"/>
  <c r="N132" i="14"/>
  <c r="M132" i="14"/>
  <c r="O132" i="14"/>
  <c r="N133" i="14"/>
  <c r="M133" i="14"/>
  <c r="O133" i="14"/>
  <c r="M42" i="14"/>
  <c r="O42" i="14"/>
  <c r="N42" i="14"/>
  <c r="M56" i="14"/>
  <c r="O56" i="14"/>
  <c r="N56" i="14"/>
  <c r="M46" i="14"/>
  <c r="O46" i="14"/>
  <c r="N46" i="14"/>
  <c r="N52" i="14"/>
  <c r="M52" i="14"/>
  <c r="O52" i="14"/>
  <c r="M50" i="14"/>
  <c r="O50" i="14"/>
  <c r="N50" i="14"/>
  <c r="K27" i="17"/>
  <c r="I27" i="17"/>
  <c r="K16" i="17"/>
  <c r="I16" i="17"/>
  <c r="K23" i="17"/>
  <c r="I23" i="17"/>
  <c r="K30" i="17"/>
  <c r="I30" i="17"/>
  <c r="N25" i="14"/>
  <c r="M25" i="14"/>
  <c r="O25" i="14"/>
  <c r="N18" i="14"/>
  <c r="M18" i="14"/>
  <c r="O18" i="14"/>
  <c r="M11" i="14"/>
  <c r="O11" i="14"/>
  <c r="N11" i="14"/>
  <c r="N27" i="14"/>
  <c r="M27" i="14"/>
  <c r="O27" i="14"/>
  <c r="N20" i="14"/>
  <c r="M20" i="14"/>
  <c r="O20" i="14"/>
  <c r="K35" i="17"/>
  <c r="I35" i="17"/>
  <c r="K26" i="17"/>
  <c r="I26" i="17"/>
  <c r="N77" i="14"/>
  <c r="M77" i="14"/>
  <c r="O77" i="14"/>
  <c r="M70" i="14"/>
  <c r="O70" i="14"/>
  <c r="N70" i="14"/>
  <c r="N67" i="14"/>
  <c r="M67" i="14"/>
  <c r="O67" i="14"/>
  <c r="N83" i="14"/>
  <c r="M83" i="14"/>
  <c r="O83" i="14"/>
  <c r="N80" i="14"/>
  <c r="M80" i="14"/>
  <c r="O80" i="14"/>
  <c r="N100" i="14"/>
  <c r="M100" i="14"/>
  <c r="O100" i="14"/>
  <c r="N97" i="14"/>
  <c r="M97" i="14"/>
  <c r="O97" i="14"/>
  <c r="M98" i="14"/>
  <c r="O98" i="14"/>
  <c r="N98" i="14"/>
  <c r="N95" i="14"/>
  <c r="M95" i="14"/>
  <c r="O95" i="14"/>
  <c r="N110" i="14"/>
  <c r="M110" i="14"/>
  <c r="O110" i="14"/>
  <c r="N138" i="14"/>
  <c r="M138" i="14"/>
  <c r="O138" i="14"/>
  <c r="M135" i="14"/>
  <c r="O135" i="14"/>
  <c r="N135" i="14"/>
  <c r="M136" i="14"/>
  <c r="O136" i="14"/>
  <c r="N136" i="14"/>
  <c r="M137" i="14"/>
  <c r="O137" i="14"/>
  <c r="N137" i="14"/>
  <c r="K38" i="17"/>
  <c r="I38" i="17"/>
  <c r="K15" i="17"/>
  <c r="I15" i="17"/>
  <c r="M41" i="14"/>
  <c r="O41" i="14"/>
  <c r="N41" i="14"/>
  <c r="M48" i="14"/>
  <c r="O48" i="14"/>
  <c r="N48" i="14"/>
  <c r="M59" i="14"/>
  <c r="O59" i="14"/>
  <c r="N59" i="14"/>
  <c r="M44" i="14"/>
  <c r="O44" i="14"/>
  <c r="N44" i="14"/>
  <c r="N40" i="14"/>
  <c r="M40" i="14"/>
  <c r="O40" i="14"/>
  <c r="K29" i="17"/>
  <c r="I29" i="17"/>
  <c r="K20" i="17"/>
  <c r="I20" i="17"/>
  <c r="K11" i="17"/>
  <c r="I11" i="17"/>
  <c r="K18" i="17"/>
  <c r="I18" i="17"/>
  <c r="J97" i="6"/>
  <c r="J69" i="6"/>
  <c r="J42" i="6"/>
  <c r="J12" i="6"/>
  <c r="J13" i="6"/>
  <c r="J14" i="6"/>
  <c r="N4" i="6"/>
  <c r="M4" i="6"/>
  <c r="H4" i="6"/>
  <c r="D26" i="4"/>
  <c r="G26" i="4"/>
  <c r="E8" i="18"/>
  <c r="K8" i="18"/>
  <c r="L8" i="18"/>
  <c r="K95" i="9"/>
  <c r="I95" i="9"/>
  <c r="K130" i="9"/>
  <c r="I130" i="9"/>
  <c r="K18" i="9"/>
  <c r="I18" i="9"/>
  <c r="K79" i="9"/>
  <c r="I79" i="9"/>
  <c r="K102" i="9"/>
  <c r="I102" i="9"/>
  <c r="K21" i="9"/>
  <c r="I21" i="9"/>
  <c r="K72" i="9"/>
  <c r="I72" i="9"/>
  <c r="K39" i="9"/>
  <c r="I39" i="9"/>
  <c r="K49" i="9"/>
  <c r="I49" i="9"/>
  <c r="K127" i="9"/>
  <c r="I127" i="9"/>
  <c r="K12" i="9"/>
  <c r="I12" i="9"/>
  <c r="K52" i="9"/>
  <c r="I52" i="9"/>
  <c r="K99" i="9"/>
  <c r="I99" i="9"/>
  <c r="K105" i="9"/>
  <c r="I105" i="9"/>
  <c r="K46" i="9"/>
  <c r="I46" i="9"/>
  <c r="K44" i="9"/>
  <c r="I44" i="9"/>
  <c r="K135" i="9"/>
  <c r="I135" i="9"/>
  <c r="K96" i="9"/>
  <c r="I96" i="9"/>
  <c r="K82" i="9"/>
  <c r="I82" i="9"/>
  <c r="K134" i="9"/>
  <c r="I134" i="9"/>
  <c r="K122" i="9"/>
  <c r="I122" i="9"/>
  <c r="K109" i="9"/>
  <c r="I109" i="9"/>
  <c r="K30" i="9"/>
  <c r="I30" i="9"/>
  <c r="K47" i="9"/>
  <c r="I47" i="9"/>
  <c r="K13" i="9"/>
  <c r="I13" i="9"/>
  <c r="K80" i="9"/>
  <c r="I80" i="9"/>
  <c r="K14" i="9"/>
  <c r="I14" i="9"/>
  <c r="K53" i="9"/>
  <c r="I53" i="9"/>
  <c r="K20" i="9"/>
  <c r="I20" i="9"/>
  <c r="K71" i="9"/>
  <c r="I71" i="9"/>
  <c r="K106" i="9"/>
  <c r="I106" i="9"/>
  <c r="K125" i="9"/>
  <c r="I125" i="9"/>
  <c r="K124" i="9"/>
  <c r="I124" i="9"/>
  <c r="K103" i="9"/>
  <c r="I103" i="9"/>
  <c r="K48" i="9"/>
  <c r="I48" i="9"/>
  <c r="K19" i="9"/>
  <c r="I19" i="9"/>
  <c r="K43" i="9"/>
  <c r="I43" i="9"/>
  <c r="K11" i="9"/>
  <c r="I11" i="9"/>
  <c r="K22" i="9"/>
  <c r="I22" i="9"/>
  <c r="K15" i="9"/>
  <c r="I15" i="9"/>
  <c r="O131" i="9"/>
  <c r="K131" i="9"/>
  <c r="I131" i="9"/>
  <c r="O78" i="9"/>
  <c r="K78" i="9"/>
  <c r="I78" i="9"/>
  <c r="O38" i="9"/>
  <c r="K38" i="9"/>
  <c r="I38" i="9"/>
  <c r="K25" i="9"/>
  <c r="I25" i="9"/>
  <c r="O75" i="9"/>
  <c r="K75" i="9"/>
  <c r="I75" i="9"/>
  <c r="K100" i="9"/>
  <c r="I100" i="9"/>
  <c r="F35" i="9"/>
  <c r="K26" i="9"/>
  <c r="I26" i="9"/>
  <c r="K28" i="9"/>
  <c r="I28" i="9"/>
  <c r="K16" i="9"/>
  <c r="I16" i="9"/>
  <c r="O56" i="9"/>
  <c r="K56" i="9"/>
  <c r="I56" i="9"/>
  <c r="K27" i="9"/>
  <c r="I27" i="9"/>
  <c r="O50" i="9"/>
  <c r="K50" i="9"/>
  <c r="I50" i="9"/>
  <c r="O41" i="9"/>
  <c r="K41" i="9"/>
  <c r="I41" i="9"/>
  <c r="F92" i="14"/>
  <c r="F64" i="14"/>
  <c r="O76" i="9"/>
  <c r="K76" i="9"/>
  <c r="I76" i="9"/>
  <c r="F63" i="9"/>
  <c r="O107" i="9"/>
  <c r="K107" i="9"/>
  <c r="I107" i="9"/>
  <c r="O45" i="9"/>
  <c r="K45" i="9"/>
  <c r="I45" i="9"/>
  <c r="K29" i="9"/>
  <c r="I29" i="9"/>
  <c r="K23" i="9"/>
  <c r="I23" i="9"/>
  <c r="F8" i="9"/>
  <c r="K24" i="9"/>
  <c r="I24" i="9"/>
  <c r="F120" i="14"/>
  <c r="O133" i="9"/>
  <c r="K133" i="9"/>
  <c r="I133" i="9"/>
  <c r="O98" i="9"/>
  <c r="K98" i="9"/>
  <c r="I98" i="9"/>
  <c r="O70" i="9"/>
  <c r="K70" i="9"/>
  <c r="I70" i="9"/>
  <c r="O69" i="9"/>
  <c r="K69" i="9"/>
  <c r="I69" i="9"/>
  <c r="K77" i="9"/>
  <c r="I77" i="9"/>
  <c r="K126" i="9"/>
  <c r="I126" i="9"/>
  <c r="O54" i="9"/>
  <c r="K54" i="9"/>
  <c r="I54" i="9"/>
  <c r="O55" i="9"/>
  <c r="K55" i="9"/>
  <c r="I55" i="9"/>
  <c r="K17" i="9"/>
  <c r="I17" i="9"/>
  <c r="O40" i="9"/>
  <c r="K40" i="9"/>
  <c r="I40" i="9"/>
  <c r="O57" i="9"/>
  <c r="K57" i="9"/>
  <c r="I57" i="9"/>
  <c r="K31" i="9"/>
  <c r="I31" i="9"/>
  <c r="I91" i="6"/>
  <c r="J91" i="6"/>
  <c r="I35" i="6"/>
  <c r="J35" i="6"/>
  <c r="I119" i="6"/>
  <c r="J119" i="6"/>
  <c r="I63" i="6"/>
  <c r="J63" i="6"/>
  <c r="F36" i="14"/>
  <c r="F91" i="9"/>
  <c r="O8" i="17"/>
  <c r="H8" i="17"/>
  <c r="G8" i="17"/>
  <c r="F8" i="14"/>
  <c r="F119" i="9"/>
  <c r="K51" i="9"/>
  <c r="I51" i="9"/>
  <c r="K42" i="9"/>
  <c r="I42" i="9"/>
  <c r="K32" i="9"/>
  <c r="I32" i="9"/>
  <c r="K128" i="9"/>
  <c r="I128" i="9"/>
  <c r="K97" i="9"/>
  <c r="I97" i="9"/>
  <c r="K132" i="9"/>
  <c r="I132" i="9"/>
  <c r="K101" i="9"/>
  <c r="I101" i="9"/>
  <c r="K104" i="9"/>
  <c r="I104" i="9"/>
  <c r="K67" i="9"/>
  <c r="I67" i="9"/>
  <c r="K94" i="9"/>
  <c r="I94" i="9"/>
  <c r="K74" i="9"/>
  <c r="I74" i="9"/>
  <c r="K73" i="9"/>
  <c r="I73" i="9"/>
  <c r="K81" i="9"/>
  <c r="I81" i="9"/>
  <c r="K129" i="9"/>
  <c r="I129" i="9"/>
  <c r="K68" i="9"/>
  <c r="I68" i="9"/>
  <c r="K66" i="9"/>
  <c r="I66" i="9"/>
  <c r="K123" i="9"/>
  <c r="I123" i="9"/>
  <c r="K108" i="9"/>
  <c r="I108" i="9"/>
  <c r="K71" i="14"/>
  <c r="I71" i="14"/>
  <c r="K132" i="14"/>
  <c r="I132" i="14"/>
  <c r="K25" i="14"/>
  <c r="I25" i="14"/>
  <c r="K42" i="14"/>
  <c r="I42" i="14"/>
  <c r="K31" i="14"/>
  <c r="I31" i="14"/>
  <c r="K26" i="14"/>
  <c r="I26" i="14"/>
  <c r="K51" i="14"/>
  <c r="I51" i="14"/>
  <c r="K137" i="14"/>
  <c r="I137" i="14"/>
  <c r="K83" i="14"/>
  <c r="I83" i="14"/>
  <c r="K82" i="14"/>
  <c r="I82" i="14"/>
  <c r="K54" i="14"/>
  <c r="I54" i="14"/>
  <c r="K104" i="14"/>
  <c r="I104" i="14"/>
  <c r="K69" i="14"/>
  <c r="I69" i="14"/>
  <c r="K28" i="14"/>
  <c r="I28" i="14"/>
  <c r="K19" i="14"/>
  <c r="I19" i="14"/>
  <c r="K58" i="14"/>
  <c r="I58" i="14"/>
  <c r="K21" i="14"/>
  <c r="I21" i="14"/>
  <c r="K47" i="14"/>
  <c r="I47" i="14"/>
  <c r="K57" i="14"/>
  <c r="I57" i="14"/>
  <c r="K128" i="14"/>
  <c r="I128" i="14"/>
  <c r="K136" i="14"/>
  <c r="I136" i="14"/>
  <c r="K97" i="14"/>
  <c r="I97" i="14"/>
  <c r="K16" i="14"/>
  <c r="I16" i="14"/>
  <c r="K23" i="14"/>
  <c r="I23" i="14"/>
  <c r="K102" i="14"/>
  <c r="I102" i="14"/>
  <c r="K75" i="14"/>
  <c r="I75" i="14"/>
  <c r="K39" i="14"/>
  <c r="I39" i="14"/>
  <c r="K11" i="14"/>
  <c r="I11" i="14"/>
  <c r="K29" i="14"/>
  <c r="I29" i="14"/>
  <c r="K100" i="14"/>
  <c r="I100" i="14"/>
  <c r="K67" i="14"/>
  <c r="I67" i="14"/>
  <c r="K18" i="14"/>
  <c r="I18" i="14"/>
  <c r="K76" i="14"/>
  <c r="I76" i="14"/>
  <c r="K30" i="14"/>
  <c r="I30" i="14"/>
  <c r="K12" i="14"/>
  <c r="I12" i="14"/>
  <c r="K49" i="14"/>
  <c r="I49" i="14"/>
  <c r="K101" i="14"/>
  <c r="I101" i="14"/>
  <c r="K103" i="14"/>
  <c r="I103" i="14"/>
  <c r="K24" i="14"/>
  <c r="I24" i="14"/>
  <c r="K15" i="14"/>
  <c r="I15" i="14"/>
  <c r="K45" i="14"/>
  <c r="I45" i="14"/>
  <c r="K41" i="14"/>
  <c r="I41" i="14"/>
  <c r="K95" i="14"/>
  <c r="I95" i="14"/>
  <c r="K46" i="14"/>
  <c r="I46" i="14"/>
  <c r="K59" i="14"/>
  <c r="I59" i="14"/>
  <c r="K70" i="14"/>
  <c r="I70" i="14"/>
  <c r="K133" i="14"/>
  <c r="I133" i="14"/>
  <c r="K131" i="14"/>
  <c r="I131" i="14"/>
  <c r="K96" i="14"/>
  <c r="I96" i="14"/>
  <c r="K73" i="14"/>
  <c r="I73" i="14"/>
  <c r="K14" i="14"/>
  <c r="I14" i="14"/>
  <c r="K53" i="14"/>
  <c r="I53" i="14"/>
  <c r="K127" i="14"/>
  <c r="I127" i="14"/>
  <c r="K78" i="14"/>
  <c r="I78" i="14"/>
  <c r="K124" i="14"/>
  <c r="I124" i="14"/>
  <c r="K123" i="14"/>
  <c r="I123" i="14"/>
  <c r="K68" i="14"/>
  <c r="I68" i="14"/>
  <c r="K13" i="14"/>
  <c r="I13" i="14"/>
  <c r="K135" i="14"/>
  <c r="I135" i="14"/>
  <c r="K110" i="14"/>
  <c r="I110" i="14"/>
  <c r="K20" i="14"/>
  <c r="I20" i="14"/>
  <c r="K50" i="14"/>
  <c r="I50" i="14"/>
  <c r="K134" i="14"/>
  <c r="I134" i="14"/>
  <c r="K109" i="14"/>
  <c r="I109" i="14"/>
  <c r="K111" i="14"/>
  <c r="I111" i="14"/>
  <c r="K43" i="14"/>
  <c r="I43" i="14"/>
  <c r="K125" i="14"/>
  <c r="I125" i="14"/>
  <c r="K84" i="14"/>
  <c r="I84" i="14"/>
  <c r="I8" i="6"/>
  <c r="J8" i="6"/>
  <c r="N8" i="6"/>
  <c r="K40" i="14"/>
  <c r="I40" i="14"/>
  <c r="K44" i="14"/>
  <c r="I44" i="14"/>
  <c r="K48" i="14"/>
  <c r="I48" i="14"/>
  <c r="K138" i="14"/>
  <c r="I138" i="14"/>
  <c r="K98" i="14"/>
  <c r="I98" i="14"/>
  <c r="K80" i="14"/>
  <c r="I80" i="14"/>
  <c r="K77" i="14"/>
  <c r="I77" i="14"/>
  <c r="K27" i="14"/>
  <c r="I27" i="14"/>
  <c r="K52" i="14"/>
  <c r="I52" i="14"/>
  <c r="K56" i="14"/>
  <c r="I56" i="14"/>
  <c r="K106" i="14"/>
  <c r="I106" i="14"/>
  <c r="K108" i="14"/>
  <c r="I108" i="14"/>
  <c r="K79" i="14"/>
  <c r="I79" i="14"/>
  <c r="K86" i="14"/>
  <c r="I86" i="14"/>
  <c r="K32" i="14"/>
  <c r="I32" i="14"/>
  <c r="K55" i="14"/>
  <c r="I55" i="14"/>
  <c r="K129" i="14"/>
  <c r="I129" i="14"/>
  <c r="K130" i="14"/>
  <c r="I130" i="14"/>
  <c r="K105" i="14"/>
  <c r="I105" i="14"/>
  <c r="K107" i="14"/>
  <c r="I107" i="14"/>
  <c r="K72" i="14"/>
  <c r="I72" i="14"/>
  <c r="K85" i="14"/>
  <c r="I85" i="14"/>
  <c r="K33" i="14"/>
  <c r="I33" i="14"/>
  <c r="K17" i="14"/>
  <c r="I17" i="14"/>
  <c r="K126" i="14"/>
  <c r="I126" i="14"/>
  <c r="K99" i="14"/>
  <c r="I99" i="14"/>
  <c r="K112" i="14"/>
  <c r="I112" i="14"/>
  <c r="K74" i="14"/>
  <c r="I74" i="14"/>
  <c r="K81" i="14"/>
  <c r="I81" i="14"/>
  <c r="K22" i="14"/>
  <c r="I22" i="14"/>
  <c r="F6" i="4"/>
  <c r="E26" i="4"/>
  <c r="J98" i="6"/>
  <c r="J70" i="6"/>
  <c r="J43" i="6"/>
  <c r="J4" i="6"/>
  <c r="J15" i="6"/>
  <c r="M8" i="18"/>
  <c r="O119" i="9"/>
  <c r="H119" i="9"/>
  <c r="G119" i="9"/>
  <c r="G36" i="14"/>
  <c r="O36" i="14"/>
  <c r="H36" i="14"/>
  <c r="N91" i="6"/>
  <c r="N119" i="6"/>
  <c r="O8" i="14"/>
  <c r="H8" i="14"/>
  <c r="G8" i="14"/>
  <c r="N35" i="6"/>
  <c r="O8" i="9"/>
  <c r="H8" i="9"/>
  <c r="G8" i="9"/>
  <c r="O63" i="9"/>
  <c r="H63" i="9"/>
  <c r="G63" i="9"/>
  <c r="G35" i="9"/>
  <c r="O35" i="9"/>
  <c r="H35" i="9"/>
  <c r="K8" i="17"/>
  <c r="E8" i="17"/>
  <c r="O91" i="9"/>
  <c r="H91" i="9"/>
  <c r="G91" i="9"/>
  <c r="N63" i="6"/>
  <c r="O120" i="14"/>
  <c r="H120" i="14"/>
  <c r="G120" i="14"/>
  <c r="G64" i="14"/>
  <c r="O64" i="14"/>
  <c r="H64" i="14"/>
  <c r="O92" i="14"/>
  <c r="H92" i="14"/>
  <c r="G92" i="14"/>
  <c r="N4" i="15"/>
  <c r="K4" i="6"/>
  <c r="J99" i="6"/>
  <c r="J71" i="6"/>
  <c r="J44" i="6"/>
  <c r="O4" i="6"/>
  <c r="J16" i="6"/>
  <c r="P37" i="18"/>
  <c r="P26" i="18"/>
  <c r="P31" i="18"/>
  <c r="P21" i="18"/>
  <c r="P38" i="18"/>
  <c r="P12" i="18"/>
  <c r="P32" i="18"/>
  <c r="P18" i="18"/>
  <c r="P13" i="18"/>
  <c r="P14" i="18"/>
  <c r="P35" i="18"/>
  <c r="P24" i="18"/>
  <c r="P19" i="18"/>
  <c r="P29" i="18"/>
  <c r="P28" i="18"/>
  <c r="P20" i="18"/>
  <c r="P16" i="18"/>
  <c r="P25" i="18"/>
  <c r="P17" i="18"/>
  <c r="P11" i="18"/>
  <c r="P15" i="18"/>
  <c r="P33" i="18"/>
  <c r="P30" i="18"/>
  <c r="P22" i="18"/>
  <c r="P34" i="18"/>
  <c r="P36" i="18"/>
  <c r="P27" i="18"/>
  <c r="P23" i="18"/>
  <c r="L8" i="17"/>
  <c r="O4" i="15"/>
  <c r="M8" i="17"/>
  <c r="P11" i="17"/>
  <c r="E35" i="9"/>
  <c r="K35" i="9"/>
  <c r="L35" i="9"/>
  <c r="K63" i="9"/>
  <c r="L63" i="9"/>
  <c r="E63" i="9"/>
  <c r="E36" i="14"/>
  <c r="K36" i="14"/>
  <c r="L36" i="14"/>
  <c r="K119" i="9"/>
  <c r="L119" i="9"/>
  <c r="E119" i="9"/>
  <c r="K120" i="14"/>
  <c r="L120" i="14"/>
  <c r="E120" i="14"/>
  <c r="E92" i="14"/>
  <c r="K92" i="14"/>
  <c r="L92" i="14"/>
  <c r="K8" i="9"/>
  <c r="L8" i="9"/>
  <c r="E8" i="9"/>
  <c r="K8" i="14"/>
  <c r="L8" i="14"/>
  <c r="E8" i="14"/>
  <c r="K64" i="14"/>
  <c r="L64" i="14"/>
  <c r="E64" i="14"/>
  <c r="E91" i="9"/>
  <c r="K91" i="9"/>
  <c r="L91" i="9"/>
  <c r="E11" i="11"/>
  <c r="E94" i="11"/>
  <c r="E122" i="11"/>
  <c r="E66" i="11"/>
  <c r="E66" i="6"/>
  <c r="E11" i="6"/>
  <c r="E94" i="6"/>
  <c r="E38" i="6"/>
  <c r="E122" i="6"/>
  <c r="E11" i="12"/>
  <c r="E95" i="12"/>
  <c r="E67" i="12"/>
  <c r="E39" i="12"/>
  <c r="E123" i="12"/>
  <c r="J100" i="6"/>
  <c r="J72" i="6"/>
  <c r="J45" i="6"/>
  <c r="J17" i="6"/>
  <c r="Q23" i="18"/>
  <c r="R23" i="18"/>
  <c r="T23" i="18"/>
  <c r="Q22" i="18"/>
  <c r="R22" i="18"/>
  <c r="T22" i="18"/>
  <c r="S22" i="18"/>
  <c r="Q11" i="18"/>
  <c r="R11" i="18"/>
  <c r="T11" i="18"/>
  <c r="Q20" i="18"/>
  <c r="R20" i="18"/>
  <c r="T20" i="18"/>
  <c r="S20" i="18"/>
  <c r="Q24" i="18"/>
  <c r="R24" i="18"/>
  <c r="T24" i="18"/>
  <c r="Q18" i="18"/>
  <c r="R18" i="18"/>
  <c r="T18" i="18"/>
  <c r="S18" i="18"/>
  <c r="Q21" i="18"/>
  <c r="R21" i="18"/>
  <c r="T21" i="18"/>
  <c r="Q27" i="18"/>
  <c r="R27" i="18"/>
  <c r="T27" i="18"/>
  <c r="S27" i="18"/>
  <c r="Q30" i="18"/>
  <c r="R30" i="18"/>
  <c r="T30" i="18"/>
  <c r="Q17" i="18"/>
  <c r="R17" i="18"/>
  <c r="T17" i="18"/>
  <c r="S17" i="18"/>
  <c r="Q28" i="18"/>
  <c r="R28" i="18"/>
  <c r="T28" i="18"/>
  <c r="Q35" i="18"/>
  <c r="R35" i="18"/>
  <c r="T35" i="18"/>
  <c r="S35" i="18"/>
  <c r="Q32" i="18"/>
  <c r="R32" i="18"/>
  <c r="T32" i="18"/>
  <c r="Q31" i="18"/>
  <c r="R31" i="18"/>
  <c r="T31" i="18"/>
  <c r="S31" i="18"/>
  <c r="Q36" i="18"/>
  <c r="R36" i="18"/>
  <c r="T36" i="18"/>
  <c r="Q33" i="18"/>
  <c r="R33" i="18"/>
  <c r="T33" i="18"/>
  <c r="S33" i="18"/>
  <c r="Q25" i="18"/>
  <c r="R25" i="18"/>
  <c r="T25" i="18"/>
  <c r="Q29" i="18"/>
  <c r="R29" i="18"/>
  <c r="T29" i="18"/>
  <c r="S29" i="18"/>
  <c r="Q14" i="18"/>
  <c r="R14" i="18"/>
  <c r="T14" i="18"/>
  <c r="Q12" i="18"/>
  <c r="R12" i="18"/>
  <c r="T12" i="18"/>
  <c r="S12" i="18"/>
  <c r="Q26" i="18"/>
  <c r="R26" i="18"/>
  <c r="T26" i="18"/>
  <c r="Q34" i="18"/>
  <c r="R34" i="18"/>
  <c r="T34" i="18"/>
  <c r="S34" i="18"/>
  <c r="Q15" i="18"/>
  <c r="R15" i="18"/>
  <c r="T15" i="18"/>
  <c r="Q16" i="18"/>
  <c r="R16" i="18"/>
  <c r="T16" i="18"/>
  <c r="S16" i="18"/>
  <c r="Q19" i="18"/>
  <c r="R19" i="18"/>
  <c r="T19" i="18"/>
  <c r="Q13" i="18"/>
  <c r="R13" i="18"/>
  <c r="T13" i="18"/>
  <c r="S13" i="18"/>
  <c r="Q38" i="18"/>
  <c r="R38" i="18"/>
  <c r="T38" i="18"/>
  <c r="Q37" i="18"/>
  <c r="R37" i="18"/>
  <c r="T37" i="18"/>
  <c r="S37" i="18"/>
  <c r="P38" i="17"/>
  <c r="P28" i="17"/>
  <c r="P16" i="17"/>
  <c r="P32" i="17"/>
  <c r="P26" i="17"/>
  <c r="P20" i="17"/>
  <c r="P37" i="17"/>
  <c r="P24" i="17"/>
  <c r="P27" i="17"/>
  <c r="P15" i="17"/>
  <c r="P14" i="17"/>
  <c r="P30" i="17"/>
  <c r="P25" i="17"/>
  <c r="P35" i="17"/>
  <c r="P22" i="17"/>
  <c r="P19" i="17"/>
  <c r="P29" i="17"/>
  <c r="P34" i="17"/>
  <c r="P36" i="17"/>
  <c r="P12" i="17"/>
  <c r="P33" i="17"/>
  <c r="P18" i="17"/>
  <c r="P23" i="17"/>
  <c r="P13" i="17"/>
  <c r="P21" i="17"/>
  <c r="P31" i="17"/>
  <c r="P17" i="17"/>
  <c r="M119" i="9"/>
  <c r="P134" i="9"/>
  <c r="Q134" i="9"/>
  <c r="M8" i="14"/>
  <c r="P21" i="14"/>
  <c r="M120" i="14"/>
  <c r="P123" i="14"/>
  <c r="Q123" i="14"/>
  <c r="R123" i="14"/>
  <c r="T123" i="14"/>
  <c r="M92" i="14"/>
  <c r="P97" i="14"/>
  <c r="Q97" i="14"/>
  <c r="R97" i="14"/>
  <c r="T97" i="14"/>
  <c r="M64" i="14"/>
  <c r="P71" i="14"/>
  <c r="Q71" i="14"/>
  <c r="R71" i="14"/>
  <c r="T71" i="14"/>
  <c r="M91" i="9"/>
  <c r="P99" i="9"/>
  <c r="Q99" i="9"/>
  <c r="M35" i="9"/>
  <c r="P49" i="9"/>
  <c r="M63" i="9"/>
  <c r="M8" i="9"/>
  <c r="M36" i="14"/>
  <c r="F123" i="12"/>
  <c r="H123" i="12"/>
  <c r="G123" i="12"/>
  <c r="G11" i="12"/>
  <c r="F11" i="12"/>
  <c r="H11" i="12"/>
  <c r="G11" i="6"/>
  <c r="F11" i="6"/>
  <c r="H11" i="6"/>
  <c r="F122" i="11"/>
  <c r="H122" i="11"/>
  <c r="G122" i="11"/>
  <c r="G67" i="12"/>
  <c r="F67" i="12"/>
  <c r="H67" i="12"/>
  <c r="F38" i="6"/>
  <c r="H38" i="6"/>
  <c r="G38" i="6"/>
  <c r="G39" i="12"/>
  <c r="F39" i="12"/>
  <c r="H39" i="12"/>
  <c r="F122" i="6"/>
  <c r="H122" i="6"/>
  <c r="G122" i="6"/>
  <c r="F66" i="6"/>
  <c r="H66" i="6"/>
  <c r="G66" i="6"/>
  <c r="G94" i="11"/>
  <c r="F94" i="11"/>
  <c r="H94" i="11"/>
  <c r="G95" i="12"/>
  <c r="F95" i="12"/>
  <c r="H95" i="12"/>
  <c r="F94" i="6"/>
  <c r="H94" i="6"/>
  <c r="G94" i="6"/>
  <c r="F66" i="11"/>
  <c r="H66" i="11"/>
  <c r="G66" i="11"/>
  <c r="G11" i="11"/>
  <c r="F11" i="11"/>
  <c r="H11" i="11"/>
  <c r="J101" i="6"/>
  <c r="J73" i="6"/>
  <c r="J46" i="6"/>
  <c r="J18" i="6"/>
  <c r="S11" i="18"/>
  <c r="S23" i="18"/>
  <c r="S38" i="18"/>
  <c r="S19" i="18"/>
  <c r="S15" i="18"/>
  <c r="S26" i="18"/>
  <c r="S14" i="18"/>
  <c r="S25" i="18"/>
  <c r="S36" i="18"/>
  <c r="S32" i="18"/>
  <c r="S28" i="18"/>
  <c r="S30" i="18"/>
  <c r="S21" i="18"/>
  <c r="S24" i="18"/>
  <c r="D8" i="18"/>
  <c r="P131" i="9"/>
  <c r="Q131" i="9"/>
  <c r="P127" i="9"/>
  <c r="Q127" i="9"/>
  <c r="P15" i="14"/>
  <c r="P31" i="14"/>
  <c r="P52" i="9"/>
  <c r="Q52" i="9"/>
  <c r="R52" i="9"/>
  <c r="T52" i="9"/>
  <c r="P20" i="14"/>
  <c r="P125" i="14"/>
  <c r="Q125" i="14"/>
  <c r="R125" i="14"/>
  <c r="T125" i="14"/>
  <c r="P30" i="14"/>
  <c r="P103" i="14"/>
  <c r="Q103" i="14"/>
  <c r="R103" i="14"/>
  <c r="T103" i="14"/>
  <c r="P42" i="9"/>
  <c r="Q42" i="9"/>
  <c r="R42" i="9"/>
  <c r="T42" i="9"/>
  <c r="P14" i="14"/>
  <c r="P45" i="9"/>
  <c r="Q45" i="9"/>
  <c r="R45" i="9"/>
  <c r="T45" i="9"/>
  <c r="P127" i="14"/>
  <c r="Q127" i="14"/>
  <c r="R127" i="14"/>
  <c r="T127" i="14"/>
  <c r="P137" i="14"/>
  <c r="Q137" i="14"/>
  <c r="R137" i="14"/>
  <c r="T137" i="14"/>
  <c r="P53" i="9"/>
  <c r="Q53" i="9"/>
  <c r="R53" i="9"/>
  <c r="T53" i="9"/>
  <c r="P133" i="14"/>
  <c r="Q133" i="14"/>
  <c r="R133" i="14"/>
  <c r="T133" i="14"/>
  <c r="P19" i="14"/>
  <c r="P29" i="14"/>
  <c r="P108" i="9"/>
  <c r="Q108" i="9"/>
  <c r="P39" i="9"/>
  <c r="Q39" i="9"/>
  <c r="R39" i="9"/>
  <c r="T39" i="9"/>
  <c r="P136" i="14"/>
  <c r="Q136" i="14"/>
  <c r="R136" i="14"/>
  <c r="T136" i="14"/>
  <c r="P126" i="9"/>
  <c r="Q126" i="9"/>
  <c r="P32" i="14"/>
  <c r="P28" i="14"/>
  <c r="P109" i="9"/>
  <c r="Q109" i="9"/>
  <c r="P132" i="9"/>
  <c r="Q132" i="9"/>
  <c r="P130" i="9"/>
  <c r="Q130" i="9"/>
  <c r="P133" i="9"/>
  <c r="Q133" i="9"/>
  <c r="P74" i="14"/>
  <c r="Q74" i="14"/>
  <c r="R74" i="14"/>
  <c r="T74" i="14"/>
  <c r="P129" i="9"/>
  <c r="Q129" i="9"/>
  <c r="P128" i="9"/>
  <c r="Q128" i="9"/>
  <c r="P122" i="9"/>
  <c r="Q122" i="9"/>
  <c r="P125" i="9"/>
  <c r="Q125" i="9"/>
  <c r="P84" i="14"/>
  <c r="Q84" i="14"/>
  <c r="R84" i="14"/>
  <c r="T84" i="14"/>
  <c r="P54" i="9"/>
  <c r="Q54" i="9"/>
  <c r="R54" i="9"/>
  <c r="T54" i="9"/>
  <c r="P43" i="9"/>
  <c r="Q43" i="9"/>
  <c r="R43" i="9"/>
  <c r="T43" i="9"/>
  <c r="P132" i="14"/>
  <c r="Q132" i="14"/>
  <c r="R132" i="14"/>
  <c r="T132" i="14"/>
  <c r="P123" i="9"/>
  <c r="Q123" i="9"/>
  <c r="P124" i="9"/>
  <c r="Q124" i="9"/>
  <c r="P135" i="9"/>
  <c r="Q135" i="9"/>
  <c r="P72" i="14"/>
  <c r="Q72" i="14"/>
  <c r="R72" i="14"/>
  <c r="T72" i="14"/>
  <c r="P100" i="14"/>
  <c r="Q100" i="14"/>
  <c r="R100" i="14"/>
  <c r="T100" i="14"/>
  <c r="P18" i="14"/>
  <c r="P26" i="14"/>
  <c r="P11" i="14"/>
  <c r="P27" i="14"/>
  <c r="P17" i="14"/>
  <c r="P16" i="14"/>
  <c r="P33" i="14"/>
  <c r="P23" i="14"/>
  <c r="P104" i="9"/>
  <c r="Q104" i="9"/>
  <c r="P95" i="14"/>
  <c r="Q95" i="14"/>
  <c r="R95" i="14"/>
  <c r="T95" i="14"/>
  <c r="P112" i="14"/>
  <c r="Q112" i="14"/>
  <c r="R112" i="14"/>
  <c r="T112" i="14"/>
  <c r="P104" i="14"/>
  <c r="Q104" i="14"/>
  <c r="R104" i="14"/>
  <c r="T104" i="14"/>
  <c r="P111" i="14"/>
  <c r="Q111" i="14"/>
  <c r="R111" i="14"/>
  <c r="S111" i="14"/>
  <c r="P102" i="14"/>
  <c r="Q102" i="14"/>
  <c r="R102" i="14"/>
  <c r="T102" i="14"/>
  <c r="P51" i="9"/>
  <c r="Q51" i="9"/>
  <c r="R51" i="9"/>
  <c r="T51" i="9"/>
  <c r="P38" i="9"/>
  <c r="Q38" i="9"/>
  <c r="R38" i="9"/>
  <c r="P44" i="9"/>
  <c r="Q44" i="9"/>
  <c r="R44" i="9"/>
  <c r="T44" i="9"/>
  <c r="P50" i="9"/>
  <c r="Q50" i="9"/>
  <c r="R50" i="9"/>
  <c r="T50" i="9"/>
  <c r="P131" i="14"/>
  <c r="Q131" i="14"/>
  <c r="R131" i="14"/>
  <c r="T131" i="14"/>
  <c r="P129" i="14"/>
  <c r="Q129" i="14"/>
  <c r="R129" i="14"/>
  <c r="T129" i="14"/>
  <c r="P128" i="14"/>
  <c r="Q128" i="14"/>
  <c r="R128" i="14"/>
  <c r="T128" i="14"/>
  <c r="P105" i="14"/>
  <c r="Q105" i="14"/>
  <c r="R105" i="14"/>
  <c r="T105" i="14"/>
  <c r="P110" i="14"/>
  <c r="Q110" i="14"/>
  <c r="R110" i="14"/>
  <c r="T110" i="14"/>
  <c r="P57" i="9"/>
  <c r="Q57" i="9"/>
  <c r="R57" i="9"/>
  <c r="T57" i="9"/>
  <c r="P41" i="9"/>
  <c r="Q41" i="9"/>
  <c r="R41" i="9"/>
  <c r="T41" i="9"/>
  <c r="P47" i="9"/>
  <c r="Q47" i="9"/>
  <c r="R47" i="9"/>
  <c r="T47" i="9"/>
  <c r="P48" i="9"/>
  <c r="Q48" i="9"/>
  <c r="R48" i="9"/>
  <c r="T48" i="9"/>
  <c r="P126" i="14"/>
  <c r="P124" i="14"/>
  <c r="Q124" i="14"/>
  <c r="R124" i="14"/>
  <c r="T124" i="14"/>
  <c r="P135" i="14"/>
  <c r="Q135" i="14"/>
  <c r="R135" i="14"/>
  <c r="T135" i="14"/>
  <c r="P25" i="14"/>
  <c r="P12" i="14"/>
  <c r="P24" i="14"/>
  <c r="P13" i="14"/>
  <c r="P22" i="14"/>
  <c r="P106" i="9"/>
  <c r="Q106" i="9"/>
  <c r="P70" i="14"/>
  <c r="P73" i="14"/>
  <c r="Q73" i="14"/>
  <c r="R73" i="14"/>
  <c r="T73" i="14"/>
  <c r="P76" i="14"/>
  <c r="Q76" i="14"/>
  <c r="R76" i="14"/>
  <c r="S76" i="14"/>
  <c r="S137" i="14"/>
  <c r="P106" i="14"/>
  <c r="Q106" i="14"/>
  <c r="R106" i="14"/>
  <c r="T106" i="14"/>
  <c r="P99" i="14"/>
  <c r="Q99" i="14"/>
  <c r="R99" i="14"/>
  <c r="T99" i="14"/>
  <c r="P107" i="14"/>
  <c r="Q107" i="14"/>
  <c r="R107" i="14"/>
  <c r="T107" i="14"/>
  <c r="P108" i="14"/>
  <c r="Q108" i="14"/>
  <c r="R108" i="14"/>
  <c r="T108" i="14"/>
  <c r="P77" i="14"/>
  <c r="Q77" i="14"/>
  <c r="R77" i="14"/>
  <c r="T77" i="14"/>
  <c r="P68" i="14"/>
  <c r="Q68" i="14"/>
  <c r="R68" i="14"/>
  <c r="T68" i="14"/>
  <c r="P96" i="14"/>
  <c r="Q96" i="14"/>
  <c r="R96" i="14"/>
  <c r="T96" i="14"/>
  <c r="P101" i="14"/>
  <c r="Q101" i="14"/>
  <c r="R101" i="14"/>
  <c r="T101" i="14"/>
  <c r="P109" i="14"/>
  <c r="Q109" i="14"/>
  <c r="R109" i="14"/>
  <c r="T109" i="14"/>
  <c r="P98" i="14"/>
  <c r="Q98" i="14"/>
  <c r="R98" i="14"/>
  <c r="T98" i="14"/>
  <c r="P55" i="9"/>
  <c r="Q55" i="9"/>
  <c r="R55" i="9"/>
  <c r="T55" i="9"/>
  <c r="P40" i="9"/>
  <c r="Q40" i="9"/>
  <c r="R40" i="9"/>
  <c r="P56" i="9"/>
  <c r="Q56" i="9"/>
  <c r="R56" i="9"/>
  <c r="T56" i="9"/>
  <c r="P46" i="9"/>
  <c r="Q46" i="9"/>
  <c r="R46" i="9"/>
  <c r="T46" i="9"/>
  <c r="P138" i="14"/>
  <c r="P130" i="14"/>
  <c r="P134" i="14"/>
  <c r="Q134" i="14"/>
  <c r="R134" i="14"/>
  <c r="T134" i="14"/>
  <c r="P69" i="14"/>
  <c r="Q69" i="14"/>
  <c r="R69" i="14"/>
  <c r="T69" i="14"/>
  <c r="P78" i="14"/>
  <c r="Q78" i="14"/>
  <c r="R78" i="14"/>
  <c r="T78" i="14"/>
  <c r="P97" i="9"/>
  <c r="Q97" i="9"/>
  <c r="P102" i="9"/>
  <c r="Q102" i="9"/>
  <c r="P100" i="9"/>
  <c r="Q100" i="9"/>
  <c r="P103" i="9"/>
  <c r="Q103" i="9"/>
  <c r="P79" i="14"/>
  <c r="Q79" i="14"/>
  <c r="R79" i="14"/>
  <c r="P86" i="14"/>
  <c r="P67" i="14"/>
  <c r="P80" i="14"/>
  <c r="Q80" i="14"/>
  <c r="R80" i="14"/>
  <c r="T80" i="14"/>
  <c r="P75" i="14"/>
  <c r="P107" i="9"/>
  <c r="Q107" i="9"/>
  <c r="P94" i="9"/>
  <c r="Q94" i="9"/>
  <c r="P98" i="9"/>
  <c r="Q98" i="9"/>
  <c r="P95" i="9"/>
  <c r="Q95" i="9"/>
  <c r="S123" i="14"/>
  <c r="P83" i="14"/>
  <c r="Q83" i="14"/>
  <c r="R83" i="14"/>
  <c r="T83" i="14"/>
  <c r="P81" i="14"/>
  <c r="Q81" i="14"/>
  <c r="R81" i="14"/>
  <c r="T81" i="14"/>
  <c r="P82" i="14"/>
  <c r="Q82" i="14"/>
  <c r="R82" i="14"/>
  <c r="T82" i="14"/>
  <c r="P85" i="14"/>
  <c r="Q85" i="14"/>
  <c r="R85" i="14"/>
  <c r="T85" i="14"/>
  <c r="P101" i="9"/>
  <c r="Q101" i="9"/>
  <c r="P105" i="9"/>
  <c r="Q105" i="9"/>
  <c r="P96" i="9"/>
  <c r="Q96" i="9"/>
  <c r="P71" i="9"/>
  <c r="P66" i="9"/>
  <c r="P80" i="9"/>
  <c r="P81" i="9"/>
  <c r="P74" i="9"/>
  <c r="P83" i="9"/>
  <c r="P79" i="9"/>
  <c r="P82" i="9"/>
  <c r="P78" i="9"/>
  <c r="P72" i="9"/>
  <c r="P70" i="9"/>
  <c r="P69" i="9"/>
  <c r="P75" i="9"/>
  <c r="P67" i="9"/>
  <c r="P73" i="9"/>
  <c r="P77" i="9"/>
  <c r="P68" i="9"/>
  <c r="P76" i="9"/>
  <c r="P15" i="9"/>
  <c r="P21" i="9"/>
  <c r="P18" i="9"/>
  <c r="P25" i="9"/>
  <c r="P13" i="9"/>
  <c r="P20" i="9"/>
  <c r="P17" i="9"/>
  <c r="P24" i="9"/>
  <c r="P11" i="9"/>
  <c r="P19" i="9"/>
  <c r="P30" i="9"/>
  <c r="P29" i="9"/>
  <c r="P12" i="9"/>
  <c r="P22" i="9"/>
  <c r="P26" i="9"/>
  <c r="P14" i="9"/>
  <c r="P23" i="9"/>
  <c r="P27" i="9"/>
  <c r="P16" i="9"/>
  <c r="P31" i="9"/>
  <c r="P28" i="9"/>
  <c r="P32" i="9"/>
  <c r="P42" i="14"/>
  <c r="P46" i="14"/>
  <c r="P58" i="14"/>
  <c r="P56" i="14"/>
  <c r="P57" i="14"/>
  <c r="P40" i="14"/>
  <c r="P55" i="14"/>
  <c r="P53" i="14"/>
  <c r="P44" i="14"/>
  <c r="P49" i="14"/>
  <c r="P51" i="14"/>
  <c r="P45" i="14"/>
  <c r="P54" i="14"/>
  <c r="P52" i="14"/>
  <c r="P50" i="14"/>
  <c r="P41" i="14"/>
  <c r="P59" i="14"/>
  <c r="P48" i="14"/>
  <c r="P39" i="14"/>
  <c r="P43" i="14"/>
  <c r="P47" i="14"/>
  <c r="S71" i="14"/>
  <c r="S97" i="14"/>
  <c r="Q49" i="9"/>
  <c r="R49" i="9"/>
  <c r="T49" i="9"/>
  <c r="L18" i="6"/>
  <c r="L84" i="11"/>
  <c r="L83" i="11"/>
  <c r="L69" i="11"/>
  <c r="L72" i="11"/>
  <c r="L79" i="11"/>
  <c r="L75" i="11"/>
  <c r="L66" i="11"/>
  <c r="L82" i="11"/>
  <c r="L70" i="11"/>
  <c r="L81" i="11"/>
  <c r="L80" i="11"/>
  <c r="L74" i="11"/>
  <c r="L67" i="11"/>
  <c r="L77" i="11"/>
  <c r="L76" i="11"/>
  <c r="L71" i="11"/>
  <c r="L68" i="11"/>
  <c r="L78" i="11"/>
  <c r="L73" i="11"/>
  <c r="L132" i="6"/>
  <c r="L122" i="6"/>
  <c r="L126" i="6"/>
  <c r="L123" i="6"/>
  <c r="L125" i="6"/>
  <c r="L130" i="6"/>
  <c r="L128" i="6"/>
  <c r="L131" i="6"/>
  <c r="L133" i="6"/>
  <c r="L134" i="6"/>
  <c r="L124" i="6"/>
  <c r="L127" i="6"/>
  <c r="L129" i="6"/>
  <c r="L138" i="12"/>
  <c r="L135" i="12"/>
  <c r="L127" i="12"/>
  <c r="L134" i="12"/>
  <c r="L126" i="12"/>
  <c r="L129" i="12"/>
  <c r="L132" i="12"/>
  <c r="L137" i="12"/>
  <c r="L125" i="12"/>
  <c r="L130" i="12"/>
  <c r="L133" i="12"/>
  <c r="L123" i="12"/>
  <c r="L128" i="12"/>
  <c r="L124" i="12"/>
  <c r="L131" i="12"/>
  <c r="L136" i="12"/>
  <c r="L31" i="11"/>
  <c r="L27" i="11"/>
  <c r="L23" i="11"/>
  <c r="L19" i="11"/>
  <c r="L15" i="11"/>
  <c r="L11" i="11"/>
  <c r="L29" i="11"/>
  <c r="L24" i="11"/>
  <c r="L18" i="11"/>
  <c r="L13" i="11"/>
  <c r="L28" i="11"/>
  <c r="L22" i="11"/>
  <c r="L17" i="11"/>
  <c r="L12" i="11"/>
  <c r="L26" i="11"/>
  <c r="L21" i="11"/>
  <c r="L16" i="11"/>
  <c r="L30" i="11"/>
  <c r="L25" i="11"/>
  <c r="L20" i="11"/>
  <c r="L14" i="11"/>
  <c r="L69" i="6"/>
  <c r="L57" i="12"/>
  <c r="L53" i="12"/>
  <c r="L58" i="12"/>
  <c r="L44" i="12"/>
  <c r="L40" i="12"/>
  <c r="L59" i="12"/>
  <c r="L55" i="12"/>
  <c r="L50" i="12"/>
  <c r="L43" i="12"/>
  <c r="L46" i="12"/>
  <c r="L54" i="12"/>
  <c r="L49" i="12"/>
  <c r="L42" i="12"/>
  <c r="L47" i="12"/>
  <c r="L52" i="12"/>
  <c r="L48" i="12"/>
  <c r="L41" i="12"/>
  <c r="L51" i="12"/>
  <c r="L45" i="12"/>
  <c r="L39" i="12"/>
  <c r="L56" i="12"/>
  <c r="L32" i="12"/>
  <c r="L33" i="12"/>
  <c r="L23" i="12"/>
  <c r="L24" i="12"/>
  <c r="L14" i="12"/>
  <c r="L26" i="12"/>
  <c r="L20" i="12"/>
  <c r="L27" i="12"/>
  <c r="L17" i="12"/>
  <c r="L12" i="12"/>
  <c r="L25" i="12"/>
  <c r="L18" i="12"/>
  <c r="L16" i="12"/>
  <c r="L11" i="12"/>
  <c r="L30" i="12"/>
  <c r="L19" i="12"/>
  <c r="L15" i="12"/>
  <c r="L22" i="12"/>
  <c r="L21" i="12"/>
  <c r="L31" i="12"/>
  <c r="L28" i="12"/>
  <c r="L13" i="12"/>
  <c r="L29" i="12"/>
  <c r="L99" i="6"/>
  <c r="L100" i="6"/>
  <c r="N100" i="6"/>
  <c r="L95" i="6"/>
  <c r="L97" i="6"/>
  <c r="L101" i="6"/>
  <c r="L94" i="6"/>
  <c r="L109" i="6"/>
  <c r="L96" i="6"/>
  <c r="L98" i="6"/>
  <c r="L73" i="6"/>
  <c r="L67" i="6"/>
  <c r="L71" i="6"/>
  <c r="L66" i="6"/>
  <c r="L70" i="6"/>
  <c r="L72" i="6"/>
  <c r="M72" i="6"/>
  <c r="O72" i="6"/>
  <c r="L68" i="6"/>
  <c r="L41" i="6"/>
  <c r="L57" i="6"/>
  <c r="L46" i="6"/>
  <c r="L40" i="6"/>
  <c r="L43" i="6"/>
  <c r="L38" i="6"/>
  <c r="L39" i="6"/>
  <c r="L45" i="6"/>
  <c r="N45" i="6"/>
  <c r="L42" i="6"/>
  <c r="L44" i="6"/>
  <c r="L136" i="11"/>
  <c r="L135" i="11"/>
  <c r="L134" i="11"/>
  <c r="L129" i="11"/>
  <c r="L127" i="11"/>
  <c r="L125" i="11"/>
  <c r="L126" i="11"/>
  <c r="L123" i="11"/>
  <c r="L132" i="11"/>
  <c r="L128" i="11"/>
  <c r="L122" i="11"/>
  <c r="L124" i="11"/>
  <c r="L131" i="11"/>
  <c r="L130" i="11"/>
  <c r="L133" i="11"/>
  <c r="L112" i="12"/>
  <c r="L111" i="12"/>
  <c r="L109" i="12"/>
  <c r="L99" i="12"/>
  <c r="L96" i="12"/>
  <c r="L108" i="12"/>
  <c r="L110" i="12"/>
  <c r="L103" i="12"/>
  <c r="L95" i="12"/>
  <c r="L100" i="12"/>
  <c r="L102" i="12"/>
  <c r="L104" i="12"/>
  <c r="L107" i="12"/>
  <c r="L98" i="12"/>
  <c r="L106" i="12"/>
  <c r="L97" i="12"/>
  <c r="L101" i="12"/>
  <c r="L105" i="12"/>
  <c r="L105" i="11"/>
  <c r="L106" i="11"/>
  <c r="L104" i="11"/>
  <c r="L108" i="11"/>
  <c r="L103" i="11"/>
  <c r="L94" i="11"/>
  <c r="L96" i="11"/>
  <c r="L101" i="11"/>
  <c r="L100" i="11"/>
  <c r="L99" i="11"/>
  <c r="L97" i="11"/>
  <c r="L107" i="11"/>
  <c r="L95" i="11"/>
  <c r="L109" i="11"/>
  <c r="L98" i="11"/>
  <c r="L102" i="11"/>
  <c r="L58" i="11"/>
  <c r="L52" i="11"/>
  <c r="L40" i="11"/>
  <c r="L51" i="11"/>
  <c r="L42" i="11"/>
  <c r="L53" i="11"/>
  <c r="L48" i="11"/>
  <c r="L50" i="11"/>
  <c r="L45" i="11"/>
  <c r="L44" i="11"/>
  <c r="L55" i="11"/>
  <c r="L49" i="11"/>
  <c r="L57" i="11"/>
  <c r="L41" i="11"/>
  <c r="L47" i="11"/>
  <c r="L54" i="11"/>
  <c r="L56" i="11"/>
  <c r="L39" i="11"/>
  <c r="L43" i="11"/>
  <c r="L46" i="11"/>
  <c r="L86" i="12"/>
  <c r="L85" i="12"/>
  <c r="L84" i="12"/>
  <c r="L80" i="12"/>
  <c r="L76" i="12"/>
  <c r="L72" i="12"/>
  <c r="L68" i="12"/>
  <c r="L83" i="12"/>
  <c r="L78" i="12"/>
  <c r="L73" i="12"/>
  <c r="L67" i="12"/>
  <c r="L82" i="12"/>
  <c r="L77" i="12"/>
  <c r="L71" i="12"/>
  <c r="L81" i="12"/>
  <c r="L75" i="12"/>
  <c r="L70" i="12"/>
  <c r="L79" i="12"/>
  <c r="L74" i="12"/>
  <c r="L69" i="12"/>
  <c r="L12" i="6"/>
  <c r="L32" i="6"/>
  <c r="L14" i="6"/>
  <c r="L13" i="6"/>
  <c r="L16" i="6"/>
  <c r="L15" i="6"/>
  <c r="L11" i="6"/>
  <c r="L17" i="6"/>
  <c r="N17" i="6"/>
  <c r="J102" i="6"/>
  <c r="L102" i="6"/>
  <c r="J74" i="6"/>
  <c r="L74" i="6"/>
  <c r="J47" i="6"/>
  <c r="L47" i="6"/>
  <c r="J19" i="6"/>
  <c r="L19" i="6"/>
  <c r="S127" i="14"/>
  <c r="S103" i="14"/>
  <c r="S98" i="14"/>
  <c r="S125" i="14"/>
  <c r="S68" i="14"/>
  <c r="S84" i="14"/>
  <c r="S72" i="14"/>
  <c r="S132" i="14"/>
  <c r="S131" i="14"/>
  <c r="S136" i="14"/>
  <c r="S105" i="14"/>
  <c r="S99" i="14"/>
  <c r="S95" i="14"/>
  <c r="S73" i="14"/>
  <c r="S46" i="9"/>
  <c r="S135" i="14"/>
  <c r="S133" i="14"/>
  <c r="S102" i="14"/>
  <c r="S69" i="14"/>
  <c r="S80" i="14"/>
  <c r="S104" i="14"/>
  <c r="S100" i="14"/>
  <c r="S78" i="14"/>
  <c r="S129" i="14"/>
  <c r="S74" i="14"/>
  <c r="S82" i="14"/>
  <c r="S53" i="9"/>
  <c r="S107" i="14"/>
  <c r="S112" i="14"/>
  <c r="S110" i="14"/>
  <c r="T38" i="9"/>
  <c r="S38" i="9"/>
  <c r="S106" i="14"/>
  <c r="T111" i="14"/>
  <c r="S77" i="14"/>
  <c r="S134" i="14"/>
  <c r="Q126" i="14"/>
  <c r="R126" i="14"/>
  <c r="T126" i="14"/>
  <c r="S109" i="14"/>
  <c r="S124" i="14"/>
  <c r="S128" i="14"/>
  <c r="T40" i="9"/>
  <c r="S40" i="9"/>
  <c r="S108" i="14"/>
  <c r="S96" i="14"/>
  <c r="S85" i="14"/>
  <c r="Q130" i="14"/>
  <c r="R130" i="14"/>
  <c r="T130" i="14"/>
  <c r="Q138" i="14"/>
  <c r="R138" i="14"/>
  <c r="T138" i="14"/>
  <c r="S101" i="14"/>
  <c r="S48" i="9"/>
  <c r="S57" i="9"/>
  <c r="T76" i="14"/>
  <c r="Q70" i="14"/>
  <c r="R70" i="14"/>
  <c r="T70" i="14"/>
  <c r="Q67" i="14"/>
  <c r="R67" i="14"/>
  <c r="T67" i="14"/>
  <c r="S81" i="14"/>
  <c r="Q86" i="14"/>
  <c r="R86" i="14"/>
  <c r="T86" i="14"/>
  <c r="Q75" i="14"/>
  <c r="R75" i="14"/>
  <c r="T75" i="14"/>
  <c r="S79" i="14"/>
  <c r="T79" i="14"/>
  <c r="S49" i="9"/>
  <c r="S56" i="9"/>
  <c r="S55" i="9"/>
  <c r="S83" i="14"/>
  <c r="S39" i="9"/>
  <c r="Q76" i="9"/>
  <c r="R76" i="9"/>
  <c r="T76" i="9"/>
  <c r="Q67" i="9"/>
  <c r="R67" i="9"/>
  <c r="T67" i="9"/>
  <c r="Q72" i="9"/>
  <c r="R72" i="9"/>
  <c r="T72" i="9"/>
  <c r="Q83" i="9"/>
  <c r="R83" i="9"/>
  <c r="T83" i="9"/>
  <c r="Q66" i="9"/>
  <c r="R66" i="9"/>
  <c r="T66" i="9"/>
  <c r="S44" i="9"/>
  <c r="Q48" i="14"/>
  <c r="R48" i="14"/>
  <c r="T48" i="14"/>
  <c r="Q52" i="14"/>
  <c r="R52" i="14"/>
  <c r="T52" i="14"/>
  <c r="Q49" i="14"/>
  <c r="R49" i="14"/>
  <c r="T49" i="14"/>
  <c r="Q40" i="14"/>
  <c r="R40" i="14"/>
  <c r="T40" i="14"/>
  <c r="Q46" i="14"/>
  <c r="R46" i="14"/>
  <c r="T46" i="14"/>
  <c r="S47" i="9"/>
  <c r="S45" i="9"/>
  <c r="S42" i="9"/>
  <c r="Q68" i="9"/>
  <c r="R68" i="9"/>
  <c r="T68" i="9"/>
  <c r="Q75" i="9"/>
  <c r="R75" i="9"/>
  <c r="T75" i="9"/>
  <c r="Q78" i="9"/>
  <c r="R78" i="9"/>
  <c r="T78" i="9"/>
  <c r="Q74" i="9"/>
  <c r="R74" i="9"/>
  <c r="T74" i="9"/>
  <c r="Q71" i="9"/>
  <c r="R71" i="9"/>
  <c r="T71" i="9"/>
  <c r="Q39" i="14"/>
  <c r="R39" i="14"/>
  <c r="T39" i="14"/>
  <c r="Q50" i="14"/>
  <c r="R50" i="14"/>
  <c r="T50" i="14"/>
  <c r="Q51" i="14"/>
  <c r="R51" i="14"/>
  <c r="T51" i="14"/>
  <c r="Q55" i="14"/>
  <c r="R55" i="14"/>
  <c r="T55" i="14"/>
  <c r="Q58" i="14"/>
  <c r="R58" i="14"/>
  <c r="T58" i="14"/>
  <c r="Q47" i="14"/>
  <c r="R47" i="14"/>
  <c r="T47" i="14"/>
  <c r="Q59" i="14"/>
  <c r="R59" i="14"/>
  <c r="T59" i="14"/>
  <c r="Q54" i="14"/>
  <c r="R54" i="14"/>
  <c r="T54" i="14"/>
  <c r="Q44" i="14"/>
  <c r="R44" i="14"/>
  <c r="T44" i="14"/>
  <c r="Q57" i="14"/>
  <c r="R57" i="14"/>
  <c r="T57" i="14"/>
  <c r="Q42" i="14"/>
  <c r="R42" i="14"/>
  <c r="T42" i="14"/>
  <c r="Q77" i="9"/>
  <c r="R77" i="9"/>
  <c r="T77" i="9"/>
  <c r="Q69" i="9"/>
  <c r="R69" i="9"/>
  <c r="T69" i="9"/>
  <c r="Q82" i="9"/>
  <c r="R82" i="9"/>
  <c r="T82" i="9"/>
  <c r="Q81" i="9"/>
  <c r="R81" i="9"/>
  <c r="T81" i="9"/>
  <c r="S43" i="9"/>
  <c r="S41" i="9"/>
  <c r="Q43" i="14"/>
  <c r="R43" i="14"/>
  <c r="T43" i="14"/>
  <c r="Q41" i="14"/>
  <c r="R41" i="14"/>
  <c r="T41" i="14"/>
  <c r="Q45" i="14"/>
  <c r="R45" i="14"/>
  <c r="T45" i="14"/>
  <c r="Q53" i="14"/>
  <c r="R53" i="14"/>
  <c r="T53" i="14"/>
  <c r="Q56" i="14"/>
  <c r="R56" i="14"/>
  <c r="T56" i="14"/>
  <c r="S50" i="9"/>
  <c r="S54" i="9"/>
  <c r="S51" i="9"/>
  <c r="S52" i="9"/>
  <c r="Q73" i="9"/>
  <c r="R73" i="9"/>
  <c r="T73" i="9"/>
  <c r="Q70" i="9"/>
  <c r="R70" i="9"/>
  <c r="T70" i="9"/>
  <c r="Q79" i="9"/>
  <c r="R79" i="9"/>
  <c r="T79" i="9"/>
  <c r="Q80" i="9"/>
  <c r="R80" i="9"/>
  <c r="T80" i="9"/>
  <c r="M17" i="6"/>
  <c r="O17" i="6"/>
  <c r="M45" i="6"/>
  <c r="O45" i="6"/>
  <c r="M100" i="6"/>
  <c r="O100" i="6"/>
  <c r="N72" i="6"/>
  <c r="N13" i="6"/>
  <c r="M13" i="6"/>
  <c r="M70" i="12"/>
  <c r="O70" i="12"/>
  <c r="N70" i="12"/>
  <c r="M77" i="12"/>
  <c r="O77" i="12"/>
  <c r="N77" i="12"/>
  <c r="N78" i="12"/>
  <c r="M78" i="12"/>
  <c r="O78" i="12"/>
  <c r="M76" i="12"/>
  <c r="O76" i="12"/>
  <c r="N76" i="12"/>
  <c r="M86" i="12"/>
  <c r="O86" i="12"/>
  <c r="N86" i="12"/>
  <c r="M56" i="11"/>
  <c r="O56" i="11"/>
  <c r="N56" i="11"/>
  <c r="M57" i="11"/>
  <c r="O57" i="11"/>
  <c r="N57" i="11"/>
  <c r="M45" i="11"/>
  <c r="O45" i="11"/>
  <c r="N45" i="11"/>
  <c r="M53" i="11"/>
  <c r="O53" i="11"/>
  <c r="N53" i="11"/>
  <c r="M52" i="11"/>
  <c r="O52" i="11"/>
  <c r="N52" i="11"/>
  <c r="N102" i="11"/>
  <c r="M102" i="11"/>
  <c r="O102" i="11"/>
  <c r="M107" i="11"/>
  <c r="O107" i="11"/>
  <c r="N107" i="11"/>
  <c r="M101" i="11"/>
  <c r="O101" i="11"/>
  <c r="N101" i="11"/>
  <c r="N108" i="11"/>
  <c r="M108" i="11"/>
  <c r="O108" i="11"/>
  <c r="N105" i="12"/>
  <c r="M105" i="12"/>
  <c r="O105" i="12"/>
  <c r="M98" i="12"/>
  <c r="O98" i="12"/>
  <c r="N98" i="12"/>
  <c r="N100" i="12"/>
  <c r="M100" i="12"/>
  <c r="O100" i="12"/>
  <c r="M108" i="12"/>
  <c r="O108" i="12"/>
  <c r="N108" i="12"/>
  <c r="M111" i="12"/>
  <c r="O111" i="12"/>
  <c r="N111" i="12"/>
  <c r="N131" i="11"/>
  <c r="M131" i="11"/>
  <c r="O131" i="11"/>
  <c r="N132" i="11"/>
  <c r="M132" i="11"/>
  <c r="O132" i="11"/>
  <c r="M127" i="11"/>
  <c r="O127" i="11"/>
  <c r="N127" i="11"/>
  <c r="M136" i="11"/>
  <c r="O136" i="11"/>
  <c r="N136" i="11"/>
  <c r="N43" i="6"/>
  <c r="M43" i="6"/>
  <c r="O43" i="6"/>
  <c r="M41" i="6"/>
  <c r="O41" i="6"/>
  <c r="N41" i="6"/>
  <c r="M67" i="6"/>
  <c r="O67" i="6"/>
  <c r="N67" i="6"/>
  <c r="M94" i="6"/>
  <c r="O94" i="6"/>
  <c r="N94" i="6"/>
  <c r="M97" i="6"/>
  <c r="O97" i="6"/>
  <c r="N97" i="6"/>
  <c r="M13" i="12"/>
  <c r="O13" i="12"/>
  <c r="N13" i="12"/>
  <c r="M22" i="12"/>
  <c r="O22" i="12"/>
  <c r="N22" i="12"/>
  <c r="M11" i="12"/>
  <c r="O11" i="12"/>
  <c r="N11" i="12"/>
  <c r="M12" i="12"/>
  <c r="O12" i="12"/>
  <c r="N12" i="12"/>
  <c r="M26" i="12"/>
  <c r="O26" i="12"/>
  <c r="N26" i="12"/>
  <c r="M33" i="12"/>
  <c r="O33" i="12"/>
  <c r="N33" i="12"/>
  <c r="N51" i="12"/>
  <c r="M51" i="12"/>
  <c r="O51" i="12"/>
  <c r="M47" i="12"/>
  <c r="O47" i="12"/>
  <c r="N47" i="12"/>
  <c r="M46" i="12"/>
  <c r="O46" i="12"/>
  <c r="N46" i="12"/>
  <c r="M59" i="12"/>
  <c r="O59" i="12"/>
  <c r="N59" i="12"/>
  <c r="N53" i="12"/>
  <c r="M53" i="12"/>
  <c r="O53" i="12"/>
  <c r="M25" i="11"/>
  <c r="O25" i="11"/>
  <c r="N25" i="11"/>
  <c r="M26" i="11"/>
  <c r="O26" i="11"/>
  <c r="N26" i="11"/>
  <c r="M28" i="11"/>
  <c r="O28" i="11"/>
  <c r="N28" i="11"/>
  <c r="N29" i="11"/>
  <c r="M29" i="11"/>
  <c r="O29" i="11"/>
  <c r="M23" i="11"/>
  <c r="O23" i="11"/>
  <c r="N23" i="11"/>
  <c r="N131" i="12"/>
  <c r="M131" i="12"/>
  <c r="O131" i="12"/>
  <c r="M133" i="12"/>
  <c r="O133" i="12"/>
  <c r="N133" i="12"/>
  <c r="M132" i="12"/>
  <c r="O132" i="12"/>
  <c r="N132" i="12"/>
  <c r="M127" i="12"/>
  <c r="O127" i="12"/>
  <c r="N127" i="12"/>
  <c r="N124" i="6"/>
  <c r="M124" i="6"/>
  <c r="O124" i="6"/>
  <c r="M128" i="6"/>
  <c r="O128" i="6"/>
  <c r="N128" i="6"/>
  <c r="M126" i="6"/>
  <c r="O126" i="6"/>
  <c r="N126" i="6"/>
  <c r="M71" i="11"/>
  <c r="O71" i="11"/>
  <c r="N71" i="11"/>
  <c r="N74" i="11"/>
  <c r="M74" i="11"/>
  <c r="O74" i="11"/>
  <c r="M82" i="11"/>
  <c r="O82" i="11"/>
  <c r="N82" i="11"/>
  <c r="M72" i="11"/>
  <c r="O72" i="11"/>
  <c r="N72" i="11"/>
  <c r="M11" i="6"/>
  <c r="N11" i="6"/>
  <c r="M14" i="6"/>
  <c r="N14" i="6"/>
  <c r="M69" i="12"/>
  <c r="O69" i="12"/>
  <c r="N69" i="12"/>
  <c r="M75" i="12"/>
  <c r="O75" i="12"/>
  <c r="N75" i="12"/>
  <c r="M82" i="12"/>
  <c r="O82" i="12"/>
  <c r="N82" i="12"/>
  <c r="M83" i="12"/>
  <c r="O83" i="12"/>
  <c r="N83" i="12"/>
  <c r="M80" i="12"/>
  <c r="O80" i="12"/>
  <c r="N80" i="12"/>
  <c r="M46" i="11"/>
  <c r="O46" i="11"/>
  <c r="N46" i="11"/>
  <c r="M54" i="11"/>
  <c r="O54" i="11"/>
  <c r="N54" i="11"/>
  <c r="M49" i="11"/>
  <c r="O49" i="11"/>
  <c r="N49" i="11"/>
  <c r="M50" i="11"/>
  <c r="O50" i="11"/>
  <c r="N50" i="11"/>
  <c r="N42" i="11"/>
  <c r="M42" i="11"/>
  <c r="O42" i="11"/>
  <c r="M58" i="11"/>
  <c r="O58" i="11"/>
  <c r="N58" i="11"/>
  <c r="M98" i="11"/>
  <c r="O98" i="11"/>
  <c r="N98" i="11"/>
  <c r="N97" i="11"/>
  <c r="M97" i="11"/>
  <c r="O97" i="11"/>
  <c r="M96" i="11"/>
  <c r="O96" i="11"/>
  <c r="N96" i="11"/>
  <c r="M104" i="11"/>
  <c r="O104" i="11"/>
  <c r="N104" i="11"/>
  <c r="M101" i="12"/>
  <c r="O101" i="12"/>
  <c r="N101" i="12"/>
  <c r="M107" i="12"/>
  <c r="O107" i="12"/>
  <c r="N107" i="12"/>
  <c r="M95" i="12"/>
  <c r="O95" i="12"/>
  <c r="N95" i="12"/>
  <c r="M96" i="12"/>
  <c r="O96" i="12"/>
  <c r="N96" i="12"/>
  <c r="M112" i="12"/>
  <c r="O112" i="12"/>
  <c r="N112" i="12"/>
  <c r="N124" i="11"/>
  <c r="M124" i="11"/>
  <c r="O124" i="11"/>
  <c r="N123" i="11"/>
  <c r="M123" i="11"/>
  <c r="O123" i="11"/>
  <c r="N129" i="11"/>
  <c r="M129" i="11"/>
  <c r="O129" i="11"/>
  <c r="M44" i="6"/>
  <c r="N44" i="6"/>
  <c r="M66" i="6"/>
  <c r="O66" i="6"/>
  <c r="N66" i="6"/>
  <c r="M99" i="6"/>
  <c r="N99" i="6"/>
  <c r="M28" i="12"/>
  <c r="O28" i="12"/>
  <c r="N28" i="12"/>
  <c r="N15" i="12"/>
  <c r="M15" i="12"/>
  <c r="O15" i="12"/>
  <c r="M16" i="12"/>
  <c r="O16" i="12"/>
  <c r="N16" i="12"/>
  <c r="M17" i="12"/>
  <c r="O17" i="12"/>
  <c r="N17" i="12"/>
  <c r="M14" i="12"/>
  <c r="O14" i="12"/>
  <c r="N14" i="12"/>
  <c r="M32" i="12"/>
  <c r="O32" i="12"/>
  <c r="N32" i="12"/>
  <c r="M56" i="12"/>
  <c r="O56" i="12"/>
  <c r="N56" i="12"/>
  <c r="N41" i="12"/>
  <c r="M41" i="12"/>
  <c r="O41" i="12"/>
  <c r="N42" i="12"/>
  <c r="M42" i="12"/>
  <c r="O42" i="12"/>
  <c r="M43" i="12"/>
  <c r="O43" i="12"/>
  <c r="N43" i="12"/>
  <c r="M40" i="12"/>
  <c r="O40" i="12"/>
  <c r="N40" i="12"/>
  <c r="M57" i="12"/>
  <c r="O57" i="12"/>
  <c r="N57" i="12"/>
  <c r="M30" i="11"/>
  <c r="O30" i="11"/>
  <c r="N30" i="11"/>
  <c r="M12" i="11"/>
  <c r="O12" i="11"/>
  <c r="N12" i="11"/>
  <c r="M13" i="11"/>
  <c r="O13" i="11"/>
  <c r="N13" i="11"/>
  <c r="M11" i="11"/>
  <c r="O11" i="11"/>
  <c r="N11" i="11"/>
  <c r="M27" i="11"/>
  <c r="O27" i="11"/>
  <c r="N27" i="11"/>
  <c r="M124" i="12"/>
  <c r="O124" i="12"/>
  <c r="N124" i="12"/>
  <c r="N130" i="12"/>
  <c r="M130" i="12"/>
  <c r="O130" i="12"/>
  <c r="N129" i="12"/>
  <c r="M129" i="12"/>
  <c r="O129" i="12"/>
  <c r="N135" i="12"/>
  <c r="M135" i="12"/>
  <c r="O135" i="12"/>
  <c r="M134" i="6"/>
  <c r="O134" i="6"/>
  <c r="N134" i="6"/>
  <c r="M130" i="6"/>
  <c r="O130" i="6"/>
  <c r="N130" i="6"/>
  <c r="M122" i="6"/>
  <c r="N122" i="6"/>
  <c r="M73" i="11"/>
  <c r="O73" i="11"/>
  <c r="N73" i="11"/>
  <c r="M76" i="11"/>
  <c r="O76" i="11"/>
  <c r="N76" i="11"/>
  <c r="N80" i="11"/>
  <c r="M80" i="11"/>
  <c r="O80" i="11"/>
  <c r="M66" i="11"/>
  <c r="O66" i="11"/>
  <c r="N66" i="11"/>
  <c r="M69" i="11"/>
  <c r="O69" i="11"/>
  <c r="N69" i="11"/>
  <c r="M15" i="6"/>
  <c r="O15" i="6"/>
  <c r="N15" i="6"/>
  <c r="N74" i="12"/>
  <c r="M74" i="12"/>
  <c r="O74" i="12"/>
  <c r="M81" i="12"/>
  <c r="O81" i="12"/>
  <c r="N81" i="12"/>
  <c r="M67" i="12"/>
  <c r="O67" i="12"/>
  <c r="N67" i="12"/>
  <c r="M68" i="12"/>
  <c r="O68" i="12"/>
  <c r="N68" i="12"/>
  <c r="M84" i="12"/>
  <c r="O84" i="12"/>
  <c r="N84" i="12"/>
  <c r="M43" i="11"/>
  <c r="O43" i="11"/>
  <c r="N43" i="11"/>
  <c r="M47" i="11"/>
  <c r="O47" i="11"/>
  <c r="N47" i="11"/>
  <c r="M55" i="11"/>
  <c r="O55" i="11"/>
  <c r="N55" i="11"/>
  <c r="M51" i="11"/>
  <c r="O51" i="11"/>
  <c r="N51" i="11"/>
  <c r="N109" i="11"/>
  <c r="M109" i="11"/>
  <c r="O109" i="11"/>
  <c r="N99" i="11"/>
  <c r="M99" i="11"/>
  <c r="O99" i="11"/>
  <c r="N94" i="11"/>
  <c r="M94" i="11"/>
  <c r="O94" i="11"/>
  <c r="M106" i="11"/>
  <c r="O106" i="11"/>
  <c r="N106" i="11"/>
  <c r="N97" i="12"/>
  <c r="M97" i="12"/>
  <c r="O97" i="12"/>
  <c r="N104" i="12"/>
  <c r="M104" i="12"/>
  <c r="O104" i="12"/>
  <c r="N103" i="12"/>
  <c r="M103" i="12"/>
  <c r="O103" i="12"/>
  <c r="M99" i="12"/>
  <c r="O99" i="12"/>
  <c r="N99" i="12"/>
  <c r="M133" i="11"/>
  <c r="O133" i="11"/>
  <c r="N133" i="11"/>
  <c r="M122" i="11"/>
  <c r="O122" i="11"/>
  <c r="N122" i="11"/>
  <c r="M126" i="11"/>
  <c r="O126" i="11"/>
  <c r="N126" i="11"/>
  <c r="N134" i="11"/>
  <c r="M134" i="11"/>
  <c r="O134" i="11"/>
  <c r="M39" i="6"/>
  <c r="O39" i="6"/>
  <c r="N39" i="6"/>
  <c r="M40" i="6"/>
  <c r="O40" i="6"/>
  <c r="N40" i="6"/>
  <c r="M70" i="6"/>
  <c r="O70" i="6"/>
  <c r="N70" i="6"/>
  <c r="M71" i="6"/>
  <c r="O71" i="6"/>
  <c r="N71" i="6"/>
  <c r="M96" i="6"/>
  <c r="O96" i="6"/>
  <c r="N96" i="6"/>
  <c r="N31" i="12"/>
  <c r="M31" i="12"/>
  <c r="O31" i="12"/>
  <c r="M19" i="12"/>
  <c r="O19" i="12"/>
  <c r="N19" i="12"/>
  <c r="M18" i="12"/>
  <c r="O18" i="12"/>
  <c r="N18" i="12"/>
  <c r="M27" i="12"/>
  <c r="O27" i="12"/>
  <c r="N27" i="12"/>
  <c r="N24" i="12"/>
  <c r="M24" i="12"/>
  <c r="O24" i="12"/>
  <c r="M39" i="12"/>
  <c r="O39" i="12"/>
  <c r="N39" i="12"/>
  <c r="N48" i="12"/>
  <c r="M48" i="12"/>
  <c r="O48" i="12"/>
  <c r="N49" i="12"/>
  <c r="M49" i="12"/>
  <c r="O49" i="12"/>
  <c r="M50" i="12"/>
  <c r="O50" i="12"/>
  <c r="N50" i="12"/>
  <c r="N44" i="12"/>
  <c r="M44" i="12"/>
  <c r="O44" i="12"/>
  <c r="M69" i="6"/>
  <c r="O69" i="6"/>
  <c r="N69" i="6"/>
  <c r="M14" i="11"/>
  <c r="O14" i="11"/>
  <c r="N14" i="11"/>
  <c r="N16" i="11"/>
  <c r="M16" i="11"/>
  <c r="O16" i="11"/>
  <c r="M17" i="11"/>
  <c r="O17" i="11"/>
  <c r="N17" i="11"/>
  <c r="N18" i="11"/>
  <c r="M18" i="11"/>
  <c r="O18" i="11"/>
  <c r="N15" i="11"/>
  <c r="M15" i="11"/>
  <c r="O15" i="11"/>
  <c r="M31" i="11"/>
  <c r="O31" i="11"/>
  <c r="N31" i="11"/>
  <c r="N128" i="12"/>
  <c r="M128" i="12"/>
  <c r="O128" i="12"/>
  <c r="N125" i="12"/>
  <c r="M125" i="12"/>
  <c r="O125" i="12"/>
  <c r="M126" i="12"/>
  <c r="O126" i="12"/>
  <c r="N126" i="12"/>
  <c r="M138" i="12"/>
  <c r="O138" i="12"/>
  <c r="N138" i="12"/>
  <c r="M129" i="6"/>
  <c r="O129" i="6"/>
  <c r="N129" i="6"/>
  <c r="N133" i="6"/>
  <c r="M133" i="6"/>
  <c r="M125" i="6"/>
  <c r="O125" i="6"/>
  <c r="N125" i="6"/>
  <c r="M132" i="6"/>
  <c r="O132" i="6"/>
  <c r="N132" i="6"/>
  <c r="N78" i="11"/>
  <c r="M78" i="11"/>
  <c r="O78" i="11"/>
  <c r="M77" i="11"/>
  <c r="O77" i="11"/>
  <c r="N77" i="11"/>
  <c r="N81" i="11"/>
  <c r="M81" i="11"/>
  <c r="O81" i="11"/>
  <c r="N75" i="11"/>
  <c r="M75" i="11"/>
  <c r="O75" i="11"/>
  <c r="M83" i="11"/>
  <c r="O83" i="11"/>
  <c r="N83" i="11"/>
  <c r="M16" i="6"/>
  <c r="N16" i="6"/>
  <c r="N12" i="6"/>
  <c r="M12" i="6"/>
  <c r="O12" i="6"/>
  <c r="N79" i="12"/>
  <c r="M79" i="12"/>
  <c r="O79" i="12"/>
  <c r="M71" i="12"/>
  <c r="O71" i="12"/>
  <c r="N71" i="12"/>
  <c r="N73" i="12"/>
  <c r="M73" i="12"/>
  <c r="O73" i="12"/>
  <c r="N72" i="12"/>
  <c r="M72" i="12"/>
  <c r="O72" i="12"/>
  <c r="M85" i="12"/>
  <c r="O85" i="12"/>
  <c r="N85" i="12"/>
  <c r="M39" i="11"/>
  <c r="O39" i="11"/>
  <c r="N39" i="11"/>
  <c r="M41" i="11"/>
  <c r="O41" i="11"/>
  <c r="N41" i="11"/>
  <c r="M44" i="11"/>
  <c r="O44" i="11"/>
  <c r="N44" i="11"/>
  <c r="N48" i="11"/>
  <c r="M48" i="11"/>
  <c r="O48" i="11"/>
  <c r="M40" i="11"/>
  <c r="O40" i="11"/>
  <c r="N40" i="11"/>
  <c r="N95" i="11"/>
  <c r="M95" i="11"/>
  <c r="O95" i="11"/>
  <c r="N100" i="11"/>
  <c r="M100" i="11"/>
  <c r="O100" i="11"/>
  <c r="M103" i="11"/>
  <c r="O103" i="11"/>
  <c r="N103" i="11"/>
  <c r="N105" i="11"/>
  <c r="M105" i="11"/>
  <c r="O105" i="11"/>
  <c r="M106" i="12"/>
  <c r="O106" i="12"/>
  <c r="N106" i="12"/>
  <c r="N102" i="12"/>
  <c r="M102" i="12"/>
  <c r="O102" i="12"/>
  <c r="N110" i="12"/>
  <c r="M110" i="12"/>
  <c r="O110" i="12"/>
  <c r="N109" i="12"/>
  <c r="M109" i="12"/>
  <c r="O109" i="12"/>
  <c r="N130" i="11"/>
  <c r="M130" i="11"/>
  <c r="O130" i="11"/>
  <c r="N128" i="11"/>
  <c r="M128" i="11"/>
  <c r="O128" i="11"/>
  <c r="N125" i="11"/>
  <c r="M125" i="11"/>
  <c r="O125" i="11"/>
  <c r="M135" i="11"/>
  <c r="O135" i="11"/>
  <c r="N135" i="11"/>
  <c r="M42" i="6"/>
  <c r="O42" i="6"/>
  <c r="N42" i="6"/>
  <c r="M38" i="6"/>
  <c r="O38" i="6"/>
  <c r="N38" i="6"/>
  <c r="M68" i="6"/>
  <c r="O68" i="6"/>
  <c r="N68" i="6"/>
  <c r="M98" i="6"/>
  <c r="O98" i="6"/>
  <c r="N98" i="6"/>
  <c r="M95" i="6"/>
  <c r="N95" i="6"/>
  <c r="M29" i="12"/>
  <c r="O29" i="12"/>
  <c r="N29" i="12"/>
  <c r="N21" i="12"/>
  <c r="M21" i="12"/>
  <c r="O21" i="12"/>
  <c r="M30" i="12"/>
  <c r="O30" i="12"/>
  <c r="N30" i="12"/>
  <c r="M25" i="12"/>
  <c r="O25" i="12"/>
  <c r="N25" i="12"/>
  <c r="M20" i="12"/>
  <c r="O20" i="12"/>
  <c r="N20" i="12"/>
  <c r="M23" i="12"/>
  <c r="O23" i="12"/>
  <c r="N23" i="12"/>
  <c r="M45" i="12"/>
  <c r="O45" i="12"/>
  <c r="N45" i="12"/>
  <c r="M52" i="12"/>
  <c r="O52" i="12"/>
  <c r="N52" i="12"/>
  <c r="M54" i="12"/>
  <c r="O54" i="12"/>
  <c r="N54" i="12"/>
  <c r="N55" i="12"/>
  <c r="M55" i="12"/>
  <c r="O55" i="12"/>
  <c r="M58" i="12"/>
  <c r="O58" i="12"/>
  <c r="N58" i="12"/>
  <c r="M20" i="11"/>
  <c r="O20" i="11"/>
  <c r="N20" i="11"/>
  <c r="M21" i="11"/>
  <c r="O21" i="11"/>
  <c r="N21" i="11"/>
  <c r="M22" i="11"/>
  <c r="O22" i="11"/>
  <c r="N22" i="11"/>
  <c r="M24" i="11"/>
  <c r="O24" i="11"/>
  <c r="N24" i="11"/>
  <c r="M19" i="11"/>
  <c r="O19" i="11"/>
  <c r="N19" i="11"/>
  <c r="M136" i="12"/>
  <c r="O136" i="12"/>
  <c r="N136" i="12"/>
  <c r="M123" i="12"/>
  <c r="O123" i="12"/>
  <c r="N123" i="12"/>
  <c r="M137" i="12"/>
  <c r="O137" i="12"/>
  <c r="N137" i="12"/>
  <c r="N134" i="12"/>
  <c r="M134" i="12"/>
  <c r="O134" i="12"/>
  <c r="N127" i="6"/>
  <c r="M127" i="6"/>
  <c r="O127" i="6"/>
  <c r="M131" i="6"/>
  <c r="O131" i="6"/>
  <c r="N131" i="6"/>
  <c r="N123" i="6"/>
  <c r="M123" i="6"/>
  <c r="O123" i="6"/>
  <c r="N68" i="11"/>
  <c r="M68" i="11"/>
  <c r="O68" i="11"/>
  <c r="N67" i="11"/>
  <c r="M67" i="11"/>
  <c r="O67" i="11"/>
  <c r="M70" i="11"/>
  <c r="O70" i="11"/>
  <c r="N70" i="11"/>
  <c r="M79" i="11"/>
  <c r="O79" i="11"/>
  <c r="N79" i="11"/>
  <c r="M84" i="11"/>
  <c r="O84" i="11"/>
  <c r="N84" i="11"/>
  <c r="J103" i="6"/>
  <c r="L103" i="6"/>
  <c r="N101" i="6"/>
  <c r="M101" i="6"/>
  <c r="O101" i="6"/>
  <c r="K72" i="6"/>
  <c r="I72" i="6"/>
  <c r="N73" i="6"/>
  <c r="M73" i="6"/>
  <c r="O73" i="6"/>
  <c r="J75" i="6"/>
  <c r="L75" i="6"/>
  <c r="M46" i="6"/>
  <c r="O46" i="6"/>
  <c r="N46" i="6"/>
  <c r="J48" i="6"/>
  <c r="L48" i="6"/>
  <c r="M18" i="6"/>
  <c r="O18" i="6"/>
  <c r="N18" i="6"/>
  <c r="J20" i="6"/>
  <c r="L20" i="6"/>
  <c r="S57" i="14"/>
  <c r="S41" i="14"/>
  <c r="S71" i="9"/>
  <c r="S83" i="9"/>
  <c r="S67" i="9"/>
  <c r="S130" i="14"/>
  <c r="S50" i="14"/>
  <c r="S126" i="14"/>
  <c r="S79" i="9"/>
  <c r="S54" i="14"/>
  <c r="S86" i="14"/>
  <c r="S70" i="14"/>
  <c r="S53" i="14"/>
  <c r="S77" i="9"/>
  <c r="S55" i="14"/>
  <c r="S68" i="9"/>
  <c r="S52" i="14"/>
  <c r="S66" i="9"/>
  <c r="S72" i="9"/>
  <c r="S76" i="9"/>
  <c r="S73" i="9"/>
  <c r="S82" i="9"/>
  <c r="S47" i="14"/>
  <c r="S78" i="9"/>
  <c r="S67" i="14"/>
  <c r="S138" i="14"/>
  <c r="S80" i="9"/>
  <c r="S70" i="9"/>
  <c r="S56" i="14"/>
  <c r="S45" i="14"/>
  <c r="S43" i="14"/>
  <c r="S81" i="9"/>
  <c r="S69" i="9"/>
  <c r="S42" i="14"/>
  <c r="S44" i="14"/>
  <c r="S59" i="14"/>
  <c r="S58" i="14"/>
  <c r="S51" i="14"/>
  <c r="S39" i="14"/>
  <c r="S74" i="9"/>
  <c r="S75" i="9"/>
  <c r="S40" i="14"/>
  <c r="S75" i="14"/>
  <c r="F91" i="11"/>
  <c r="F119" i="11"/>
  <c r="F120" i="12"/>
  <c r="F64" i="12"/>
  <c r="F35" i="11"/>
  <c r="F36" i="12"/>
  <c r="F63" i="11"/>
  <c r="F119" i="6"/>
  <c r="F8" i="11"/>
  <c r="F92" i="12"/>
  <c r="F8" i="12"/>
  <c r="S46" i="14"/>
  <c r="S49" i="14"/>
  <c r="S48" i="14"/>
  <c r="K48" i="12"/>
  <c r="I48" i="12"/>
  <c r="K68" i="12"/>
  <c r="I68" i="12"/>
  <c r="K74" i="11"/>
  <c r="I74" i="11"/>
  <c r="K71" i="11"/>
  <c r="I71" i="11"/>
  <c r="K33" i="12"/>
  <c r="I33" i="12"/>
  <c r="K130" i="11"/>
  <c r="I130" i="11"/>
  <c r="K123" i="12"/>
  <c r="I123" i="12"/>
  <c r="K56" i="12"/>
  <c r="I56" i="12"/>
  <c r="K51" i="12"/>
  <c r="I51" i="12"/>
  <c r="K129" i="12"/>
  <c r="I129" i="12"/>
  <c r="K41" i="12"/>
  <c r="I41" i="12"/>
  <c r="K53" i="11"/>
  <c r="I53" i="11"/>
  <c r="K40" i="6"/>
  <c r="I40" i="6"/>
  <c r="K45" i="6"/>
  <c r="I45" i="6"/>
  <c r="K44" i="11"/>
  <c r="I44" i="11"/>
  <c r="K48" i="11"/>
  <c r="I48" i="11"/>
  <c r="K15" i="11"/>
  <c r="I15" i="11"/>
  <c r="K44" i="12"/>
  <c r="I44" i="12"/>
  <c r="K46" i="11"/>
  <c r="I46" i="11"/>
  <c r="K102" i="11"/>
  <c r="I102" i="11"/>
  <c r="K17" i="6"/>
  <c r="I17" i="6"/>
  <c r="K107" i="12"/>
  <c r="I107" i="12"/>
  <c r="K22" i="12"/>
  <c r="I22" i="12"/>
  <c r="K123" i="6"/>
  <c r="I123" i="6"/>
  <c r="K110" i="12"/>
  <c r="I110" i="12"/>
  <c r="K94" i="11"/>
  <c r="I94" i="11"/>
  <c r="K74" i="12"/>
  <c r="I74" i="12"/>
  <c r="K130" i="6"/>
  <c r="I130" i="6"/>
  <c r="K97" i="11"/>
  <c r="I97" i="11"/>
  <c r="K126" i="6"/>
  <c r="I126" i="6"/>
  <c r="K131" i="12"/>
  <c r="I131" i="12"/>
  <c r="K43" i="6"/>
  <c r="I43" i="6"/>
  <c r="K100" i="12"/>
  <c r="I100" i="12"/>
  <c r="K124" i="12"/>
  <c r="I124" i="12"/>
  <c r="K16" i="12"/>
  <c r="I16" i="12"/>
  <c r="K76" i="12"/>
  <c r="I76" i="12"/>
  <c r="K68" i="11"/>
  <c r="I68" i="11"/>
  <c r="K58" i="12"/>
  <c r="I58" i="12"/>
  <c r="K45" i="12"/>
  <c r="I45" i="12"/>
  <c r="K125" i="11"/>
  <c r="I125" i="11"/>
  <c r="K109" i="12"/>
  <c r="I109" i="12"/>
  <c r="K75" i="11"/>
  <c r="I75" i="11"/>
  <c r="K49" i="12"/>
  <c r="I49" i="12"/>
  <c r="K39" i="12"/>
  <c r="I39" i="12"/>
  <c r="K19" i="12"/>
  <c r="I19" i="12"/>
  <c r="K97" i="12"/>
  <c r="I97" i="12"/>
  <c r="K130" i="12"/>
  <c r="I130" i="12"/>
  <c r="K82" i="12"/>
  <c r="I82" i="12"/>
  <c r="K98" i="12"/>
  <c r="I98" i="12"/>
  <c r="K100" i="6"/>
  <c r="I100" i="6"/>
  <c r="K18" i="12"/>
  <c r="I18" i="12"/>
  <c r="K47" i="11"/>
  <c r="I47" i="11"/>
  <c r="K76" i="11"/>
  <c r="I76" i="11"/>
  <c r="K40" i="12"/>
  <c r="I40" i="12"/>
  <c r="K95" i="12"/>
  <c r="I95" i="12"/>
  <c r="K133" i="12"/>
  <c r="I133" i="12"/>
  <c r="K70" i="11"/>
  <c r="I70" i="11"/>
  <c r="K127" i="6"/>
  <c r="I127" i="6"/>
  <c r="K136" i="12"/>
  <c r="I136" i="12"/>
  <c r="K20" i="11"/>
  <c r="I20" i="11"/>
  <c r="K42" i="6"/>
  <c r="I42" i="6"/>
  <c r="K95" i="11"/>
  <c r="I95" i="11"/>
  <c r="K126" i="12"/>
  <c r="I126" i="12"/>
  <c r="K16" i="11"/>
  <c r="I16" i="11"/>
  <c r="K126" i="11"/>
  <c r="I126" i="11"/>
  <c r="K103" i="12"/>
  <c r="I103" i="12"/>
  <c r="K106" i="11"/>
  <c r="I106" i="11"/>
  <c r="K109" i="11"/>
  <c r="I109" i="11"/>
  <c r="K80" i="11"/>
  <c r="I80" i="11"/>
  <c r="K124" i="11"/>
  <c r="I124" i="11"/>
  <c r="K128" i="6"/>
  <c r="I128" i="6"/>
  <c r="K67" i="6"/>
  <c r="I67" i="6"/>
  <c r="K131" i="11"/>
  <c r="I131" i="11"/>
  <c r="K86" i="12"/>
  <c r="I86" i="12"/>
  <c r="K79" i="11"/>
  <c r="I79" i="11"/>
  <c r="K21" i="11"/>
  <c r="I21" i="11"/>
  <c r="K30" i="12"/>
  <c r="I30" i="12"/>
  <c r="K21" i="12"/>
  <c r="I21" i="12"/>
  <c r="K38" i="6"/>
  <c r="I38" i="6"/>
  <c r="K103" i="11"/>
  <c r="I103" i="11"/>
  <c r="K85" i="12"/>
  <c r="I85" i="12"/>
  <c r="K73" i="12"/>
  <c r="I73" i="12"/>
  <c r="K83" i="11"/>
  <c r="I83" i="11"/>
  <c r="K77" i="11"/>
  <c r="I77" i="11"/>
  <c r="K128" i="12"/>
  <c r="I128" i="12"/>
  <c r="K31" i="11"/>
  <c r="I31" i="11"/>
  <c r="K24" i="12"/>
  <c r="I24" i="12"/>
  <c r="K96" i="6"/>
  <c r="I96" i="6"/>
  <c r="K70" i="6"/>
  <c r="I70" i="6"/>
  <c r="K99" i="12"/>
  <c r="I99" i="12"/>
  <c r="K51" i="11"/>
  <c r="I51" i="11"/>
  <c r="K55" i="11"/>
  <c r="I55" i="11"/>
  <c r="K42" i="12"/>
  <c r="I42" i="12"/>
  <c r="K32" i="12"/>
  <c r="I32" i="12"/>
  <c r="K129" i="11"/>
  <c r="I129" i="11"/>
  <c r="K54" i="11"/>
  <c r="I54" i="11"/>
  <c r="K26" i="11"/>
  <c r="I26" i="11"/>
  <c r="K47" i="12"/>
  <c r="I47" i="12"/>
  <c r="K11" i="12"/>
  <c r="I11" i="12"/>
  <c r="K107" i="11"/>
  <c r="I107" i="11"/>
  <c r="K45" i="11"/>
  <c r="I45" i="11"/>
  <c r="K22" i="11"/>
  <c r="I22" i="11"/>
  <c r="K52" i="12"/>
  <c r="I52" i="12"/>
  <c r="K25" i="12"/>
  <c r="I25" i="12"/>
  <c r="K135" i="11"/>
  <c r="I135" i="11"/>
  <c r="K105" i="11"/>
  <c r="I105" i="11"/>
  <c r="K41" i="11"/>
  <c r="I41" i="11"/>
  <c r="K72" i="12"/>
  <c r="I72" i="12"/>
  <c r="K79" i="12"/>
  <c r="I79" i="12"/>
  <c r="K81" i="11"/>
  <c r="I81" i="11"/>
  <c r="K125" i="6"/>
  <c r="I125" i="6"/>
  <c r="K138" i="12"/>
  <c r="I138" i="12"/>
  <c r="K17" i="11"/>
  <c r="I17" i="11"/>
  <c r="K14" i="11"/>
  <c r="I14" i="11"/>
  <c r="K50" i="12"/>
  <c r="I50" i="12"/>
  <c r="K31" i="12"/>
  <c r="I31" i="12"/>
  <c r="K67" i="12"/>
  <c r="I67" i="12"/>
  <c r="K15" i="6"/>
  <c r="I15" i="6"/>
  <c r="K13" i="11"/>
  <c r="I13" i="11"/>
  <c r="K12" i="11"/>
  <c r="I12" i="11"/>
  <c r="K57" i="12"/>
  <c r="I57" i="12"/>
  <c r="K15" i="12"/>
  <c r="I15" i="12"/>
  <c r="K66" i="6"/>
  <c r="I66" i="6"/>
  <c r="K123" i="11"/>
  <c r="I123" i="11"/>
  <c r="K96" i="11"/>
  <c r="I96" i="11"/>
  <c r="K42" i="11"/>
  <c r="I42" i="11"/>
  <c r="K75" i="12"/>
  <c r="I75" i="12"/>
  <c r="K82" i="11"/>
  <c r="I82" i="11"/>
  <c r="K28" i="11"/>
  <c r="I28" i="11"/>
  <c r="K53" i="12"/>
  <c r="I53" i="12"/>
  <c r="K94" i="6"/>
  <c r="I94" i="6"/>
  <c r="K41" i="6"/>
  <c r="I41" i="6"/>
  <c r="K136" i="11"/>
  <c r="I136" i="11"/>
  <c r="K132" i="11"/>
  <c r="I132" i="11"/>
  <c r="K105" i="12"/>
  <c r="I105" i="12"/>
  <c r="K70" i="12"/>
  <c r="I70" i="12"/>
  <c r="K54" i="12"/>
  <c r="I54" i="12"/>
  <c r="K106" i="12"/>
  <c r="I106" i="12"/>
  <c r="K129" i="6"/>
  <c r="I129" i="6"/>
  <c r="K69" i="6"/>
  <c r="I69" i="6"/>
  <c r="K27" i="12"/>
  <c r="I27" i="12"/>
  <c r="K112" i="12"/>
  <c r="I112" i="12"/>
  <c r="K50" i="11"/>
  <c r="I50" i="11"/>
  <c r="K23" i="11"/>
  <c r="I23" i="11"/>
  <c r="K26" i="12"/>
  <c r="I26" i="12"/>
  <c r="K14" i="6"/>
  <c r="I14" i="6"/>
  <c r="O14" i="6"/>
  <c r="K137" i="12"/>
  <c r="I137" i="12"/>
  <c r="K24" i="11"/>
  <c r="I24" i="11"/>
  <c r="K20" i="12"/>
  <c r="I20" i="12"/>
  <c r="K95" i="6"/>
  <c r="I95" i="6"/>
  <c r="O95" i="6"/>
  <c r="K84" i="11"/>
  <c r="I84" i="11"/>
  <c r="K67" i="11"/>
  <c r="I67" i="11"/>
  <c r="K131" i="6"/>
  <c r="I131" i="6"/>
  <c r="K134" i="12"/>
  <c r="I134" i="12"/>
  <c r="K19" i="11"/>
  <c r="I19" i="11"/>
  <c r="K55" i="12"/>
  <c r="I55" i="12"/>
  <c r="K23" i="12"/>
  <c r="I23" i="12"/>
  <c r="K29" i="12"/>
  <c r="I29" i="12"/>
  <c r="K98" i="6"/>
  <c r="I98" i="6"/>
  <c r="K68" i="6"/>
  <c r="I68" i="6"/>
  <c r="K128" i="11"/>
  <c r="I128" i="11"/>
  <c r="K102" i="12"/>
  <c r="I102" i="12"/>
  <c r="K100" i="11"/>
  <c r="I100" i="11"/>
  <c r="K40" i="11"/>
  <c r="I40" i="11"/>
  <c r="K39" i="11"/>
  <c r="I39" i="11"/>
  <c r="K71" i="12"/>
  <c r="I71" i="12"/>
  <c r="K12" i="6"/>
  <c r="I12" i="6"/>
  <c r="O16" i="6"/>
  <c r="K16" i="6"/>
  <c r="I16" i="6"/>
  <c r="K78" i="11"/>
  <c r="I78" i="11"/>
  <c r="K132" i="6"/>
  <c r="I132" i="6"/>
  <c r="K125" i="12"/>
  <c r="I125" i="12"/>
  <c r="K18" i="11"/>
  <c r="I18" i="11"/>
  <c r="K134" i="11"/>
  <c r="I134" i="11"/>
  <c r="K133" i="11"/>
  <c r="I133" i="11"/>
  <c r="K84" i="12"/>
  <c r="I84" i="12"/>
  <c r="K66" i="11"/>
  <c r="I66" i="11"/>
  <c r="K17" i="12"/>
  <c r="I17" i="12"/>
  <c r="K96" i="12"/>
  <c r="I96" i="12"/>
  <c r="K104" i="11"/>
  <c r="I104" i="11"/>
  <c r="K49" i="11"/>
  <c r="I49" i="11"/>
  <c r="K83" i="12"/>
  <c r="I83" i="12"/>
  <c r="O11" i="6"/>
  <c r="K11" i="6"/>
  <c r="I11" i="6"/>
  <c r="K72" i="11"/>
  <c r="I72" i="11"/>
  <c r="K132" i="12"/>
  <c r="I132" i="12"/>
  <c r="K46" i="12"/>
  <c r="I46" i="12"/>
  <c r="K12" i="12"/>
  <c r="I12" i="12"/>
  <c r="K97" i="6"/>
  <c r="I97" i="6"/>
  <c r="K111" i="12"/>
  <c r="I111" i="12"/>
  <c r="K101" i="11"/>
  <c r="I101" i="11"/>
  <c r="K56" i="11"/>
  <c r="I56" i="11"/>
  <c r="K77" i="12"/>
  <c r="I77" i="12"/>
  <c r="O13" i="6"/>
  <c r="K13" i="6"/>
  <c r="I13" i="6"/>
  <c r="K133" i="6"/>
  <c r="I133" i="6"/>
  <c r="O133" i="6"/>
  <c r="K39" i="6"/>
  <c r="I39" i="6"/>
  <c r="K122" i="11"/>
  <c r="I122" i="11"/>
  <c r="K104" i="12"/>
  <c r="I104" i="12"/>
  <c r="K99" i="11"/>
  <c r="I99" i="11"/>
  <c r="K43" i="11"/>
  <c r="I43" i="11"/>
  <c r="K81" i="12"/>
  <c r="I81" i="12"/>
  <c r="K69" i="11"/>
  <c r="I69" i="11"/>
  <c r="K73" i="11"/>
  <c r="I73" i="11"/>
  <c r="K122" i="6"/>
  <c r="I122" i="6"/>
  <c r="O122" i="6"/>
  <c r="K134" i="6"/>
  <c r="I134" i="6"/>
  <c r="K135" i="12"/>
  <c r="I135" i="12"/>
  <c r="K27" i="11"/>
  <c r="I27" i="11"/>
  <c r="K11" i="11"/>
  <c r="I11" i="11"/>
  <c r="K30" i="11"/>
  <c r="I30" i="11"/>
  <c r="K43" i="12"/>
  <c r="I43" i="12"/>
  <c r="K14" i="12"/>
  <c r="I14" i="12"/>
  <c r="K28" i="12"/>
  <c r="I28" i="12"/>
  <c r="O99" i="6"/>
  <c r="K99" i="6"/>
  <c r="I99" i="6"/>
  <c r="O44" i="6"/>
  <c r="K44" i="6"/>
  <c r="I44" i="6"/>
  <c r="K101" i="12"/>
  <c r="I101" i="12"/>
  <c r="K98" i="11"/>
  <c r="I98" i="11"/>
  <c r="K58" i="11"/>
  <c r="I58" i="11"/>
  <c r="K80" i="12"/>
  <c r="I80" i="12"/>
  <c r="K69" i="12"/>
  <c r="I69" i="12"/>
  <c r="K124" i="6"/>
  <c r="I124" i="6"/>
  <c r="K127" i="12"/>
  <c r="I127" i="12"/>
  <c r="K29" i="11"/>
  <c r="I29" i="11"/>
  <c r="K25" i="11"/>
  <c r="I25" i="11"/>
  <c r="K59" i="12"/>
  <c r="I59" i="12"/>
  <c r="K13" i="12"/>
  <c r="I13" i="12"/>
  <c r="K127" i="11"/>
  <c r="I127" i="11"/>
  <c r="K108" i="12"/>
  <c r="I108" i="12"/>
  <c r="K108" i="11"/>
  <c r="I108" i="11"/>
  <c r="K52" i="11"/>
  <c r="I52" i="11"/>
  <c r="K57" i="11"/>
  <c r="I57" i="11"/>
  <c r="K78" i="12"/>
  <c r="I78" i="12"/>
  <c r="K71" i="6"/>
  <c r="I71" i="6"/>
  <c r="K73" i="6"/>
  <c r="I73" i="6"/>
  <c r="N102" i="6"/>
  <c r="M102" i="6"/>
  <c r="O102" i="6"/>
  <c r="K101" i="6"/>
  <c r="I101" i="6"/>
  <c r="J104" i="6"/>
  <c r="L104" i="6"/>
  <c r="M74" i="6"/>
  <c r="O74" i="6"/>
  <c r="N74" i="6"/>
  <c r="J76" i="6"/>
  <c r="L76" i="6"/>
  <c r="M47" i="6"/>
  <c r="O47" i="6"/>
  <c r="N47" i="6"/>
  <c r="J49" i="6"/>
  <c r="L49" i="6"/>
  <c r="K46" i="6"/>
  <c r="I46" i="6"/>
  <c r="J21" i="6"/>
  <c r="L21" i="6"/>
  <c r="K18" i="6"/>
  <c r="I18" i="6"/>
  <c r="M19" i="6"/>
  <c r="O19" i="6"/>
  <c r="N19" i="6"/>
  <c r="G92" i="12"/>
  <c r="O92" i="12"/>
  <c r="H92" i="12"/>
  <c r="O8" i="11"/>
  <c r="H8" i="11"/>
  <c r="G8" i="11"/>
  <c r="O36" i="12"/>
  <c r="H36" i="12"/>
  <c r="G36" i="12"/>
  <c r="O64" i="12"/>
  <c r="H64" i="12"/>
  <c r="G64" i="12"/>
  <c r="O120" i="12"/>
  <c r="H120" i="12"/>
  <c r="G120" i="12"/>
  <c r="O119" i="11"/>
  <c r="H119" i="11"/>
  <c r="G119" i="11"/>
  <c r="O63" i="11"/>
  <c r="H63" i="11"/>
  <c r="G63" i="11"/>
  <c r="O35" i="11"/>
  <c r="H35" i="11"/>
  <c r="G35" i="11"/>
  <c r="G8" i="12"/>
  <c r="O8" i="12"/>
  <c r="H8" i="12"/>
  <c r="O119" i="6"/>
  <c r="H119" i="6"/>
  <c r="G119" i="6"/>
  <c r="O91" i="11"/>
  <c r="H91" i="11"/>
  <c r="G91" i="11"/>
  <c r="N103" i="6"/>
  <c r="M103" i="6"/>
  <c r="O103" i="6"/>
  <c r="J105" i="6"/>
  <c r="L105" i="6"/>
  <c r="K102" i="6"/>
  <c r="I102" i="6"/>
  <c r="N75" i="6"/>
  <c r="M75" i="6"/>
  <c r="O75" i="6"/>
  <c r="K74" i="6"/>
  <c r="I74" i="6"/>
  <c r="J77" i="6"/>
  <c r="L77" i="6"/>
  <c r="K47" i="6"/>
  <c r="I47" i="6"/>
  <c r="J50" i="6"/>
  <c r="L50" i="6"/>
  <c r="M48" i="6"/>
  <c r="O48" i="6"/>
  <c r="N48" i="6"/>
  <c r="K19" i="6"/>
  <c r="I19" i="6"/>
  <c r="N20" i="6"/>
  <c r="M20" i="6"/>
  <c r="O20" i="6"/>
  <c r="J22" i="6"/>
  <c r="L22" i="6"/>
  <c r="E8" i="12"/>
  <c r="K8" i="12"/>
  <c r="L8" i="12"/>
  <c r="E36" i="12"/>
  <c r="K36" i="12"/>
  <c r="L36" i="12"/>
  <c r="E91" i="11"/>
  <c r="K91" i="11"/>
  <c r="L91" i="11"/>
  <c r="K63" i="11"/>
  <c r="L63" i="11"/>
  <c r="E63" i="11"/>
  <c r="K119" i="11"/>
  <c r="L119" i="11"/>
  <c r="E119" i="11"/>
  <c r="K92" i="12"/>
  <c r="L92" i="12"/>
  <c r="E92" i="12"/>
  <c r="K35" i="11"/>
  <c r="L35" i="11"/>
  <c r="E35" i="11"/>
  <c r="K64" i="12"/>
  <c r="L64" i="12"/>
  <c r="E64" i="12"/>
  <c r="K119" i="6"/>
  <c r="L119" i="6"/>
  <c r="E119" i="6"/>
  <c r="K120" i="12"/>
  <c r="L120" i="12"/>
  <c r="E120" i="12"/>
  <c r="E8" i="11"/>
  <c r="K8" i="11"/>
  <c r="L8" i="11"/>
  <c r="N104" i="6"/>
  <c r="M104" i="6"/>
  <c r="O104" i="6"/>
  <c r="J106" i="6"/>
  <c r="L106" i="6"/>
  <c r="K103" i="6"/>
  <c r="I103" i="6"/>
  <c r="N76" i="6"/>
  <c r="M76" i="6"/>
  <c r="O76" i="6"/>
  <c r="J78" i="6"/>
  <c r="L78" i="6"/>
  <c r="K75" i="6"/>
  <c r="I75" i="6"/>
  <c r="K48" i="6"/>
  <c r="I48" i="6"/>
  <c r="J51" i="6"/>
  <c r="L51" i="6"/>
  <c r="M49" i="6"/>
  <c r="O49" i="6"/>
  <c r="N49" i="6"/>
  <c r="K20" i="6"/>
  <c r="I20" i="6"/>
  <c r="M21" i="6"/>
  <c r="O21" i="6"/>
  <c r="N21" i="6"/>
  <c r="J23" i="6"/>
  <c r="L23" i="6"/>
  <c r="M63" i="11"/>
  <c r="P66" i="11"/>
  <c r="M35" i="11"/>
  <c r="P46" i="11"/>
  <c r="M36" i="12"/>
  <c r="P56" i="12"/>
  <c r="Q56" i="12"/>
  <c r="R56" i="12"/>
  <c r="T56" i="12"/>
  <c r="M64" i="12"/>
  <c r="P69" i="12"/>
  <c r="M120" i="12"/>
  <c r="M92" i="12"/>
  <c r="P45" i="12"/>
  <c r="Q45" i="12"/>
  <c r="R45" i="12"/>
  <c r="T45" i="12"/>
  <c r="M8" i="11"/>
  <c r="M91" i="11"/>
  <c r="M119" i="6"/>
  <c r="P131" i="6"/>
  <c r="Q131" i="6"/>
  <c r="R131" i="6"/>
  <c r="M119" i="11"/>
  <c r="M8" i="12"/>
  <c r="N105" i="6"/>
  <c r="M105" i="6"/>
  <c r="O105" i="6"/>
  <c r="J107" i="6"/>
  <c r="L107" i="6"/>
  <c r="K104" i="6"/>
  <c r="I104" i="6"/>
  <c r="K76" i="6"/>
  <c r="I76" i="6"/>
  <c r="N77" i="6"/>
  <c r="M77" i="6"/>
  <c r="O77" i="6"/>
  <c r="J79" i="6"/>
  <c r="L79" i="6"/>
  <c r="K49" i="6"/>
  <c r="I49" i="6"/>
  <c r="J52" i="6"/>
  <c r="L52" i="6"/>
  <c r="M50" i="6"/>
  <c r="O50" i="6"/>
  <c r="N50" i="6"/>
  <c r="J24" i="6"/>
  <c r="L24" i="6"/>
  <c r="K21" i="6"/>
  <c r="I21" i="6"/>
  <c r="M22" i="6"/>
  <c r="O22" i="6"/>
  <c r="N22" i="6"/>
  <c r="P50" i="12"/>
  <c r="Q50" i="12"/>
  <c r="R50" i="12"/>
  <c r="T50" i="12"/>
  <c r="P54" i="11"/>
  <c r="P71" i="11"/>
  <c r="P81" i="11"/>
  <c r="P82" i="11"/>
  <c r="P67" i="11"/>
  <c r="P83" i="11"/>
  <c r="P69" i="11"/>
  <c r="P68" i="11"/>
  <c r="P79" i="11"/>
  <c r="P72" i="11"/>
  <c r="P75" i="11"/>
  <c r="P84" i="11"/>
  <c r="P55" i="11"/>
  <c r="P77" i="11"/>
  <c r="P70" i="11"/>
  <c r="P74" i="11"/>
  <c r="P57" i="11"/>
  <c r="P47" i="12"/>
  <c r="Q47" i="12"/>
  <c r="R47" i="12"/>
  <c r="T47" i="12"/>
  <c r="P54" i="12"/>
  <c r="Q54" i="12"/>
  <c r="R54" i="12"/>
  <c r="T54" i="12"/>
  <c r="P40" i="11"/>
  <c r="P42" i="12"/>
  <c r="Q42" i="12"/>
  <c r="R42" i="12"/>
  <c r="T42" i="12"/>
  <c r="P44" i="12"/>
  <c r="Q44" i="12"/>
  <c r="R44" i="12"/>
  <c r="T44" i="12"/>
  <c r="P57" i="12"/>
  <c r="Q57" i="12"/>
  <c r="R57" i="12"/>
  <c r="P41" i="11"/>
  <c r="P38" i="11"/>
  <c r="Q38" i="11"/>
  <c r="R38" i="11"/>
  <c r="T38" i="11"/>
  <c r="P39" i="12"/>
  <c r="P41" i="12"/>
  <c r="Q41" i="12"/>
  <c r="R41" i="12"/>
  <c r="T41" i="12"/>
  <c r="P74" i="12"/>
  <c r="Q74" i="12"/>
  <c r="R74" i="12"/>
  <c r="T74" i="12"/>
  <c r="P80" i="11"/>
  <c r="P73" i="11"/>
  <c r="P78" i="11"/>
  <c r="P76" i="11"/>
  <c r="P48" i="12"/>
  <c r="Q48" i="12"/>
  <c r="R48" i="12"/>
  <c r="T48" i="12"/>
  <c r="P40" i="12"/>
  <c r="P51" i="11"/>
  <c r="P44" i="11"/>
  <c r="P82" i="12"/>
  <c r="P42" i="11"/>
  <c r="P39" i="11"/>
  <c r="P49" i="11"/>
  <c r="P78" i="12"/>
  <c r="Q78" i="12"/>
  <c r="R78" i="12"/>
  <c r="T78" i="12"/>
  <c r="P43" i="11"/>
  <c r="P45" i="11"/>
  <c r="P56" i="11"/>
  <c r="P58" i="11"/>
  <c r="P53" i="11"/>
  <c r="P67" i="12"/>
  <c r="Q67" i="12"/>
  <c r="R67" i="12"/>
  <c r="T67" i="12"/>
  <c r="P52" i="11"/>
  <c r="P48" i="11"/>
  <c r="P47" i="11"/>
  <c r="P50" i="11"/>
  <c r="P79" i="12"/>
  <c r="P80" i="12"/>
  <c r="Q80" i="12"/>
  <c r="R80" i="12"/>
  <c r="T80" i="12"/>
  <c r="S44" i="12"/>
  <c r="P77" i="12"/>
  <c r="Q77" i="12"/>
  <c r="R77" i="12"/>
  <c r="T77" i="12"/>
  <c r="P71" i="12"/>
  <c r="Q71" i="12"/>
  <c r="R71" i="12"/>
  <c r="T71" i="12"/>
  <c r="P85" i="12"/>
  <c r="Q85" i="12"/>
  <c r="R85" i="12"/>
  <c r="T85" i="12"/>
  <c r="P75" i="12"/>
  <c r="P52" i="12"/>
  <c r="P53" i="12"/>
  <c r="Q53" i="12"/>
  <c r="R53" i="12"/>
  <c r="T53" i="12"/>
  <c r="P55" i="12"/>
  <c r="Q55" i="12"/>
  <c r="R55" i="12"/>
  <c r="T55" i="12"/>
  <c r="P43" i="12"/>
  <c r="Q43" i="12"/>
  <c r="R43" i="12"/>
  <c r="T43" i="12"/>
  <c r="P49" i="12"/>
  <c r="Q49" i="12"/>
  <c r="R49" i="12"/>
  <c r="T49" i="12"/>
  <c r="P70" i="12"/>
  <c r="P76" i="12"/>
  <c r="Q76" i="12"/>
  <c r="R76" i="12"/>
  <c r="T76" i="12"/>
  <c r="P84" i="12"/>
  <c r="Q84" i="12"/>
  <c r="R84" i="12"/>
  <c r="T84" i="12"/>
  <c r="P83" i="12"/>
  <c r="Q83" i="12"/>
  <c r="R83" i="12"/>
  <c r="T83" i="12"/>
  <c r="P73" i="12"/>
  <c r="P68" i="12"/>
  <c r="Q68" i="12"/>
  <c r="R68" i="12"/>
  <c r="T68" i="12"/>
  <c r="P46" i="12"/>
  <c r="Q46" i="12"/>
  <c r="R46" i="12"/>
  <c r="T46" i="12"/>
  <c r="P51" i="12"/>
  <c r="P59" i="12"/>
  <c r="P58" i="12"/>
  <c r="Q58" i="12"/>
  <c r="R58" i="12"/>
  <c r="T58" i="12"/>
  <c r="Q69" i="12"/>
  <c r="R69" i="12"/>
  <c r="T69" i="12"/>
  <c r="T57" i="12"/>
  <c r="S45" i="12"/>
  <c r="P86" i="12"/>
  <c r="Q86" i="12"/>
  <c r="R86" i="12"/>
  <c r="T86" i="12"/>
  <c r="P81" i="12"/>
  <c r="Q81" i="12"/>
  <c r="R81" i="12"/>
  <c r="T81" i="12"/>
  <c r="P72" i="12"/>
  <c r="P126" i="12"/>
  <c r="P125" i="12"/>
  <c r="P130" i="12"/>
  <c r="P134" i="12"/>
  <c r="P136" i="12"/>
  <c r="P137" i="12"/>
  <c r="P131" i="12"/>
  <c r="P129" i="12"/>
  <c r="P132" i="12"/>
  <c r="P135" i="12"/>
  <c r="P123" i="12"/>
  <c r="P128" i="12"/>
  <c r="P124" i="12"/>
  <c r="P138" i="12"/>
  <c r="P127" i="12"/>
  <c r="P133" i="12"/>
  <c r="S56" i="12"/>
  <c r="P109" i="11"/>
  <c r="P105" i="11"/>
  <c r="P99" i="11"/>
  <c r="P98" i="11"/>
  <c r="P106" i="11"/>
  <c r="P101" i="11"/>
  <c r="P102" i="11"/>
  <c r="P96" i="11"/>
  <c r="P100" i="11"/>
  <c r="P97" i="11"/>
  <c r="P104" i="11"/>
  <c r="P94" i="11"/>
  <c r="P107" i="11"/>
  <c r="P103" i="11"/>
  <c r="P108" i="11"/>
  <c r="P95" i="11"/>
  <c r="P16" i="12"/>
  <c r="P22" i="12"/>
  <c r="P29" i="12"/>
  <c r="P32" i="12"/>
  <c r="P23" i="12"/>
  <c r="P24" i="12"/>
  <c r="P15" i="12"/>
  <c r="P25" i="12"/>
  <c r="P31" i="12"/>
  <c r="P26" i="12"/>
  <c r="P19" i="12"/>
  <c r="P33" i="12"/>
  <c r="P11" i="12"/>
  <c r="P21" i="12"/>
  <c r="P14" i="12"/>
  <c r="P12" i="12"/>
  <c r="P28" i="12"/>
  <c r="P13" i="12"/>
  <c r="P30" i="12"/>
  <c r="P20" i="12"/>
  <c r="P17" i="12"/>
  <c r="P27" i="12"/>
  <c r="P18" i="12"/>
  <c r="P25" i="11"/>
  <c r="P22" i="11"/>
  <c r="P30" i="11"/>
  <c r="P18" i="11"/>
  <c r="P31" i="11"/>
  <c r="P13" i="11"/>
  <c r="P14" i="11"/>
  <c r="P15" i="11"/>
  <c r="P17" i="11"/>
  <c r="P21" i="11"/>
  <c r="P26" i="11"/>
  <c r="P29" i="11"/>
  <c r="P23" i="11"/>
  <c r="P12" i="11"/>
  <c r="P16" i="11"/>
  <c r="P11" i="11"/>
  <c r="P19" i="11"/>
  <c r="P28" i="11"/>
  <c r="P27" i="11"/>
  <c r="P20" i="11"/>
  <c r="P24" i="11"/>
  <c r="P129" i="11"/>
  <c r="Q129" i="11"/>
  <c r="R129" i="11"/>
  <c r="T129" i="11"/>
  <c r="P130" i="11"/>
  <c r="Q130" i="11"/>
  <c r="R130" i="11"/>
  <c r="T130" i="11"/>
  <c r="P127" i="11"/>
  <c r="Q127" i="11"/>
  <c r="R127" i="11"/>
  <c r="T127" i="11"/>
  <c r="P134" i="11"/>
  <c r="Q134" i="11"/>
  <c r="R134" i="11"/>
  <c r="T134" i="11"/>
  <c r="P123" i="11"/>
  <c r="Q123" i="11"/>
  <c r="R123" i="11"/>
  <c r="T123" i="11"/>
  <c r="P133" i="11"/>
  <c r="Q133" i="11"/>
  <c r="R133" i="11"/>
  <c r="T133" i="11"/>
  <c r="P136" i="11"/>
  <c r="Q136" i="11"/>
  <c r="R136" i="11"/>
  <c r="T136" i="11"/>
  <c r="P132" i="11"/>
  <c r="Q132" i="11"/>
  <c r="R132" i="11"/>
  <c r="T132" i="11"/>
  <c r="P135" i="11"/>
  <c r="Q135" i="11"/>
  <c r="R135" i="11"/>
  <c r="T135" i="11"/>
  <c r="P131" i="11"/>
  <c r="Q131" i="11"/>
  <c r="R131" i="11"/>
  <c r="T131" i="11"/>
  <c r="P128" i="11"/>
  <c r="Q128" i="11"/>
  <c r="R128" i="11"/>
  <c r="T128" i="11"/>
  <c r="P126" i="11"/>
  <c r="Q126" i="11"/>
  <c r="R126" i="11"/>
  <c r="T126" i="11"/>
  <c r="P122" i="11"/>
  <c r="Q122" i="11"/>
  <c r="R122" i="11"/>
  <c r="T122" i="11"/>
  <c r="P124" i="11"/>
  <c r="Q124" i="11"/>
  <c r="R124" i="11"/>
  <c r="T124" i="11"/>
  <c r="P125" i="11"/>
  <c r="Q125" i="11"/>
  <c r="R125" i="11"/>
  <c r="T125" i="11"/>
  <c r="P95" i="12"/>
  <c r="P97" i="12"/>
  <c r="P99" i="12"/>
  <c r="P103" i="12"/>
  <c r="P105" i="12"/>
  <c r="P106" i="12"/>
  <c r="P107" i="12"/>
  <c r="P111" i="12"/>
  <c r="P110" i="12"/>
  <c r="P108" i="12"/>
  <c r="P96" i="12"/>
  <c r="P98" i="12"/>
  <c r="P101" i="12"/>
  <c r="P109" i="12"/>
  <c r="P102" i="12"/>
  <c r="P100" i="12"/>
  <c r="P112" i="12"/>
  <c r="P104" i="12"/>
  <c r="P133" i="6"/>
  <c r="Q133" i="6"/>
  <c r="R133" i="6"/>
  <c r="P124" i="6"/>
  <c r="Q124" i="6"/>
  <c r="R124" i="6"/>
  <c r="P123" i="6"/>
  <c r="Q123" i="6"/>
  <c r="R123" i="6"/>
  <c r="P126" i="6"/>
  <c r="Q126" i="6"/>
  <c r="R126" i="6"/>
  <c r="P129" i="6"/>
  <c r="Q129" i="6"/>
  <c r="R129" i="6"/>
  <c r="P122" i="6"/>
  <c r="Q122" i="6"/>
  <c r="R122" i="6"/>
  <c r="P125" i="6"/>
  <c r="Q125" i="6"/>
  <c r="R125" i="6"/>
  <c r="P134" i="6"/>
  <c r="Q134" i="6"/>
  <c r="R134" i="6"/>
  <c r="P130" i="6"/>
  <c r="Q130" i="6"/>
  <c r="R130" i="6"/>
  <c r="P132" i="6"/>
  <c r="Q132" i="6"/>
  <c r="R132" i="6"/>
  <c r="P128" i="6"/>
  <c r="Q128" i="6"/>
  <c r="R128" i="6"/>
  <c r="P127" i="6"/>
  <c r="Q127" i="6"/>
  <c r="R127" i="6"/>
  <c r="D64" i="14"/>
  <c r="D92" i="14"/>
  <c r="D120" i="14"/>
  <c r="D36" i="14"/>
  <c r="N106" i="6"/>
  <c r="M106" i="6"/>
  <c r="O106" i="6"/>
  <c r="J108" i="6"/>
  <c r="L108" i="6"/>
  <c r="K105" i="6"/>
  <c r="I105" i="6"/>
  <c r="N78" i="6"/>
  <c r="M78" i="6"/>
  <c r="O78" i="6"/>
  <c r="J80" i="6"/>
  <c r="L80" i="6"/>
  <c r="K77" i="6"/>
  <c r="I77" i="6"/>
  <c r="K50" i="6"/>
  <c r="I50" i="6"/>
  <c r="M51" i="6"/>
  <c r="O51" i="6"/>
  <c r="N51" i="6"/>
  <c r="J53" i="6"/>
  <c r="L53" i="6"/>
  <c r="M23" i="6"/>
  <c r="O23" i="6"/>
  <c r="N23" i="6"/>
  <c r="J25" i="6"/>
  <c r="L25" i="6"/>
  <c r="K22" i="6"/>
  <c r="I22" i="6"/>
  <c r="S50" i="12"/>
  <c r="S47" i="12"/>
  <c r="S67" i="12"/>
  <c r="S49" i="12"/>
  <c r="S42" i="12"/>
  <c r="S83" i="12"/>
  <c r="S54" i="12"/>
  <c r="S41" i="12"/>
  <c r="S57" i="12"/>
  <c r="S76" i="12"/>
  <c r="S127" i="11"/>
  <c r="S53" i="12"/>
  <c r="S128" i="11"/>
  <c r="S48" i="12"/>
  <c r="S80" i="12"/>
  <c r="S74" i="12"/>
  <c r="S71" i="12"/>
  <c r="S78" i="12"/>
  <c r="Q39" i="12"/>
  <c r="R39" i="12"/>
  <c r="T39" i="12"/>
  <c r="Q40" i="12"/>
  <c r="R40" i="12"/>
  <c r="T40" i="12"/>
  <c r="S123" i="11"/>
  <c r="S124" i="11"/>
  <c r="S77" i="12"/>
  <c r="Q82" i="12"/>
  <c r="R82" i="12"/>
  <c r="T82" i="12"/>
  <c r="S131" i="11"/>
  <c r="S58" i="12"/>
  <c r="S55" i="12"/>
  <c r="S81" i="12"/>
  <c r="S129" i="11"/>
  <c r="S125" i="11"/>
  <c r="S133" i="11"/>
  <c r="S85" i="12"/>
  <c r="S46" i="12"/>
  <c r="S43" i="12"/>
  <c r="Q59" i="12"/>
  <c r="R59" i="12"/>
  <c r="T59" i="12"/>
  <c r="Q73" i="12"/>
  <c r="R73" i="12"/>
  <c r="T73" i="12"/>
  <c r="Q70" i="12"/>
  <c r="R70" i="12"/>
  <c r="T70" i="12"/>
  <c r="Q75" i="12"/>
  <c r="R75" i="12"/>
  <c r="T75" i="12"/>
  <c r="S130" i="11"/>
  <c r="S84" i="12"/>
  <c r="S122" i="11"/>
  <c r="S86" i="12"/>
  <c r="S68" i="12"/>
  <c r="Q51" i="12"/>
  <c r="R51" i="12"/>
  <c r="T51" i="12"/>
  <c r="Q52" i="12"/>
  <c r="R52" i="12"/>
  <c r="T52" i="12"/>
  <c r="Q79" i="12"/>
  <c r="R79" i="12"/>
  <c r="T79" i="12"/>
  <c r="Q72" i="12"/>
  <c r="R72" i="12"/>
  <c r="T72" i="12"/>
  <c r="S69" i="12"/>
  <c r="D119" i="11"/>
  <c r="Q96" i="12"/>
  <c r="R96" i="12"/>
  <c r="T96" i="12"/>
  <c r="Q99" i="12"/>
  <c r="R99" i="12"/>
  <c r="T99" i="12"/>
  <c r="Q135" i="12"/>
  <c r="R135" i="12"/>
  <c r="T135" i="12"/>
  <c r="Q137" i="12"/>
  <c r="R137" i="12"/>
  <c r="T137" i="12"/>
  <c r="Q109" i="12"/>
  <c r="R109" i="12"/>
  <c r="T109" i="12"/>
  <c r="Q106" i="12"/>
  <c r="R106" i="12"/>
  <c r="T106" i="12"/>
  <c r="Q97" i="12"/>
  <c r="R97" i="12"/>
  <c r="T97" i="12"/>
  <c r="Q124" i="12"/>
  <c r="R124" i="12"/>
  <c r="T124" i="12"/>
  <c r="Q132" i="12"/>
  <c r="R132" i="12"/>
  <c r="T132" i="12"/>
  <c r="Q136" i="12"/>
  <c r="R136" i="12"/>
  <c r="T136" i="12"/>
  <c r="Q126" i="12"/>
  <c r="R126" i="12"/>
  <c r="T126" i="12"/>
  <c r="S132" i="11"/>
  <c r="S134" i="11"/>
  <c r="S135" i="11"/>
  <c r="Q112" i="12"/>
  <c r="R112" i="12"/>
  <c r="T112" i="12"/>
  <c r="Q101" i="12"/>
  <c r="R101" i="12"/>
  <c r="T101" i="12"/>
  <c r="Q110" i="12"/>
  <c r="R110" i="12"/>
  <c r="T110" i="12"/>
  <c r="Q105" i="12"/>
  <c r="R105" i="12"/>
  <c r="T105" i="12"/>
  <c r="Q95" i="12"/>
  <c r="R95" i="12"/>
  <c r="T95" i="12"/>
  <c r="Q133" i="12"/>
  <c r="R133" i="12"/>
  <c r="T133" i="12"/>
  <c r="Q128" i="12"/>
  <c r="R128" i="12"/>
  <c r="T128" i="12"/>
  <c r="Q129" i="12"/>
  <c r="R129" i="12"/>
  <c r="T129" i="12"/>
  <c r="Q134" i="12"/>
  <c r="R134" i="12"/>
  <c r="T134" i="12"/>
  <c r="Q102" i="12"/>
  <c r="R102" i="12"/>
  <c r="T102" i="12"/>
  <c r="Q107" i="12"/>
  <c r="R107" i="12"/>
  <c r="T107" i="12"/>
  <c r="Q138" i="12"/>
  <c r="R138" i="12"/>
  <c r="T138" i="12"/>
  <c r="Q125" i="12"/>
  <c r="R125" i="12"/>
  <c r="T125" i="12"/>
  <c r="Q104" i="12"/>
  <c r="R104" i="12"/>
  <c r="T104" i="12"/>
  <c r="Q108" i="12"/>
  <c r="R108" i="12"/>
  <c r="T108" i="12"/>
  <c r="S126" i="11"/>
  <c r="S136" i="11"/>
  <c r="Q100" i="12"/>
  <c r="R100" i="12"/>
  <c r="T100" i="12"/>
  <c r="Q98" i="12"/>
  <c r="R98" i="12"/>
  <c r="T98" i="12"/>
  <c r="Q111" i="12"/>
  <c r="R111" i="12"/>
  <c r="T111" i="12"/>
  <c r="Q103" i="12"/>
  <c r="R103" i="12"/>
  <c r="T103" i="12"/>
  <c r="S38" i="11"/>
  <c r="Q127" i="12"/>
  <c r="R127" i="12"/>
  <c r="T127" i="12"/>
  <c r="Q123" i="12"/>
  <c r="R123" i="12"/>
  <c r="T123" i="12"/>
  <c r="Q131" i="12"/>
  <c r="R131" i="12"/>
  <c r="T131" i="12"/>
  <c r="Q130" i="12"/>
  <c r="R130" i="12"/>
  <c r="T130" i="12"/>
  <c r="R109" i="9"/>
  <c r="R94" i="9"/>
  <c r="R96" i="9"/>
  <c r="R98" i="9"/>
  <c r="R100" i="9"/>
  <c r="R102" i="9"/>
  <c r="R104" i="9"/>
  <c r="R106" i="9"/>
  <c r="R108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97" i="9"/>
  <c r="R101" i="9"/>
  <c r="R105" i="9"/>
  <c r="R99" i="9"/>
  <c r="R103" i="9"/>
  <c r="R95" i="9"/>
  <c r="R107" i="9"/>
  <c r="N107" i="6"/>
  <c r="M107" i="6"/>
  <c r="O107" i="6"/>
  <c r="K106" i="6"/>
  <c r="I106" i="6"/>
  <c r="J81" i="6"/>
  <c r="L81" i="6"/>
  <c r="N79" i="6"/>
  <c r="M79" i="6"/>
  <c r="O79" i="6"/>
  <c r="K78" i="6"/>
  <c r="I78" i="6"/>
  <c r="K51" i="6"/>
  <c r="I51" i="6"/>
  <c r="M52" i="6"/>
  <c r="O52" i="6"/>
  <c r="N52" i="6"/>
  <c r="J54" i="6"/>
  <c r="L54" i="6"/>
  <c r="N24" i="6"/>
  <c r="M24" i="6"/>
  <c r="O24" i="6"/>
  <c r="K23" i="6"/>
  <c r="I23" i="6"/>
  <c r="J26" i="6"/>
  <c r="L26" i="6"/>
  <c r="S82" i="12"/>
  <c r="S130" i="12"/>
  <c r="D36" i="12"/>
  <c r="S39" i="12"/>
  <c r="S51" i="12"/>
  <c r="S101" i="12"/>
  <c r="S40" i="12"/>
  <c r="S105" i="12"/>
  <c r="S75" i="12"/>
  <c r="S137" i="12"/>
  <c r="S79" i="12"/>
  <c r="D64" i="12"/>
  <c r="S123" i="12"/>
  <c r="S103" i="12"/>
  <c r="S106" i="12"/>
  <c r="S73" i="12"/>
  <c r="S102" i="12"/>
  <c r="S124" i="12"/>
  <c r="S98" i="12"/>
  <c r="S138" i="12"/>
  <c r="S136" i="12"/>
  <c r="S99" i="12"/>
  <c r="S52" i="12"/>
  <c r="S70" i="12"/>
  <c r="S59" i="12"/>
  <c r="S131" i="12"/>
  <c r="S127" i="12"/>
  <c r="S104" i="12"/>
  <c r="S133" i="12"/>
  <c r="S126" i="12"/>
  <c r="S132" i="12"/>
  <c r="S97" i="12"/>
  <c r="S109" i="12"/>
  <c r="S135" i="12"/>
  <c r="S96" i="12"/>
  <c r="S72" i="12"/>
  <c r="S129" i="12"/>
  <c r="D92" i="12"/>
  <c r="D120" i="12"/>
  <c r="S111" i="12"/>
  <c r="S100" i="12"/>
  <c r="S108" i="12"/>
  <c r="S125" i="12"/>
  <c r="S107" i="12"/>
  <c r="S134" i="12"/>
  <c r="S128" i="12"/>
  <c r="S95" i="12"/>
  <c r="S110" i="12"/>
  <c r="S112" i="12"/>
  <c r="T105" i="9"/>
  <c r="S105" i="9"/>
  <c r="T133" i="9"/>
  <c r="S133" i="9"/>
  <c r="T125" i="9"/>
  <c r="S125" i="9"/>
  <c r="T100" i="9"/>
  <c r="S100" i="9"/>
  <c r="T128" i="9"/>
  <c r="S128" i="9"/>
  <c r="T106" i="9"/>
  <c r="S106" i="9"/>
  <c r="T107" i="9"/>
  <c r="S107" i="9"/>
  <c r="T99" i="9"/>
  <c r="S99" i="9"/>
  <c r="T134" i="9"/>
  <c r="S134" i="9"/>
  <c r="T130" i="9"/>
  <c r="S130" i="9"/>
  <c r="T126" i="9"/>
  <c r="S126" i="9"/>
  <c r="T122" i="9"/>
  <c r="S122" i="9"/>
  <c r="T102" i="9"/>
  <c r="S102" i="9"/>
  <c r="T94" i="9"/>
  <c r="S94" i="9"/>
  <c r="T95" i="9"/>
  <c r="S95" i="9"/>
  <c r="T129" i="9"/>
  <c r="S129" i="9"/>
  <c r="T108" i="9"/>
  <c r="S108" i="9"/>
  <c r="T101" i="9"/>
  <c r="S101" i="9"/>
  <c r="T132" i="9"/>
  <c r="S132" i="9"/>
  <c r="T124" i="9"/>
  <c r="S124" i="9"/>
  <c r="T98" i="9"/>
  <c r="S98" i="9"/>
  <c r="T109" i="9"/>
  <c r="S109" i="9"/>
  <c r="T103" i="9"/>
  <c r="S103" i="9"/>
  <c r="T97" i="9"/>
  <c r="S97" i="9"/>
  <c r="T135" i="9"/>
  <c r="S135" i="9"/>
  <c r="T131" i="9"/>
  <c r="S131" i="9"/>
  <c r="T127" i="9"/>
  <c r="S127" i="9"/>
  <c r="T123" i="9"/>
  <c r="S123" i="9"/>
  <c r="T104" i="9"/>
  <c r="S104" i="9"/>
  <c r="T96" i="9"/>
  <c r="S96" i="9"/>
  <c r="N108" i="6"/>
  <c r="M108" i="6"/>
  <c r="O108" i="6"/>
  <c r="K107" i="6"/>
  <c r="I107" i="6"/>
  <c r="N80" i="6"/>
  <c r="M80" i="6"/>
  <c r="O80" i="6"/>
  <c r="J82" i="6"/>
  <c r="L82" i="6"/>
  <c r="K79" i="6"/>
  <c r="I79" i="6"/>
  <c r="K52" i="6"/>
  <c r="I52" i="6"/>
  <c r="M53" i="6"/>
  <c r="O53" i="6"/>
  <c r="N53" i="6"/>
  <c r="J55" i="6"/>
  <c r="L55" i="6"/>
  <c r="K24" i="6"/>
  <c r="I24" i="6"/>
  <c r="J27" i="6"/>
  <c r="L27" i="6"/>
  <c r="M25" i="6"/>
  <c r="O25" i="6"/>
  <c r="N25" i="6"/>
  <c r="D119" i="9"/>
  <c r="N109" i="6"/>
  <c r="F91" i="6"/>
  <c r="M109" i="6"/>
  <c r="O109" i="6"/>
  <c r="K108" i="6"/>
  <c r="I108" i="6"/>
  <c r="K80" i="6"/>
  <c r="I80" i="6"/>
  <c r="N81" i="6"/>
  <c r="M81" i="6"/>
  <c r="O81" i="6"/>
  <c r="K53" i="6"/>
  <c r="I53" i="6"/>
  <c r="J56" i="6"/>
  <c r="L56" i="6"/>
  <c r="M54" i="6"/>
  <c r="O54" i="6"/>
  <c r="N54" i="6"/>
  <c r="M26" i="6"/>
  <c r="O26" i="6"/>
  <c r="N26" i="6"/>
  <c r="K25" i="6"/>
  <c r="I25" i="6"/>
  <c r="J28" i="6"/>
  <c r="L28" i="6"/>
  <c r="O91" i="6"/>
  <c r="H91" i="6"/>
  <c r="G91" i="6"/>
  <c r="K109" i="6"/>
  <c r="I109" i="6"/>
  <c r="N82" i="6"/>
  <c r="F63" i="6"/>
  <c r="M82" i="6"/>
  <c r="O82" i="6"/>
  <c r="K81" i="6"/>
  <c r="I81" i="6"/>
  <c r="K54" i="6"/>
  <c r="I54" i="6"/>
  <c r="M55" i="6"/>
  <c r="O55" i="6"/>
  <c r="N55" i="6"/>
  <c r="K26" i="6"/>
  <c r="I26" i="6"/>
  <c r="M27" i="6"/>
  <c r="O27" i="6"/>
  <c r="N27" i="6"/>
  <c r="J29" i="6"/>
  <c r="L29" i="6"/>
  <c r="O63" i="6"/>
  <c r="H63" i="6"/>
  <c r="G63" i="6"/>
  <c r="K91" i="6"/>
  <c r="L91" i="6"/>
  <c r="E91" i="6"/>
  <c r="K82" i="6"/>
  <c r="I82" i="6"/>
  <c r="M56" i="6"/>
  <c r="O56" i="6"/>
  <c r="N56" i="6"/>
  <c r="K55" i="6"/>
  <c r="I55" i="6"/>
  <c r="N28" i="6"/>
  <c r="M28" i="6"/>
  <c r="O28" i="6"/>
  <c r="K27" i="6"/>
  <c r="I27" i="6"/>
  <c r="J30" i="6"/>
  <c r="L30" i="6"/>
  <c r="M91" i="6"/>
  <c r="K63" i="6"/>
  <c r="L63" i="6"/>
  <c r="E63" i="6"/>
  <c r="K56" i="6"/>
  <c r="I56" i="6"/>
  <c r="M57" i="6"/>
  <c r="O57" i="6"/>
  <c r="N57" i="6"/>
  <c r="F35" i="6"/>
  <c r="K28" i="6"/>
  <c r="I28" i="6"/>
  <c r="M29" i="6"/>
  <c r="O29" i="6"/>
  <c r="N29" i="6"/>
  <c r="J31" i="6"/>
  <c r="L31" i="6"/>
  <c r="O35" i="6"/>
  <c r="H35" i="6"/>
  <c r="G35" i="6"/>
  <c r="M63" i="6"/>
  <c r="P96" i="6"/>
  <c r="Q96" i="6"/>
  <c r="R96" i="6"/>
  <c r="P98" i="6"/>
  <c r="Q98" i="6"/>
  <c r="R98" i="6"/>
  <c r="P101" i="6"/>
  <c r="Q101" i="6"/>
  <c r="R101" i="6"/>
  <c r="P95" i="6"/>
  <c r="Q95" i="6"/>
  <c r="R95" i="6"/>
  <c r="P102" i="6"/>
  <c r="Q102" i="6"/>
  <c r="R102" i="6"/>
  <c r="P97" i="6"/>
  <c r="Q97" i="6"/>
  <c r="R97" i="6"/>
  <c r="P99" i="6"/>
  <c r="Q99" i="6"/>
  <c r="R99" i="6"/>
  <c r="P94" i="6"/>
  <c r="Q94" i="6"/>
  <c r="R94" i="6"/>
  <c r="P100" i="6"/>
  <c r="Q100" i="6"/>
  <c r="R100" i="6"/>
  <c r="P103" i="6"/>
  <c r="Q103" i="6"/>
  <c r="R103" i="6"/>
  <c r="P104" i="6"/>
  <c r="Q104" i="6"/>
  <c r="R104" i="6"/>
  <c r="P105" i="6"/>
  <c r="Q105" i="6"/>
  <c r="R105" i="6"/>
  <c r="P106" i="6"/>
  <c r="Q106" i="6"/>
  <c r="R106" i="6"/>
  <c r="P107" i="6"/>
  <c r="Q107" i="6"/>
  <c r="R107" i="6"/>
  <c r="P108" i="6"/>
  <c r="Q108" i="6"/>
  <c r="R108" i="6"/>
  <c r="P109" i="6"/>
  <c r="Q109" i="6"/>
  <c r="R109" i="6"/>
  <c r="K57" i="6"/>
  <c r="I57" i="6"/>
  <c r="K29" i="6"/>
  <c r="I29" i="6"/>
  <c r="M30" i="6"/>
  <c r="O30" i="6"/>
  <c r="N30" i="6"/>
  <c r="K35" i="6"/>
  <c r="L35" i="6"/>
  <c r="E35" i="6"/>
  <c r="Q98" i="11"/>
  <c r="R98" i="11"/>
  <c r="T98" i="11"/>
  <c r="Q95" i="11"/>
  <c r="R95" i="11"/>
  <c r="T95" i="11"/>
  <c r="Q108" i="11"/>
  <c r="R108" i="11"/>
  <c r="T108" i="11"/>
  <c r="Q109" i="11"/>
  <c r="R109" i="11"/>
  <c r="T109" i="11"/>
  <c r="Q94" i="11"/>
  <c r="R94" i="11"/>
  <c r="T94" i="11"/>
  <c r="Q101" i="11"/>
  <c r="R101" i="11"/>
  <c r="T101" i="11"/>
  <c r="Q105" i="11"/>
  <c r="R105" i="11"/>
  <c r="T105" i="11"/>
  <c r="Q102" i="11"/>
  <c r="R102" i="11"/>
  <c r="T102" i="11"/>
  <c r="Q104" i="11"/>
  <c r="R104" i="11"/>
  <c r="T104" i="11"/>
  <c r="Q103" i="11"/>
  <c r="R103" i="11"/>
  <c r="T103" i="11"/>
  <c r="Q97" i="11"/>
  <c r="R97" i="11"/>
  <c r="T97" i="11"/>
  <c r="Q96" i="11"/>
  <c r="R96" i="11"/>
  <c r="T96" i="11"/>
  <c r="Q106" i="11"/>
  <c r="R106" i="11"/>
  <c r="Q100" i="11"/>
  <c r="R100" i="11"/>
  <c r="T100" i="11"/>
  <c r="Q107" i="11"/>
  <c r="R107" i="11"/>
  <c r="T107" i="11"/>
  <c r="P67" i="6"/>
  <c r="Q67" i="6"/>
  <c r="R67" i="6"/>
  <c r="P68" i="6"/>
  <c r="Q68" i="6"/>
  <c r="R68" i="6"/>
  <c r="P72" i="6"/>
  <c r="Q72" i="6"/>
  <c r="R72" i="6"/>
  <c r="P66" i="6"/>
  <c r="Q66" i="6"/>
  <c r="R66" i="6"/>
  <c r="P70" i="6"/>
  <c r="Q70" i="6"/>
  <c r="R70" i="6"/>
  <c r="P71" i="6"/>
  <c r="Q71" i="6"/>
  <c r="R71" i="6"/>
  <c r="P69" i="6"/>
  <c r="Q69" i="6"/>
  <c r="R69" i="6"/>
  <c r="P73" i="6"/>
  <c r="Q73" i="6"/>
  <c r="R73" i="6"/>
  <c r="P74" i="6"/>
  <c r="Q74" i="6"/>
  <c r="R74" i="6"/>
  <c r="P75" i="6"/>
  <c r="Q75" i="6"/>
  <c r="R75" i="6"/>
  <c r="P76" i="6"/>
  <c r="Q76" i="6"/>
  <c r="R76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Q99" i="11"/>
  <c r="R99" i="11"/>
  <c r="T99" i="11"/>
  <c r="K30" i="6"/>
  <c r="I30" i="6"/>
  <c r="M31" i="6"/>
  <c r="O31" i="6"/>
  <c r="N31" i="6"/>
  <c r="M35" i="6"/>
  <c r="T106" i="11"/>
  <c r="D91" i="11"/>
  <c r="S106" i="11"/>
  <c r="S102" i="11"/>
  <c r="S94" i="11"/>
  <c r="S95" i="11"/>
  <c r="S104" i="11"/>
  <c r="S97" i="11"/>
  <c r="S105" i="11"/>
  <c r="S101" i="11"/>
  <c r="S100" i="11"/>
  <c r="S108" i="11"/>
  <c r="S107" i="11"/>
  <c r="S98" i="11"/>
  <c r="S109" i="11"/>
  <c r="S96" i="11"/>
  <c r="S103" i="11"/>
  <c r="S99" i="11"/>
  <c r="K31" i="6"/>
  <c r="N32" i="6"/>
  <c r="M32" i="6"/>
  <c r="O32" i="6"/>
  <c r="D91" i="9"/>
  <c r="Q81" i="11"/>
  <c r="R81" i="11"/>
  <c r="T81" i="11"/>
  <c r="Q66" i="11"/>
  <c r="R66" i="11"/>
  <c r="T66" i="11"/>
  <c r="Q68" i="11"/>
  <c r="R68" i="11"/>
  <c r="T68" i="11"/>
  <c r="Q76" i="11"/>
  <c r="R76" i="11"/>
  <c r="T76" i="11"/>
  <c r="Q73" i="11"/>
  <c r="R73" i="11"/>
  <c r="T73" i="11"/>
  <c r="Q71" i="11"/>
  <c r="R71" i="11"/>
  <c r="T71" i="11"/>
  <c r="Q78" i="11"/>
  <c r="R78" i="11"/>
  <c r="T78" i="11"/>
  <c r="Q75" i="11"/>
  <c r="R75" i="11"/>
  <c r="T75" i="11"/>
  <c r="Q79" i="11"/>
  <c r="R79" i="11"/>
  <c r="T79" i="11"/>
  <c r="Q77" i="11"/>
  <c r="R77" i="11"/>
  <c r="T77" i="11"/>
  <c r="Q80" i="11"/>
  <c r="R80" i="11"/>
  <c r="T80" i="11"/>
  <c r="Q82" i="11"/>
  <c r="R82" i="11"/>
  <c r="T82" i="11"/>
  <c r="P38" i="6"/>
  <c r="Q38" i="6"/>
  <c r="R38" i="6"/>
  <c r="P41" i="6"/>
  <c r="Q41" i="6"/>
  <c r="R41" i="6"/>
  <c r="P40" i="6"/>
  <c r="Q40" i="6"/>
  <c r="R40" i="6"/>
  <c r="P46" i="6"/>
  <c r="Q46" i="6"/>
  <c r="R46" i="6"/>
  <c r="P43" i="6"/>
  <c r="Q43" i="6"/>
  <c r="R43" i="6"/>
  <c r="P47" i="6"/>
  <c r="Q47" i="6"/>
  <c r="R47" i="6"/>
  <c r="P44" i="6"/>
  <c r="Q44" i="6"/>
  <c r="R44" i="6"/>
  <c r="P42" i="6"/>
  <c r="Q42" i="6"/>
  <c r="R42" i="6"/>
  <c r="P39" i="6"/>
  <c r="Q39" i="6"/>
  <c r="R39" i="6"/>
  <c r="P45" i="6"/>
  <c r="Q45" i="6"/>
  <c r="R45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4" i="6"/>
  <c r="Q54" i="6"/>
  <c r="R54" i="6"/>
  <c r="P53" i="6"/>
  <c r="Q53" i="6"/>
  <c r="R53" i="6"/>
  <c r="P55" i="6"/>
  <c r="Q55" i="6"/>
  <c r="R55" i="6"/>
  <c r="P56" i="6"/>
  <c r="Q56" i="6"/>
  <c r="R56" i="6"/>
  <c r="P57" i="6"/>
  <c r="Q57" i="6"/>
  <c r="R57" i="6"/>
  <c r="Q84" i="11"/>
  <c r="R84" i="11"/>
  <c r="T84" i="11"/>
  <c r="Q69" i="11"/>
  <c r="R69" i="11"/>
  <c r="T69" i="11"/>
  <c r="Q67" i="11"/>
  <c r="R67" i="11"/>
  <c r="T67" i="11"/>
  <c r="Q72" i="11"/>
  <c r="R72" i="11"/>
  <c r="T72" i="11"/>
  <c r="Q74" i="11"/>
  <c r="R74" i="11"/>
  <c r="T74" i="11"/>
  <c r="Q83" i="11"/>
  <c r="R83" i="11"/>
  <c r="T83" i="11"/>
  <c r="Q70" i="11"/>
  <c r="R70" i="11"/>
  <c r="T70" i="11"/>
  <c r="F8" i="6"/>
  <c r="G8" i="6"/>
  <c r="I31" i="6"/>
  <c r="K32" i="6"/>
  <c r="I32" i="6"/>
  <c r="S79" i="11"/>
  <c r="S81" i="11"/>
  <c r="S70" i="11"/>
  <c r="S78" i="11"/>
  <c r="S84" i="11"/>
  <c r="S68" i="11"/>
  <c r="S74" i="11"/>
  <c r="S80" i="11"/>
  <c r="S73" i="11"/>
  <c r="S67" i="11"/>
  <c r="O8" i="6"/>
  <c r="H8" i="6"/>
  <c r="D63" i="9"/>
  <c r="S69" i="11"/>
  <c r="S82" i="11"/>
  <c r="S77" i="11"/>
  <c r="S75" i="11"/>
  <c r="S71" i="11"/>
  <c r="S76" i="11"/>
  <c r="S66" i="11"/>
  <c r="S83" i="11"/>
  <c r="S72" i="11"/>
  <c r="D63" i="11"/>
  <c r="K8" i="6"/>
  <c r="L8" i="6"/>
  <c r="Q50" i="11"/>
  <c r="R50" i="11"/>
  <c r="T50" i="11"/>
  <c r="Q46" i="11"/>
  <c r="R46" i="11"/>
  <c r="T46" i="11"/>
  <c r="Q55" i="11"/>
  <c r="R55" i="11"/>
  <c r="T55" i="11"/>
  <c r="Q41" i="11"/>
  <c r="R41" i="11"/>
  <c r="T41" i="11"/>
  <c r="Q49" i="11"/>
  <c r="R49" i="11"/>
  <c r="T49" i="11"/>
  <c r="Q39" i="11"/>
  <c r="R39" i="11"/>
  <c r="T39" i="11"/>
  <c r="Q51" i="11"/>
  <c r="R51" i="11"/>
  <c r="T51" i="11"/>
  <c r="Q40" i="11"/>
  <c r="R40" i="11"/>
  <c r="T40" i="11"/>
  <c r="Q43" i="11"/>
  <c r="R43" i="11"/>
  <c r="T43" i="11"/>
  <c r="Q52" i="11"/>
  <c r="R52" i="11"/>
  <c r="T52" i="11"/>
  <c r="Q47" i="11"/>
  <c r="R47" i="11"/>
  <c r="T47" i="11"/>
  <c r="Q42" i="11"/>
  <c r="R42" i="11"/>
  <c r="T42" i="11"/>
  <c r="Q53" i="11"/>
  <c r="R53" i="11"/>
  <c r="T53" i="11"/>
  <c r="Q44" i="11"/>
  <c r="R44" i="11"/>
  <c r="T44" i="11"/>
  <c r="D35" i="9"/>
  <c r="Q56" i="11"/>
  <c r="R56" i="11"/>
  <c r="T56" i="11"/>
  <c r="Q54" i="11"/>
  <c r="R54" i="11"/>
  <c r="T54" i="11"/>
  <c r="Q58" i="11"/>
  <c r="R58" i="11"/>
  <c r="T58" i="11"/>
  <c r="Q45" i="11"/>
  <c r="R45" i="11"/>
  <c r="T45" i="11"/>
  <c r="Q57" i="11"/>
  <c r="R57" i="11"/>
  <c r="T57" i="11"/>
  <c r="Q48" i="11"/>
  <c r="R48" i="11"/>
  <c r="T48" i="11"/>
  <c r="E8" i="6"/>
  <c r="M8" i="6"/>
  <c r="P12" i="6"/>
  <c r="Q12" i="6"/>
  <c r="R12" i="6"/>
  <c r="S12" i="6"/>
  <c r="S57" i="11"/>
  <c r="S43" i="11"/>
  <c r="S58" i="11"/>
  <c r="S48" i="11"/>
  <c r="S54" i="11"/>
  <c r="S47" i="11"/>
  <c r="S50" i="11"/>
  <c r="S55" i="11"/>
  <c r="S42" i="11"/>
  <c r="S52" i="11"/>
  <c r="S40" i="11"/>
  <c r="S49" i="11"/>
  <c r="S45" i="11"/>
  <c r="S56" i="11"/>
  <c r="S53" i="11"/>
  <c r="S51" i="11"/>
  <c r="D35" i="11"/>
  <c r="S44" i="11"/>
  <c r="S39" i="11"/>
  <c r="S41" i="11"/>
  <c r="S46" i="11"/>
  <c r="T52" i="6"/>
  <c r="T50" i="6"/>
  <c r="T101" i="6"/>
  <c r="S98" i="6"/>
  <c r="T69" i="6"/>
  <c r="T68" i="6"/>
  <c r="T125" i="6"/>
  <c r="T122" i="6"/>
  <c r="S124" i="6"/>
  <c r="S40" i="6"/>
  <c r="T129" i="6"/>
  <c r="T123" i="6"/>
  <c r="T94" i="6"/>
  <c r="S56" i="6"/>
  <c r="T54" i="6"/>
  <c r="S107" i="6"/>
  <c r="T77" i="6"/>
  <c r="S48" i="6"/>
  <c r="S102" i="6"/>
  <c r="T44" i="6"/>
  <c r="T71" i="6"/>
  <c r="S97" i="6"/>
  <c r="S133" i="6"/>
  <c r="T131" i="6"/>
  <c r="T56" i="6"/>
  <c r="T53" i="6"/>
  <c r="S53" i="6"/>
  <c r="T105" i="6"/>
  <c r="S105" i="6"/>
  <c r="S50" i="6"/>
  <c r="T103" i="6"/>
  <c r="S103" i="6"/>
  <c r="T100" i="6"/>
  <c r="S100" i="6"/>
  <c r="T98" i="6"/>
  <c r="T95" i="6"/>
  <c r="S95" i="6"/>
  <c r="T40" i="6"/>
  <c r="T66" i="6"/>
  <c r="S66" i="6"/>
  <c r="T55" i="6"/>
  <c r="S55" i="6"/>
  <c r="T107" i="6"/>
  <c r="T106" i="6"/>
  <c r="S106" i="6"/>
  <c r="S77" i="6"/>
  <c r="T48" i="6"/>
  <c r="T46" i="6"/>
  <c r="S46" i="6"/>
  <c r="S125" i="6"/>
  <c r="T67" i="6"/>
  <c r="S67" i="6"/>
  <c r="T128" i="6"/>
  <c r="S128" i="6"/>
  <c r="T127" i="6"/>
  <c r="S127" i="6"/>
  <c r="T38" i="6"/>
  <c r="S38" i="6"/>
  <c r="T82" i="6"/>
  <c r="S82" i="6"/>
  <c r="T109" i="6"/>
  <c r="S109" i="6"/>
  <c r="T79" i="6"/>
  <c r="S79" i="6"/>
  <c r="T78" i="6"/>
  <c r="S78" i="6"/>
  <c r="T49" i="6"/>
  <c r="S49" i="6"/>
  <c r="S76" i="6"/>
  <c r="T76" i="6"/>
  <c r="T47" i="6"/>
  <c r="S47" i="6"/>
  <c r="T45" i="6"/>
  <c r="S45" i="6"/>
  <c r="T99" i="6"/>
  <c r="S99" i="6"/>
  <c r="T43" i="6"/>
  <c r="S43" i="6"/>
  <c r="T42" i="6"/>
  <c r="S42" i="6"/>
  <c r="T41" i="6"/>
  <c r="S41" i="6"/>
  <c r="T132" i="6"/>
  <c r="S132" i="6"/>
  <c r="T134" i="6"/>
  <c r="S134" i="6"/>
  <c r="S129" i="6"/>
  <c r="T57" i="6"/>
  <c r="S57" i="6"/>
  <c r="T81" i="6"/>
  <c r="S81" i="6"/>
  <c r="T108" i="6"/>
  <c r="S108" i="6"/>
  <c r="S80" i="6"/>
  <c r="T80" i="6"/>
  <c r="T51" i="6"/>
  <c r="S51" i="6"/>
  <c r="T104" i="6"/>
  <c r="S104" i="6"/>
  <c r="T75" i="6"/>
  <c r="S75" i="6"/>
  <c r="T74" i="6"/>
  <c r="S74" i="6"/>
  <c r="T73" i="6"/>
  <c r="S73" i="6"/>
  <c r="T72" i="6"/>
  <c r="S72" i="6"/>
  <c r="T70" i="6"/>
  <c r="S70" i="6"/>
  <c r="T39" i="6"/>
  <c r="S39" i="6"/>
  <c r="T130" i="6"/>
  <c r="S130" i="6"/>
  <c r="T126" i="6"/>
  <c r="S126" i="6"/>
  <c r="T96" i="6"/>
  <c r="S96" i="6"/>
  <c r="S94" i="6"/>
  <c r="P16" i="6"/>
  <c r="Q16" i="6"/>
  <c r="R16" i="6"/>
  <c r="S16" i="6"/>
  <c r="P29" i="6"/>
  <c r="Q29" i="6"/>
  <c r="R29" i="6"/>
  <c r="S29" i="6"/>
  <c r="P27" i="6"/>
  <c r="Q27" i="6"/>
  <c r="R27" i="6"/>
  <c r="T27" i="6"/>
  <c r="P24" i="6"/>
  <c r="Q24" i="6"/>
  <c r="R24" i="6"/>
  <c r="T24" i="6"/>
  <c r="P14" i="6"/>
  <c r="Q14" i="6"/>
  <c r="R14" i="6"/>
  <c r="T14" i="6"/>
  <c r="P32" i="6"/>
  <c r="Q32" i="6"/>
  <c r="R32" i="6"/>
  <c r="T32" i="6"/>
  <c r="P21" i="6"/>
  <c r="Q21" i="6"/>
  <c r="R21" i="6"/>
  <c r="S21" i="6"/>
  <c r="P13" i="6"/>
  <c r="Q13" i="6"/>
  <c r="R13" i="6"/>
  <c r="T13" i="6"/>
  <c r="P31" i="6"/>
  <c r="Q31" i="6"/>
  <c r="R31" i="6"/>
  <c r="S31" i="6"/>
  <c r="P25" i="6"/>
  <c r="Q25" i="6"/>
  <c r="R25" i="6"/>
  <c r="T25" i="6"/>
  <c r="P20" i="6"/>
  <c r="Q20" i="6"/>
  <c r="R20" i="6"/>
  <c r="T20" i="6"/>
  <c r="P15" i="6"/>
  <c r="Q15" i="6"/>
  <c r="R15" i="6"/>
  <c r="S15" i="6"/>
  <c r="P17" i="6"/>
  <c r="Q17" i="6"/>
  <c r="R17" i="6"/>
  <c r="S17" i="6"/>
  <c r="P28" i="6"/>
  <c r="Q28" i="6"/>
  <c r="R28" i="6"/>
  <c r="S28" i="6"/>
  <c r="P23" i="6"/>
  <c r="Q23" i="6"/>
  <c r="R23" i="6"/>
  <c r="S23" i="6"/>
  <c r="P19" i="6"/>
  <c r="Q19" i="6"/>
  <c r="R19" i="6"/>
  <c r="T19" i="6"/>
  <c r="P18" i="6"/>
  <c r="P30" i="6"/>
  <c r="Q30" i="6"/>
  <c r="R30" i="6"/>
  <c r="T30" i="6"/>
  <c r="P26" i="6"/>
  <c r="Q26" i="6"/>
  <c r="R26" i="6"/>
  <c r="T26" i="6"/>
  <c r="P22" i="6"/>
  <c r="Q22" i="6"/>
  <c r="R22" i="6"/>
  <c r="T22" i="6"/>
  <c r="P11" i="6"/>
  <c r="Q11" i="6"/>
  <c r="R11" i="6"/>
  <c r="S11" i="6"/>
  <c r="Q16" i="12"/>
  <c r="R16" i="12"/>
  <c r="T16" i="12"/>
  <c r="Q19" i="12"/>
  <c r="R19" i="12"/>
  <c r="T19" i="12"/>
  <c r="Q26" i="12"/>
  <c r="R26" i="12"/>
  <c r="T26" i="12"/>
  <c r="Q12" i="12"/>
  <c r="R12" i="12"/>
  <c r="T12" i="12"/>
  <c r="Q20" i="12"/>
  <c r="R20" i="12"/>
  <c r="T20" i="12"/>
  <c r="Q13" i="12"/>
  <c r="R13" i="12"/>
  <c r="T13" i="12"/>
  <c r="Q25" i="12"/>
  <c r="R25" i="12"/>
  <c r="T25" i="12"/>
  <c r="Q21" i="12"/>
  <c r="R21" i="12"/>
  <c r="T21" i="12"/>
  <c r="Q31" i="12"/>
  <c r="R31" i="12"/>
  <c r="T31" i="12"/>
  <c r="Q18" i="11"/>
  <c r="R18" i="11"/>
  <c r="T18" i="11"/>
  <c r="Q14" i="17"/>
  <c r="R14" i="17"/>
  <c r="T14" i="17"/>
  <c r="Q27" i="11"/>
  <c r="R27" i="11"/>
  <c r="T27" i="11"/>
  <c r="Q25" i="11"/>
  <c r="R25" i="11"/>
  <c r="T25" i="11"/>
  <c r="Q11" i="17"/>
  <c r="R11" i="17"/>
  <c r="T11" i="17"/>
  <c r="Q27" i="12"/>
  <c r="R27" i="12"/>
  <c r="T27" i="12"/>
  <c r="Q11" i="12"/>
  <c r="R11" i="12"/>
  <c r="T11" i="12"/>
  <c r="Q28" i="12"/>
  <c r="R28" i="12"/>
  <c r="T28" i="12"/>
  <c r="Q32" i="12"/>
  <c r="R32" i="12"/>
  <c r="T32" i="12"/>
  <c r="Q37" i="17"/>
  <c r="R37" i="17"/>
  <c r="T37" i="17"/>
  <c r="Q24" i="12"/>
  <c r="R24" i="12"/>
  <c r="T24" i="12"/>
  <c r="Q15" i="12"/>
  <c r="R15" i="12"/>
  <c r="T15" i="12"/>
  <c r="Q14" i="12"/>
  <c r="R14" i="12"/>
  <c r="T14" i="12"/>
  <c r="Q23" i="12"/>
  <c r="R23" i="12"/>
  <c r="T23" i="12"/>
  <c r="Q28" i="11"/>
  <c r="R28" i="11"/>
  <c r="T28" i="11"/>
  <c r="Q20" i="11"/>
  <c r="R20" i="11"/>
  <c r="T20" i="11"/>
  <c r="Q21" i="11"/>
  <c r="R21" i="11"/>
  <c r="T21" i="11"/>
  <c r="Q15" i="11"/>
  <c r="R15" i="11"/>
  <c r="T15" i="11"/>
  <c r="Q27" i="17"/>
  <c r="R27" i="17"/>
  <c r="T27" i="17"/>
  <c r="Q31" i="17"/>
  <c r="R31" i="17"/>
  <c r="T31" i="17"/>
  <c r="Q19" i="11"/>
  <c r="R19" i="11"/>
  <c r="T19" i="11"/>
  <c r="Q23" i="11"/>
  <c r="R23" i="11"/>
  <c r="T23" i="11"/>
  <c r="Q23" i="17"/>
  <c r="R23" i="17"/>
  <c r="T23" i="17"/>
  <c r="Q28" i="17"/>
  <c r="R28" i="17"/>
  <c r="T28" i="17"/>
  <c r="Q33" i="12"/>
  <c r="R33" i="12"/>
  <c r="Q29" i="12"/>
  <c r="R29" i="12"/>
  <c r="T29" i="12"/>
  <c r="Q22" i="12"/>
  <c r="R22" i="12"/>
  <c r="T22" i="12"/>
  <c r="Q17" i="12"/>
  <c r="R17" i="12"/>
  <c r="T17" i="12"/>
  <c r="Q30" i="12"/>
  <c r="R30" i="12"/>
  <c r="T30" i="12"/>
  <c r="Q11" i="11"/>
  <c r="R11" i="11"/>
  <c r="T11" i="11"/>
  <c r="Q22" i="11"/>
  <c r="R22" i="11"/>
  <c r="T22" i="11"/>
  <c r="Q30" i="11"/>
  <c r="R30" i="11"/>
  <c r="T30" i="11"/>
  <c r="Q17" i="11"/>
  <c r="R17" i="11"/>
  <c r="T17" i="11"/>
  <c r="Q16" i="11"/>
  <c r="R16" i="11"/>
  <c r="T16" i="11"/>
  <c r="Q24" i="11"/>
  <c r="R24" i="11"/>
  <c r="T24" i="11"/>
  <c r="Q14" i="11"/>
  <c r="R14" i="11"/>
  <c r="T14" i="11"/>
  <c r="Q12" i="11"/>
  <c r="R12" i="11"/>
  <c r="T12" i="11"/>
  <c r="Q13" i="11"/>
  <c r="R13" i="11"/>
  <c r="T13" i="11"/>
  <c r="Q31" i="11"/>
  <c r="R31" i="11"/>
  <c r="T31" i="11"/>
  <c r="Q16" i="17"/>
  <c r="R16" i="17"/>
  <c r="T16" i="17"/>
  <c r="Q38" i="17"/>
  <c r="R38" i="17"/>
  <c r="Q32" i="17"/>
  <c r="R32" i="17"/>
  <c r="T32" i="17"/>
  <c r="Q15" i="17"/>
  <c r="R15" i="17"/>
  <c r="T15" i="17"/>
  <c r="Q20" i="17"/>
  <c r="R20" i="17"/>
  <c r="T20" i="17"/>
  <c r="Q18" i="17"/>
  <c r="R18" i="17"/>
  <c r="T18" i="17"/>
  <c r="Q12" i="17"/>
  <c r="R12" i="17"/>
  <c r="Q33" i="17"/>
  <c r="R33" i="17"/>
  <c r="Q19" i="17"/>
  <c r="R19" i="17"/>
  <c r="T19" i="17"/>
  <c r="Q25" i="17"/>
  <c r="R25" i="17"/>
  <c r="T25" i="17"/>
  <c r="Q35" i="17"/>
  <c r="R35" i="17"/>
  <c r="T35" i="17"/>
  <c r="Q24" i="17"/>
  <c r="R24" i="17"/>
  <c r="T24" i="17"/>
  <c r="Q22" i="17"/>
  <c r="R22" i="17"/>
  <c r="T22" i="17"/>
  <c r="Q29" i="17"/>
  <c r="R29" i="17"/>
  <c r="T29" i="17"/>
  <c r="Q17" i="17"/>
  <c r="R17" i="17"/>
  <c r="T17" i="17"/>
  <c r="Q36" i="17"/>
  <c r="R36" i="17"/>
  <c r="T36" i="17"/>
  <c r="Q13" i="17"/>
  <c r="R13" i="17"/>
  <c r="T13" i="17"/>
  <c r="Q30" i="17"/>
  <c r="R30" i="17"/>
  <c r="T30" i="17"/>
  <c r="Q34" i="17"/>
  <c r="R34" i="17"/>
  <c r="T34" i="17"/>
  <c r="Q29" i="11"/>
  <c r="R29" i="11"/>
  <c r="T29" i="11"/>
  <c r="Q21" i="17"/>
  <c r="R21" i="17"/>
  <c r="T21" i="17"/>
  <c r="Q18" i="12"/>
  <c r="R18" i="12"/>
  <c r="T18" i="12"/>
  <c r="T16" i="6"/>
  <c r="Q26" i="11"/>
  <c r="R26" i="11"/>
  <c r="T26" i="11"/>
  <c r="S131" i="6"/>
  <c r="T124" i="6"/>
  <c r="T133" i="6"/>
  <c r="S122" i="6"/>
  <c r="T102" i="6"/>
  <c r="T97" i="6"/>
  <c r="S54" i="6"/>
  <c r="S44" i="6"/>
  <c r="S69" i="6"/>
  <c r="S71" i="6"/>
  <c r="S123" i="6"/>
  <c r="S68" i="6"/>
  <c r="S101" i="6"/>
  <c r="S52" i="6"/>
  <c r="T12" i="6"/>
  <c r="D35" i="6"/>
  <c r="D63" i="6"/>
  <c r="T21" i="6"/>
  <c r="T29" i="6"/>
  <c r="T17" i="6"/>
  <c r="S25" i="6"/>
  <c r="S20" i="6"/>
  <c r="S26" i="6"/>
  <c r="T23" i="6"/>
  <c r="S27" i="6"/>
  <c r="S32" i="6"/>
  <c r="S14" i="6"/>
  <c r="T31" i="6"/>
  <c r="T28" i="6"/>
  <c r="S13" i="6"/>
  <c r="S30" i="6"/>
  <c r="S19" i="6"/>
  <c r="S24" i="6"/>
  <c r="T15" i="6"/>
  <c r="Q18" i="6"/>
  <c r="R18" i="6"/>
  <c r="T18" i="6"/>
  <c r="Q24" i="9"/>
  <c r="R24" i="9"/>
  <c r="T24" i="9"/>
  <c r="Q12" i="9"/>
  <c r="R12" i="9"/>
  <c r="T12" i="9"/>
  <c r="Q16" i="9"/>
  <c r="R16" i="9"/>
  <c r="T16" i="9"/>
  <c r="Q23" i="9"/>
  <c r="R23" i="9"/>
  <c r="T23" i="9"/>
  <c r="Q11" i="9"/>
  <c r="R11" i="9"/>
  <c r="T11" i="9"/>
  <c r="Q28" i="9"/>
  <c r="R28" i="9"/>
  <c r="T28" i="9"/>
  <c r="Q29" i="9"/>
  <c r="R29" i="9"/>
  <c r="T29" i="9"/>
  <c r="Q15" i="9"/>
  <c r="R15" i="9"/>
  <c r="T15" i="9"/>
  <c r="Q26" i="9"/>
  <c r="R26" i="9"/>
  <c r="T26" i="9"/>
  <c r="Q14" i="9"/>
  <c r="R14" i="9"/>
  <c r="T14" i="9"/>
  <c r="Q17" i="9"/>
  <c r="R17" i="9"/>
  <c r="T17" i="9"/>
  <c r="Q19" i="9"/>
  <c r="R19" i="9"/>
  <c r="T19" i="9"/>
  <c r="Q30" i="9"/>
  <c r="R30" i="9"/>
  <c r="T30" i="9"/>
  <c r="Q27" i="9"/>
  <c r="R27" i="9"/>
  <c r="T27" i="9"/>
  <c r="Q18" i="9"/>
  <c r="R18" i="9"/>
  <c r="T18" i="9"/>
  <c r="Q13" i="9"/>
  <c r="R13" i="9"/>
  <c r="T13" i="9"/>
  <c r="Q32" i="9"/>
  <c r="R32" i="9"/>
  <c r="T32" i="9"/>
  <c r="S22" i="6"/>
  <c r="T11" i="6"/>
  <c r="Q31" i="9"/>
  <c r="R31" i="9"/>
  <c r="T31" i="9"/>
  <c r="Q22" i="9"/>
  <c r="R22" i="9"/>
  <c r="T22" i="9"/>
  <c r="Q20" i="9"/>
  <c r="R20" i="9"/>
  <c r="T20" i="9"/>
  <c r="Q21" i="9"/>
  <c r="R21" i="9"/>
  <c r="T21" i="9"/>
  <c r="Q25" i="9"/>
  <c r="R25" i="9"/>
  <c r="T25" i="9"/>
  <c r="S26" i="11"/>
  <c r="S21" i="12"/>
  <c r="S15" i="12"/>
  <c r="S14" i="17"/>
  <c r="S16" i="12"/>
  <c r="S17" i="11"/>
  <c r="T33" i="17"/>
  <c r="S33" i="17"/>
  <c r="T12" i="17"/>
  <c r="S12" i="17"/>
  <c r="T33" i="12"/>
  <c r="D8" i="12"/>
  <c r="O8" i="15"/>
  <c r="S33" i="12"/>
  <c r="S23" i="17"/>
  <c r="S29" i="12"/>
  <c r="S19" i="12"/>
  <c r="S36" i="17"/>
  <c r="S14" i="12"/>
  <c r="S14" i="11"/>
  <c r="S13" i="17"/>
  <c r="S24" i="11"/>
  <c r="S34" i="17"/>
  <c r="S24" i="17"/>
  <c r="S15" i="17"/>
  <c r="S25" i="12"/>
  <c r="S28" i="17"/>
  <c r="S13" i="11"/>
  <c r="S21" i="11"/>
  <c r="S27" i="11"/>
  <c r="T38" i="17"/>
  <c r="S38" i="17"/>
  <c r="S13" i="12"/>
  <c r="S31" i="12"/>
  <c r="S17" i="17"/>
  <c r="S19" i="11"/>
  <c r="Q26" i="17"/>
  <c r="R26" i="17"/>
  <c r="T26" i="17"/>
  <c r="S15" i="11"/>
  <c r="D91" i="6"/>
  <c r="D119" i="6"/>
  <c r="S12" i="12"/>
  <c r="S11" i="12"/>
  <c r="S26" i="12"/>
  <c r="S37" i="17"/>
  <c r="S31" i="17"/>
  <c r="S11" i="17"/>
  <c r="S27" i="17"/>
  <c r="S31" i="11"/>
  <c r="S12" i="11"/>
  <c r="S17" i="12"/>
  <c r="S28" i="11"/>
  <c r="S25" i="11"/>
  <c r="S22" i="11"/>
  <c r="S22" i="17"/>
  <c r="D8" i="11"/>
  <c r="O7" i="15"/>
  <c r="Q16" i="14"/>
  <c r="R16" i="14"/>
  <c r="T16" i="14"/>
  <c r="Q13" i="14"/>
  <c r="R13" i="14"/>
  <c r="T13" i="14"/>
  <c r="Q18" i="14"/>
  <c r="R18" i="14"/>
  <c r="T18" i="14"/>
  <c r="Q17" i="14"/>
  <c r="R17" i="14"/>
  <c r="T17" i="14"/>
  <c r="Q29" i="14"/>
  <c r="R29" i="14"/>
  <c r="T29" i="14"/>
  <c r="Q30" i="14"/>
  <c r="R30" i="14"/>
  <c r="T30" i="14"/>
  <c r="Q32" i="14"/>
  <c r="R32" i="14"/>
  <c r="T32" i="14"/>
  <c r="Q28" i="14"/>
  <c r="R28" i="14"/>
  <c r="T28" i="14"/>
  <c r="Q19" i="14"/>
  <c r="R19" i="14"/>
  <c r="T19" i="14"/>
  <c r="Q24" i="14"/>
  <c r="R24" i="14"/>
  <c r="T24" i="14"/>
  <c r="Q25" i="14"/>
  <c r="R25" i="14"/>
  <c r="T25" i="14"/>
  <c r="S23" i="12"/>
  <c r="S24" i="12"/>
  <c r="S29" i="11"/>
  <c r="Q27" i="14"/>
  <c r="R27" i="14"/>
  <c r="T27" i="14"/>
  <c r="Q11" i="14"/>
  <c r="R11" i="14"/>
  <c r="T11" i="14"/>
  <c r="Q12" i="14"/>
  <c r="R12" i="14"/>
  <c r="T12" i="14"/>
  <c r="Q14" i="14"/>
  <c r="R14" i="14"/>
  <c r="T14" i="14"/>
  <c r="Q31" i="14"/>
  <c r="R31" i="14"/>
  <c r="T31" i="14"/>
  <c r="Q21" i="14"/>
  <c r="R21" i="14"/>
  <c r="T21" i="14"/>
  <c r="S18" i="12"/>
  <c r="S22" i="12"/>
  <c r="S19" i="17"/>
  <c r="S20" i="17"/>
  <c r="S20" i="11"/>
  <c r="S28" i="12"/>
  <c r="S32" i="17"/>
  <c r="S16" i="17"/>
  <c r="S18" i="11"/>
  <c r="S32" i="12"/>
  <c r="S20" i="12"/>
  <c r="S27" i="12"/>
  <c r="S21" i="17"/>
  <c r="S30" i="17"/>
  <c r="S29" i="17"/>
  <c r="S16" i="11"/>
  <c r="S30" i="11"/>
  <c r="S11" i="11"/>
  <c r="S30" i="12"/>
  <c r="S25" i="17"/>
  <c r="S18" i="17"/>
  <c r="S23" i="11"/>
  <c r="Q33" i="14"/>
  <c r="R33" i="14"/>
  <c r="T33" i="14"/>
  <c r="Q26" i="14"/>
  <c r="R26" i="14"/>
  <c r="T26" i="14"/>
  <c r="Q22" i="14"/>
  <c r="R22" i="14"/>
  <c r="T22" i="14"/>
  <c r="Q20" i="14"/>
  <c r="R20" i="14"/>
  <c r="T20" i="14"/>
  <c r="Q15" i="14"/>
  <c r="R15" i="14"/>
  <c r="T15" i="14"/>
  <c r="Q23" i="14"/>
  <c r="R23" i="14"/>
  <c r="T23" i="14"/>
  <c r="S35" i="17"/>
  <c r="S11" i="9"/>
  <c r="S25" i="9"/>
  <c r="S32" i="9"/>
  <c r="S18" i="6"/>
  <c r="D8" i="6"/>
  <c r="D8" i="17"/>
  <c r="M4" i="15"/>
  <c r="S24" i="9"/>
  <c r="S26" i="9"/>
  <c r="S31" i="9"/>
  <c r="S30" i="9"/>
  <c r="S18" i="9"/>
  <c r="S29" i="9"/>
  <c r="S20" i="9"/>
  <c r="S17" i="9"/>
  <c r="S16" i="9"/>
  <c r="S21" i="9"/>
  <c r="S22" i="9"/>
  <c r="S13" i="9"/>
  <c r="S27" i="9"/>
  <c r="S19" i="9"/>
  <c r="S14" i="9"/>
  <c r="S15" i="9"/>
  <c r="S28" i="9"/>
  <c r="S23" i="9"/>
  <c r="S12" i="9"/>
  <c r="S32" i="14"/>
  <c r="S12" i="14"/>
  <c r="S19" i="14"/>
  <c r="S20" i="14"/>
  <c r="S18" i="14"/>
  <c r="S26" i="14"/>
  <c r="S16" i="14"/>
  <c r="S23" i="14"/>
  <c r="S29" i="14"/>
  <c r="S27" i="14"/>
  <c r="S26" i="17"/>
  <c r="S25" i="14"/>
  <c r="S31" i="14"/>
  <c r="D8" i="9"/>
  <c r="O6" i="15"/>
  <c r="N8" i="15"/>
  <c r="M8" i="15"/>
  <c r="P8" i="15"/>
  <c r="D8" i="14"/>
  <c r="O9" i="15"/>
  <c r="S15" i="14"/>
  <c r="S22" i="14"/>
  <c r="S33" i="14"/>
  <c r="S21" i="14"/>
  <c r="S14" i="14"/>
  <c r="S11" i="14"/>
  <c r="S24" i="14"/>
  <c r="S28" i="14"/>
  <c r="S30" i="14"/>
  <c r="S17" i="14"/>
  <c r="S13" i="14"/>
  <c r="N7" i="15"/>
  <c r="P7" i="15"/>
  <c r="M7" i="15"/>
  <c r="N5" i="15"/>
  <c r="O5" i="15"/>
  <c r="M5" i="15"/>
  <c r="P5" i="15"/>
  <c r="N9" i="15"/>
  <c r="M9" i="15"/>
  <c r="P9" i="15"/>
  <c r="N6" i="15"/>
  <c r="M6" i="15"/>
  <c r="P6" i="15"/>
</calcChain>
</file>

<file path=xl/comments1.xml><?xml version="1.0" encoding="utf-8"?>
<comments xmlns="http://schemas.openxmlformats.org/spreadsheetml/2006/main">
  <authors>
    <author>Andrew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mass at the mast no inluding mast
- 2 servos
- batteries and pack</t>
        </r>
      </text>
    </comment>
  </commentList>
</comments>
</file>

<file path=xl/comments2.xml><?xml version="1.0" encoding="utf-8"?>
<comments xmlns="http://schemas.openxmlformats.org/spreadsheetml/2006/main">
  <authors>
    <author>Andrew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37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37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65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65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9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9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9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121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21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21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
</t>
        </r>
      </text>
    </comment>
  </commentList>
</comments>
</file>

<file path=xl/comments3.xml><?xml version="1.0" encoding="utf-8"?>
<comments xmlns="http://schemas.openxmlformats.org/spreadsheetml/2006/main">
  <authors>
    <author>Andrew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37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37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65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65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9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9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9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121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21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21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
</t>
        </r>
      </text>
    </comment>
  </commentList>
</comments>
</file>

<file path=xl/comments4.xml><?xml version="1.0" encoding="utf-8"?>
<comments xmlns="http://schemas.openxmlformats.org/spreadsheetml/2006/main">
  <authors>
    <author>Andrew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37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37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65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65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9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9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9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121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21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21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
</t>
        </r>
      </text>
    </comment>
  </commentList>
</comments>
</file>

<file path=xl/comments5.xml><?xml version="1.0" encoding="utf-8"?>
<comments xmlns="http://schemas.openxmlformats.org/spreadsheetml/2006/main">
  <authors>
    <author>Andrew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38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38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66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66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94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94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94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122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22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22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
</t>
        </r>
      </text>
    </comment>
  </commentList>
</comments>
</file>

<file path=xl/comments6.xml><?xml version="1.0" encoding="utf-8"?>
<comments xmlns="http://schemas.openxmlformats.org/spreadsheetml/2006/main">
  <authors>
    <author>Andrew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38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38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66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66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94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94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94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  <comment ref="R122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22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22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
</t>
        </r>
      </text>
    </comment>
  </commentList>
</comments>
</file>

<file path=xl/comments7.xml><?xml version="1.0" encoding="utf-8"?>
<comments xmlns="http://schemas.openxmlformats.org/spreadsheetml/2006/main">
  <authors>
    <author>Andrew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</commentList>
</comments>
</file>

<file path=xl/comments8.xml><?xml version="1.0" encoding="utf-8"?>
<comments xmlns="http://schemas.openxmlformats.org/spreadsheetml/2006/main">
  <authors>
    <author>Andrew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</commentList>
</comments>
</file>

<file path=xl/connections.xml><?xml version="1.0" encoding="utf-8"?>
<connections xmlns="http://schemas.openxmlformats.org/spreadsheetml/2006/main">
  <connection id="1" name="NACA0012(-13 13 .5)1" type="6" refreshedVersion="5" background="1" saveData="1">
    <textPr codePage="437" sourceFile="C:\Users\Andrew\Documents\School\UCLA\Spring 2016\MAE 157A\xFoil Sail Analysis\4-5-2016 x foil\NACA0012(-13 13 .5).txt" space="1" consecutive="1">
      <textFields count="6">
        <textField/>
        <textField/>
        <textField/>
        <textField/>
        <textField/>
        <textField/>
      </textFields>
    </textPr>
  </connection>
  <connection id="2" name="NACA0012(-13 13 .5)11" type="6" refreshedVersion="5" background="1" saveData="1">
    <textPr codePage="437" sourceFile="C:\Users\Andrew\Documents\School\UCLA\Spring 2016\MAE 157A\xFoil Sail Analysis\4-5-2016 x foil\NACA0012(-13 13 .5).txt" space="1" consecutive="1">
      <textFields count="6">
        <textField/>
        <textField/>
        <textField/>
        <textField/>
        <textField/>
        <textField/>
      </textFields>
    </textPr>
  </connection>
  <connection id="3" name="NACA0012(-13 13 .5)111" type="6" refreshedVersion="5" background="1" saveData="1">
    <textPr codePage="437" sourceFile="C:\Users\Andrew\Documents\School\UCLA\Spring 2016\MAE 157A\xFoil Sail Analysis\4-5-2016 x foil\NACA0012(-13 13 .5).txt" space="1" consecutive="1">
      <textFields count="6">
        <textField/>
        <textField/>
        <textField/>
        <textField/>
        <textField/>
        <textField/>
      </textFields>
    </textPr>
  </connection>
  <connection id="4" name="NACA0012(-13 13 .5)1111" type="6" refreshedVersion="5" background="1" saveData="1">
    <textPr codePage="437" sourceFile="C:\Users\Andrew\Documents\School\UCLA\Spring 2016\MAE 157A\xFoil Sail Analysis\4-5-2016 x foil\NACA0012(-13 13 .5).txt" space="1" consecutive="1">
      <textFields count="6">
        <textField/>
        <textField/>
        <textField/>
        <textField/>
        <textField/>
        <textField/>
      </textFields>
    </textPr>
  </connection>
  <connection id="5" name="NACA0012(-13 13 .5)11111" type="6" refreshedVersion="5" background="1" saveData="1">
    <textPr codePage="437" sourceFile="C:\Users\Andrew\Documents\School\UCLA\Spring 2016\MAE 157A\xFoil Sail Analysis\4-5-2016 x foil\NACA0012(-13 13 .5).txt" space="1" consecutive="1">
      <textFields count="6">
        <textField/>
        <textField/>
        <textField/>
        <textField/>
        <textField/>
        <textField/>
      </textFields>
    </textPr>
  </connection>
  <connection id="6" name="NACA0012(-13 13 .5)12" type="6" refreshedVersion="5" background="1" saveData="1">
    <textPr codePage="437" sourceFile="C:\Users\Andrew\Documents\School\UCLA\Spring 2016\MAE 157A\xFoil Sail Analysis\4-5-2016 x foil\NACA0012(-13 13 .5).txt" space="1" consecutive="1">
      <textFields count="6">
        <textField/>
        <textField/>
        <textField/>
        <textField/>
        <textField/>
        <textField/>
      </textFields>
    </textPr>
  </connection>
  <connection id="7" name="NACA0012(-13 13 .5)121" type="6" refreshedVersion="5" background="1" saveData="1">
    <textPr codePage="437" sourceFile="C:\Users\Andrew\Documents\School\UCLA\Spring 2016\MAE 157A\xFoil Sail Analysis\4-5-2016 x foil\NACA0012(-13 13 .5)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<sst xmlns="http://schemas.openxmlformats.org/spreadsheetml/2006/main" count="1033" uniqueCount="99">
  <si>
    <t>Mach</t>
  </si>
  <si>
    <t>Re</t>
  </si>
  <si>
    <t>NACA0012</t>
  </si>
  <si>
    <t>Airfoil</t>
  </si>
  <si>
    <t>b [m]</t>
  </si>
  <si>
    <t>c [m]</t>
  </si>
  <si>
    <r>
      <t>S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</si>
  <si>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 xml:space="preserve"> [degree]</t>
    </r>
  </si>
  <si>
    <r>
      <t>a</t>
    </r>
    <r>
      <rPr>
        <b/>
        <vertAlign val="subscript"/>
        <sz val="11"/>
        <color theme="1"/>
        <rFont val="Calibri"/>
        <family val="2"/>
      </rPr>
      <t>x</t>
    </r>
  </si>
  <si>
    <r>
      <t>a</t>
    </r>
    <r>
      <rPr>
        <b/>
        <vertAlign val="subscript"/>
        <sz val="11"/>
        <color theme="1"/>
        <rFont val="Calibri"/>
        <family val="2"/>
      </rPr>
      <t>y</t>
    </r>
  </si>
  <si>
    <r>
      <t>C</t>
    </r>
    <r>
      <rPr>
        <b/>
        <vertAlign val="subscript"/>
        <sz val="11"/>
        <color theme="1"/>
        <rFont val="Calibri"/>
        <family val="2"/>
      </rPr>
      <t>D</t>
    </r>
  </si>
  <si>
    <r>
      <t>Rho [kg/m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</si>
  <si>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 xml:space="preserve">inf </t>
    </r>
    <r>
      <rPr>
        <b/>
        <sz val="11"/>
        <color theme="1"/>
        <rFont val="Calibri"/>
        <family val="2"/>
        <scheme val="minor"/>
      </rPr>
      <t>[m/s]</t>
    </r>
  </si>
  <si>
    <t>L [N]</t>
  </si>
  <si>
    <t>D [N]</t>
  </si>
  <si>
    <r>
      <t>q</t>
    </r>
    <r>
      <rPr>
        <b/>
        <vertAlign val="subscript"/>
        <sz val="11"/>
        <color theme="1"/>
        <rFont val="Calibri"/>
        <family val="2"/>
      </rPr>
      <t>inf</t>
    </r>
    <r>
      <rPr>
        <b/>
        <sz val="11"/>
        <color theme="1"/>
        <rFont val="Calibri"/>
        <family val="2"/>
      </rPr>
      <t>*S [N]</t>
    </r>
  </si>
  <si>
    <t>ϴ °</t>
  </si>
  <si>
    <t>α°</t>
  </si>
  <si>
    <t>L/D</t>
  </si>
  <si>
    <r>
      <t xml:space="preserve">time </t>
    </r>
    <r>
      <rPr>
        <b/>
        <vertAlign val="subscript"/>
        <sz val="11"/>
        <color theme="1"/>
        <rFont val="Calibri"/>
        <family val="2"/>
      </rPr>
      <t>0 tack</t>
    </r>
  </si>
  <si>
    <t>μ</t>
  </si>
  <si>
    <r>
      <t>μ [N s/m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]</t>
    </r>
  </si>
  <si>
    <t>Conditions</t>
  </si>
  <si>
    <t>Track Width [m]</t>
  </si>
  <si>
    <r>
      <t xml:space="preserve">y </t>
    </r>
    <r>
      <rPr>
        <b/>
        <vertAlign val="subscript"/>
        <sz val="11"/>
        <color theme="1"/>
        <rFont val="Calibri"/>
        <family val="2"/>
      </rPr>
      <t>0 tack</t>
    </r>
  </si>
  <si>
    <r>
      <t xml:space="preserve">x </t>
    </r>
    <r>
      <rPr>
        <b/>
        <vertAlign val="subscript"/>
        <sz val="11"/>
        <color theme="1"/>
        <rFont val="Calibri"/>
        <family val="2"/>
      </rPr>
      <t xml:space="preserve">0 tack </t>
    </r>
  </si>
  <si>
    <t>Track Length [m]</t>
  </si>
  <si>
    <r>
      <t>V</t>
    </r>
    <r>
      <rPr>
        <b/>
        <vertAlign val="subscript"/>
        <sz val="11"/>
        <color theme="1"/>
        <rFont val="Calibri"/>
        <family val="2"/>
      </rPr>
      <t>f tack 0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</si>
  <si>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sea level </t>
    </r>
    <r>
      <rPr>
        <b/>
        <sz val="11"/>
        <color theme="1"/>
        <rFont val="Calibri"/>
        <family val="2"/>
        <scheme val="minor"/>
      </rPr>
      <t>[m/s]</t>
    </r>
  </si>
  <si>
    <t>Max Lift</t>
  </si>
  <si>
    <t xml:space="preserve">Max Moment </t>
  </si>
  <si>
    <t>AR</t>
  </si>
  <si>
    <t>Track Width</t>
  </si>
  <si>
    <t>Track Length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</si>
  <si>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 xml:space="preserve"> [rad]</t>
    </r>
  </si>
  <si>
    <t xml:space="preserve">2D to 3D </t>
  </si>
  <si>
    <r>
      <t>Flap Angle [</t>
    </r>
    <r>
      <rPr>
        <b/>
        <sz val="11"/>
        <color theme="1"/>
        <rFont val="Calibri"/>
        <family val="2"/>
      </rPr>
      <t>°]</t>
    </r>
  </si>
  <si>
    <t>V max [m/s]</t>
  </si>
  <si>
    <t>Constant</t>
  </si>
  <si>
    <r>
      <t>C</t>
    </r>
    <r>
      <rPr>
        <b/>
        <vertAlign val="subscript"/>
        <sz val="11"/>
        <color rgb="FFFF0000"/>
        <rFont val="Calibri"/>
        <family val="2"/>
      </rPr>
      <t>L</t>
    </r>
  </si>
  <si>
    <r>
      <t>C</t>
    </r>
    <r>
      <rPr>
        <b/>
        <vertAlign val="subscript"/>
        <sz val="11"/>
        <color theme="4" tint="-0.249977111117893"/>
        <rFont val="Calibri"/>
        <family val="2"/>
      </rPr>
      <t>lα</t>
    </r>
    <r>
      <rPr>
        <b/>
        <sz val="11"/>
        <color theme="4" tint="-0.249977111117893"/>
        <rFont val="Calibri"/>
        <family val="2"/>
      </rPr>
      <t xml:space="preserve"> [rad]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</si>
  <si>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L0</t>
    </r>
    <r>
      <rPr>
        <b/>
        <sz val="11"/>
        <color theme="1"/>
        <rFont val="Calibri"/>
        <family val="2"/>
      </rPr>
      <t xml:space="preserve"> </t>
    </r>
  </si>
  <si>
    <r>
      <t>C</t>
    </r>
    <r>
      <rPr>
        <b/>
        <vertAlign val="subscript"/>
        <sz val="11"/>
        <color theme="4" tint="-0.249977111117893"/>
        <rFont val="Calibri"/>
        <family val="2"/>
      </rPr>
      <t>l0</t>
    </r>
    <r>
      <rPr>
        <b/>
        <sz val="11"/>
        <color theme="4" tint="-0.249977111117893"/>
        <rFont val="Calibri"/>
        <family val="2"/>
      </rPr>
      <t xml:space="preserve"> </t>
    </r>
  </si>
  <si>
    <t>Track Height</t>
  </si>
  <si>
    <t>Track Geometry</t>
  </si>
  <si>
    <t>Component Mass [kg]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</si>
  <si>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1D Wheel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</si>
  <si>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 xml:space="preserve">2D Wheel 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</si>
  <si>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Servo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</si>
  <si>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Battery Pack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</si>
  <si>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battery (4)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</si>
  <si>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end</t>
    </r>
  </si>
  <si>
    <t>0.50 Hinge Chord</t>
  </si>
  <si>
    <t>0.60 Hinge Chord</t>
  </si>
  <si>
    <t>0.40 Hinge Chord</t>
  </si>
  <si>
    <t>0.70 Hinge Chord</t>
  </si>
  <si>
    <r>
      <t>d</t>
    </r>
    <r>
      <rPr>
        <b/>
        <vertAlign val="subscript"/>
        <sz val="11"/>
        <rFont val="Calibri"/>
        <family val="2"/>
        <scheme val="minor"/>
      </rPr>
      <t xml:space="preserve">min </t>
    </r>
    <r>
      <rPr>
        <b/>
        <sz val="11"/>
        <rFont val="Calibri"/>
        <family val="2"/>
        <scheme val="minor"/>
      </rPr>
      <t>[m]</t>
    </r>
  </si>
  <si>
    <t>0.80 Hinge Chord</t>
  </si>
  <si>
    <t>Solid Airfoil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</si>
  <si>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max </t>
    </r>
    <r>
      <rPr>
        <b/>
        <sz val="11"/>
        <color theme="1"/>
        <rFont val="Calibri"/>
        <family val="2"/>
        <scheme val="minor"/>
      </rPr>
      <t>[m/s]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</si>
  <si>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vmax </t>
    </r>
    <r>
      <rPr>
        <b/>
        <sz val="11"/>
        <color theme="1"/>
        <rFont val="Calibri"/>
        <family val="2"/>
        <scheme val="minor"/>
      </rPr>
      <t>[m]</t>
    </r>
  </si>
  <si>
    <r>
      <t>ϴ</t>
    </r>
    <r>
      <rPr>
        <b/>
        <vertAlign val="subscript"/>
        <sz val="11"/>
        <color theme="1"/>
        <rFont val="Calibri"/>
        <family val="2"/>
      </rPr>
      <t>Flap</t>
    </r>
    <r>
      <rPr>
        <b/>
        <sz val="11"/>
        <color theme="1"/>
        <rFont val="Calibri"/>
        <family val="2"/>
      </rPr>
      <t xml:space="preserve"> [°]</t>
    </r>
  </si>
  <si>
    <t>τ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</si>
  <si>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 xml:space="preserve">r </t>
    </r>
    <r>
      <rPr>
        <b/>
        <sz val="11"/>
        <color theme="1"/>
        <rFont val="Calibri"/>
        <family val="2"/>
        <scheme val="minor"/>
      </rPr>
      <t>[m]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</si>
  <si>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tip</t>
    </r>
    <r>
      <rPr>
        <b/>
        <sz val="11"/>
        <color theme="1"/>
        <rFont val="Calibri"/>
        <family val="2"/>
        <scheme val="minor"/>
      </rPr>
      <t xml:space="preserve"> [m]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</si>
  <si>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root</t>
    </r>
    <r>
      <rPr>
        <b/>
        <sz val="11"/>
        <color theme="1"/>
        <rFont val="Calibri"/>
        <family val="2"/>
        <scheme val="minor"/>
      </rPr>
      <t xml:space="preserve"> [m]</t>
    </r>
  </si>
  <si>
    <t>Fudgin'</t>
  </si>
  <si>
    <r>
      <t>λ</t>
    </r>
    <r>
      <rPr>
        <b/>
        <vertAlign val="subscript"/>
        <sz val="11"/>
        <color theme="1"/>
        <rFont val="Calibri"/>
        <family val="2"/>
      </rPr>
      <t xml:space="preserve">aluminum </t>
    </r>
  </si>
  <si>
    <r>
      <t>λ</t>
    </r>
    <r>
      <rPr>
        <b/>
        <vertAlign val="subscript"/>
        <sz val="11"/>
        <color theme="1"/>
        <rFont val="Calibri"/>
        <family val="2"/>
      </rPr>
      <t>wooden h</t>
    </r>
  </si>
  <si>
    <r>
      <t>λ</t>
    </r>
    <r>
      <rPr>
        <b/>
        <vertAlign val="subscript"/>
        <sz val="11"/>
        <color theme="1"/>
        <rFont val="Calibri"/>
        <family val="2"/>
      </rPr>
      <t>wooden l</t>
    </r>
  </si>
  <si>
    <t>?</t>
  </si>
  <si>
    <t>Dowell Selection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</si>
  <si>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m0</t>
    </r>
  </si>
  <si>
    <r>
      <t>ρ</t>
    </r>
    <r>
      <rPr>
        <b/>
        <vertAlign val="subscript"/>
        <sz val="11"/>
        <color theme="1"/>
        <rFont val="Calibri"/>
        <family val="2"/>
      </rPr>
      <t>mast</t>
    </r>
  </si>
  <si>
    <r>
      <t>ρ</t>
    </r>
    <r>
      <rPr>
        <b/>
        <vertAlign val="subscript"/>
        <sz val="11"/>
        <color theme="1"/>
        <rFont val="Calibri"/>
        <family val="2"/>
      </rPr>
      <t>length</t>
    </r>
  </si>
  <si>
    <t>Base Geometry</t>
  </si>
  <si>
    <t>l/d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</si>
  <si>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 xml:space="preserve">mast </t>
    </r>
    <r>
      <rPr>
        <b/>
        <sz val="11"/>
        <color theme="1"/>
        <rFont val="Calibri"/>
        <family val="2"/>
        <scheme val="minor"/>
      </rPr>
      <t>[kg]</t>
    </r>
  </si>
  <si>
    <r>
      <t>ρ</t>
    </r>
    <r>
      <rPr>
        <b/>
        <vertAlign val="subscript"/>
        <sz val="11"/>
        <color theme="1"/>
        <rFont val="Calibri"/>
        <family val="2"/>
      </rPr>
      <t>axle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</si>
  <si>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front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</si>
  <si>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 xml:space="preserve">m </t>
    </r>
    <r>
      <rPr>
        <b/>
        <sz val="11"/>
        <color theme="1"/>
        <rFont val="Calibri"/>
        <family val="2"/>
        <scheme val="minor"/>
      </rPr>
      <t>[kg]</t>
    </r>
  </si>
  <si>
    <t>l</t>
  </si>
  <si>
    <t>Sail</t>
  </si>
  <si>
    <t>Base</t>
  </si>
  <si>
    <t>Track</t>
  </si>
  <si>
    <r>
      <t>y</t>
    </r>
    <r>
      <rPr>
        <vertAlign val="subscript"/>
        <sz val="11"/>
        <color theme="1"/>
        <rFont val="Calibri"/>
        <family val="2"/>
        <scheme val="minor"/>
      </rPr>
      <t>c</t>
    </r>
  </si>
  <si>
    <t>Sail Geometry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</si>
  <si>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</si>
  <si>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q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</si>
  <si>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</si>
  <si>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q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</si>
  <si>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</si>
  <si>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r>
      <t>x</t>
    </r>
    <r>
      <rPr>
        <vertAlign val="subscript"/>
        <sz val="11"/>
        <color theme="1"/>
        <rFont val="Calibri"/>
        <family val="2"/>
        <scheme val="minor"/>
      </rPr>
      <t>mast</t>
    </r>
  </si>
  <si>
    <t>Results</t>
  </si>
  <si>
    <t>length [m]</t>
  </si>
  <si>
    <t>manufacturing ability</t>
  </si>
  <si>
    <t xml:space="preserve">structual integrity </t>
  </si>
  <si>
    <t>\</t>
  </si>
  <si>
    <t>q*s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</si>
</sst>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E+0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</font>
    <font>
      <b/>
      <vertAlign val="subscript"/>
      <sz val="11"/>
      <color rgb="FFFF0000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vertAlign val="subscript"/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1"/>
      <name val="Calibri"/>
      <family val="2"/>
    </font>
    <font>
      <b/>
      <sz val="11"/>
      <color theme="4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rgb="FF000000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/>
    <xf numFmtId="0" fontId="0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/>
    <xf numFmtId="2" fontId="0" fillId="0" borderId="0" xfId="0" applyNumberFormat="1" applyBorder="1"/>
    <xf numFmtId="2" fontId="0" fillId="0" borderId="4" xfId="0" applyNumberFormat="1" applyBorder="1"/>
    <xf numFmtId="2" fontId="1" fillId="0" borderId="3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6" xfId="0" applyNumberForma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0" fillId="0" borderId="6" xfId="0" applyNumberFormat="1" applyFill="1" applyBorder="1"/>
    <xf numFmtId="2" fontId="0" fillId="0" borderId="7" xfId="0" applyNumberFormat="1" applyBorder="1"/>
    <xf numFmtId="2" fontId="1" fillId="0" borderId="10" xfId="0" applyNumberFormat="1" applyFont="1" applyBorder="1" applyAlignment="1">
      <alignment horizontal="center"/>
    </xf>
    <xf numFmtId="2" fontId="1" fillId="0" borderId="10" xfId="0" applyNumberFormat="1" applyFont="1" applyBorder="1"/>
    <xf numFmtId="2" fontId="5" fillId="0" borderId="10" xfId="0" applyNumberFormat="1" applyFont="1" applyBorder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/>
    <xf numFmtId="2" fontId="0" fillId="0" borderId="3" xfId="0" applyNumberFormat="1" applyFont="1" applyFill="1" applyBorder="1" applyAlignment="1">
      <alignment horizontal="center" vertical="center"/>
    </xf>
    <xf numFmtId="2" fontId="1" fillId="3" borderId="19" xfId="0" applyNumberFormat="1" applyFont="1" applyFill="1" applyBorder="1"/>
    <xf numFmtId="2" fontId="1" fillId="3" borderId="20" xfId="0" applyNumberFormat="1" applyFont="1" applyFill="1" applyBorder="1" applyAlignment="1">
      <alignment horizontal="center"/>
    </xf>
    <xf numFmtId="2" fontId="0" fillId="3" borderId="21" xfId="0" applyNumberFormat="1" applyFont="1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2" fontId="15" fillId="0" borderId="10" xfId="0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7" fillId="0" borderId="6" xfId="0" applyNumberFormat="1" applyFont="1" applyBorder="1" applyAlignment="1">
      <alignment horizontal="center"/>
    </xf>
    <xf numFmtId="2" fontId="17" fillId="0" borderId="0" xfId="0" applyNumberFormat="1" applyFont="1" applyBorder="1"/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1" fillId="5" borderId="30" xfId="0" applyNumberFormat="1" applyFont="1" applyFill="1" applyBorder="1" applyAlignment="1">
      <alignment horizontal="center"/>
    </xf>
    <xf numFmtId="166" fontId="1" fillId="5" borderId="31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2" fontId="21" fillId="0" borderId="6" xfId="0" applyNumberFormat="1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0" fontId="22" fillId="3" borderId="12" xfId="0" applyFont="1" applyFill="1" applyBorder="1" applyAlignment="1">
      <alignment horizontal="center"/>
    </xf>
    <xf numFmtId="0" fontId="22" fillId="3" borderId="29" xfId="0" applyFont="1" applyFill="1" applyBorder="1" applyAlignment="1">
      <alignment horizontal="center"/>
    </xf>
    <xf numFmtId="0" fontId="22" fillId="3" borderId="13" xfId="0" applyFont="1" applyFill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8" fillId="0" borderId="27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2" fontId="1" fillId="5" borderId="19" xfId="0" applyNumberFormat="1" applyFont="1" applyFill="1" applyBorder="1" applyAlignment="1">
      <alignment horizontal="center"/>
    </xf>
    <xf numFmtId="2" fontId="1" fillId="5" borderId="16" xfId="0" applyNumberFormat="1" applyFont="1" applyFill="1" applyBorder="1" applyAlignment="1">
      <alignment horizontal="center"/>
    </xf>
    <xf numFmtId="2" fontId="1" fillId="5" borderId="34" xfId="0" applyNumberFormat="1" applyFont="1" applyFill="1" applyBorder="1" applyAlignment="1">
      <alignment horizontal="center"/>
    </xf>
    <xf numFmtId="2" fontId="1" fillId="5" borderId="35" xfId="0" applyNumberFormat="1" applyFont="1" applyFill="1" applyBorder="1" applyAlignment="1">
      <alignment horizontal="center"/>
    </xf>
    <xf numFmtId="2" fontId="5" fillId="5" borderId="31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166" fontId="1" fillId="5" borderId="35" xfId="0" applyNumberFormat="1" applyFont="1" applyFill="1" applyBorder="1" applyAlignment="1">
      <alignment horizontal="center"/>
    </xf>
    <xf numFmtId="166" fontId="1" fillId="5" borderId="34" xfId="0" applyNumberFormat="1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166" fontId="0" fillId="0" borderId="39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4" xfId="0" applyFill="1" applyBorder="1" applyAlignment="1">
      <alignment horizontal="center"/>
    </xf>
  </cellXfs>
  <cellStyles count="1">
    <cellStyle name="Normal" xfId="0" builtinId="0"/>
  </cellStyles>
  <dxfs count="124"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9570793565"/>
          <c:y val="0.0578231408665048"/>
          <c:w val="0.745225800307805"/>
          <c:h val="0.839820338493024"/>
        </c:manualLayout>
      </c:layout>
      <c:scatterChart>
        <c:scatterStyle val="smoothMarker"/>
        <c:varyColors val="0"/>
        <c:ser>
          <c:idx val="0"/>
          <c:order val="0"/>
          <c:tx>
            <c:v>AR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Results!$E$18:$E$27</c:f>
              <c:numCache>
                <c:formatCode>General</c:formatCode>
                <c:ptCount val="10"/>
                <c:pt idx="0" formatCode="0.00">
                  <c:v>0.1</c:v>
                </c:pt>
                <c:pt idx="1">
                  <c:v>0.2</c:v>
                </c:pt>
                <c:pt idx="2" formatCode="0.000">
                  <c:v>0.3</c:v>
                </c:pt>
                <c:pt idx="3" formatCode="0.00">
                  <c:v>0.4</c:v>
                </c:pt>
                <c:pt idx="4" formatCode="0.00">
                  <c:v>0.5</c:v>
                </c:pt>
                <c:pt idx="5" formatCode="0.00">
                  <c:v>0.6</c:v>
                </c:pt>
                <c:pt idx="6" formatCode="0.00">
                  <c:v>0.7</c:v>
                </c:pt>
                <c:pt idx="7" formatCode="0.00">
                  <c:v>0.8</c:v>
                </c:pt>
                <c:pt idx="8" formatCode="0.00">
                  <c:v>0.9</c:v>
                </c:pt>
                <c:pt idx="9" formatCode="0.00">
                  <c:v>1.0</c:v>
                </c:pt>
              </c:numCache>
            </c:numRef>
          </c:xVal>
          <c:yVal>
            <c:numRef>
              <c:f>Results!$G$18:$G$27</c:f>
              <c:numCache>
                <c:formatCode>0.000</c:formatCode>
                <c:ptCount val="10"/>
                <c:pt idx="0" formatCode="0.00">
                  <c:v>2.327373594527386</c:v>
                </c:pt>
                <c:pt idx="1">
                  <c:v>2.286003317703507</c:v>
                </c:pt>
                <c:pt idx="2">
                  <c:v>2.24578706119296</c:v>
                </c:pt>
                <c:pt idx="3" formatCode="0.00">
                  <c:v>2.206649516810002</c:v>
                </c:pt>
                <c:pt idx="4" formatCode="0.00">
                  <c:v>2.168522175653692</c:v>
                </c:pt>
                <c:pt idx="5" formatCode="0.00">
                  <c:v>2.131342499589249</c:v>
                </c:pt>
                <c:pt idx="6" formatCode="0.00">
                  <c:v>2.109213468894883</c:v>
                </c:pt>
                <c:pt idx="7" formatCode="0.00">
                  <c:v>2.139650992980954</c:v>
                </c:pt>
                <c:pt idx="8" formatCode="0.00">
                  <c:v>2.150906550305241</c:v>
                </c:pt>
                <c:pt idx="9" formatCode="0.00">
                  <c:v>2.142010385624508</c:v>
                </c:pt>
              </c:numCache>
            </c:numRef>
          </c:yVal>
          <c:smooth val="1"/>
        </c:ser>
        <c:ser>
          <c:idx val="1"/>
          <c:order val="1"/>
          <c:tx>
            <c:v>AR =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Results!$N$18:$N$27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Results!$P$18:$P$27</c:f>
              <c:numCache>
                <c:formatCode>0.00</c:formatCode>
                <c:ptCount val="10"/>
                <c:pt idx="0">
                  <c:v>2.239278087088061</c:v>
                </c:pt>
                <c:pt idx="1">
                  <c:v>2.187049633439183</c:v>
                </c:pt>
                <c:pt idx="2">
                  <c:v>2.136572518292283</c:v>
                </c:pt>
                <c:pt idx="3">
                  <c:v>2.08770490936054</c:v>
                </c:pt>
                <c:pt idx="4">
                  <c:v>2.040320265240613</c:v>
                </c:pt>
                <c:pt idx="5">
                  <c:v>2.013949549947914</c:v>
                </c:pt>
                <c:pt idx="6">
                  <c:v>1.977884210750854</c:v>
                </c:pt>
                <c:pt idx="7">
                  <c:v>1.905983500402324</c:v>
                </c:pt>
                <c:pt idx="8">
                  <c:v>1.863500098041805</c:v>
                </c:pt>
                <c:pt idx="9">
                  <c:v>1.822029781510545</c:v>
                </c:pt>
              </c:numCache>
            </c:numRef>
          </c:yVal>
          <c:smooth val="1"/>
        </c:ser>
        <c:ser>
          <c:idx val="2"/>
          <c:order val="2"/>
          <c:tx>
            <c:v>AR =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Results!$E$33:$E$42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Results!$G$33:$G$42</c:f>
              <c:numCache>
                <c:formatCode>0.00</c:formatCode>
                <c:ptCount val="10"/>
                <c:pt idx="0">
                  <c:v>2.153143193697193</c:v>
                </c:pt>
                <c:pt idx="1">
                  <c:v>2.092066030621057</c:v>
                </c:pt>
                <c:pt idx="2">
                  <c:v>2.033297953561362</c:v>
                </c:pt>
                <c:pt idx="3">
                  <c:v>1.97662146682746</c:v>
                </c:pt>
                <c:pt idx="4">
                  <c:v>1.921845271241431</c:v>
                </c:pt>
                <c:pt idx="5">
                  <c:v>1.86879987746657</c:v>
                </c:pt>
                <c:pt idx="6">
                  <c:v>1.817334074461547</c:v>
                </c:pt>
                <c:pt idx="7">
                  <c:v>1.767312054515252</c:v>
                </c:pt>
                <c:pt idx="8">
                  <c:v>1.718611047517008</c:v>
                </c:pt>
                <c:pt idx="9">
                  <c:v>1.671119353537565</c:v>
                </c:pt>
              </c:numCache>
            </c:numRef>
          </c:yVal>
          <c:smooth val="1"/>
        </c:ser>
        <c:ser>
          <c:idx val="3"/>
          <c:order val="3"/>
          <c:tx>
            <c:v>AR =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Results!$N$33:$N$42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Results!$P$33:$P$42</c:f>
              <c:numCache>
                <c:formatCode>0.00</c:formatCode>
                <c:ptCount val="10"/>
                <c:pt idx="0">
                  <c:v>2.050121695730341</c:v>
                </c:pt>
                <c:pt idx="1">
                  <c:v>1.978030212476582</c:v>
                </c:pt>
                <c:pt idx="2">
                  <c:v>1.908894233558591</c:v>
                </c:pt>
                <c:pt idx="3">
                  <c:v>1.842382955843581</c:v>
                </c:pt>
                <c:pt idx="4">
                  <c:v>1.778208676693858</c:v>
                </c:pt>
                <c:pt idx="5">
                  <c:v>1.716118443791133</c:v>
                </c:pt>
                <c:pt idx="6">
                  <c:v>1.655887462750889</c:v>
                </c:pt>
                <c:pt idx="7">
                  <c:v>1.597313797799468</c:v>
                </c:pt>
                <c:pt idx="8">
                  <c:v>1.540214029307585</c:v>
                </c:pt>
                <c:pt idx="9">
                  <c:v>1.484419618530591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63144"/>
        <c:axId val="2124153160"/>
      </c:scatterChart>
      <c:valAx>
        <c:axId val="2122763144"/>
        <c:scaling>
          <c:orientation val="minMax"/>
          <c:max val="1.1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Taper Ratio (</a:t>
                </a:r>
                <a:r>
                  <a:rPr lang="el-GR" b="1"/>
                  <a:t>τ)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53160"/>
        <c:crosses val="autoZero"/>
        <c:crossBetween val="midCat"/>
        <c:minorUnit val="0.1"/>
      </c:valAx>
      <c:valAx>
        <c:axId val="212415316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</a:t>
                </a:r>
                <a:r>
                  <a:rPr lang="en-US" b="1" baseline="-25000"/>
                  <a:t>max</a:t>
                </a:r>
                <a:r>
                  <a:rPr lang="en-US" b="1"/>
                  <a:t>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6314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459438</xdr:colOff>
      <xdr:row>13</xdr:row>
      <xdr:rowOff>67235</xdr:rowOff>
    </xdr:from>
    <xdr:to>
      <xdr:col>30</xdr:col>
      <xdr:colOff>313765</xdr:colOff>
      <xdr:row>41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ACA0012(-13 13 .5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ACA0012(-13 13 .5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ACA0012(-13 13 .5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ACA0012(-13 13 .5)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ACA0012(-13 13 .5)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ACA0012(-13 13 .5)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ACA0012(-13 13 .5)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queryTable" Target="../queryTables/queryTable2.x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queryTable" Target="../queryTables/queryTable3.x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queryTable" Target="../queryTables/queryTable4.x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queryTable" Target="../queryTables/queryTable5.x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queryTable" Target="../queryTables/queryTable6.xml"/><Relationship Id="rId3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queryTable" Target="../queryTables/queryTable7.x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B1:K33"/>
  <sheetViews>
    <sheetView workbookViewId="0">
      <selection activeCell="H35" sqref="H35"/>
    </sheetView>
  </sheetViews>
  <sheetFormatPr baseColWidth="10" defaultColWidth="8.83203125" defaultRowHeight="14" x14ac:dyDescent="0"/>
  <cols>
    <col min="2" max="2" width="11.5" style="52" bestFit="1" customWidth="1"/>
    <col min="3" max="3" width="12" style="52" bestFit="1" customWidth="1"/>
    <col min="4" max="4" width="11.83203125" style="52" bestFit="1" customWidth="1"/>
    <col min="5" max="5" width="11.5" style="52" bestFit="1" customWidth="1"/>
    <col min="6" max="6" width="12.1640625" style="52" bestFit="1" customWidth="1"/>
    <col min="7" max="7" width="11" style="52" bestFit="1" customWidth="1"/>
    <col min="8" max="8" width="11.5" style="52" bestFit="1" customWidth="1"/>
    <col min="9" max="9" width="12" style="52" customWidth="1"/>
  </cols>
  <sheetData>
    <row r="1" spans="2:11" ht="15" thickBot="1"/>
    <row r="2" spans="2:11" ht="21" thickBot="1">
      <c r="B2" s="98" t="s">
        <v>82</v>
      </c>
      <c r="C2" s="99" t="s">
        <v>83</v>
      </c>
      <c r="D2" s="100" t="s">
        <v>84</v>
      </c>
    </row>
    <row r="3" spans="2:11" ht="15" thickBot="1">
      <c r="H3" s="2"/>
      <c r="I3" s="2"/>
      <c r="J3" s="2"/>
      <c r="K3" s="2"/>
    </row>
    <row r="4" spans="2:11">
      <c r="B4" s="124" t="s">
        <v>86</v>
      </c>
      <c r="C4" s="125"/>
      <c r="D4" s="125"/>
      <c r="E4" s="125"/>
      <c r="F4" s="125"/>
      <c r="G4" s="126"/>
      <c r="J4" s="1"/>
      <c r="K4" s="1"/>
    </row>
    <row r="5" spans="2:11" ht="18" thickBot="1">
      <c r="B5" s="63" t="s">
        <v>4</v>
      </c>
      <c r="C5" s="64" t="s">
        <v>64</v>
      </c>
      <c r="D5" s="64" t="s">
        <v>6</v>
      </c>
      <c r="E5" s="64" t="s">
        <v>31</v>
      </c>
      <c r="F5" s="65" t="s">
        <v>20</v>
      </c>
      <c r="G5" s="66"/>
    </row>
    <row r="6" spans="2:11" ht="15" thickTop="1">
      <c r="B6" s="54">
        <f>(E6/2)*C9*(1+B9)</f>
        <v>0.495</v>
      </c>
      <c r="C6" s="13">
        <f>B9*C9</f>
        <v>0.03</v>
      </c>
      <c r="D6" s="13">
        <f>(1+B9)*B6*C9*0.5</f>
        <v>8.1674999999999998E-2</v>
      </c>
      <c r="E6" s="13">
        <f>Results!G4</f>
        <v>3</v>
      </c>
      <c r="F6" s="55">
        <f>SBT!D26</f>
        <v>1.789E-5</v>
      </c>
      <c r="G6" s="56"/>
    </row>
    <row r="7" spans="2:11">
      <c r="B7" s="54"/>
      <c r="C7" s="13"/>
      <c r="D7" s="13"/>
      <c r="E7" s="13"/>
      <c r="F7" s="55"/>
      <c r="G7" s="56"/>
    </row>
    <row r="8" spans="2:11" ht="16">
      <c r="B8" s="82" t="s">
        <v>62</v>
      </c>
      <c r="C8" s="11" t="s">
        <v>63</v>
      </c>
      <c r="D8" s="13" t="s">
        <v>85</v>
      </c>
      <c r="E8" s="13"/>
      <c r="F8" s="55"/>
      <c r="G8" s="56"/>
    </row>
    <row r="9" spans="2:11">
      <c r="B9" s="57">
        <f>Results!K4</f>
        <v>0.1</v>
      </c>
      <c r="C9" s="55">
        <f>Results!H4</f>
        <v>0.3</v>
      </c>
      <c r="D9" s="55">
        <f>((1+2*B9)/(1+B9))*B6/3</f>
        <v>0.17999999999999997</v>
      </c>
      <c r="E9" s="55"/>
      <c r="F9" s="55"/>
      <c r="G9" s="58"/>
    </row>
    <row r="10" spans="2:11">
      <c r="B10" s="121" t="s">
        <v>75</v>
      </c>
      <c r="C10" s="122"/>
      <c r="D10" s="122"/>
      <c r="E10" s="122"/>
      <c r="F10" s="122"/>
      <c r="G10" s="123"/>
    </row>
    <row r="11" spans="2:11" ht="15" thickBot="1">
      <c r="B11" s="94" t="s">
        <v>76</v>
      </c>
      <c r="C11" s="95"/>
      <c r="D11" s="95"/>
      <c r="E11" s="95"/>
      <c r="F11" s="95"/>
      <c r="G11" s="96"/>
    </row>
    <row r="12" spans="2:11" ht="15" thickTop="1">
      <c r="B12" s="57">
        <f>1.3</f>
        <v>1.3</v>
      </c>
      <c r="C12" s="55"/>
      <c r="D12" s="55"/>
      <c r="E12" s="55"/>
      <c r="F12" s="55"/>
      <c r="G12" s="58"/>
    </row>
    <row r="13" spans="2:11">
      <c r="B13" s="57"/>
      <c r="C13" s="55"/>
      <c r="D13" s="55"/>
      <c r="E13" s="55"/>
      <c r="F13" s="55"/>
      <c r="G13" s="58"/>
    </row>
    <row r="14" spans="2:11">
      <c r="B14" s="121" t="s">
        <v>44</v>
      </c>
      <c r="C14" s="122"/>
      <c r="D14" s="122"/>
      <c r="E14" s="122"/>
      <c r="F14" s="122"/>
      <c r="G14" s="123"/>
    </row>
    <row r="15" spans="2:11" ht="15" thickBot="1">
      <c r="B15" s="63" t="s">
        <v>32</v>
      </c>
      <c r="C15" s="64" t="s">
        <v>33</v>
      </c>
      <c r="D15" s="64" t="s">
        <v>43</v>
      </c>
      <c r="E15" s="68"/>
      <c r="F15" s="68"/>
      <c r="G15" s="69"/>
    </row>
    <row r="16" spans="2:11" ht="15" thickTop="1">
      <c r="B16" s="57">
        <v>1.2192000000000001</v>
      </c>
      <c r="C16" s="55">
        <v>4.2671999999999999</v>
      </c>
      <c r="D16" s="55">
        <v>1.2192000000000001</v>
      </c>
      <c r="E16" s="55"/>
      <c r="F16" s="55"/>
      <c r="G16" s="58"/>
    </row>
    <row r="17" spans="2:7">
      <c r="B17" s="57"/>
      <c r="C17" s="55"/>
      <c r="D17" s="55"/>
      <c r="E17" s="55"/>
      <c r="F17" s="55"/>
      <c r="G17" s="58"/>
    </row>
    <row r="18" spans="2:7">
      <c r="B18" s="121" t="s">
        <v>45</v>
      </c>
      <c r="C18" s="122"/>
      <c r="D18" s="122"/>
      <c r="E18" s="122"/>
      <c r="F18" s="122"/>
      <c r="G18" s="123"/>
    </row>
    <row r="19" spans="2:7" ht="17" thickBot="1">
      <c r="B19" s="63" t="s">
        <v>46</v>
      </c>
      <c r="C19" s="64" t="s">
        <v>47</v>
      </c>
      <c r="D19" s="64" t="s">
        <v>48</v>
      </c>
      <c r="E19" s="64" t="s">
        <v>49</v>
      </c>
      <c r="F19" s="64" t="s">
        <v>50</v>
      </c>
      <c r="G19" s="67"/>
    </row>
    <row r="20" spans="2:7" ht="15" thickTop="1">
      <c r="B20" s="57">
        <v>0.14299999999999999</v>
      </c>
      <c r="C20" s="55">
        <v>0.16950000000000001</v>
      </c>
      <c r="D20" s="55">
        <v>0.04</v>
      </c>
      <c r="E20" s="55">
        <v>0.01</v>
      </c>
      <c r="F20" s="55">
        <v>0.06</v>
      </c>
      <c r="G20" s="58"/>
    </row>
    <row r="21" spans="2:7">
      <c r="B21" s="57"/>
      <c r="C21" s="55"/>
      <c r="D21" s="55"/>
      <c r="E21" s="55"/>
      <c r="F21" s="55"/>
      <c r="G21" s="58"/>
    </row>
    <row r="22" spans="2:7" ht="16">
      <c r="B22" s="83" t="s">
        <v>72</v>
      </c>
      <c r="C22" s="93" t="s">
        <v>73</v>
      </c>
      <c r="D22" s="93" t="s">
        <v>78</v>
      </c>
      <c r="E22" s="93" t="s">
        <v>74</v>
      </c>
      <c r="F22" s="53" t="s">
        <v>79</v>
      </c>
      <c r="G22" s="81" t="s">
        <v>51</v>
      </c>
    </row>
    <row r="23" spans="2:7" ht="15" thickBot="1">
      <c r="B23" s="88">
        <f>2*D20+E20+F20</f>
        <v>0.15</v>
      </c>
      <c r="C23" s="79">
        <f>B33</f>
        <v>8.9344262295081966E-2</v>
      </c>
      <c r="D23" s="79">
        <f>B33</f>
        <v>8.9344262295081966E-2</v>
      </c>
      <c r="E23" s="79">
        <f>B33</f>
        <v>8.9344262295081966E-2</v>
      </c>
      <c r="F23" s="79">
        <f>C20</f>
        <v>0.16950000000000001</v>
      </c>
      <c r="G23" s="62">
        <f>B20</f>
        <v>0.14299999999999999</v>
      </c>
    </row>
    <row r="24" spans="2:7">
      <c r="B24" s="121" t="s">
        <v>22</v>
      </c>
      <c r="C24" s="122"/>
      <c r="D24" s="122"/>
      <c r="E24" s="122"/>
      <c r="F24" s="122"/>
      <c r="G24" s="123"/>
    </row>
    <row r="25" spans="2:7" ht="18" thickBot="1">
      <c r="B25" s="63" t="s">
        <v>11</v>
      </c>
      <c r="C25" s="64" t="s">
        <v>12</v>
      </c>
      <c r="D25" s="65" t="s">
        <v>21</v>
      </c>
      <c r="E25" s="64" t="s">
        <v>1</v>
      </c>
      <c r="F25" s="64" t="s">
        <v>28</v>
      </c>
      <c r="G25" s="67" t="s">
        <v>0</v>
      </c>
    </row>
    <row r="26" spans="2:7" ht="15" thickTop="1">
      <c r="B26" s="57">
        <v>1.2250000000000001</v>
      </c>
      <c r="C26" s="55">
        <v>6.03</v>
      </c>
      <c r="D26" s="55">
        <f>0.00001789</f>
        <v>1.789E-5</v>
      </c>
      <c r="E26" s="59">
        <f>B26*C26*C6/D26</f>
        <v>12386.948015651204</v>
      </c>
      <c r="F26" s="55">
        <v>340.29</v>
      </c>
      <c r="G26" s="58">
        <f>C26/F26</f>
        <v>1.7720179846601427E-2</v>
      </c>
    </row>
    <row r="27" spans="2:7">
      <c r="B27" s="57"/>
      <c r="C27" s="55"/>
      <c r="D27" s="55"/>
      <c r="E27" s="59"/>
      <c r="F27" s="55"/>
      <c r="G27" s="58"/>
    </row>
    <row r="28" spans="2:7">
      <c r="B28" s="57" t="s">
        <v>98</v>
      </c>
      <c r="C28" s="55"/>
      <c r="D28" s="55"/>
      <c r="E28" s="59"/>
      <c r="F28" s="55"/>
      <c r="G28" s="58"/>
    </row>
    <row r="29" spans="2:7" ht="15" thickBot="1">
      <c r="B29" s="60">
        <f>0.5*B26*(C26^2)*D6</f>
        <v>1.8189881108437502</v>
      </c>
      <c r="C29" s="61"/>
      <c r="D29" s="61"/>
      <c r="E29" s="61"/>
      <c r="F29" s="61"/>
      <c r="G29" s="62"/>
    </row>
    <row r="30" spans="2:7" ht="15" thickBot="1"/>
    <row r="31" spans="2:7">
      <c r="B31" s="127" t="s">
        <v>71</v>
      </c>
      <c r="C31" s="128"/>
      <c r="D31" s="129"/>
    </row>
    <row r="32" spans="2:7" ht="17" thickBot="1">
      <c r="B32" s="90" t="s">
        <v>68</v>
      </c>
      <c r="C32" s="91" t="s">
        <v>69</v>
      </c>
      <c r="D32" s="92" t="s">
        <v>67</v>
      </c>
    </row>
    <row r="33" spans="2:4" ht="17" thickTop="1" thickBot="1">
      <c r="B33" s="60">
        <v>8.9344262295081966E-2</v>
      </c>
      <c r="C33" s="89">
        <v>7.7237991266375539E-2</v>
      </c>
      <c r="D33" s="62" t="s">
        <v>70</v>
      </c>
    </row>
  </sheetData>
  <mergeCells count="6">
    <mergeCell ref="B24:G24"/>
    <mergeCell ref="B14:G14"/>
    <mergeCell ref="B4:G4"/>
    <mergeCell ref="B18:G18"/>
    <mergeCell ref="B31:D31"/>
    <mergeCell ref="B10:G1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AC143"/>
  <sheetViews>
    <sheetView topLeftCell="B3" zoomScale="85" zoomScaleNormal="85" zoomScalePageLayoutView="85" workbookViewId="0">
      <selection activeCell="N66" sqref="N66"/>
    </sheetView>
  </sheetViews>
  <sheetFormatPr baseColWidth="10" defaultColWidth="8.83203125" defaultRowHeight="14" x14ac:dyDescent="0"/>
  <cols>
    <col min="1" max="1" width="5.5" style="5" customWidth="1"/>
    <col min="2" max="2" width="15.5" style="5" bestFit="1" customWidth="1"/>
    <col min="3" max="3" width="13.1640625" style="5" customWidth="1"/>
    <col min="4" max="4" width="12" style="3" customWidth="1"/>
    <col min="5" max="5" width="9.33203125" style="3" bestFit="1" customWidth="1"/>
    <col min="6" max="6" width="9.1640625" style="3" customWidth="1"/>
    <col min="7" max="7" width="13.83203125" style="6" customWidth="1"/>
    <col min="8" max="8" width="13.6640625" style="6" customWidth="1"/>
    <col min="9" max="9" width="16.83203125" style="74" customWidth="1"/>
    <col min="10" max="10" width="8.83203125" style="3" customWidth="1"/>
    <col min="11" max="11" width="8.1640625" style="3" customWidth="1"/>
    <col min="12" max="12" width="14.83203125" style="3" bestFit="1" customWidth="1"/>
    <col min="13" max="13" width="15.5" style="3" bestFit="1" customWidth="1"/>
    <col min="14" max="14" width="16.1640625" style="3" bestFit="1" customWidth="1"/>
    <col min="15" max="15" width="9.83203125" style="3" customWidth="1"/>
    <col min="16" max="17" width="5.83203125" style="3" bestFit="1" customWidth="1"/>
    <col min="18" max="18" width="9.83203125" style="3" customWidth="1"/>
    <col min="19" max="19" width="9.1640625" style="3" bestFit="1" customWidth="1"/>
    <col min="20" max="21" width="6.5" style="3" bestFit="1" customWidth="1"/>
    <col min="22" max="22" width="8" style="5" bestFit="1" customWidth="1"/>
    <col min="23" max="23" width="10" style="5" bestFit="1" customWidth="1"/>
    <col min="24" max="24" width="12.6640625" style="5" bestFit="1" customWidth="1"/>
    <col min="25" max="26" width="12" bestFit="1" customWidth="1"/>
    <col min="27" max="28" width="12.6640625" bestFit="1" customWidth="1"/>
  </cols>
  <sheetData>
    <row r="1" spans="3:29" ht="15" thickBot="1"/>
    <row r="2" spans="3:29" ht="15" thickBot="1">
      <c r="C2" s="130" t="s">
        <v>54</v>
      </c>
      <c r="D2" s="131"/>
      <c r="E2" s="11"/>
      <c r="F2" s="13"/>
      <c r="G2" s="13"/>
      <c r="H2" s="132" t="s">
        <v>38</v>
      </c>
      <c r="I2" s="133"/>
      <c r="J2" s="133"/>
      <c r="K2" s="133"/>
      <c r="L2" s="133"/>
      <c r="M2" s="133"/>
      <c r="N2" s="133"/>
      <c r="O2" s="133"/>
      <c r="P2" s="134"/>
      <c r="Q2" s="13"/>
      <c r="R2"/>
      <c r="S2"/>
      <c r="T2"/>
      <c r="U2"/>
      <c r="V2" s="13"/>
      <c r="W2" s="13"/>
      <c r="X2" s="3"/>
      <c r="Y2" s="4"/>
      <c r="Z2" s="4"/>
      <c r="AA2" s="4"/>
      <c r="AB2" s="4"/>
    </row>
    <row r="3" spans="3:29" ht="18" thickBot="1">
      <c r="C3" s="18"/>
      <c r="D3" s="13"/>
      <c r="E3" s="13"/>
      <c r="F3" s="13"/>
      <c r="G3" s="13"/>
      <c r="H3" s="101" t="s">
        <v>4</v>
      </c>
      <c r="I3" s="102" t="s">
        <v>5</v>
      </c>
      <c r="J3" s="103" t="s">
        <v>6</v>
      </c>
      <c r="K3" s="103" t="s">
        <v>31</v>
      </c>
      <c r="L3" s="103" t="s">
        <v>87</v>
      </c>
      <c r="M3" s="103" t="s">
        <v>23</v>
      </c>
      <c r="N3" s="103" t="s">
        <v>26</v>
      </c>
      <c r="O3" s="104" t="s">
        <v>15</v>
      </c>
      <c r="P3" s="66" t="s">
        <v>88</v>
      </c>
      <c r="Q3" s="13"/>
      <c r="R3"/>
      <c r="S3"/>
      <c r="T3"/>
      <c r="U3"/>
      <c r="Y3" s="5"/>
      <c r="Z3" s="3"/>
      <c r="AA3" s="4"/>
      <c r="AB3" s="4"/>
      <c r="AC3" s="4"/>
    </row>
    <row r="4" spans="3:29" ht="16" thickTop="1" thickBot="1">
      <c r="C4" s="18"/>
      <c r="D4" s="13"/>
      <c r="E4" s="13"/>
      <c r="F4" s="13"/>
      <c r="G4" s="13"/>
      <c r="H4" s="39">
        <f>SBT!B6</f>
        <v>0.495</v>
      </c>
      <c r="I4" s="75">
        <f>SBT!C9</f>
        <v>0.3</v>
      </c>
      <c r="J4" s="25">
        <f>SBT!D6</f>
        <v>8.1674999999999998E-2</v>
      </c>
      <c r="K4" s="25">
        <f>SBT!E6</f>
        <v>3</v>
      </c>
      <c r="L4" s="25">
        <f>SBT!D9</f>
        <v>0.17999999999999997</v>
      </c>
      <c r="M4" s="25">
        <f>SBT!B16</f>
        <v>1.2192000000000001</v>
      </c>
      <c r="N4" s="25">
        <f>SBT!C16</f>
        <v>4.2671999999999999</v>
      </c>
      <c r="O4" s="25">
        <f>0.5*SBT!$B$26*$J$4*SBT!$C$26^2</f>
        <v>1.81898811084375</v>
      </c>
      <c r="P4" s="37">
        <f>(SBT!$B$12*SBT!$E$23+SBT!$D$23)*0.5*9.81</f>
        <v>1.0079372950819674</v>
      </c>
      <c r="Q4" s="13"/>
      <c r="R4"/>
      <c r="S4"/>
      <c r="T4"/>
      <c r="U4"/>
      <c r="X4" s="3"/>
      <c r="Y4" s="5"/>
      <c r="Z4" s="5"/>
    </row>
    <row r="5" spans="3:29">
      <c r="C5" s="18"/>
      <c r="D5" s="13"/>
      <c r="E5" s="13"/>
      <c r="F5" s="13"/>
      <c r="G5" s="13"/>
      <c r="H5" s="13"/>
      <c r="I5" s="72"/>
      <c r="J5" s="13"/>
      <c r="K5" s="13"/>
      <c r="L5" s="13"/>
      <c r="M5" s="13"/>
      <c r="N5" s="13"/>
      <c r="O5" s="13"/>
      <c r="P5" s="6"/>
      <c r="Q5" s="6"/>
      <c r="R5"/>
      <c r="S5"/>
      <c r="T5"/>
      <c r="U5"/>
      <c r="X5" s="6"/>
      <c r="Y5" s="5"/>
      <c r="Z5" s="5"/>
    </row>
    <row r="6" spans="3:29" ht="15" thickBot="1">
      <c r="C6" s="18"/>
      <c r="D6" s="13"/>
      <c r="E6" s="13"/>
      <c r="F6" s="34"/>
      <c r="G6" s="13"/>
      <c r="H6" s="13"/>
      <c r="I6" s="72"/>
      <c r="J6" s="13"/>
      <c r="K6" s="13"/>
      <c r="L6" s="13"/>
      <c r="M6" s="13"/>
      <c r="N6" s="13"/>
      <c r="O6" s="13"/>
      <c r="P6" s="13"/>
      <c r="Q6" s="13"/>
      <c r="R6" s="13"/>
      <c r="S6" s="13"/>
      <c r="T6" s="18"/>
      <c r="U6" s="18"/>
      <c r="V6" s="18"/>
      <c r="W6" s="13"/>
      <c r="X6" s="6"/>
      <c r="Y6" s="5"/>
      <c r="Z6" s="5"/>
    </row>
    <row r="7" spans="3:29" ht="17" thickBot="1">
      <c r="C7" s="42" t="s">
        <v>36</v>
      </c>
      <c r="D7" s="43" t="s">
        <v>37</v>
      </c>
      <c r="E7" s="35" t="s">
        <v>24</v>
      </c>
      <c r="F7" s="36" t="s">
        <v>29</v>
      </c>
      <c r="G7" s="36" t="s">
        <v>30</v>
      </c>
      <c r="H7" s="97" t="s">
        <v>56</v>
      </c>
      <c r="I7" s="36" t="s">
        <v>77</v>
      </c>
      <c r="J7" s="36" t="s">
        <v>80</v>
      </c>
      <c r="K7" s="36" t="s">
        <v>81</v>
      </c>
      <c r="L7" s="110" t="s">
        <v>92</v>
      </c>
      <c r="M7" s="36" t="s">
        <v>89</v>
      </c>
      <c r="N7" s="36" t="s">
        <v>90</v>
      </c>
      <c r="O7" s="38" t="s">
        <v>91</v>
      </c>
      <c r="P7" s="15"/>
      <c r="Q7" s="15"/>
      <c r="R7" s="15"/>
      <c r="S7" s="15"/>
      <c r="T7" s="40"/>
      <c r="U7" s="40"/>
      <c r="V7" s="16"/>
      <c r="W7" s="6"/>
      <c r="Y7" s="5"/>
    </row>
    <row r="8" spans="3:29" ht="16" thickTop="1" thickBot="1">
      <c r="C8" s="44">
        <v>4</v>
      </c>
      <c r="D8" s="45">
        <f>MAX(T11:T32)</f>
        <v>1.599930922168165</v>
      </c>
      <c r="E8" s="25">
        <f>$M$4-H8</f>
        <v>1.1502725009157611</v>
      </c>
      <c r="F8" s="25">
        <f>MAX(N11:N33)</f>
        <v>1.2469665175344147</v>
      </c>
      <c r="G8" s="25">
        <f>F8*$L$4</f>
        <v>0.22445397315619459</v>
      </c>
      <c r="H8" s="75">
        <f>(-N8+SQRT(N8^2-4*$P$4*O8))/(2*$P$4)</f>
        <v>6.8927499084239063E-2</v>
      </c>
      <c r="I8" s="25">
        <f>$H$4*SBT!$C$23</f>
        <v>4.4225409836065571E-2</v>
      </c>
      <c r="J8" s="25">
        <f>I8+SBT!$B$23</f>
        <v>0.19422540983606557</v>
      </c>
      <c r="K8" s="25">
        <f>SBT!$B$12*H8</f>
        <v>8.9605748809510791E-2</v>
      </c>
      <c r="L8" s="25">
        <f>(F8*$L$4-(SBT!$F$23*K8+0.5*SBT!$E$23*K8^2)*9.81)/(J8*9.81)</f>
        <v>3.7756461074075445E-2</v>
      </c>
      <c r="M8" s="79">
        <f>J8+SBT!$F$23+2*SBT!$G$23+H8*SBT!$D$23+K8*SBT!$E$23</f>
        <v>0.66388944591837606</v>
      </c>
      <c r="N8" s="25">
        <f>(SBT!$G$23+(SBT!$F$23+J8)*0.5)*9.81</f>
        <v>3.1869031352459021</v>
      </c>
      <c r="O8" s="37">
        <f>-F8*$L$4</f>
        <v>-0.22445397315619459</v>
      </c>
      <c r="P8" s="13"/>
      <c r="Q8" s="13"/>
      <c r="R8" s="13"/>
      <c r="S8" s="13"/>
      <c r="T8" s="13"/>
      <c r="U8" s="13"/>
      <c r="V8" s="19"/>
      <c r="X8"/>
    </row>
    <row r="9" spans="3:29">
      <c r="C9" s="41"/>
      <c r="D9" s="13"/>
      <c r="E9" s="13"/>
      <c r="F9" s="13"/>
      <c r="G9" s="13"/>
      <c r="H9" s="13"/>
      <c r="I9" s="76"/>
      <c r="J9" s="18"/>
      <c r="K9" s="18"/>
      <c r="L9" s="13"/>
      <c r="M9" s="13"/>
      <c r="N9" s="13"/>
      <c r="O9" s="13"/>
      <c r="P9" s="13"/>
      <c r="Q9" s="13"/>
      <c r="R9" s="13"/>
      <c r="S9" s="13"/>
      <c r="T9" s="13"/>
      <c r="U9" s="13"/>
      <c r="V9" s="19"/>
      <c r="X9"/>
    </row>
    <row r="10" spans="3:29" ht="17" thickBot="1">
      <c r="C10" s="47" t="s">
        <v>40</v>
      </c>
      <c r="D10" s="48" t="s">
        <v>42</v>
      </c>
      <c r="E10" s="30" t="s">
        <v>35</v>
      </c>
      <c r="F10" s="29" t="s">
        <v>34</v>
      </c>
      <c r="G10" s="29" t="s">
        <v>41</v>
      </c>
      <c r="H10" s="29" t="s">
        <v>7</v>
      </c>
      <c r="I10" s="70" t="s">
        <v>16</v>
      </c>
      <c r="J10" s="71" t="s">
        <v>17</v>
      </c>
      <c r="K10" s="29" t="s">
        <v>18</v>
      </c>
      <c r="L10" s="46" t="s">
        <v>39</v>
      </c>
      <c r="M10" s="31" t="s">
        <v>10</v>
      </c>
      <c r="N10" s="31" t="s">
        <v>13</v>
      </c>
      <c r="O10" s="31" t="s">
        <v>14</v>
      </c>
      <c r="P10" s="31" t="s">
        <v>8</v>
      </c>
      <c r="Q10" s="31" t="s">
        <v>9</v>
      </c>
      <c r="R10" s="31" t="s">
        <v>19</v>
      </c>
      <c r="S10" s="31" t="s">
        <v>25</v>
      </c>
      <c r="T10" s="32" t="s">
        <v>27</v>
      </c>
      <c r="U10" s="32"/>
      <c r="V10" s="33"/>
      <c r="X10"/>
    </row>
    <row r="11" spans="3:29" ht="15" thickTop="1">
      <c r="C11" s="49">
        <v>4.05081161157492</v>
      </c>
      <c r="D11" s="10">
        <v>0.53149999999999997</v>
      </c>
      <c r="E11" s="7">
        <f>$K$4/(2+SQRT(4+$K$4^2))</f>
        <v>0.53518375848799637</v>
      </c>
      <c r="F11" s="7">
        <f>C11*E11</f>
        <v>2.1679285832094832</v>
      </c>
      <c r="G11" s="12">
        <f>D11*E11</f>
        <v>0.28445016763637004</v>
      </c>
      <c r="H11" s="14">
        <f>F11*PI()/180</f>
        <v>3.7837491725101341E-2</v>
      </c>
      <c r="I11" s="72">
        <f t="shared" ref="I11:I32" si="0">0.5*ATAN(K11)*180/PI()-J11</f>
        <v>42.217082148408949</v>
      </c>
      <c r="J11" s="13">
        <v>0</v>
      </c>
      <c r="K11" s="13">
        <f t="shared" ref="K11:K32" si="1">L11/M11</f>
        <v>10.26179055775177</v>
      </c>
      <c r="L11" s="13">
        <f>$H$11*J11+$G$11</f>
        <v>0.28445016763637004</v>
      </c>
      <c r="M11" s="13">
        <f t="shared" ref="M11:M32" si="2">0.015+0.1572*(L11^2)</f>
        <v>2.7719350344906038E-2</v>
      </c>
      <c r="N11" s="13">
        <f t="shared" ref="N11:N32" si="3">$O$4*L11</f>
        <v>0.51741147305806878</v>
      </c>
      <c r="O11" s="13">
        <f t="shared" ref="O11:O32" si="4">$O$4*M11</f>
        <v>5.0421168717696682E-2</v>
      </c>
      <c r="P11" s="13">
        <f t="shared" ref="P11:P32" si="5">((N11*COS(I11+J11)+O11*SIN(I11+J11))*SIN(J11+I11)-O11)/$M$8</f>
        <v>0.14489867491219841</v>
      </c>
      <c r="Q11" s="13">
        <f t="shared" ref="Q11:Q32" si="6">P11*TAN(I11+J11)</f>
        <v>0.73587787311586272</v>
      </c>
      <c r="R11" s="21">
        <f t="shared" ref="R11:R32" si="7">IF(ISERROR(SQRT(2*$E$8/Q11)),0,SQRT(2*$E$8/Q11))</f>
        <v>1.7681230845240505</v>
      </c>
      <c r="S11" s="13">
        <f t="shared" ref="S11:S32" si="8">0.5*P11*R11^2</f>
        <v>0.22649541080085164</v>
      </c>
      <c r="T11" s="22">
        <f t="shared" ref="T11:T32" si="9">R11*P11</f>
        <v>0.25619869202920392</v>
      </c>
      <c r="U11" s="22"/>
      <c r="V11" s="19"/>
      <c r="X11"/>
    </row>
    <row r="12" spans="3:29">
      <c r="C12" s="17"/>
      <c r="D12" s="18"/>
      <c r="E12" s="13"/>
      <c r="F12" s="13"/>
      <c r="G12" s="13"/>
      <c r="H12" s="13"/>
      <c r="I12" s="72">
        <f t="shared" si="0"/>
        <v>41.72600848763372</v>
      </c>
      <c r="J12" s="13">
        <f>J11+0.5</f>
        <v>0.5</v>
      </c>
      <c r="K12" s="13">
        <f t="shared" si="1"/>
        <v>10.295019968676296</v>
      </c>
      <c r="L12" s="13">
        <f t="shared" ref="L12:L32" si="10">$H$11*J12+$G$11</f>
        <v>0.3033689134989207</v>
      </c>
      <c r="M12" s="13">
        <f t="shared" si="2"/>
        <v>2.9467540074905457E-2</v>
      </c>
      <c r="N12" s="13">
        <f t="shared" si="3"/>
        <v>0.5518244468541228</v>
      </c>
      <c r="O12" s="13">
        <f t="shared" si="4"/>
        <v>5.3601105052064772E-2</v>
      </c>
      <c r="P12" s="13">
        <f t="shared" si="5"/>
        <v>0.14792244087201714</v>
      </c>
      <c r="Q12" s="13">
        <f t="shared" si="6"/>
        <v>0.78829129689951394</v>
      </c>
      <c r="R12" s="21">
        <f t="shared" si="7"/>
        <v>1.7083309167167069</v>
      </c>
      <c r="S12" s="13">
        <f t="shared" si="8"/>
        <v>0.21584802048767091</v>
      </c>
      <c r="T12" s="22">
        <f t="shared" si="9"/>
        <v>0.25270047901786591</v>
      </c>
      <c r="U12" s="22"/>
      <c r="V12" s="19"/>
      <c r="X12"/>
    </row>
    <row r="13" spans="3:29">
      <c r="C13" s="20"/>
      <c r="D13" s="11"/>
      <c r="E13" s="13"/>
      <c r="F13" s="13"/>
      <c r="G13" s="13"/>
      <c r="H13" s="13"/>
      <c r="I13" s="72">
        <f t="shared" si="0"/>
        <v>41.223977920154937</v>
      </c>
      <c r="J13" s="13">
        <f t="shared" ref="J13:J31" si="11">J12+0.5</f>
        <v>1</v>
      </c>
      <c r="K13" s="13">
        <f t="shared" si="1"/>
        <v>10.287442209906589</v>
      </c>
      <c r="L13" s="13">
        <f t="shared" si="10"/>
        <v>0.32228765936147141</v>
      </c>
      <c r="M13" s="13">
        <f t="shared" si="2"/>
        <v>3.1328259521216581E-2</v>
      </c>
      <c r="N13" s="13">
        <f t="shared" si="3"/>
        <v>0.58623742065017692</v>
      </c>
      <c r="O13" s="13">
        <f t="shared" si="4"/>
        <v>5.6985731602520476E-2</v>
      </c>
      <c r="P13" s="13">
        <f t="shared" si="5"/>
        <v>0.1587512959122522</v>
      </c>
      <c r="Q13" s="13">
        <f t="shared" si="6"/>
        <v>0.83662365956755214</v>
      </c>
      <c r="R13" s="21">
        <f t="shared" si="7"/>
        <v>1.6582511052978264</v>
      </c>
      <c r="S13" s="13">
        <f t="shared" si="8"/>
        <v>0.21826689705021421</v>
      </c>
      <c r="T13" s="22">
        <f t="shared" si="9"/>
        <v>0.26324951191395451</v>
      </c>
      <c r="U13" s="22"/>
      <c r="V13" s="19"/>
      <c r="X13"/>
    </row>
    <row r="14" spans="3:29">
      <c r="C14" s="17"/>
      <c r="D14" s="18"/>
      <c r="E14" s="13"/>
      <c r="F14" s="13"/>
      <c r="G14" s="13"/>
      <c r="H14" s="13"/>
      <c r="I14" s="72">
        <f t="shared" si="0"/>
        <v>40.712813342892858</v>
      </c>
      <c r="J14" s="13">
        <f t="shared" si="11"/>
        <v>1.5</v>
      </c>
      <c r="K14" s="13">
        <f t="shared" si="1"/>
        <v>10.245974393034123</v>
      </c>
      <c r="L14" s="13">
        <f t="shared" si="10"/>
        <v>0.34120640522402207</v>
      </c>
      <c r="M14" s="13">
        <f t="shared" si="2"/>
        <v>3.3301508683839409E-2</v>
      </c>
      <c r="N14" s="13">
        <f t="shared" si="3"/>
        <v>0.62065039444623094</v>
      </c>
      <c r="O14" s="13">
        <f t="shared" si="4"/>
        <v>6.0575048369063786E-2</v>
      </c>
      <c r="P14" s="13">
        <f t="shared" si="5"/>
        <v>0.17734217076834446</v>
      </c>
      <c r="Q14" s="13">
        <f t="shared" si="6"/>
        <v>0.88079217025251133</v>
      </c>
      <c r="R14" s="21">
        <f t="shared" si="7"/>
        <v>1.6161387516421442</v>
      </c>
      <c r="S14" s="13">
        <f t="shared" si="8"/>
        <v>0.23160040379224972</v>
      </c>
      <c r="T14" s="22">
        <f t="shared" si="9"/>
        <v>0.28660955447906017</v>
      </c>
      <c r="U14" s="22"/>
      <c r="V14" s="19"/>
      <c r="X14"/>
    </row>
    <row r="15" spans="3:29">
      <c r="C15" s="17"/>
      <c r="D15" s="13"/>
      <c r="E15" s="13"/>
      <c r="F15" s="13"/>
      <c r="G15" s="13"/>
      <c r="H15" s="13"/>
      <c r="I15" s="72">
        <f t="shared" si="0"/>
        <v>40.193956142757855</v>
      </c>
      <c r="J15" s="13">
        <f t="shared" si="11"/>
        <v>2</v>
      </c>
      <c r="K15" s="13">
        <f t="shared" si="1"/>
        <v>10.176681398588189</v>
      </c>
      <c r="L15" s="13">
        <f t="shared" si="10"/>
        <v>0.36012515108657273</v>
      </c>
      <c r="M15" s="13">
        <f t="shared" si="2"/>
        <v>3.5387287562773942E-2</v>
      </c>
      <c r="N15" s="13">
        <f t="shared" si="3"/>
        <v>0.65506336824228495</v>
      </c>
      <c r="O15" s="13">
        <f t="shared" si="4"/>
        <v>6.4369055351694709E-2</v>
      </c>
      <c r="P15" s="13">
        <f t="shared" si="5"/>
        <v>0.20342731132203018</v>
      </c>
      <c r="Q15" s="13">
        <f t="shared" si="6"/>
        <v>0.92030762337605787</v>
      </c>
      <c r="R15" s="21">
        <f t="shared" si="7"/>
        <v>1.5810618399082268</v>
      </c>
      <c r="S15" s="13">
        <f t="shared" si="8"/>
        <v>0.25425937611009508</v>
      </c>
      <c r="T15" s="22">
        <f t="shared" si="9"/>
        <v>0.32163115912639267</v>
      </c>
      <c r="U15" s="22"/>
      <c r="V15" s="19"/>
      <c r="X15"/>
    </row>
    <row r="16" spans="3:29">
      <c r="C16" s="17"/>
      <c r="D16" s="13"/>
      <c r="E16" s="13"/>
      <c r="F16" s="13"/>
      <c r="G16" s="13"/>
      <c r="H16" s="13"/>
      <c r="I16" s="72">
        <f t="shared" si="0"/>
        <v>39.668561062861627</v>
      </c>
      <c r="J16" s="13">
        <f t="shared" si="11"/>
        <v>2.5</v>
      </c>
      <c r="K16" s="13">
        <f t="shared" si="1"/>
        <v>10.084818007289782</v>
      </c>
      <c r="L16" s="13">
        <f t="shared" si="10"/>
        <v>0.37904389694912338</v>
      </c>
      <c r="M16" s="13">
        <f t="shared" si="2"/>
        <v>3.7585596158020165E-2</v>
      </c>
      <c r="N16" s="13">
        <f t="shared" si="3"/>
        <v>0.68947634203833896</v>
      </c>
      <c r="O16" s="13">
        <f t="shared" si="4"/>
        <v>6.8367752550413205E-2</v>
      </c>
      <c r="P16" s="13">
        <f t="shared" si="5"/>
        <v>0.2365329162001388</v>
      </c>
      <c r="Q16" s="13">
        <f t="shared" si="6"/>
        <v>0.95439763884283302</v>
      </c>
      <c r="R16" s="21">
        <f t="shared" si="7"/>
        <v>1.552568206474636</v>
      </c>
      <c r="S16" s="13">
        <f t="shared" si="8"/>
        <v>0.28507751695227795</v>
      </c>
      <c r="T16" s="22">
        <f t="shared" si="9"/>
        <v>0.36723348547706486</v>
      </c>
      <c r="U16" s="22"/>
      <c r="V16" s="19"/>
      <c r="X16"/>
    </row>
    <row r="17" spans="3:24">
      <c r="C17" s="17"/>
      <c r="D17" s="13"/>
      <c r="E17" s="13"/>
      <c r="F17" s="13"/>
      <c r="G17" s="13"/>
      <c r="H17" s="13"/>
      <c r="I17" s="72">
        <f t="shared" si="0"/>
        <v>39.137564115084615</v>
      </c>
      <c r="J17" s="13">
        <f t="shared" si="11"/>
        <v>3</v>
      </c>
      <c r="K17" s="13">
        <f t="shared" si="1"/>
        <v>9.9748924459685551</v>
      </c>
      <c r="L17" s="13">
        <f t="shared" si="10"/>
        <v>0.39796264281167404</v>
      </c>
      <c r="M17" s="13">
        <f t="shared" si="2"/>
        <v>3.98964344695781E-2</v>
      </c>
      <c r="N17" s="13">
        <f t="shared" si="3"/>
        <v>0.72388931583439298</v>
      </c>
      <c r="O17" s="13">
        <f t="shared" si="4"/>
        <v>7.2571139965219342E-2</v>
      </c>
      <c r="P17" s="13">
        <f t="shared" si="5"/>
        <v>0.27597405318237384</v>
      </c>
      <c r="Q17" s="13">
        <f t="shared" si="6"/>
        <v>0.98211049876518153</v>
      </c>
      <c r="R17" s="21">
        <f t="shared" si="7"/>
        <v>1.5305065399428586</v>
      </c>
      <c r="S17" s="13">
        <f t="shared" si="8"/>
        <v>0.32322774753052325</v>
      </c>
      <c r="T17" s="22">
        <f t="shared" si="9"/>
        <v>0.4223800932501614</v>
      </c>
      <c r="U17" s="22"/>
      <c r="V17" s="19"/>
      <c r="X17"/>
    </row>
    <row r="18" spans="3:24">
      <c r="C18" s="17"/>
      <c r="D18" s="13"/>
      <c r="E18" s="13"/>
      <c r="F18" s="13"/>
      <c r="G18" s="13"/>
      <c r="H18" s="13"/>
      <c r="I18" s="72">
        <f t="shared" si="0"/>
        <v>38.601732065817544</v>
      </c>
      <c r="J18" s="13">
        <f t="shared" si="11"/>
        <v>3.5</v>
      </c>
      <c r="K18" s="13">
        <f t="shared" si="1"/>
        <v>9.8507404116398298</v>
      </c>
      <c r="L18" s="13">
        <f t="shared" si="10"/>
        <v>0.41688138867422475</v>
      </c>
      <c r="M18" s="13">
        <f t="shared" si="2"/>
        <v>4.2319802497447753E-2</v>
      </c>
      <c r="N18" s="13">
        <f t="shared" si="3"/>
        <v>0.75830228963044721</v>
      </c>
      <c r="O18" s="13">
        <f t="shared" si="4"/>
        <v>7.6979217596113106E-2</v>
      </c>
      <c r="P18" s="13">
        <f t="shared" si="5"/>
        <v>0.3208425790390666</v>
      </c>
      <c r="Q18" s="13">
        <f t="shared" si="6"/>
        <v>1.0024057831192477</v>
      </c>
      <c r="R18" s="21">
        <f t="shared" si="7"/>
        <v>1.5149335538635533</v>
      </c>
      <c r="S18" s="13">
        <f t="shared" si="8"/>
        <v>0.36817065703982127</v>
      </c>
      <c r="T18" s="22">
        <f t="shared" si="9"/>
        <v>0.48605518849440116</v>
      </c>
      <c r="U18" s="22"/>
      <c r="V18" s="19"/>
      <c r="X18"/>
    </row>
    <row r="19" spans="3:24">
      <c r="C19" s="17"/>
      <c r="D19" s="13"/>
      <c r="E19" s="13"/>
      <c r="F19" s="13"/>
      <c r="G19" s="13"/>
      <c r="H19" s="13"/>
      <c r="I19" s="72">
        <f t="shared" si="0"/>
        <v>38.061699073351853</v>
      </c>
      <c r="J19" s="13">
        <f t="shared" si="11"/>
        <v>4</v>
      </c>
      <c r="K19" s="13">
        <f t="shared" si="1"/>
        <v>9.7156020793166373</v>
      </c>
      <c r="L19" s="13">
        <f t="shared" si="10"/>
        <v>0.43580013453677541</v>
      </c>
      <c r="M19" s="13">
        <f t="shared" si="2"/>
        <v>4.485570024162909E-2</v>
      </c>
      <c r="N19" s="13">
        <f t="shared" si="3"/>
        <v>0.79271526342650123</v>
      </c>
      <c r="O19" s="13">
        <f t="shared" si="4"/>
        <v>8.1591985443094442E-2</v>
      </c>
      <c r="P19" s="13">
        <f t="shared" si="5"/>
        <v>0.36999729500708184</v>
      </c>
      <c r="Q19" s="13">
        <f t="shared" si="6"/>
        <v>1.0142362802517666</v>
      </c>
      <c r="R19" s="21">
        <f t="shared" si="7"/>
        <v>1.5060722124760828</v>
      </c>
      <c r="S19" s="13">
        <f t="shared" si="8"/>
        <v>0.41962383139579212</v>
      </c>
      <c r="T19" s="22">
        <f t="shared" si="9"/>
        <v>0.55724264470148166</v>
      </c>
      <c r="U19" s="22"/>
      <c r="V19" s="19"/>
      <c r="X19"/>
    </row>
    <row r="20" spans="3:24">
      <c r="C20" s="17"/>
      <c r="D20" s="18"/>
      <c r="E20" s="13"/>
      <c r="F20" s="13"/>
      <c r="G20" s="13"/>
      <c r="H20" s="13"/>
      <c r="I20" s="72">
        <f t="shared" si="0"/>
        <v>37.517994206017022</v>
      </c>
      <c r="J20" s="13">
        <f t="shared" si="11"/>
        <v>4.5</v>
      </c>
      <c r="K20" s="13">
        <f t="shared" si="1"/>
        <v>9.5721972467460468</v>
      </c>
      <c r="L20" s="13">
        <f t="shared" si="10"/>
        <v>0.45471888039932606</v>
      </c>
      <c r="M20" s="13">
        <f t="shared" si="2"/>
        <v>4.7504127702122131E-2</v>
      </c>
      <c r="N20" s="13">
        <f t="shared" si="3"/>
        <v>0.82712823722255524</v>
      </c>
      <c r="O20" s="13">
        <f t="shared" si="4"/>
        <v>8.6409443506163391E-2</v>
      </c>
      <c r="P20" s="13">
        <f t="shared" si="5"/>
        <v>0.42206147996477589</v>
      </c>
      <c r="Q20" s="13">
        <f t="shared" si="6"/>
        <v>1.0166237460451251</v>
      </c>
      <c r="R20" s="21">
        <f t="shared" si="7"/>
        <v>1.5043027233004405</v>
      </c>
      <c r="S20" s="13">
        <f t="shared" si="8"/>
        <v>0.47754709250883537</v>
      </c>
      <c r="T20" s="22">
        <f t="shared" si="9"/>
        <v>0.63490823371122662</v>
      </c>
      <c r="U20" s="22"/>
      <c r="V20" s="19"/>
      <c r="X20"/>
    </row>
    <row r="21" spans="3:24">
      <c r="C21" s="17"/>
      <c r="D21" s="22"/>
      <c r="E21" s="13"/>
      <c r="F21" s="13"/>
      <c r="G21" s="13"/>
      <c r="H21" s="13"/>
      <c r="I21" s="72">
        <f t="shared" si="0"/>
        <v>36.971062382859586</v>
      </c>
      <c r="J21" s="13">
        <f t="shared" si="11"/>
        <v>5</v>
      </c>
      <c r="K21" s="13">
        <f t="shared" si="1"/>
        <v>9.4227957120280212</v>
      </c>
      <c r="L21" s="13">
        <f t="shared" si="10"/>
        <v>0.47363762626187678</v>
      </c>
      <c r="M21" s="13">
        <f t="shared" si="2"/>
        <v>5.0265084878926884E-2</v>
      </c>
      <c r="N21" s="13">
        <f t="shared" si="3"/>
        <v>0.86154121101860937</v>
      </c>
      <c r="O21" s="13">
        <f t="shared" si="4"/>
        <v>9.1431591785319954E-2</v>
      </c>
      <c r="P21" s="13">
        <f t="shared" si="5"/>
        <v>0.47543061513667056</v>
      </c>
      <c r="Q21" s="13">
        <f t="shared" si="6"/>
        <v>1.0087295168544375</v>
      </c>
      <c r="R21" s="21">
        <f t="shared" si="7"/>
        <v>1.5101775227171832</v>
      </c>
      <c r="S21" s="13">
        <f t="shared" si="8"/>
        <v>0.54214212387728933</v>
      </c>
      <c r="T21" s="22">
        <f t="shared" si="9"/>
        <v>0.71798462859100365</v>
      </c>
      <c r="U21" s="22"/>
      <c r="V21" s="19"/>
      <c r="X21"/>
    </row>
    <row r="22" spans="3:24">
      <c r="C22" s="17"/>
      <c r="D22" s="18"/>
      <c r="E22" s="13"/>
      <c r="F22" s="13"/>
      <c r="G22" s="13"/>
      <c r="H22" s="13"/>
      <c r="I22" s="72">
        <f t="shared" si="0"/>
        <v>36.421280500226672</v>
      </c>
      <c r="J22" s="13">
        <f t="shared" si="11"/>
        <v>5.5</v>
      </c>
      <c r="K22" s="13">
        <f t="shared" si="1"/>
        <v>9.2692813468420248</v>
      </c>
      <c r="L22" s="13">
        <f t="shared" si="10"/>
        <v>0.49255637212442743</v>
      </c>
      <c r="M22" s="13">
        <f t="shared" si="2"/>
        <v>5.3138571772043335E-2</v>
      </c>
      <c r="N22" s="13">
        <f t="shared" si="3"/>
        <v>0.89595418481466338</v>
      </c>
      <c r="O22" s="13">
        <f t="shared" si="4"/>
        <v>9.6658430280564131E-2</v>
      </c>
      <c r="P22" s="13">
        <f t="shared" si="5"/>
        <v>0.52829168726495457</v>
      </c>
      <c r="Q22" s="13">
        <f t="shared" si="6"/>
        <v>0.98991982587599581</v>
      </c>
      <c r="R22" s="21">
        <f t="shared" si="7"/>
        <v>1.5244576197843651</v>
      </c>
      <c r="S22" s="13">
        <f t="shared" si="8"/>
        <v>0.61386728949035974</v>
      </c>
      <c r="T22" s="22">
        <f t="shared" si="9"/>
        <v>0.80535828811979882</v>
      </c>
      <c r="U22" s="22"/>
      <c r="V22" s="19"/>
      <c r="X22"/>
    </row>
    <row r="23" spans="3:24">
      <c r="C23" s="17"/>
      <c r="D23" s="18"/>
      <c r="E23" s="13"/>
      <c r="F23" s="13"/>
      <c r="G23" s="13"/>
      <c r="H23" s="13"/>
      <c r="I23" s="72">
        <f t="shared" si="0"/>
        <v>35.868969987417863</v>
      </c>
      <c r="J23" s="13">
        <f t="shared" si="11"/>
        <v>6</v>
      </c>
      <c r="K23" s="13">
        <f t="shared" si="1"/>
        <v>9.1132092499378103</v>
      </c>
      <c r="L23" s="13">
        <f t="shared" si="10"/>
        <v>0.51147511798697809</v>
      </c>
      <c r="M23" s="13">
        <f t="shared" si="2"/>
        <v>5.6124588381471489E-2</v>
      </c>
      <c r="N23" s="13">
        <f t="shared" si="3"/>
        <v>0.93036715861071739</v>
      </c>
      <c r="O23" s="13">
        <f t="shared" si="4"/>
        <v>0.10208995899189591</v>
      </c>
      <c r="P23" s="13">
        <f t="shared" si="5"/>
        <v>0.57865448864611313</v>
      </c>
      <c r="Q23" s="13">
        <f t="shared" si="6"/>
        <v>0.95982488595644677</v>
      </c>
      <c r="R23" s="21">
        <f t="shared" si="7"/>
        <v>1.5481725523815044</v>
      </c>
      <c r="S23" s="13">
        <f t="shared" si="8"/>
        <v>0.69347060652405124</v>
      </c>
      <c r="T23" s="22">
        <f t="shared" si="9"/>
        <v>0.89585699663426721</v>
      </c>
      <c r="U23" s="22"/>
      <c r="V23" s="19"/>
      <c r="X23"/>
    </row>
    <row r="24" spans="3:24">
      <c r="C24" s="17"/>
      <c r="D24" s="18"/>
      <c r="E24" s="13"/>
      <c r="F24" s="13"/>
      <c r="G24" s="13"/>
      <c r="H24" s="13"/>
      <c r="I24" s="72">
        <f t="shared" si="0"/>
        <v>35.314406680829435</v>
      </c>
      <c r="J24" s="13">
        <f t="shared" si="11"/>
        <v>6.5</v>
      </c>
      <c r="K24" s="13">
        <f t="shared" si="1"/>
        <v>8.9558559585152295</v>
      </c>
      <c r="L24" s="13">
        <f t="shared" si="10"/>
        <v>0.53039386384952869</v>
      </c>
      <c r="M24" s="13">
        <f t="shared" si="2"/>
        <v>5.9223134707211328E-2</v>
      </c>
      <c r="N24" s="13">
        <f t="shared" si="3"/>
        <v>0.9647801324067713</v>
      </c>
      <c r="O24" s="13">
        <f t="shared" si="4"/>
        <v>0.10772617791931526</v>
      </c>
      <c r="P24" s="13">
        <f t="shared" si="5"/>
        <v>0.62439459951417431</v>
      </c>
      <c r="Q24" s="13">
        <f t="shared" si="6"/>
        <v>0.9183903176690994</v>
      </c>
      <c r="R24" s="21">
        <f t="shared" si="7"/>
        <v>1.5827113555564185</v>
      </c>
      <c r="S24" s="13">
        <f t="shared" si="8"/>
        <v>0.7820465043276339</v>
      </c>
      <c r="T24" s="22">
        <f t="shared" si="9"/>
        <v>0.9882364229991859</v>
      </c>
      <c r="U24" s="22"/>
      <c r="V24" s="19"/>
      <c r="X24"/>
    </row>
    <row r="25" spans="3:24">
      <c r="C25" s="17"/>
      <c r="D25" s="18"/>
      <c r="E25" s="13"/>
      <c r="F25" s="13"/>
      <c r="G25" s="13"/>
      <c r="H25" s="13"/>
      <c r="I25" s="72">
        <f t="shared" si="0"/>
        <v>34.757828661595447</v>
      </c>
      <c r="J25" s="13">
        <f t="shared" si="11"/>
        <v>7</v>
      </c>
      <c r="K25" s="13">
        <f t="shared" si="1"/>
        <v>8.7982630535385535</v>
      </c>
      <c r="L25" s="13">
        <f t="shared" si="10"/>
        <v>0.54931260971207951</v>
      </c>
      <c r="M25" s="13">
        <f t="shared" si="2"/>
        <v>6.2434210749262919E-2</v>
      </c>
      <c r="N25" s="13">
        <f t="shared" si="3"/>
        <v>0.99919310620282564</v>
      </c>
      <c r="O25" s="13">
        <f t="shared" si="4"/>
        <v>0.11356708706282231</v>
      </c>
      <c r="P25" s="13">
        <f t="shared" si="5"/>
        <v>0.66330713382144479</v>
      </c>
      <c r="Q25" s="13">
        <f t="shared" si="6"/>
        <v>0.86591926107234318</v>
      </c>
      <c r="R25" s="21">
        <f t="shared" si="7"/>
        <v>1.6299589484209176</v>
      </c>
      <c r="S25" s="13">
        <f t="shared" si="8"/>
        <v>0.88112597790143787</v>
      </c>
      <c r="T25" s="22">
        <f t="shared" si="9"/>
        <v>1.081163398323695</v>
      </c>
      <c r="U25" s="22"/>
      <c r="V25" s="19"/>
      <c r="X25"/>
    </row>
    <row r="26" spans="3:24">
      <c r="C26" s="17"/>
      <c r="D26" s="18"/>
      <c r="E26" s="13"/>
      <c r="F26" s="13"/>
      <c r="G26" s="13"/>
      <c r="H26" s="13"/>
      <c r="I26" s="72">
        <f t="shared" si="0"/>
        <v>34.199442530349238</v>
      </c>
      <c r="J26" s="13">
        <f t="shared" si="11"/>
        <v>7.5</v>
      </c>
      <c r="K26" s="13">
        <f t="shared" si="1"/>
        <v>8.6412746917886238</v>
      </c>
      <c r="L26" s="13">
        <f t="shared" si="10"/>
        <v>0.56823135557463011</v>
      </c>
      <c r="M26" s="13">
        <f t="shared" si="2"/>
        <v>6.575781650762616E-2</v>
      </c>
      <c r="N26" s="13">
        <f t="shared" si="3"/>
        <v>1.0336060799988795</v>
      </c>
      <c r="O26" s="13">
        <f t="shared" si="4"/>
        <v>0.11961268642241686</v>
      </c>
      <c r="P26" s="13">
        <f t="shared" si="5"/>
        <v>0.69316980688715191</v>
      </c>
      <c r="Q26" s="13">
        <f t="shared" si="6"/>
        <v>0.80310346680204825</v>
      </c>
      <c r="R26" s="21">
        <f t="shared" si="7"/>
        <v>1.6925036588475784</v>
      </c>
      <c r="S26" s="13">
        <f t="shared" si="8"/>
        <v>0.99281624384259959</v>
      </c>
      <c r="T26" s="22">
        <f t="shared" si="9"/>
        <v>1.173192434359174</v>
      </c>
      <c r="U26" s="22"/>
      <c r="V26" s="19"/>
      <c r="X26"/>
    </row>
    <row r="27" spans="3:24">
      <c r="C27" s="17"/>
      <c r="D27" s="18"/>
      <c r="E27" s="13"/>
      <c r="F27" s="13"/>
      <c r="G27" s="13"/>
      <c r="H27" s="13"/>
      <c r="I27" s="72">
        <f t="shared" si="0"/>
        <v>33.639428470918055</v>
      </c>
      <c r="J27" s="13">
        <f t="shared" si="11"/>
        <v>8</v>
      </c>
      <c r="K27" s="13">
        <f t="shared" si="1"/>
        <v>8.4855696866015951</v>
      </c>
      <c r="L27" s="13">
        <f t="shared" si="10"/>
        <v>0.58715010143718072</v>
      </c>
      <c r="M27" s="13">
        <f t="shared" si="2"/>
        <v>6.9193951982301119E-2</v>
      </c>
      <c r="N27" s="13">
        <f t="shared" si="3"/>
        <v>1.0680190537949334</v>
      </c>
      <c r="O27" s="13">
        <f t="shared" si="4"/>
        <v>0.12586297599809906</v>
      </c>
      <c r="P27" s="13">
        <f t="shared" si="5"/>
        <v>0.71181342740091746</v>
      </c>
      <c r="Q27" s="13">
        <f t="shared" si="6"/>
        <v>0.73104178118533603</v>
      </c>
      <c r="R27" s="21">
        <f t="shared" si="7"/>
        <v>1.7739618142359439</v>
      </c>
      <c r="S27" s="13">
        <f t="shared" si="8"/>
        <v>1.1200172581029173</v>
      </c>
      <c r="T27" s="22">
        <f t="shared" si="9"/>
        <v>1.2627298390696369</v>
      </c>
      <c r="U27" s="22"/>
      <c r="V27" s="19"/>
      <c r="X27"/>
    </row>
    <row r="28" spans="3:24">
      <c r="C28" s="17"/>
      <c r="D28" s="18"/>
      <c r="E28" s="13"/>
      <c r="F28" s="13"/>
      <c r="G28" s="13"/>
      <c r="H28" s="13"/>
      <c r="I28" s="72">
        <f t="shared" si="0"/>
        <v>33.077944367093359</v>
      </c>
      <c r="J28" s="13">
        <f t="shared" si="11"/>
        <v>8.5</v>
      </c>
      <c r="K28" s="13">
        <f t="shared" si="1"/>
        <v>8.3316887795767833</v>
      </c>
      <c r="L28" s="13">
        <f t="shared" si="10"/>
        <v>0.60606884729973143</v>
      </c>
      <c r="M28" s="13">
        <f t="shared" si="2"/>
        <v>7.274261717328781E-2</v>
      </c>
      <c r="N28" s="13">
        <f t="shared" si="3"/>
        <v>1.1024320275909876</v>
      </c>
      <c r="O28" s="13">
        <f t="shared" si="4"/>
        <v>0.13231795578986891</v>
      </c>
      <c r="P28" s="13">
        <f t="shared" si="5"/>
        <v>0.71719752740649412</v>
      </c>
      <c r="Q28" s="13">
        <f t="shared" si="6"/>
        <v>0.65124469180961686</v>
      </c>
      <c r="R28" s="21">
        <f t="shared" si="7"/>
        <v>1.8795040605316073</v>
      </c>
      <c r="S28" s="13">
        <f t="shared" si="8"/>
        <v>1.2667628678985661</v>
      </c>
      <c r="T28" s="22">
        <f t="shared" si="9"/>
        <v>1.3479756649637344</v>
      </c>
      <c r="U28" s="22"/>
      <c r="V28" s="19"/>
      <c r="X28"/>
    </row>
    <row r="29" spans="3:24">
      <c r="C29" s="17"/>
      <c r="D29" s="18"/>
      <c r="E29" s="13"/>
      <c r="F29" s="13"/>
      <c r="G29" s="13"/>
      <c r="H29" s="13"/>
      <c r="I29" s="72">
        <f t="shared" si="0"/>
        <v>32.515129172779389</v>
      </c>
      <c r="J29" s="13">
        <f t="shared" si="11"/>
        <v>9</v>
      </c>
      <c r="K29" s="13">
        <f t="shared" si="1"/>
        <v>8.1800577241235359</v>
      </c>
      <c r="L29" s="13">
        <f t="shared" si="10"/>
        <v>0.62498759316228214</v>
      </c>
      <c r="M29" s="13">
        <f t="shared" si="2"/>
        <v>7.6403812080586192E-2</v>
      </c>
      <c r="N29" s="13">
        <f t="shared" si="3"/>
        <v>1.1368450013870417</v>
      </c>
      <c r="O29" s="13">
        <f t="shared" si="4"/>
        <v>0.13897762579772635</v>
      </c>
      <c r="P29" s="13">
        <f t="shared" si="5"/>
        <v>0.70748852993046907</v>
      </c>
      <c r="Q29" s="13">
        <f t="shared" si="6"/>
        <v>0.56562395913377839</v>
      </c>
      <c r="R29" s="21">
        <f t="shared" si="7"/>
        <v>2.0167472241960427</v>
      </c>
      <c r="S29" s="13">
        <f t="shared" si="8"/>
        <v>1.438773212398273</v>
      </c>
      <c r="T29" s="22">
        <f t="shared" si="9"/>
        <v>1.4268255288878124</v>
      </c>
      <c r="U29" s="22"/>
      <c r="V29" s="19"/>
      <c r="X29"/>
    </row>
    <row r="30" spans="3:24">
      <c r="C30" s="17"/>
      <c r="D30" s="18"/>
      <c r="E30" s="13"/>
      <c r="F30" s="13"/>
      <c r="G30" s="13"/>
      <c r="H30" s="13"/>
      <c r="I30" s="72">
        <f t="shared" si="0"/>
        <v>31.951105688828683</v>
      </c>
      <c r="J30" s="13">
        <f t="shared" si="11"/>
        <v>9.5</v>
      </c>
      <c r="K30" s="13">
        <f t="shared" si="1"/>
        <v>8.0310067569228867</v>
      </c>
      <c r="L30" s="13">
        <f t="shared" si="10"/>
        <v>0.64390633902483274</v>
      </c>
      <c r="M30" s="13">
        <f t="shared" si="2"/>
        <v>8.0177536704196237E-2</v>
      </c>
      <c r="N30" s="13">
        <f t="shared" si="3"/>
        <v>1.1712579751830958</v>
      </c>
      <c r="O30" s="13">
        <f t="shared" si="4"/>
        <v>0.14584198602167134</v>
      </c>
      <c r="P30" s="13">
        <f t="shared" si="5"/>
        <v>0.68113762508640607</v>
      </c>
      <c r="Q30" s="13">
        <f t="shared" si="6"/>
        <v>0.47646680273542424</v>
      </c>
      <c r="R30" s="21">
        <f t="shared" si="7"/>
        <v>2.1973490131103013</v>
      </c>
      <c r="S30" s="13">
        <f t="shared" si="8"/>
        <v>1.6443829349240648</v>
      </c>
      <c r="T30" s="22">
        <f t="shared" si="9"/>
        <v>1.4966970882759087</v>
      </c>
      <c r="U30" s="22"/>
      <c r="V30" s="19"/>
      <c r="X30"/>
    </row>
    <row r="31" spans="3:24">
      <c r="C31" s="17"/>
      <c r="D31" s="18"/>
      <c r="E31" s="13"/>
      <c r="F31" s="13"/>
      <c r="G31" s="13"/>
      <c r="H31" s="13"/>
      <c r="I31" s="72">
        <f t="shared" si="0"/>
        <v>31.385982864927804</v>
      </c>
      <c r="J31" s="13">
        <f t="shared" si="11"/>
        <v>10</v>
      </c>
      <c r="K31" s="13">
        <f t="shared" si="1"/>
        <v>7.8847869773030128</v>
      </c>
      <c r="L31" s="13">
        <f t="shared" si="10"/>
        <v>0.66282508488738345</v>
      </c>
      <c r="M31" s="13">
        <f t="shared" si="2"/>
        <v>8.4063791044118027E-2</v>
      </c>
      <c r="N31" s="13">
        <f t="shared" si="3"/>
        <v>1.2056709489791499</v>
      </c>
      <c r="O31" s="13">
        <f t="shared" si="4"/>
        <v>0.15291103646170401</v>
      </c>
      <c r="P31" s="13">
        <f t="shared" si="5"/>
        <v>0.63695539165941795</v>
      </c>
      <c r="Q31" s="13">
        <f t="shared" si="6"/>
        <v>0.38639461463423297</v>
      </c>
      <c r="R31" s="21">
        <f t="shared" si="7"/>
        <v>2.4400562275148308</v>
      </c>
      <c r="S31" s="13">
        <f t="shared" si="8"/>
        <v>1.8961761980803371</v>
      </c>
      <c r="T31" s="22">
        <f t="shared" si="9"/>
        <v>1.5542069700677108</v>
      </c>
      <c r="U31" s="22"/>
      <c r="V31" s="19"/>
      <c r="X31"/>
    </row>
    <row r="32" spans="3:24" ht="15" thickBot="1">
      <c r="C32" s="23"/>
      <c r="D32" s="24"/>
      <c r="E32" s="25"/>
      <c r="F32" s="25"/>
      <c r="G32" s="25"/>
      <c r="H32" s="25"/>
      <c r="I32" s="75">
        <f t="shared" si="0"/>
        <v>30.70652020547098</v>
      </c>
      <c r="J32" s="25">
        <v>10.6</v>
      </c>
      <c r="K32" s="25">
        <f t="shared" si="1"/>
        <v>7.7133179816415343</v>
      </c>
      <c r="L32" s="25">
        <f t="shared" si="10"/>
        <v>0.68552757992244429</v>
      </c>
      <c r="M32" s="25">
        <f t="shared" si="2"/>
        <v>8.8875835477555606E-2</v>
      </c>
      <c r="N32" s="25">
        <f t="shared" si="3"/>
        <v>1.2469665175344147</v>
      </c>
      <c r="O32" s="25">
        <f t="shared" si="4"/>
        <v>0.16166408807497881</v>
      </c>
      <c r="P32" s="25">
        <f t="shared" si="5"/>
        <v>0.55936064567238075</v>
      </c>
      <c r="Q32" s="25">
        <f t="shared" si="6"/>
        <v>0.28119790748357471</v>
      </c>
      <c r="R32" s="26">
        <f t="shared" si="7"/>
        <v>2.8602851032627874</v>
      </c>
      <c r="S32" s="25">
        <f t="shared" si="8"/>
        <v>2.288129291463548</v>
      </c>
      <c r="T32" s="27">
        <f t="shared" si="9"/>
        <v>1.599930922168165</v>
      </c>
      <c r="U32" s="27"/>
      <c r="V32" s="28"/>
      <c r="X32"/>
    </row>
    <row r="33" spans="1:24" ht="27" customHeight="1" thickBot="1">
      <c r="T33" s="8"/>
      <c r="V33" s="9"/>
    </row>
    <row r="34" spans="1:24" ht="17" thickBot="1">
      <c r="A34"/>
      <c r="B34"/>
      <c r="C34" s="42" t="s">
        <v>36</v>
      </c>
      <c r="D34" s="43" t="s">
        <v>37</v>
      </c>
      <c r="E34" s="35" t="s">
        <v>24</v>
      </c>
      <c r="F34" s="36" t="s">
        <v>29</v>
      </c>
      <c r="G34" s="36" t="s">
        <v>30</v>
      </c>
      <c r="H34" s="97" t="s">
        <v>56</v>
      </c>
      <c r="I34" s="36" t="s">
        <v>77</v>
      </c>
      <c r="J34" s="36" t="s">
        <v>80</v>
      </c>
      <c r="K34" s="36" t="s">
        <v>81</v>
      </c>
      <c r="L34" s="110" t="s">
        <v>92</v>
      </c>
      <c r="M34" s="36" t="s">
        <v>89</v>
      </c>
      <c r="N34" s="36" t="s">
        <v>90</v>
      </c>
      <c r="O34" s="38" t="s">
        <v>91</v>
      </c>
      <c r="P34" s="15"/>
      <c r="Q34" s="15"/>
      <c r="R34" s="15"/>
      <c r="S34" s="15"/>
      <c r="T34" s="40"/>
      <c r="U34" s="40"/>
      <c r="V34" s="16"/>
      <c r="W34"/>
      <c r="X34"/>
    </row>
    <row r="35" spans="1:24" ht="16" thickTop="1" thickBot="1">
      <c r="A35"/>
      <c r="B35"/>
      <c r="C35" s="44">
        <v>8</v>
      </c>
      <c r="D35" s="45">
        <f>MAX(T38:T59)</f>
        <v>1.6086304448061093</v>
      </c>
      <c r="E35" s="25">
        <f>$M$4-H35</f>
        <v>1.1489884948821247</v>
      </c>
      <c r="F35" s="25">
        <f>MAX(N38:N60)</f>
        <v>1.2707002742854134</v>
      </c>
      <c r="G35" s="25">
        <f>F35*$L$4</f>
        <v>0.22872604937137436</v>
      </c>
      <c r="H35" s="75">
        <f>(-N35+SQRT(N35^2-4*$P$4*O35))/(2*$P$4)</f>
        <v>7.0211505117875272E-2</v>
      </c>
      <c r="I35" s="25">
        <f>$H$4*SBT!$C$23</f>
        <v>4.4225409836065571E-2</v>
      </c>
      <c r="J35" s="25">
        <f>I35+SBT!$B$23</f>
        <v>0.19422540983606557</v>
      </c>
      <c r="K35" s="25">
        <f>SBT!$B$12*H35</f>
        <v>9.1274956653237857E-2</v>
      </c>
      <c r="L35" s="25">
        <f>(F35*$L$4-(SBT!$F$23*K35+0.5*SBT!$E$23*K35^2)*9.81)/(J35*9.81)</f>
        <v>3.8472450301842188E-2</v>
      </c>
      <c r="M35" s="79">
        <f>J35+SBT!$F$23+2*SBT!$G$23+H35*SBT!$D$23+K35*SBT!$E$23</f>
        <v>0.66415329863364869</v>
      </c>
      <c r="N35" s="25">
        <f>(SBT!$G$23+(SBT!$F$23+J35)*0.5)*9.81</f>
        <v>3.1869031352459021</v>
      </c>
      <c r="O35" s="37">
        <f>-F35*$L$4</f>
        <v>-0.22872604937137436</v>
      </c>
      <c r="P35" s="13"/>
      <c r="Q35" s="13"/>
      <c r="R35" s="13"/>
      <c r="S35" s="13"/>
      <c r="T35" s="13"/>
      <c r="U35" s="13"/>
      <c r="V35" s="19"/>
      <c r="W35"/>
      <c r="X35"/>
    </row>
    <row r="36" spans="1:24">
      <c r="A36"/>
      <c r="B36"/>
      <c r="C36" s="41"/>
      <c r="D36" s="13"/>
      <c r="E36" s="13"/>
      <c r="F36" s="13"/>
      <c r="G36" s="13"/>
      <c r="H36" s="13"/>
      <c r="I36" s="76"/>
      <c r="J36" s="18"/>
      <c r="K36" s="18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9"/>
      <c r="W36"/>
      <c r="X36"/>
    </row>
    <row r="37" spans="1:24" ht="17" thickBot="1">
      <c r="A37"/>
      <c r="B37"/>
      <c r="C37" s="47" t="s">
        <v>40</v>
      </c>
      <c r="D37" s="48" t="s">
        <v>42</v>
      </c>
      <c r="E37" s="30" t="s">
        <v>35</v>
      </c>
      <c r="F37" s="29" t="s">
        <v>34</v>
      </c>
      <c r="G37" s="29" t="s">
        <v>41</v>
      </c>
      <c r="H37" s="29" t="s">
        <v>7</v>
      </c>
      <c r="I37" s="70" t="s">
        <v>16</v>
      </c>
      <c r="J37" s="71" t="s">
        <v>17</v>
      </c>
      <c r="K37" s="29" t="s">
        <v>18</v>
      </c>
      <c r="L37" s="46" t="s">
        <v>39</v>
      </c>
      <c r="M37" s="31" t="s">
        <v>10</v>
      </c>
      <c r="N37" s="31" t="s">
        <v>13</v>
      </c>
      <c r="O37" s="31" t="s">
        <v>14</v>
      </c>
      <c r="P37" s="31" t="s">
        <v>8</v>
      </c>
      <c r="Q37" s="31" t="s">
        <v>9</v>
      </c>
      <c r="R37" s="31" t="s">
        <v>19</v>
      </c>
      <c r="S37" s="31" t="s">
        <v>25</v>
      </c>
      <c r="T37" s="32" t="s">
        <v>27</v>
      </c>
      <c r="U37" s="32"/>
      <c r="V37" s="33"/>
      <c r="W37"/>
      <c r="X37"/>
    </row>
    <row r="38" spans="1:24" ht="15" thickTop="1">
      <c r="C38" s="50">
        <v>2.6356058576017865</v>
      </c>
      <c r="D38" s="51">
        <v>0.87980000000000003</v>
      </c>
      <c r="E38" s="7">
        <f>$K$4/(2+SQRT(4+$K$4^2))</f>
        <v>0.53518375848799637</v>
      </c>
      <c r="F38" s="7">
        <f>C38*E38</f>
        <v>1.4105334487643031</v>
      </c>
      <c r="G38" s="12">
        <f>D38*E38</f>
        <v>0.47085467071773923</v>
      </c>
      <c r="H38" s="14">
        <f>F38*PI()/180</f>
        <v>2.4618452890447829E-2</v>
      </c>
      <c r="I38" s="72">
        <f t="shared" ref="I38:I57" si="12">0.5*ATAN(K38)*180/PI()-J38</f>
        <v>41.978153231855387</v>
      </c>
      <c r="J38" s="13">
        <v>0</v>
      </c>
      <c r="K38" s="13">
        <f t="shared" ref="K38:K57" si="13">L38/M38</f>
        <v>9.4450720201507306</v>
      </c>
      <c r="L38" s="13">
        <f>$H$38*J38+$G$38</f>
        <v>0.47085467071773923</v>
      </c>
      <c r="M38" s="13">
        <f t="shared" ref="M38:M57" si="14">0.015+0.1572*(L38^2)</f>
        <v>4.9851887811250911E-2</v>
      </c>
      <c r="N38" s="13">
        <f t="shared" ref="N38:N57" si="15">$O$4*L38</f>
        <v>0.85647904797081642</v>
      </c>
      <c r="O38" s="13">
        <f t="shared" ref="O38:O57" si="16">$O$4*M38</f>
        <v>9.0679991231781859E-2</v>
      </c>
      <c r="P38" s="13">
        <f t="shared" ref="P38:P57" si="17">((N38*COS(I38+J38)+O38*SIN(I38+J38))*SIN(J38+I38)-O38)/$M$35</f>
        <v>0.4673804781021324</v>
      </c>
      <c r="Q38" s="13">
        <f t="shared" ref="Q38:Q57" si="18">P38*TAN(I38+J38)</f>
        <v>1.0101614905538634</v>
      </c>
      <c r="R38" s="21">
        <f>IF(ISERROR(SQRT(2*$E$35/Q38)),0,SQRT(2*$E$35/Q38))</f>
        <v>1.5082642378206543</v>
      </c>
      <c r="S38" s="13">
        <f t="shared" ref="S38:S57" si="19">0.5*P38*R38^2</f>
        <v>0.53161281348927292</v>
      </c>
      <c r="T38" s="22">
        <f t="shared" ref="T38:T57" si="20">R38*P38</f>
        <v>0.7049332605769657</v>
      </c>
      <c r="U38" s="22"/>
      <c r="V38" s="19"/>
    </row>
    <row r="39" spans="1:24">
      <c r="C39" s="17"/>
      <c r="D39" s="18"/>
      <c r="E39" s="13"/>
      <c r="F39" s="13"/>
      <c r="G39" s="13"/>
      <c r="H39" s="13"/>
      <c r="I39" s="72">
        <f t="shared" si="12"/>
        <v>41.446330340594585</v>
      </c>
      <c r="J39" s="13">
        <f>J38+0.5</f>
        <v>0.5</v>
      </c>
      <c r="K39" s="13">
        <f t="shared" si="13"/>
        <v>9.3459052697732901</v>
      </c>
      <c r="L39" s="13">
        <f t="shared" ref="L39:L57" si="21">$H$38*J39+$G$38</f>
        <v>0.48316389716296315</v>
      </c>
      <c r="M39" s="13">
        <f t="shared" si="14"/>
        <v>5.1697923659211623E-2</v>
      </c>
      <c r="N39" s="13">
        <f t="shared" si="15"/>
        <v>0.87886938452836227</v>
      </c>
      <c r="O39" s="13">
        <f t="shared" si="16"/>
        <v>9.403790849141376E-2</v>
      </c>
      <c r="P39" s="13">
        <f t="shared" si="17"/>
        <v>0.5020330220978626</v>
      </c>
      <c r="Q39" s="13">
        <f t="shared" si="18"/>
        <v>1.0002549839295982</v>
      </c>
      <c r="R39" s="21">
        <f t="shared" ref="R39:R57" si="22">IF(ISERROR(SQRT(2*$E$35/Q39)),0,SQRT(2*$E$35/Q39))</f>
        <v>1.5157147462271081</v>
      </c>
      <c r="S39" s="13">
        <f t="shared" si="19"/>
        <v>0.57668312151289136</v>
      </c>
      <c r="T39" s="22">
        <f t="shared" si="20"/>
        <v>0.76093885468668998</v>
      </c>
      <c r="U39" s="22"/>
      <c r="V39" s="19"/>
    </row>
    <row r="40" spans="1:24">
      <c r="C40" s="20"/>
      <c r="D40" s="11"/>
      <c r="E40" s="13"/>
      <c r="F40" s="13"/>
      <c r="G40" s="13"/>
      <c r="H40" s="13"/>
      <c r="I40" s="72">
        <f t="shared" si="12"/>
        <v>40.913373121810395</v>
      </c>
      <c r="J40" s="13">
        <f t="shared" ref="J40:J56" si="23">J39+0.5</f>
        <v>1</v>
      </c>
      <c r="K40" s="13">
        <f t="shared" si="13"/>
        <v>9.2453510671280927</v>
      </c>
      <c r="L40" s="13">
        <f t="shared" si="21"/>
        <v>0.49547312360818707</v>
      </c>
      <c r="M40" s="13">
        <f t="shared" si="14"/>
        <v>5.3591596469478059E-2</v>
      </c>
      <c r="N40" s="13">
        <f t="shared" si="15"/>
        <v>0.90125972108590802</v>
      </c>
      <c r="O40" s="13">
        <f t="shared" si="16"/>
        <v>9.7482476819116481E-2</v>
      </c>
      <c r="P40" s="13">
        <f t="shared" si="17"/>
        <v>0.53605807333049071</v>
      </c>
      <c r="Q40" s="13">
        <f t="shared" si="18"/>
        <v>0.9856293549093269</v>
      </c>
      <c r="R40" s="21">
        <f t="shared" si="22"/>
        <v>1.5269190838153459</v>
      </c>
      <c r="S40" s="13">
        <f t="shared" si="19"/>
        <v>0.6249048445823473</v>
      </c>
      <c r="T40" s="22">
        <f t="shared" si="20"/>
        <v>0.81851730220161245</v>
      </c>
      <c r="U40" s="22"/>
      <c r="V40" s="19"/>
    </row>
    <row r="41" spans="1:24">
      <c r="C41" s="17"/>
      <c r="D41" s="18"/>
      <c r="E41" s="13"/>
      <c r="F41" s="13"/>
      <c r="G41" s="13"/>
      <c r="H41" s="13"/>
      <c r="I41" s="72">
        <f t="shared" si="12"/>
        <v>40.379365528282491</v>
      </c>
      <c r="J41" s="13">
        <f t="shared" si="23"/>
        <v>1.5</v>
      </c>
      <c r="K41" s="13">
        <f t="shared" si="13"/>
        <v>9.1438101193578749</v>
      </c>
      <c r="L41" s="13">
        <f t="shared" si="21"/>
        <v>0.50778235005341099</v>
      </c>
      <c r="M41" s="13">
        <f t="shared" si="14"/>
        <v>5.5532906242050234E-2</v>
      </c>
      <c r="N41" s="13">
        <f t="shared" si="15"/>
        <v>0.92365005764345387</v>
      </c>
      <c r="O41" s="13">
        <f t="shared" si="16"/>
        <v>0.10101369621489005</v>
      </c>
      <c r="P41" s="13">
        <f t="shared" si="17"/>
        <v>0.56889314373571076</v>
      </c>
      <c r="Q41" s="13">
        <f t="shared" si="18"/>
        <v>0.96620893499916594</v>
      </c>
      <c r="R41" s="21">
        <f t="shared" si="22"/>
        <v>1.5421879776133414</v>
      </c>
      <c r="S41" s="13">
        <f t="shared" si="19"/>
        <v>0.67651172877036025</v>
      </c>
      <c r="T41" s="22">
        <f t="shared" si="20"/>
        <v>0.87734016681587168</v>
      </c>
      <c r="U41" s="22"/>
      <c r="V41" s="19"/>
    </row>
    <row r="42" spans="1:24">
      <c r="C42" s="17"/>
      <c r="D42" s="13"/>
      <c r="E42" s="13"/>
      <c r="F42" s="13"/>
      <c r="G42" s="13"/>
      <c r="H42" s="13"/>
      <c r="I42" s="72">
        <f t="shared" si="12"/>
        <v>39.844383613414529</v>
      </c>
      <c r="J42" s="13">
        <f t="shared" si="23"/>
        <v>2</v>
      </c>
      <c r="K42" s="13">
        <f t="shared" si="13"/>
        <v>9.0416346063685111</v>
      </c>
      <c r="L42" s="13">
        <f t="shared" si="21"/>
        <v>0.52009157649863491</v>
      </c>
      <c r="M42" s="13">
        <f t="shared" si="14"/>
        <v>5.7521852976928127E-2</v>
      </c>
      <c r="N42" s="13">
        <f t="shared" si="15"/>
        <v>0.94604039420099961</v>
      </c>
      <c r="O42" s="13">
        <f t="shared" si="16"/>
        <v>0.10463156667873443</v>
      </c>
      <c r="P42" s="13">
        <f t="shared" si="17"/>
        <v>0.59995288390991031</v>
      </c>
      <c r="Q42" s="13">
        <f t="shared" si="18"/>
        <v>0.94197600085424449</v>
      </c>
      <c r="R42" s="21">
        <f t="shared" si="22"/>
        <v>1.5618988988502758</v>
      </c>
      <c r="S42" s="13">
        <f t="shared" si="19"/>
        <v>0.73180098055438869</v>
      </c>
      <c r="T42" s="22">
        <f t="shared" si="20"/>
        <v>0.93706574874093629</v>
      </c>
      <c r="U42" s="22"/>
      <c r="V42" s="19"/>
    </row>
    <row r="43" spans="1:24">
      <c r="C43" s="17"/>
      <c r="D43" s="13"/>
      <c r="E43" s="13"/>
      <c r="F43" s="13"/>
      <c r="G43" s="13"/>
      <c r="H43" s="13"/>
      <c r="I43" s="72">
        <f t="shared" si="12"/>
        <v>39.308496442777518</v>
      </c>
      <c r="J43" s="13">
        <f t="shared" si="23"/>
        <v>2.5</v>
      </c>
      <c r="K43" s="13">
        <f t="shared" si="13"/>
        <v>8.9391332727052148</v>
      </c>
      <c r="L43" s="13">
        <f t="shared" si="21"/>
        <v>0.53240080294385883</v>
      </c>
      <c r="M43" s="13">
        <f t="shared" si="14"/>
        <v>5.9558436674111752E-2</v>
      </c>
      <c r="N43" s="13">
        <f t="shared" si="15"/>
        <v>0.96843073075854536</v>
      </c>
      <c r="O43" s="13">
        <f t="shared" si="16"/>
        <v>0.10833608821064965</v>
      </c>
      <c r="P43" s="13">
        <f t="shared" si="17"/>
        <v>0.62863534323375514</v>
      </c>
      <c r="Q43" s="13">
        <f t="shared" si="18"/>
        <v>0.9129757309961124</v>
      </c>
      <c r="R43" s="21">
        <f t="shared" si="22"/>
        <v>1.586511488269357</v>
      </c>
      <c r="S43" s="13">
        <f t="shared" si="19"/>
        <v>0.7911434579578499</v>
      </c>
      <c r="T43" s="22">
        <f t="shared" si="20"/>
        <v>0.99733719397250287</v>
      </c>
      <c r="U43" s="22"/>
      <c r="V43" s="19"/>
    </row>
    <row r="44" spans="1:24">
      <c r="C44" s="17"/>
      <c r="D44" s="13"/>
      <c r="E44" s="13"/>
      <c r="F44" s="13"/>
      <c r="G44" s="13"/>
      <c r="H44" s="13"/>
      <c r="I44" s="72">
        <f t="shared" si="12"/>
        <v>38.77176688229202</v>
      </c>
      <c r="J44" s="13">
        <f t="shared" si="23"/>
        <v>3</v>
      </c>
      <c r="K44" s="13">
        <f t="shared" si="13"/>
        <v>8.8365760489719172</v>
      </c>
      <c r="L44" s="13">
        <f t="shared" si="21"/>
        <v>0.54471002938908275</v>
      </c>
      <c r="M44" s="13">
        <f t="shared" si="14"/>
        <v>6.1642657333601115E-2</v>
      </c>
      <c r="N44" s="13">
        <f t="shared" si="15"/>
        <v>0.99082106731609121</v>
      </c>
      <c r="O44" s="13">
        <f t="shared" si="16"/>
        <v>0.11212726081063573</v>
      </c>
      <c r="P44" s="13">
        <f t="shared" si="17"/>
        <v>0.6543289662311943</v>
      </c>
      <c r="Q44" s="13">
        <f t="shared" si="18"/>
        <v>0.87932035063251079</v>
      </c>
      <c r="R44" s="21">
        <f t="shared" si="22"/>
        <v>1.6165877206116399</v>
      </c>
      <c r="S44" s="13">
        <f t="shared" si="19"/>
        <v>0.85499721862113343</v>
      </c>
      <c r="T44" s="22">
        <f t="shared" si="20"/>
        <v>1.0577801720498572</v>
      </c>
      <c r="U44" s="22"/>
      <c r="V44" s="19"/>
    </row>
    <row r="45" spans="1:24">
      <c r="C45" s="17"/>
      <c r="D45" s="13"/>
      <c r="E45" s="13"/>
      <c r="F45" s="13"/>
      <c r="G45" s="13"/>
      <c r="H45" s="13"/>
      <c r="I45" s="72">
        <f t="shared" si="12"/>
        <v>38.234252282091866</v>
      </c>
      <c r="J45" s="13">
        <f t="shared" si="23"/>
        <v>3.5</v>
      </c>
      <c r="K45" s="13">
        <f t="shared" si="13"/>
        <v>8.734198233007108</v>
      </c>
      <c r="L45" s="13">
        <f t="shared" si="21"/>
        <v>0.55701925583430667</v>
      </c>
      <c r="M45" s="13">
        <f t="shared" si="14"/>
        <v>6.3774514955396183E-2</v>
      </c>
      <c r="N45" s="13">
        <f t="shared" si="15"/>
        <v>1.0132114038736371</v>
      </c>
      <c r="O45" s="13">
        <f t="shared" si="16"/>
        <v>0.11600508447869258</v>
      </c>
      <c r="P45" s="13">
        <f t="shared" si="17"/>
        <v>0.67642023895695702</v>
      </c>
      <c r="Q45" s="13">
        <f t="shared" si="18"/>
        <v>0.84119238217545544</v>
      </c>
      <c r="R45" s="21">
        <f t="shared" si="22"/>
        <v>1.6528185267926272</v>
      </c>
      <c r="S45" s="13">
        <f t="shared" si="19"/>
        <v>0.9239254761877449</v>
      </c>
      <c r="T45" s="22">
        <f t="shared" si="20"/>
        <v>1.1179999028455545</v>
      </c>
      <c r="U45" s="22"/>
      <c r="V45" s="19"/>
    </row>
    <row r="46" spans="1:24">
      <c r="C46" s="17"/>
      <c r="D46" s="13"/>
      <c r="E46" s="13"/>
      <c r="F46" s="13"/>
      <c r="G46" s="13"/>
      <c r="H46" s="13"/>
      <c r="I46" s="72">
        <f t="shared" si="12"/>
        <v>37.696005071825724</v>
      </c>
      <c r="J46" s="13">
        <f t="shared" si="23"/>
        <v>4</v>
      </c>
      <c r="K46" s="13">
        <f t="shared" si="13"/>
        <v>8.6322042625563853</v>
      </c>
      <c r="L46" s="13">
        <f t="shared" si="21"/>
        <v>0.56932848227953059</v>
      </c>
      <c r="M46" s="13">
        <f t="shared" si="14"/>
        <v>6.5954009539497011E-2</v>
      </c>
      <c r="N46" s="13">
        <f t="shared" si="15"/>
        <v>1.0356017404311828</v>
      </c>
      <c r="O46" s="13">
        <f t="shared" si="16"/>
        <v>0.11996955921482033</v>
      </c>
      <c r="P46" s="13">
        <f t="shared" si="17"/>
        <v>0.69430188549260319</v>
      </c>
      <c r="Q46" s="13">
        <f t="shared" si="18"/>
        <v>0.79884692508547972</v>
      </c>
      <c r="R46" s="21">
        <f t="shared" si="22"/>
        <v>1.6960593832333564</v>
      </c>
      <c r="S46" s="13">
        <f t="shared" si="19"/>
        <v>0.99862045324967053</v>
      </c>
      <c r="T46" s="22">
        <f t="shared" si="20"/>
        <v>1.177577227686341</v>
      </c>
      <c r="U46" s="22"/>
      <c r="V46" s="19"/>
    </row>
    <row r="47" spans="1:24">
      <c r="C47" s="17"/>
      <c r="D47" s="18"/>
      <c r="E47" s="13"/>
      <c r="F47" s="13"/>
      <c r="G47" s="13"/>
      <c r="H47" s="13"/>
      <c r="I47" s="72">
        <f t="shared" si="12"/>
        <v>37.157073280491204</v>
      </c>
      <c r="J47" s="13">
        <f t="shared" si="23"/>
        <v>4.5</v>
      </c>
      <c r="K47" s="13">
        <f t="shared" si="13"/>
        <v>8.530771111500334</v>
      </c>
      <c r="L47" s="13">
        <f t="shared" si="21"/>
        <v>0.58163770872475451</v>
      </c>
      <c r="M47" s="13">
        <f t="shared" si="14"/>
        <v>6.8181141085903549E-2</v>
      </c>
      <c r="N47" s="13">
        <f t="shared" si="15"/>
        <v>1.0579920769887285</v>
      </c>
      <c r="O47" s="13">
        <f t="shared" si="16"/>
        <v>0.12402068501901888</v>
      </c>
      <c r="P47" s="13">
        <f t="shared" si="17"/>
        <v>0.70738150233295427</v>
      </c>
      <c r="Q47" s="13">
        <f t="shared" si="18"/>
        <v>0.75261289730680703</v>
      </c>
      <c r="R47" s="21">
        <f t="shared" si="22"/>
        <v>1.7473785878621511</v>
      </c>
      <c r="S47" s="13">
        <f t="shared" si="19"/>
        <v>1.0799352636414703</v>
      </c>
      <c r="T47" s="22">
        <f t="shared" si="20"/>
        <v>1.2360632906263644</v>
      </c>
      <c r="U47" s="22"/>
      <c r="V47" s="19"/>
    </row>
    <row r="48" spans="1:24">
      <c r="C48" s="17"/>
      <c r="D48" s="22"/>
      <c r="E48" s="13"/>
      <c r="F48" s="13"/>
      <c r="G48" s="13"/>
      <c r="H48" s="13"/>
      <c r="I48" s="72">
        <f t="shared" si="12"/>
        <v>36.617500991729699</v>
      </c>
      <c r="J48" s="13">
        <f t="shared" si="23"/>
        <v>5</v>
      </c>
      <c r="K48" s="13">
        <f t="shared" si="13"/>
        <v>8.4300513411492091</v>
      </c>
      <c r="L48" s="13">
        <f t="shared" si="21"/>
        <v>0.59394693516997843</v>
      </c>
      <c r="M48" s="13">
        <f t="shared" si="14"/>
        <v>7.0455909594615812E-2</v>
      </c>
      <c r="N48" s="13">
        <f t="shared" si="15"/>
        <v>1.0803824135462743</v>
      </c>
      <c r="O48" s="13">
        <f t="shared" si="16"/>
        <v>0.12815846189128827</v>
      </c>
      <c r="P48" s="13">
        <f t="shared" si="17"/>
        <v>0.71509050768699933</v>
      </c>
      <c r="Q48" s="13">
        <f t="shared" si="18"/>
        <v>0.70289318146546975</v>
      </c>
      <c r="R48" s="21">
        <f t="shared" si="22"/>
        <v>1.8081238411236351</v>
      </c>
      <c r="S48" s="13">
        <f t="shared" si="19"/>
        <v>1.1689269263058615</v>
      </c>
      <c r="T48" s="22">
        <f t="shared" si="20"/>
        <v>1.2929721955100675</v>
      </c>
      <c r="U48" s="22"/>
      <c r="V48" s="19"/>
    </row>
    <row r="49" spans="3:22">
      <c r="C49" s="17"/>
      <c r="D49" s="18"/>
      <c r="E49" s="13"/>
      <c r="F49" s="13"/>
      <c r="G49" s="13"/>
      <c r="H49" s="13"/>
      <c r="I49" s="72">
        <f t="shared" si="12"/>
        <v>36.077328743738391</v>
      </c>
      <c r="J49" s="13">
        <f t="shared" si="23"/>
        <v>5.5</v>
      </c>
      <c r="K49" s="13">
        <f t="shared" si="13"/>
        <v>8.3301758369709589</v>
      </c>
      <c r="L49" s="13">
        <f t="shared" si="21"/>
        <v>0.60625616161520224</v>
      </c>
      <c r="M49" s="13">
        <f t="shared" si="14"/>
        <v>7.27783150656338E-2</v>
      </c>
      <c r="N49" s="13">
        <f t="shared" si="15"/>
        <v>1.1027727501038198</v>
      </c>
      <c r="O49" s="13">
        <f t="shared" si="16"/>
        <v>0.13238288983162846</v>
      </c>
      <c r="P49" s="13">
        <f t="shared" si="17"/>
        <v>0.71689327364482891</v>
      </c>
      <c r="Q49" s="13">
        <f t="shared" si="18"/>
        <v>0.65016363186013038</v>
      </c>
      <c r="R49" s="21">
        <f t="shared" si="22"/>
        <v>1.8800158099133197</v>
      </c>
      <c r="S49" s="13">
        <f t="shared" si="19"/>
        <v>1.2669151012333062</v>
      </c>
      <c r="T49" s="22">
        <f t="shared" si="20"/>
        <v>1.3477706884727942</v>
      </c>
      <c r="U49" s="22"/>
      <c r="V49" s="19"/>
    </row>
    <row r="50" spans="3:22">
      <c r="C50" s="17"/>
      <c r="D50" s="18"/>
      <c r="E50" s="13"/>
      <c r="F50" s="13"/>
      <c r="G50" s="13"/>
      <c r="H50" s="13"/>
      <c r="I50" s="72">
        <f t="shared" si="12"/>
        <v>35.536593881501361</v>
      </c>
      <c r="J50" s="13">
        <f t="shared" si="23"/>
        <v>6</v>
      </c>
      <c r="K50" s="13">
        <f t="shared" si="13"/>
        <v>8.2312562595796859</v>
      </c>
      <c r="L50" s="13">
        <f t="shared" si="21"/>
        <v>0.61856538806042627</v>
      </c>
      <c r="M50" s="13">
        <f t="shared" si="14"/>
        <v>7.5148357498957541E-2</v>
      </c>
      <c r="N50" s="13">
        <f t="shared" si="15"/>
        <v>1.125163086661366</v>
      </c>
      <c r="O50" s="13">
        <f t="shared" si="16"/>
        <v>0.13669396884003954</v>
      </c>
      <c r="P50" s="13">
        <f t="shared" si="17"/>
        <v>0.71229630192237914</v>
      </c>
      <c r="Q50" s="13">
        <f t="shared" si="18"/>
        <v>0.59497091277225822</v>
      </c>
      <c r="R50" s="21">
        <f t="shared" si="22"/>
        <v>1.9652824264641593</v>
      </c>
      <c r="S50" s="13">
        <f t="shared" si="19"/>
        <v>1.3755634742587342</v>
      </c>
      <c r="T50" s="22">
        <f t="shared" si="20"/>
        <v>1.3998634046034606</v>
      </c>
      <c r="U50" s="22"/>
      <c r="V50" s="19"/>
    </row>
    <row r="51" spans="3:22">
      <c r="C51" s="17"/>
      <c r="D51" s="18"/>
      <c r="E51" s="13"/>
      <c r="F51" s="13"/>
      <c r="G51" s="13"/>
      <c r="H51" s="13"/>
      <c r="I51" s="72">
        <f t="shared" si="12"/>
        <v>34.995330867841382</v>
      </c>
      <c r="J51" s="13">
        <f t="shared" si="23"/>
        <v>6.5</v>
      </c>
      <c r="K51" s="13">
        <f t="shared" si="13"/>
        <v>8.133387237032812</v>
      </c>
      <c r="L51" s="13">
        <f t="shared" si="21"/>
        <v>0.63087461450565008</v>
      </c>
      <c r="M51" s="13">
        <f t="shared" si="14"/>
        <v>7.7566036894586993E-2</v>
      </c>
      <c r="N51" s="13">
        <f t="shared" si="15"/>
        <v>1.1475534232189115</v>
      </c>
      <c r="O51" s="13">
        <f t="shared" si="16"/>
        <v>0.1410916989165214</v>
      </c>
      <c r="P51" s="13">
        <f t="shared" si="17"/>
        <v>0.70085729862704127</v>
      </c>
      <c r="Q51" s="13">
        <f t="shared" si="18"/>
        <v>0.53792915444512923</v>
      </c>
      <c r="R51" s="21">
        <f t="shared" si="22"/>
        <v>2.0668563645086238</v>
      </c>
      <c r="S51" s="13">
        <f t="shared" si="19"/>
        <v>1.4969944759868505</v>
      </c>
      <c r="T51" s="22">
        <f t="shared" si="20"/>
        <v>1.4485713682796213</v>
      </c>
      <c r="U51" s="22"/>
      <c r="V51" s="19"/>
    </row>
    <row r="52" spans="3:22">
      <c r="C52" s="17"/>
      <c r="D52" s="18"/>
      <c r="E52" s="13"/>
      <c r="F52" s="13"/>
      <c r="G52" s="13"/>
      <c r="H52" s="13"/>
      <c r="I52" s="72">
        <f t="shared" si="12"/>
        <v>34.453571558800533</v>
      </c>
      <c r="J52" s="13">
        <f t="shared" si="23"/>
        <v>7</v>
      </c>
      <c r="K52" s="13">
        <f t="shared" si="13"/>
        <v>8.0366483235819093</v>
      </c>
      <c r="L52" s="13">
        <f t="shared" si="21"/>
        <v>0.643183840950874</v>
      </c>
      <c r="M52" s="13">
        <f t="shared" si="14"/>
        <v>8.0031353252522183E-2</v>
      </c>
      <c r="N52" s="13">
        <f t="shared" si="15"/>
        <v>1.1699437597764573</v>
      </c>
      <c r="O52" s="13">
        <f t="shared" si="16"/>
        <v>0.14557608006107414</v>
      </c>
      <c r="P52" s="13">
        <f t="shared" si="17"/>
        <v>0.68219400030969968</v>
      </c>
      <c r="Q52" s="13">
        <f t="shared" si="18"/>
        <v>0.47971542991986305</v>
      </c>
      <c r="R52" s="21">
        <f t="shared" si="22"/>
        <v>2.188673572597049</v>
      </c>
      <c r="S52" s="13">
        <f t="shared" si="19"/>
        <v>1.6339542335846853</v>
      </c>
      <c r="T52" s="22">
        <f t="shared" si="20"/>
        <v>1.4930999798621027</v>
      </c>
      <c r="U52" s="22"/>
      <c r="V52" s="19"/>
    </row>
    <row r="53" spans="3:22">
      <c r="C53" s="17"/>
      <c r="D53" s="18"/>
      <c r="E53" s="13"/>
      <c r="F53" s="13"/>
      <c r="G53" s="13"/>
      <c r="H53" s="13"/>
      <c r="I53" s="72">
        <f t="shared" si="12"/>
        <v>33.911345448031653</v>
      </c>
      <c r="J53" s="13">
        <f t="shared" si="23"/>
        <v>7.5</v>
      </c>
      <c r="K53" s="13">
        <f t="shared" si="13"/>
        <v>7.941105748078197</v>
      </c>
      <c r="L53" s="13">
        <f t="shared" si="21"/>
        <v>0.65549306739609792</v>
      </c>
      <c r="M53" s="13">
        <f t="shared" si="14"/>
        <v>8.2544306572763099E-2</v>
      </c>
      <c r="N53" s="13">
        <f t="shared" si="15"/>
        <v>1.192334096334003</v>
      </c>
      <c r="O53" s="13">
        <f t="shared" si="16"/>
        <v>0.15014711227369767</v>
      </c>
      <c r="P53" s="13">
        <f t="shared" si="17"/>
        <v>0.65599260257845837</v>
      </c>
      <c r="Q53" s="13">
        <f t="shared" si="18"/>
        <v>0.42106407345621938</v>
      </c>
      <c r="R53" s="21">
        <f t="shared" si="22"/>
        <v>2.3361393461872724</v>
      </c>
      <c r="S53" s="13">
        <f t="shared" si="19"/>
        <v>1.7900552448077722</v>
      </c>
      <c r="T53" s="22">
        <f t="shared" si="20"/>
        <v>1.5324901296913269</v>
      </c>
      <c r="U53" s="22"/>
      <c r="V53" s="19"/>
    </row>
    <row r="54" spans="3:22">
      <c r="C54" s="17"/>
      <c r="D54" s="18"/>
      <c r="E54" s="13"/>
      <c r="F54" s="13"/>
      <c r="G54" s="13"/>
      <c r="H54" s="13"/>
      <c r="I54" s="72">
        <f t="shared" si="12"/>
        <v>33.368679884193241</v>
      </c>
      <c r="J54" s="13">
        <f t="shared" si="23"/>
        <v>8</v>
      </c>
      <c r="K54" s="13">
        <f t="shared" si="13"/>
        <v>7.8468139733096605</v>
      </c>
      <c r="L54" s="13">
        <f t="shared" si="21"/>
        <v>0.66780229384132184</v>
      </c>
      <c r="M54" s="13">
        <f t="shared" si="14"/>
        <v>8.5104896855309739E-2</v>
      </c>
      <c r="N54" s="13">
        <f t="shared" si="15"/>
        <v>1.2147244328915487</v>
      </c>
      <c r="O54" s="13">
        <f t="shared" si="16"/>
        <v>0.15480479555439206</v>
      </c>
      <c r="P54" s="13">
        <f t="shared" si="17"/>
        <v>0.62201564381293339</v>
      </c>
      <c r="Q54" s="13">
        <f t="shared" si="18"/>
        <v>0.36275987919069086</v>
      </c>
      <c r="R54" s="21">
        <f t="shared" si="22"/>
        <v>2.5168840788914899</v>
      </c>
      <c r="S54" s="13">
        <f t="shared" si="19"/>
        <v>1.9701429495792449</v>
      </c>
      <c r="T54" s="22">
        <f t="shared" si="20"/>
        <v>1.565541270734212</v>
      </c>
      <c r="U54" s="22"/>
      <c r="V54" s="19"/>
    </row>
    <row r="55" spans="3:22">
      <c r="C55" s="17"/>
      <c r="D55" s="18"/>
      <c r="E55" s="13"/>
      <c r="F55" s="13"/>
      <c r="G55" s="13"/>
      <c r="H55" s="13"/>
      <c r="I55" s="72">
        <f t="shared" si="12"/>
        <v>32.825600264763494</v>
      </c>
      <c r="J55" s="13">
        <f t="shared" si="23"/>
        <v>8.5</v>
      </c>
      <c r="K55" s="13">
        <f t="shared" si="13"/>
        <v>7.7538170856838597</v>
      </c>
      <c r="L55" s="13">
        <f t="shared" si="21"/>
        <v>0.68011152028654576</v>
      </c>
      <c r="M55" s="13">
        <f t="shared" si="14"/>
        <v>8.7713124100162118E-2</v>
      </c>
      <c r="N55" s="13">
        <f t="shared" si="15"/>
        <v>1.2371147694490947</v>
      </c>
      <c r="O55" s="13">
        <f t="shared" si="16"/>
        <v>0.15954912990315728</v>
      </c>
      <c r="P55" s="13">
        <f t="shared" si="17"/>
        <v>0.58010920007083977</v>
      </c>
      <c r="Q55" s="13">
        <f t="shared" si="18"/>
        <v>0.30563023668006123</v>
      </c>
      <c r="R55" s="21">
        <f t="shared" si="22"/>
        <v>2.7420456389230043</v>
      </c>
      <c r="S55" s="13">
        <f t="shared" si="19"/>
        <v>2.1808666704479611</v>
      </c>
      <c r="T55" s="22">
        <f t="shared" si="20"/>
        <v>1.5906859021533588</v>
      </c>
      <c r="U55" s="22"/>
      <c r="V55" s="19"/>
    </row>
    <row r="56" spans="3:22">
      <c r="C56" s="17"/>
      <c r="D56" s="18"/>
      <c r="E56" s="13"/>
      <c r="F56" s="13"/>
      <c r="G56" s="13"/>
      <c r="H56" s="13"/>
      <c r="I56" s="72">
        <f t="shared" si="12"/>
        <v>32.282130209203913</v>
      </c>
      <c r="J56" s="13">
        <f t="shared" si="23"/>
        <v>9</v>
      </c>
      <c r="K56" s="13">
        <f t="shared" si="13"/>
        <v>7.6621500328966397</v>
      </c>
      <c r="L56" s="13">
        <f t="shared" si="21"/>
        <v>0.69242074673176968</v>
      </c>
      <c r="M56" s="13">
        <f t="shared" si="14"/>
        <v>9.0368988307320222E-2</v>
      </c>
      <c r="N56" s="13">
        <f t="shared" si="15"/>
        <v>1.2595051060066405</v>
      </c>
      <c r="O56" s="13">
        <f t="shared" si="16"/>
        <v>0.16438011531999333</v>
      </c>
      <c r="P56" s="13">
        <f t="shared" si="17"/>
        <v>0.530209253120558</v>
      </c>
      <c r="Q56" s="13">
        <f t="shared" si="18"/>
        <v>0.25053627773019349</v>
      </c>
      <c r="R56" s="21">
        <f t="shared" si="22"/>
        <v>3.028569382224394</v>
      </c>
      <c r="S56" s="13">
        <f t="shared" si="19"/>
        <v>2.4316012724178302</v>
      </c>
      <c r="T56" s="22">
        <f t="shared" si="20"/>
        <v>1.6057755101729856</v>
      </c>
      <c r="U56" s="22"/>
      <c r="V56" s="19"/>
    </row>
    <row r="57" spans="3:22">
      <c r="C57" s="17"/>
      <c r="D57" s="18"/>
      <c r="E57" s="13"/>
      <c r="F57" s="13"/>
      <c r="G57" s="13"/>
      <c r="H57" s="13"/>
      <c r="I57" s="72">
        <f t="shared" si="12"/>
        <v>32.010255701269585</v>
      </c>
      <c r="J57" s="13">
        <v>9.25</v>
      </c>
      <c r="K57" s="13">
        <f t="shared" si="13"/>
        <v>7.6168238905126104</v>
      </c>
      <c r="L57" s="13">
        <f t="shared" si="21"/>
        <v>0.69857535995438169</v>
      </c>
      <c r="M57" s="13">
        <f t="shared" si="14"/>
        <v>9.1714784271763924E-2</v>
      </c>
      <c r="N57" s="13">
        <f t="shared" si="15"/>
        <v>1.2707002742854134</v>
      </c>
      <c r="O57" s="13">
        <f t="shared" si="16"/>
        <v>0.16682810217893793</v>
      </c>
      <c r="P57" s="13">
        <f t="shared" si="17"/>
        <v>0.50226764708448635</v>
      </c>
      <c r="Q57" s="13">
        <f t="shared" si="18"/>
        <v>0.22402862689732064</v>
      </c>
      <c r="R57" s="21">
        <f t="shared" si="22"/>
        <v>3.2027355417848002</v>
      </c>
      <c r="S57" s="13">
        <f t="shared" si="19"/>
        <v>2.5760089495888092</v>
      </c>
      <c r="T57" s="22">
        <f t="shared" si="20"/>
        <v>1.6086304448061093</v>
      </c>
      <c r="U57" s="22"/>
      <c r="V57" s="19"/>
    </row>
    <row r="58" spans="3:22">
      <c r="C58" s="17"/>
      <c r="D58" s="18"/>
      <c r="E58" s="13"/>
      <c r="F58" s="13"/>
      <c r="G58" s="13"/>
      <c r="H58" s="13"/>
      <c r="I58" s="72"/>
      <c r="J58" s="13"/>
      <c r="K58" s="13"/>
      <c r="L58" s="13"/>
      <c r="M58" s="13"/>
      <c r="N58" s="13"/>
      <c r="O58" s="13"/>
      <c r="P58" s="13"/>
      <c r="Q58" s="13"/>
      <c r="R58" s="21"/>
      <c r="S58" s="13"/>
      <c r="T58" s="22"/>
      <c r="U58" s="22"/>
      <c r="V58" s="19"/>
    </row>
    <row r="59" spans="3:22" ht="15" thickBot="1">
      <c r="C59" s="23"/>
      <c r="D59" s="24"/>
      <c r="E59" s="25"/>
      <c r="F59" s="25"/>
      <c r="G59" s="25"/>
      <c r="H59" s="25"/>
      <c r="I59" s="75"/>
      <c r="J59" s="25"/>
      <c r="K59" s="25"/>
      <c r="L59" s="25"/>
      <c r="M59" s="25"/>
      <c r="N59" s="25"/>
      <c r="O59" s="25"/>
      <c r="P59" s="25"/>
      <c r="Q59" s="25"/>
      <c r="R59" s="26"/>
      <c r="S59" s="25"/>
      <c r="T59" s="27"/>
      <c r="U59" s="27"/>
      <c r="V59" s="28"/>
    </row>
    <row r="61" spans="3:22" ht="15" thickBot="1"/>
    <row r="62" spans="3:22" ht="17" thickBot="1">
      <c r="C62" s="42" t="s">
        <v>36</v>
      </c>
      <c r="D62" s="43" t="s">
        <v>37</v>
      </c>
      <c r="E62" s="35" t="s">
        <v>24</v>
      </c>
      <c r="F62" s="36" t="s">
        <v>29</v>
      </c>
      <c r="G62" s="36" t="s">
        <v>30</v>
      </c>
      <c r="H62" s="97" t="s">
        <v>56</v>
      </c>
      <c r="I62" s="36" t="s">
        <v>77</v>
      </c>
      <c r="J62" s="36" t="s">
        <v>80</v>
      </c>
      <c r="K62" s="36" t="s">
        <v>81</v>
      </c>
      <c r="L62" s="110" t="s">
        <v>92</v>
      </c>
      <c r="M62" s="36" t="s">
        <v>89</v>
      </c>
      <c r="N62" s="36" t="s">
        <v>90</v>
      </c>
      <c r="O62" s="38" t="s">
        <v>91</v>
      </c>
      <c r="P62" s="15"/>
      <c r="Q62" s="15"/>
      <c r="R62" s="15"/>
      <c r="S62" s="15"/>
      <c r="T62" s="40"/>
      <c r="U62" s="40"/>
      <c r="V62" s="16"/>
    </row>
    <row r="63" spans="3:22" ht="16" thickTop="1" thickBot="1">
      <c r="C63" s="44">
        <v>12</v>
      </c>
      <c r="D63" s="45">
        <f>MAX(T66:T87)</f>
        <v>1.607994630908286</v>
      </c>
      <c r="E63" s="25">
        <f>$M$4-H63</f>
        <v>1.1481674231664547</v>
      </c>
      <c r="F63" s="25">
        <f>MAX(N66:N88)</f>
        <v>1.285886763428792</v>
      </c>
      <c r="G63" s="25">
        <f>F63*$L$4</f>
        <v>0.23145961741718252</v>
      </c>
      <c r="H63" s="75">
        <f>(-N63+SQRT(N63^2-4*$P$4*O63))/(2*$P$4)</f>
        <v>7.1032576833545427E-2</v>
      </c>
      <c r="I63" s="25">
        <f>$H$4*SBT!$C$23</f>
        <v>4.4225409836065571E-2</v>
      </c>
      <c r="J63" s="25">
        <f>I63+SBT!$B$23</f>
        <v>0.19422540983606557</v>
      </c>
      <c r="K63" s="25">
        <f>SBT!$B$12*H63</f>
        <v>9.2342349883609065E-2</v>
      </c>
      <c r="L63" s="25">
        <f>(F63*$L$4-(SBT!$F$23*K63+0.5*SBT!$E$23*K63^2)*9.81)/(J63*9.81)</f>
        <v>3.8930539951134061E-2</v>
      </c>
      <c r="M63" s="79">
        <f>J63+SBT!$F$23+2*SBT!$G$23+H63*SBT!$D$23+K63*SBT!$E$23</f>
        <v>0.6643220221411229</v>
      </c>
      <c r="N63" s="25">
        <f>(SBT!$G$23+(SBT!$F$23+J63)*0.5)*9.81</f>
        <v>3.1869031352459021</v>
      </c>
      <c r="O63" s="37">
        <f>-F63*$L$4</f>
        <v>-0.23145961741718252</v>
      </c>
      <c r="P63" s="13"/>
      <c r="Q63" s="13"/>
      <c r="R63" s="13"/>
      <c r="S63" s="13"/>
      <c r="T63" s="13"/>
      <c r="U63" s="13"/>
      <c r="V63" s="19"/>
    </row>
    <row r="64" spans="3:22">
      <c r="C64" s="41"/>
      <c r="D64" s="13"/>
      <c r="E64" s="13"/>
      <c r="F64" s="13"/>
      <c r="G64" s="13"/>
      <c r="H64" s="13"/>
      <c r="I64" s="76"/>
      <c r="J64" s="18"/>
      <c r="K64" s="18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9"/>
    </row>
    <row r="65" spans="3:22" ht="17" thickBot="1">
      <c r="C65" s="47" t="s">
        <v>40</v>
      </c>
      <c r="D65" s="48" t="s">
        <v>42</v>
      </c>
      <c r="E65" s="30" t="s">
        <v>35</v>
      </c>
      <c r="F65" s="29" t="s">
        <v>34</v>
      </c>
      <c r="G65" s="29" t="s">
        <v>41</v>
      </c>
      <c r="H65" s="29" t="s">
        <v>7</v>
      </c>
      <c r="I65" s="70" t="s">
        <v>16</v>
      </c>
      <c r="J65" s="71" t="s">
        <v>17</v>
      </c>
      <c r="K65" s="29" t="s">
        <v>18</v>
      </c>
      <c r="L65" s="46" t="s">
        <v>39</v>
      </c>
      <c r="M65" s="31" t="s">
        <v>10</v>
      </c>
      <c r="N65" s="31" t="s">
        <v>13</v>
      </c>
      <c r="O65" s="31" t="s">
        <v>14</v>
      </c>
      <c r="P65" s="31" t="s">
        <v>8</v>
      </c>
      <c r="Q65" s="31" t="s">
        <v>9</v>
      </c>
      <c r="R65" s="31" t="s">
        <v>19</v>
      </c>
      <c r="S65" s="31" t="s">
        <v>25</v>
      </c>
      <c r="T65" s="32" t="s">
        <v>27</v>
      </c>
      <c r="U65" s="32"/>
      <c r="V65" s="33"/>
    </row>
    <row r="66" spans="3:22" ht="15" thickTop="1">
      <c r="C66" s="50">
        <v>1.4725015334862157</v>
      </c>
      <c r="D66" s="51">
        <v>1.1153</v>
      </c>
      <c r="E66" s="7">
        <f>$K$4/(2+SQRT(4+$K$4^2))</f>
        <v>0.53518375848799637</v>
      </c>
      <c r="F66" s="7">
        <f>C66*E66</f>
        <v>0.78805890507049114</v>
      </c>
      <c r="G66" s="12">
        <f>D66*E66</f>
        <v>0.59689044584166229</v>
      </c>
      <c r="H66" s="14">
        <f>F66*PI()/180</f>
        <v>1.3754222593141506E-2</v>
      </c>
      <c r="I66" s="72">
        <f t="shared" ref="I66:I82" si="24">0.5*ATAN(K66)*180/PI()-J66</f>
        <v>41.607947711351542</v>
      </c>
      <c r="J66" s="13">
        <v>0</v>
      </c>
      <c r="K66" s="13">
        <f t="shared" ref="K66:K82" si="25">L66/M66</f>
        <v>8.4060867658411631</v>
      </c>
      <c r="L66" s="13">
        <f>$H$66*J66+$G$66</f>
        <v>0.59689044584166229</v>
      </c>
      <c r="M66" s="13">
        <f t="shared" ref="M66:M82" si="26">0.015+0.1572*(L66^2)</f>
        <v>7.100693372178557E-2</v>
      </c>
      <c r="N66" s="13">
        <f t="shared" ref="N66:N82" si="27">$O$4*L66</f>
        <v>1.0857366244622089</v>
      </c>
      <c r="O66" s="13">
        <f t="shared" ref="O66:O82" si="28">$O$4*M66</f>
        <v>0.12916076822739811</v>
      </c>
      <c r="P66" s="13">
        <f t="shared" ref="P66:P82" si="29">((N66*COS(I66+J66)+O66*SIN(I66+J66))*SIN(J66+I66)-O66)/$M$63</f>
        <v>0.71589635529654505</v>
      </c>
      <c r="Q66" s="13">
        <f t="shared" ref="Q66:Q82" si="30">P66*TAN(I66+J66)</f>
        <v>0.69036298377180549</v>
      </c>
      <c r="R66" s="21">
        <f>IF(ISERROR(SQRT(2*$E$63/Q66)),0,SQRT(2*$E$63/Q66))</f>
        <v>1.8238069213892623</v>
      </c>
      <c r="S66" s="13">
        <f t="shared" ref="S66:S82" si="31">0.5*P66*R66^2</f>
        <v>1.1906328885483624</v>
      </c>
      <c r="T66" s="22">
        <f t="shared" ref="T66:T82" si="32">R66*P66</f>
        <v>1.3056567277871853</v>
      </c>
      <c r="U66" s="22"/>
      <c r="V66" s="19"/>
    </row>
    <row r="67" spans="3:22">
      <c r="C67" s="17"/>
      <c r="D67" s="18"/>
      <c r="E67" s="13"/>
      <c r="F67" s="13"/>
      <c r="G67" s="13"/>
      <c r="H67" s="13"/>
      <c r="I67" s="72">
        <f t="shared" si="24"/>
        <v>41.085497062229933</v>
      </c>
      <c r="J67" s="13">
        <f>J66+0.5</f>
        <v>0.5</v>
      </c>
      <c r="K67" s="13">
        <f t="shared" si="25"/>
        <v>8.3502943111363006</v>
      </c>
      <c r="L67" s="13">
        <f t="shared" ref="L67:L82" si="33">$H$66*J67+$G$66</f>
        <v>0.60376755713823305</v>
      </c>
      <c r="M67" s="13">
        <f t="shared" si="26"/>
        <v>7.2304943351879647E-2</v>
      </c>
      <c r="N67" s="13">
        <f t="shared" si="27"/>
        <v>1.0982460081476204</v>
      </c>
      <c r="O67" s="13">
        <f t="shared" si="28"/>
        <v>0.13152183231229991</v>
      </c>
      <c r="P67" s="13">
        <f t="shared" si="29"/>
        <v>0.71684756611628586</v>
      </c>
      <c r="Q67" s="13">
        <f t="shared" si="30"/>
        <v>0.66087360727905053</v>
      </c>
      <c r="R67" s="21">
        <f t="shared" ref="R67:R82" si="34">IF(ISERROR(SQRT(2*$E$63/Q67)),0,SQRT(2*$E$63/Q67))</f>
        <v>1.8640536337464282</v>
      </c>
      <c r="S67" s="13">
        <f t="shared" si="31"/>
        <v>1.2454136671905971</v>
      </c>
      <c r="T67" s="22">
        <f t="shared" si="32"/>
        <v>1.3362423104613457</v>
      </c>
      <c r="U67" s="22"/>
      <c r="V67" s="19"/>
    </row>
    <row r="68" spans="3:22">
      <c r="C68" s="20"/>
      <c r="D68" s="11"/>
      <c r="E68" s="13"/>
      <c r="F68" s="13"/>
      <c r="G68" s="13"/>
      <c r="H68" s="13"/>
      <c r="I68" s="72">
        <f t="shared" si="24"/>
        <v>40.562868569590648</v>
      </c>
      <c r="J68" s="13">
        <f t="shared" ref="J68:J82" si="35">J67+0.5</f>
        <v>1</v>
      </c>
      <c r="K68" s="13">
        <f t="shared" si="25"/>
        <v>8.2947939552737768</v>
      </c>
      <c r="L68" s="13">
        <f t="shared" si="33"/>
        <v>0.61064466843480381</v>
      </c>
      <c r="M68" s="13">
        <f t="shared" si="26"/>
        <v>7.3617822423010265E-2</v>
      </c>
      <c r="N68" s="13">
        <f t="shared" si="27"/>
        <v>1.110755391833032</v>
      </c>
      <c r="O68" s="13">
        <f t="shared" si="28"/>
        <v>0.13390994373366211</v>
      </c>
      <c r="P68" s="13">
        <f t="shared" si="29"/>
        <v>0.71583071812301768</v>
      </c>
      <c r="Q68" s="13">
        <f t="shared" si="30"/>
        <v>0.63057812057007212</v>
      </c>
      <c r="R68" s="21">
        <f t="shared" si="34"/>
        <v>1.908306630171352</v>
      </c>
      <c r="S68" s="13">
        <f t="shared" si="31"/>
        <v>1.3033968103867415</v>
      </c>
      <c r="T68" s="22">
        <f t="shared" si="32"/>
        <v>1.3660245054744748</v>
      </c>
      <c r="U68" s="22"/>
      <c r="V68" s="19"/>
    </row>
    <row r="69" spans="3:22">
      <c r="C69" s="17"/>
      <c r="D69" s="18"/>
      <c r="E69" s="13"/>
      <c r="F69" s="13"/>
      <c r="G69" s="13"/>
      <c r="H69" s="13"/>
      <c r="I69" s="72">
        <f t="shared" si="24"/>
        <v>40.040068445451993</v>
      </c>
      <c r="J69" s="13">
        <f t="shared" si="35"/>
        <v>1.5</v>
      </c>
      <c r="K69" s="13">
        <f t="shared" si="25"/>
        <v>8.2396033818394301</v>
      </c>
      <c r="L69" s="13">
        <f t="shared" si="33"/>
        <v>0.61752177973137456</v>
      </c>
      <c r="M69" s="13">
        <f t="shared" si="26"/>
        <v>7.4945570935177397E-2</v>
      </c>
      <c r="N69" s="13">
        <f t="shared" si="27"/>
        <v>1.1232647755184433</v>
      </c>
      <c r="O69" s="13">
        <f t="shared" si="28"/>
        <v>0.13632510249148458</v>
      </c>
      <c r="P69" s="13">
        <f t="shared" si="29"/>
        <v>0.71276459846009121</v>
      </c>
      <c r="Q69" s="13">
        <f t="shared" si="30"/>
        <v>0.5995787669367908</v>
      </c>
      <c r="R69" s="21">
        <f t="shared" si="34"/>
        <v>1.9570164930965679</v>
      </c>
      <c r="S69" s="13">
        <f t="shared" si="31"/>
        <v>1.3649133983166399</v>
      </c>
      <c r="T69" s="22">
        <f t="shared" si="32"/>
        <v>1.394892074881751</v>
      </c>
      <c r="U69" s="22"/>
      <c r="V69" s="19"/>
    </row>
    <row r="70" spans="3:22">
      <c r="C70" s="17"/>
      <c r="D70" s="13"/>
      <c r="E70" s="13"/>
      <c r="F70" s="13"/>
      <c r="G70" s="13"/>
      <c r="H70" s="13"/>
      <c r="I70" s="72">
        <f t="shared" si="24"/>
        <v>39.517102631334623</v>
      </c>
      <c r="J70" s="13">
        <f t="shared" si="35"/>
        <v>2</v>
      </c>
      <c r="K70" s="13">
        <f t="shared" si="25"/>
        <v>8.184738687944435</v>
      </c>
      <c r="L70" s="13">
        <f t="shared" si="33"/>
        <v>0.62439889102794532</v>
      </c>
      <c r="M70" s="13">
        <f t="shared" si="26"/>
        <v>7.628818888838107E-2</v>
      </c>
      <c r="N70" s="13">
        <f t="shared" si="27"/>
        <v>1.1357741592038548</v>
      </c>
      <c r="O70" s="13">
        <f t="shared" si="28"/>
        <v>0.13876730858576744</v>
      </c>
      <c r="P70" s="13">
        <f t="shared" si="29"/>
        <v>0.70757329535364444</v>
      </c>
      <c r="Q70" s="13">
        <f t="shared" si="30"/>
        <v>0.56798423050409808</v>
      </c>
      <c r="R70" s="21">
        <f t="shared" si="34"/>
        <v>2.0107101443725237</v>
      </c>
      <c r="S70" s="13">
        <f t="shared" si="31"/>
        <v>1.4303435968751408</v>
      </c>
      <c r="T70" s="22">
        <f t="shared" si="32"/>
        <v>1.4227248028546688</v>
      </c>
      <c r="U70" s="22"/>
      <c r="V70" s="19"/>
    </row>
    <row r="71" spans="3:22">
      <c r="C71" s="17"/>
      <c r="D71" s="13"/>
      <c r="E71" s="13"/>
      <c r="F71" s="13"/>
      <c r="G71" s="13"/>
      <c r="H71" s="13"/>
      <c r="I71" s="72">
        <f t="shared" si="24"/>
        <v>38.993976812972903</v>
      </c>
      <c r="J71" s="13">
        <f t="shared" si="35"/>
        <v>2.5</v>
      </c>
      <c r="K71" s="13">
        <f t="shared" si="25"/>
        <v>8.1302144890430768</v>
      </c>
      <c r="L71" s="13">
        <f t="shared" si="33"/>
        <v>0.63127600232451608</v>
      </c>
      <c r="M71" s="13">
        <f t="shared" si="26"/>
        <v>7.7645676282621298E-2</v>
      </c>
      <c r="N71" s="13">
        <f t="shared" si="27"/>
        <v>1.1482835428892662</v>
      </c>
      <c r="O71" s="13">
        <f t="shared" si="28"/>
        <v>0.14123656201651069</v>
      </c>
      <c r="P71" s="13">
        <f t="shared" si="29"/>
        <v>0.70018667713339178</v>
      </c>
      <c r="Q71" s="13">
        <f t="shared" si="30"/>
        <v>0.53590938124145426</v>
      </c>
      <c r="R71" s="21">
        <f t="shared" si="34"/>
        <v>2.0700075444567423</v>
      </c>
      <c r="S71" s="13">
        <f t="shared" si="31"/>
        <v>1.5001258812775233</v>
      </c>
      <c r="T71" s="22">
        <f t="shared" si="32"/>
        <v>1.4493917041942181</v>
      </c>
      <c r="U71" s="22"/>
      <c r="V71" s="19"/>
    </row>
    <row r="72" spans="3:22">
      <c r="C72" s="17"/>
      <c r="D72" s="13"/>
      <c r="E72" s="13"/>
      <c r="F72" s="13"/>
      <c r="G72" s="13"/>
      <c r="H72" s="13"/>
      <c r="I72" s="72">
        <f t="shared" si="24"/>
        <v>38.470696434076423</v>
      </c>
      <c r="J72" s="13">
        <f t="shared" si="35"/>
        <v>3</v>
      </c>
      <c r="K72" s="13">
        <f t="shared" si="25"/>
        <v>8.0760440173059873</v>
      </c>
      <c r="L72" s="13">
        <f t="shared" si="33"/>
        <v>0.63815311362108684</v>
      </c>
      <c r="M72" s="13">
        <f t="shared" si="26"/>
        <v>7.901803311789804E-2</v>
      </c>
      <c r="N72" s="13">
        <f t="shared" si="27"/>
        <v>1.1607929265746777</v>
      </c>
      <c r="O72" s="13">
        <f t="shared" si="28"/>
        <v>0.14373286278371422</v>
      </c>
      <c r="P72" s="13">
        <f t="shared" si="29"/>
        <v>0.69054085954678968</v>
      </c>
      <c r="Q72" s="13">
        <f t="shared" si="30"/>
        <v>0.50347498458507045</v>
      </c>
      <c r="R72" s="21">
        <f t="shared" si="34"/>
        <v>2.1356430142335157</v>
      </c>
      <c r="S72" s="13">
        <f t="shared" si="31"/>
        <v>1.5747684464410963</v>
      </c>
      <c r="T72" s="22">
        <f t="shared" si="32"/>
        <v>1.4747487627339086</v>
      </c>
      <c r="U72" s="22"/>
      <c r="V72" s="19"/>
    </row>
    <row r="73" spans="3:22">
      <c r="C73" s="17"/>
      <c r="D73" s="13"/>
      <c r="E73" s="13"/>
      <c r="F73" s="13"/>
      <c r="G73" s="13"/>
      <c r="H73" s="13"/>
      <c r="I73" s="72">
        <f t="shared" si="24"/>
        <v>37.947266709212165</v>
      </c>
      <c r="J73" s="13">
        <f t="shared" si="35"/>
        <v>3.5</v>
      </c>
      <c r="K73" s="13">
        <f t="shared" si="25"/>
        <v>8.0222392139200753</v>
      </c>
      <c r="L73" s="13">
        <f t="shared" si="33"/>
        <v>0.6450302249176576</v>
      </c>
      <c r="M73" s="13">
        <f t="shared" si="26"/>
        <v>8.0405259394211323E-2</v>
      </c>
      <c r="N73" s="13">
        <f t="shared" si="27"/>
        <v>1.1733023102600892</v>
      </c>
      <c r="O73" s="13">
        <f t="shared" si="28"/>
        <v>0.14625621088737814</v>
      </c>
      <c r="P73" s="13">
        <f t="shared" si="29"/>
        <v>0.67857865884303792</v>
      </c>
      <c r="Q73" s="13">
        <f t="shared" si="30"/>
        <v>0.47080737623283003</v>
      </c>
      <c r="R73" s="21">
        <f t="shared" si="34"/>
        <v>2.2084927550104778</v>
      </c>
      <c r="S73" s="13">
        <f t="shared" si="31"/>
        <v>1.6548634313542654</v>
      </c>
      <c r="T73" s="22">
        <f t="shared" si="32"/>
        <v>1.498636051759576</v>
      </c>
      <c r="U73" s="22"/>
      <c r="V73" s="19"/>
    </row>
    <row r="74" spans="3:22">
      <c r="C74" s="17"/>
      <c r="D74" s="13"/>
      <c r="E74" s="13"/>
      <c r="F74" s="13"/>
      <c r="G74" s="13"/>
      <c r="H74" s="13"/>
      <c r="I74" s="72">
        <f t="shared" si="24"/>
        <v>37.423692635872321</v>
      </c>
      <c r="J74" s="13">
        <f t="shared" si="35"/>
        <v>4</v>
      </c>
      <c r="K74" s="13">
        <f t="shared" si="25"/>
        <v>7.9688108156683306</v>
      </c>
      <c r="L74" s="13">
        <f t="shared" si="33"/>
        <v>0.65190733621422836</v>
      </c>
      <c r="M74" s="13">
        <f t="shared" si="26"/>
        <v>8.1807355111561147E-2</v>
      </c>
      <c r="N74" s="13">
        <f t="shared" si="27"/>
        <v>1.1858116939455006</v>
      </c>
      <c r="O74" s="13">
        <f t="shared" si="28"/>
        <v>0.14880660632750239</v>
      </c>
      <c r="P74" s="13">
        <f t="shared" si="29"/>
        <v>0.66425002812585543</v>
      </c>
      <c r="Q74" s="13">
        <f t="shared" si="30"/>
        <v>0.43803810284637357</v>
      </c>
      <c r="R74" s="21">
        <f t="shared" si="34"/>
        <v>2.2896107917898099</v>
      </c>
      <c r="S74" s="13">
        <f t="shared" si="31"/>
        <v>1.7411047992758479</v>
      </c>
      <c r="T74" s="22">
        <f t="shared" si="32"/>
        <v>1.5208740328436434</v>
      </c>
      <c r="U74" s="22"/>
      <c r="V74" s="19"/>
    </row>
    <row r="75" spans="3:22">
      <c r="C75" s="17"/>
      <c r="D75" s="18"/>
      <c r="E75" s="13"/>
      <c r="F75" s="13"/>
      <c r="G75" s="13"/>
      <c r="H75" s="13"/>
      <c r="I75" s="72">
        <f t="shared" si="24"/>
        <v>36.899979005787131</v>
      </c>
      <c r="J75" s="13">
        <f t="shared" si="35"/>
        <v>4.5</v>
      </c>
      <c r="K75" s="13">
        <f t="shared" si="25"/>
        <v>7.9157684361248863</v>
      </c>
      <c r="L75" s="13">
        <f t="shared" si="33"/>
        <v>0.65878444751079912</v>
      </c>
      <c r="M75" s="13">
        <f t="shared" si="26"/>
        <v>8.3224320269947513E-2</v>
      </c>
      <c r="N75" s="13">
        <f t="shared" si="27"/>
        <v>1.1983210776309121</v>
      </c>
      <c r="O75" s="13">
        <f t="shared" si="28"/>
        <v>0.15138404910408704</v>
      </c>
      <c r="P75" s="13">
        <f t="shared" si="29"/>
        <v>0.64751247450826199</v>
      </c>
      <c r="Q75" s="13">
        <f t="shared" si="30"/>
        <v>0.40530352956583948</v>
      </c>
      <c r="R75" s="21">
        <f t="shared" si="34"/>
        <v>2.3802765343547372</v>
      </c>
      <c r="S75" s="13">
        <f t="shared" si="31"/>
        <v>1.8343110165378309</v>
      </c>
      <c r="T75" s="22">
        <f t="shared" si="32"/>
        <v>1.5412587487739859</v>
      </c>
      <c r="U75" s="22"/>
      <c r="V75" s="19"/>
    </row>
    <row r="76" spans="3:22">
      <c r="C76" s="17"/>
      <c r="D76" s="22"/>
      <c r="E76" s="13"/>
      <c r="F76" s="13"/>
      <c r="G76" s="13"/>
      <c r="H76" s="13"/>
      <c r="I76" s="72">
        <f t="shared" si="24"/>
        <v>36.376130415537261</v>
      </c>
      <c r="J76" s="13">
        <f t="shared" si="35"/>
        <v>5</v>
      </c>
      <c r="K76" s="13">
        <f t="shared" si="25"/>
        <v>7.8631206417835315</v>
      </c>
      <c r="L76" s="13">
        <f t="shared" si="33"/>
        <v>0.66566155880736977</v>
      </c>
      <c r="M76" s="13">
        <f t="shared" si="26"/>
        <v>8.4656154869370392E-2</v>
      </c>
      <c r="N76" s="13">
        <f t="shared" si="27"/>
        <v>1.2108304613163234</v>
      </c>
      <c r="O76" s="13">
        <f t="shared" si="28"/>
        <v>0.15398853921713199</v>
      </c>
      <c r="P76" s="13">
        <f t="shared" si="29"/>
        <v>0.6283314546492561</v>
      </c>
      <c r="Q76" s="13">
        <f t="shared" si="30"/>
        <v>0.37274441541328113</v>
      </c>
      <c r="R76" s="21">
        <f t="shared" si="34"/>
        <v>2.4820586265595685</v>
      </c>
      <c r="S76" s="13">
        <f t="shared" si="31"/>
        <v>1.9354541003094035</v>
      </c>
      <c r="T76" s="22">
        <f t="shared" si="32"/>
        <v>1.5595555073509084</v>
      </c>
      <c r="U76" s="22"/>
      <c r="V76" s="19"/>
    </row>
    <row r="77" spans="3:22">
      <c r="C77" s="17"/>
      <c r="D77" s="18"/>
      <c r="E77" s="13"/>
      <c r="F77" s="13"/>
      <c r="G77" s="13"/>
      <c r="H77" s="13"/>
      <c r="I77" s="72">
        <f t="shared" si="24"/>
        <v>35.852151276515819</v>
      </c>
      <c r="J77" s="13">
        <f t="shared" si="35"/>
        <v>5.5</v>
      </c>
      <c r="K77" s="13">
        <f t="shared" si="25"/>
        <v>7.8108750234210991</v>
      </c>
      <c r="L77" s="13">
        <f t="shared" si="33"/>
        <v>0.67253867010394053</v>
      </c>
      <c r="M77" s="13">
        <f t="shared" si="26"/>
        <v>8.6102858909829813E-2</v>
      </c>
      <c r="N77" s="13">
        <f t="shared" si="27"/>
        <v>1.2233398450017348</v>
      </c>
      <c r="O77" s="13">
        <f t="shared" si="28"/>
        <v>0.15662007666663727</v>
      </c>
      <c r="P77" s="13">
        <f t="shared" si="29"/>
        <v>0.6066807463110907</v>
      </c>
      <c r="Q77" s="13">
        <f t="shared" si="30"/>
        <v>0.34050545782940073</v>
      </c>
      <c r="R77" s="21">
        <f t="shared" si="34"/>
        <v>2.5969020509426723</v>
      </c>
      <c r="S77" s="13">
        <f t="shared" si="31"/>
        <v>2.0456972220565728</v>
      </c>
      <c r="T77" s="22">
        <f t="shared" si="32"/>
        <v>1.5754904743627025</v>
      </c>
      <c r="U77" s="22"/>
      <c r="V77" s="19"/>
    </row>
    <row r="78" spans="3:22">
      <c r="C78" s="17"/>
      <c r="D78" s="18"/>
      <c r="E78" s="13"/>
      <c r="F78" s="13"/>
      <c r="G78" s="13"/>
      <c r="H78" s="13"/>
      <c r="I78" s="72">
        <f t="shared" si="24"/>
        <v>35.328045824285965</v>
      </c>
      <c r="J78" s="13">
        <f t="shared" si="35"/>
        <v>6</v>
      </c>
      <c r="K78" s="13">
        <f t="shared" si="25"/>
        <v>7.7590382629810186</v>
      </c>
      <c r="L78" s="13">
        <f t="shared" si="33"/>
        <v>0.67941578140051129</v>
      </c>
      <c r="M78" s="13">
        <f t="shared" si="26"/>
        <v>8.7564432391325789E-2</v>
      </c>
      <c r="N78" s="13">
        <f t="shared" si="27"/>
        <v>1.2358492286871463</v>
      </c>
      <c r="O78" s="13">
        <f t="shared" si="28"/>
        <v>0.15927866145260297</v>
      </c>
      <c r="P78" s="13">
        <f t="shared" si="29"/>
        <v>0.58254279364653738</v>
      </c>
      <c r="Q78" s="13">
        <f t="shared" si="30"/>
        <v>0.30873480775381151</v>
      </c>
      <c r="R78" s="21">
        <f t="shared" si="34"/>
        <v>2.7272491187354202</v>
      </c>
      <c r="S78" s="13">
        <f t="shared" si="31"/>
        <v>2.1664439560008604</v>
      </c>
      <c r="T78" s="22">
        <f t="shared" si="32"/>
        <v>1.5887393205981888</v>
      </c>
      <c r="U78" s="22"/>
      <c r="V78" s="19"/>
    </row>
    <row r="79" spans="3:22">
      <c r="C79" s="17"/>
      <c r="D79" s="18"/>
      <c r="E79" s="13"/>
      <c r="F79" s="13"/>
      <c r="G79" s="13"/>
      <c r="H79" s="13"/>
      <c r="I79" s="72">
        <f t="shared" si="24"/>
        <v>34.803818127376609</v>
      </c>
      <c r="J79" s="13">
        <f t="shared" si="35"/>
        <v>6.5</v>
      </c>
      <c r="K79" s="13">
        <f t="shared" si="25"/>
        <v>7.7076161962467555</v>
      </c>
      <c r="L79" s="13">
        <f t="shared" si="33"/>
        <v>0.68629289269708205</v>
      </c>
      <c r="M79" s="13">
        <f t="shared" si="26"/>
        <v>8.9040875313858292E-2</v>
      </c>
      <c r="N79" s="13">
        <f t="shared" si="27"/>
        <v>1.2483586123725576</v>
      </c>
      <c r="O79" s="13">
        <f t="shared" si="28"/>
        <v>0.16196429357502898</v>
      </c>
      <c r="P79" s="13">
        <f t="shared" si="29"/>
        <v>0.55590902400841602</v>
      </c>
      <c r="Q79" s="13">
        <f t="shared" si="30"/>
        <v>0.27758355682136465</v>
      </c>
      <c r="R79" s="21">
        <f t="shared" si="34"/>
        <v>2.8762109803962481</v>
      </c>
      <c r="S79" s="13">
        <f t="shared" si="31"/>
        <v>2.2994036063219565</v>
      </c>
      <c r="T79" s="22">
        <f t="shared" si="32"/>
        <v>1.5989116389543676</v>
      </c>
      <c r="U79" s="22"/>
      <c r="V79" s="19"/>
    </row>
    <row r="80" spans="3:22">
      <c r="C80" s="17"/>
      <c r="D80" s="18"/>
      <c r="E80" s="13"/>
      <c r="F80" s="13"/>
      <c r="G80" s="13"/>
      <c r="H80" s="13"/>
      <c r="I80" s="72">
        <f t="shared" si="24"/>
        <v>34.279472095554887</v>
      </c>
      <c r="J80" s="13">
        <f t="shared" si="35"/>
        <v>7</v>
      </c>
      <c r="K80" s="13">
        <f t="shared" si="25"/>
        <v>7.6566138715598822</v>
      </c>
      <c r="L80" s="13">
        <f t="shared" si="33"/>
        <v>0.69317000399365281</v>
      </c>
      <c r="M80" s="13">
        <f t="shared" si="26"/>
        <v>9.0532187677427337E-2</v>
      </c>
      <c r="N80" s="13">
        <f t="shared" si="27"/>
        <v>1.2608679960579692</v>
      </c>
      <c r="O80" s="13">
        <f t="shared" si="28"/>
        <v>0.16467697303391537</v>
      </c>
      <c r="P80" s="13">
        <f t="shared" si="29"/>
        <v>0.52678013416740421</v>
      </c>
      <c r="Q80" s="13">
        <f t="shared" si="30"/>
        <v>0.2472051984038714</v>
      </c>
      <c r="R80" s="21">
        <f t="shared" si="34"/>
        <v>3.0478164483346295</v>
      </c>
      <c r="S80" s="13">
        <f t="shared" si="31"/>
        <v>2.4466790873633819</v>
      </c>
      <c r="T80" s="22">
        <f t="shared" si="32"/>
        <v>1.6055291575713375</v>
      </c>
      <c r="U80" s="22"/>
      <c r="V80" s="19"/>
    </row>
    <row r="81" spans="3:22">
      <c r="C81" s="17"/>
      <c r="D81" s="18"/>
      <c r="E81" s="13"/>
      <c r="F81" s="13"/>
      <c r="G81" s="13"/>
      <c r="H81" s="13"/>
      <c r="I81" s="72">
        <f t="shared" si="24"/>
        <v>33.755011487611696</v>
      </c>
      <c r="J81" s="13">
        <f t="shared" si="35"/>
        <v>7.5</v>
      </c>
      <c r="K81" s="13">
        <f t="shared" si="25"/>
        <v>7.6060356048232896</v>
      </c>
      <c r="L81" s="13">
        <f t="shared" si="33"/>
        <v>0.70004711529022356</v>
      </c>
      <c r="M81" s="13">
        <f t="shared" si="26"/>
        <v>9.2038369482032908E-2</v>
      </c>
      <c r="N81" s="13">
        <f t="shared" si="27"/>
        <v>1.2733773797433807</v>
      </c>
      <c r="O81" s="13">
        <f t="shared" si="28"/>
        <v>0.16741669982926211</v>
      </c>
      <c r="P81" s="13">
        <f t="shared" si="29"/>
        <v>0.49516634393043357</v>
      </c>
      <c r="Q81" s="13">
        <f t="shared" si="30"/>
        <v>0.21775506437939543</v>
      </c>
      <c r="R81" s="21">
        <f t="shared" si="34"/>
        <v>3.2473827242470961</v>
      </c>
      <c r="S81" s="13">
        <f t="shared" si="31"/>
        <v>2.6108869925468268</v>
      </c>
      <c r="T81" s="22">
        <f t="shared" si="32"/>
        <v>1.607994630908286</v>
      </c>
      <c r="U81" s="22"/>
      <c r="V81" s="19"/>
    </row>
    <row r="82" spans="3:22">
      <c r="C82" s="17"/>
      <c r="D82" s="18"/>
      <c r="E82" s="13"/>
      <c r="F82" s="13"/>
      <c r="G82" s="13"/>
      <c r="H82" s="13"/>
      <c r="I82" s="72">
        <f t="shared" si="24"/>
        <v>33.230439918693122</v>
      </c>
      <c r="J82" s="13">
        <f t="shared" si="35"/>
        <v>8</v>
      </c>
      <c r="K82" s="13">
        <f t="shared" si="25"/>
        <v>7.5558850310162828</v>
      </c>
      <c r="L82" s="13">
        <f t="shared" si="33"/>
        <v>0.70692422658679432</v>
      </c>
      <c r="M82" s="13">
        <f t="shared" si="26"/>
        <v>9.3559420727675036E-2</v>
      </c>
      <c r="N82" s="13">
        <f t="shared" si="27"/>
        <v>1.285886763428792</v>
      </c>
      <c r="O82" s="13">
        <f t="shared" si="28"/>
        <v>0.1701834739610692</v>
      </c>
      <c r="P82" s="13">
        <f t="shared" si="29"/>
        <v>0.46108761526774145</v>
      </c>
      <c r="Q82" s="13">
        <f t="shared" si="30"/>
        <v>0.18938973965606085</v>
      </c>
      <c r="R82" s="21">
        <f t="shared" si="34"/>
        <v>3.4820851302076199</v>
      </c>
      <c r="S82" s="13">
        <f t="shared" si="31"/>
        <v>2.7953244987682542</v>
      </c>
      <c r="T82" s="22">
        <f t="shared" si="32"/>
        <v>1.6055463288466945</v>
      </c>
      <c r="U82" s="22"/>
      <c r="V82" s="19"/>
    </row>
    <row r="83" spans="3:22">
      <c r="C83" s="17"/>
      <c r="D83" s="18"/>
      <c r="E83" s="13"/>
      <c r="F83" s="13"/>
      <c r="G83" s="13"/>
      <c r="H83" s="13"/>
      <c r="I83" s="72"/>
      <c r="J83" s="13"/>
      <c r="K83" s="13"/>
      <c r="L83" s="13"/>
      <c r="M83" s="13"/>
      <c r="N83" s="13"/>
      <c r="O83" s="13"/>
      <c r="P83" s="13"/>
      <c r="Q83" s="13"/>
      <c r="R83" s="21"/>
      <c r="S83" s="13"/>
      <c r="T83" s="22"/>
      <c r="U83" s="22"/>
      <c r="V83" s="19"/>
    </row>
    <row r="84" spans="3:22">
      <c r="C84" s="17"/>
      <c r="D84" s="18"/>
      <c r="E84" s="13"/>
      <c r="F84" s="13"/>
      <c r="G84" s="13"/>
      <c r="H84" s="13"/>
      <c r="I84" s="72"/>
      <c r="J84" s="13"/>
      <c r="K84" s="13"/>
      <c r="L84" s="13"/>
      <c r="M84" s="13"/>
      <c r="N84" s="13"/>
      <c r="O84" s="13"/>
      <c r="P84" s="13"/>
      <c r="Q84" s="13"/>
      <c r="R84" s="21"/>
      <c r="S84" s="13"/>
      <c r="T84" s="22"/>
      <c r="U84" s="22"/>
      <c r="V84" s="19"/>
    </row>
    <row r="85" spans="3:22">
      <c r="C85" s="17"/>
      <c r="D85" s="18"/>
      <c r="E85" s="13"/>
      <c r="F85" s="13"/>
      <c r="G85" s="13"/>
      <c r="H85" s="13"/>
      <c r="I85" s="72"/>
      <c r="J85" s="13"/>
      <c r="K85" s="13"/>
      <c r="L85" s="13"/>
      <c r="M85" s="13"/>
      <c r="N85" s="13"/>
      <c r="O85" s="13"/>
      <c r="P85" s="13"/>
      <c r="Q85" s="13"/>
      <c r="R85" s="21"/>
      <c r="S85" s="13"/>
      <c r="T85" s="22"/>
      <c r="U85" s="22"/>
      <c r="V85" s="19"/>
    </row>
    <row r="86" spans="3:22">
      <c r="C86" s="17"/>
      <c r="D86" s="18"/>
      <c r="E86" s="13"/>
      <c r="F86" s="13"/>
      <c r="G86" s="13"/>
      <c r="H86" s="13"/>
      <c r="I86" s="72"/>
      <c r="J86" s="13"/>
      <c r="K86" s="13"/>
      <c r="L86" s="13"/>
      <c r="M86" s="13"/>
      <c r="N86" s="13"/>
      <c r="O86" s="13"/>
      <c r="P86" s="13"/>
      <c r="Q86" s="13"/>
      <c r="R86" s="21"/>
      <c r="S86" s="13"/>
      <c r="T86" s="22"/>
      <c r="U86" s="22"/>
      <c r="V86" s="19"/>
    </row>
    <row r="87" spans="3:22" ht="15" thickBot="1">
      <c r="C87" s="23"/>
      <c r="D87" s="24"/>
      <c r="E87" s="25"/>
      <c r="F87" s="25"/>
      <c r="G87" s="25"/>
      <c r="H87" s="25"/>
      <c r="I87" s="75"/>
      <c r="J87" s="25"/>
      <c r="K87" s="25"/>
      <c r="L87" s="25"/>
      <c r="M87" s="25"/>
      <c r="N87" s="25"/>
      <c r="O87" s="25"/>
      <c r="P87" s="25"/>
      <c r="Q87" s="25"/>
      <c r="R87" s="26"/>
      <c r="S87" s="25"/>
      <c r="T87" s="27"/>
      <c r="U87" s="27"/>
      <c r="V87" s="28"/>
    </row>
    <row r="89" spans="3:22" ht="15" thickBot="1"/>
    <row r="90" spans="3:22" ht="17" thickBot="1">
      <c r="C90" s="42" t="s">
        <v>36</v>
      </c>
      <c r="D90" s="43" t="s">
        <v>37</v>
      </c>
      <c r="E90" s="35" t="s">
        <v>24</v>
      </c>
      <c r="F90" s="36" t="s">
        <v>29</v>
      </c>
      <c r="G90" s="36" t="s">
        <v>30</v>
      </c>
      <c r="H90" s="97" t="s">
        <v>56</v>
      </c>
      <c r="I90" s="36" t="s">
        <v>77</v>
      </c>
      <c r="J90" s="36" t="s">
        <v>80</v>
      </c>
      <c r="K90" s="36" t="s">
        <v>81</v>
      </c>
      <c r="L90" s="110" t="s">
        <v>92</v>
      </c>
      <c r="M90" s="36" t="s">
        <v>89</v>
      </c>
      <c r="N90" s="36" t="s">
        <v>90</v>
      </c>
      <c r="O90" s="38" t="s">
        <v>91</v>
      </c>
      <c r="P90" s="15"/>
      <c r="Q90" s="15"/>
      <c r="R90" s="15"/>
      <c r="S90" s="15"/>
      <c r="T90" s="40"/>
      <c r="U90" s="40"/>
      <c r="V90" s="16"/>
    </row>
    <row r="91" spans="3:22" ht="16" thickTop="1" thickBot="1">
      <c r="C91" s="44">
        <v>16</v>
      </c>
      <c r="D91" s="45">
        <f>MAX(T94:T115)</f>
        <v>1.6045480539610502</v>
      </c>
      <c r="E91" s="25">
        <f>$M$4-H91</f>
        <v>1.1445327679404278</v>
      </c>
      <c r="F91" s="25">
        <f>MAX(N94:N116)</f>
        <v>1.3532037970355004</v>
      </c>
      <c r="G91" s="25">
        <f>F91*$L$4</f>
        <v>0.24357668346639003</v>
      </c>
      <c r="H91" s="75">
        <f>(-N91+SQRT(N91^2-4*$P$4*O91))/(2*$P$4)</f>
        <v>7.4667232059572222E-2</v>
      </c>
      <c r="I91" s="25">
        <f>$H$4*SBT!$C$23</f>
        <v>4.4225409836065571E-2</v>
      </c>
      <c r="J91" s="25">
        <f>I91+SBT!$B$23</f>
        <v>0.19422540983606557</v>
      </c>
      <c r="K91" s="25">
        <f>SBT!$B$12*H91</f>
        <v>9.706740167744389E-2</v>
      </c>
      <c r="L91" s="25">
        <f>(F91*$L$4-(SBT!$F$23*K91+0.5*SBT!$E$23*K91^2)*9.81)/(J91*9.81)</f>
        <v>4.0960647098450723E-2</v>
      </c>
      <c r="M91" s="79">
        <f>J91+SBT!$F$23+2*SBT!$G$23+H91*SBT!$D$23+K91*SBT!$E$23</f>
        <v>0.66506891399781543</v>
      </c>
      <c r="N91" s="25">
        <f>(SBT!$G$23+(SBT!$F$23+J91)*0.5)*9.81</f>
        <v>3.1869031352459021</v>
      </c>
      <c r="O91" s="37">
        <f>-F91*$L$4</f>
        <v>-0.24357668346639003</v>
      </c>
      <c r="P91" s="13"/>
      <c r="Q91" s="13"/>
      <c r="R91" s="13"/>
      <c r="S91" s="13"/>
      <c r="T91" s="13"/>
      <c r="U91" s="13"/>
      <c r="V91" s="19"/>
    </row>
    <row r="92" spans="3:22">
      <c r="C92" s="41"/>
      <c r="D92" s="13"/>
      <c r="E92" s="13"/>
      <c r="F92" s="13"/>
      <c r="G92" s="13"/>
      <c r="H92" s="13"/>
      <c r="I92" s="76"/>
      <c r="J92" s="18"/>
      <c r="K92" s="18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9"/>
    </row>
    <row r="93" spans="3:22" ht="17" thickBot="1">
      <c r="C93" s="47" t="s">
        <v>40</v>
      </c>
      <c r="D93" s="48" t="s">
        <v>42</v>
      </c>
      <c r="E93" s="30" t="s">
        <v>35</v>
      </c>
      <c r="F93" s="29" t="s">
        <v>34</v>
      </c>
      <c r="G93" s="29" t="s">
        <v>41</v>
      </c>
      <c r="H93" s="29" t="s">
        <v>7</v>
      </c>
      <c r="I93" s="70" t="s">
        <v>16</v>
      </c>
      <c r="J93" s="71" t="s">
        <v>17</v>
      </c>
      <c r="K93" s="29" t="s">
        <v>18</v>
      </c>
      <c r="L93" s="46" t="s">
        <v>39</v>
      </c>
      <c r="M93" s="31" t="s">
        <v>10</v>
      </c>
      <c r="N93" s="31" t="s">
        <v>13</v>
      </c>
      <c r="O93" s="31" t="s">
        <v>14</v>
      </c>
      <c r="P93" s="31" t="s">
        <v>8</v>
      </c>
      <c r="Q93" s="31" t="s">
        <v>9</v>
      </c>
      <c r="R93" s="31" t="s">
        <v>19</v>
      </c>
      <c r="S93" s="31" t="s">
        <v>25</v>
      </c>
      <c r="T93" s="32" t="s">
        <v>27</v>
      </c>
      <c r="U93" s="32"/>
      <c r="V93" s="33"/>
    </row>
    <row r="94" spans="3:22" ht="15" thickTop="1">
      <c r="C94" s="50">
        <v>2.0340001727144226</v>
      </c>
      <c r="D94" s="51">
        <v>1.1309</v>
      </c>
      <c r="E94" s="7">
        <f>$K$4/(2+SQRT(4+$K$4^2))</f>
        <v>0.53518375848799637</v>
      </c>
      <c r="F94" s="7">
        <f>C94*E94</f>
        <v>1.0885638571985385</v>
      </c>
      <c r="G94" s="12">
        <f>D94*E94</f>
        <v>0.60523931247407514</v>
      </c>
      <c r="H94" s="14">
        <f>F94*PI()/180</f>
        <v>1.8999023426323872E-2</v>
      </c>
      <c r="I94" s="72">
        <f t="shared" ref="I94:I109" si="36">0.5*ATAN(K94)*180/PI()-J94</f>
        <v>41.580669130436483</v>
      </c>
      <c r="J94" s="13">
        <v>0</v>
      </c>
      <c r="K94" s="13">
        <f t="shared" ref="K94:K109" si="37">L94/M94</f>
        <v>8.3383916094433488</v>
      </c>
      <c r="L94" s="13">
        <f>$H$94*J94+$G$94</f>
        <v>0.60523931247407514</v>
      </c>
      <c r="M94" s="13">
        <f t="shared" ref="M94:M109" si="38">0.015+0.1572*(L94^2)</f>
        <v>7.2584659107235133E-2</v>
      </c>
      <c r="N94" s="13">
        <f t="shared" ref="N94:N109" si="39">$O$4*L94</f>
        <v>1.1009231136055881</v>
      </c>
      <c r="O94" s="13">
        <f t="shared" ref="O94:O109" si="40">$O$4*M94</f>
        <v>0.13203063194570722</v>
      </c>
      <c r="P94" s="13">
        <f t="shared" ref="P94:P109" si="41">((N94*COS(I94+J94)+O94*SIN(I94+J94))*SIN(J94+I94)-O94)/$M$91</f>
        <v>0.71599332978448593</v>
      </c>
      <c r="Q94" s="13">
        <f t="shared" ref="Q94:Q109" si="42">P94*TAN(I94+J94)</f>
        <v>0.65371958307238842</v>
      </c>
      <c r="R94" s="21">
        <f>IF(ISERROR(SQRT(2*$E$91/Q94)),0,SQRT(2*$E$91/Q94))</f>
        <v>1.8712566891532543</v>
      </c>
      <c r="S94" s="13">
        <f t="shared" ref="S94:S109" si="43">0.5*P94*R94^2</f>
        <v>1.2535616934002389</v>
      </c>
      <c r="T94" s="22">
        <f t="shared" ref="T94:T109" si="44">R94*P94</f>
        <v>1.3398073077483312</v>
      </c>
      <c r="U94" s="22"/>
      <c r="V94" s="19"/>
    </row>
    <row r="95" spans="3:22">
      <c r="C95" s="17"/>
      <c r="D95" s="18"/>
      <c r="E95" s="13"/>
      <c r="F95" s="13"/>
      <c r="G95" s="13"/>
      <c r="H95" s="13"/>
      <c r="I95" s="72">
        <f t="shared" si="36"/>
        <v>41.049315242382526</v>
      </c>
      <c r="J95" s="13">
        <f>J94+0.5</f>
        <v>0.5</v>
      </c>
      <c r="K95" s="13">
        <f t="shared" si="37"/>
        <v>8.2618989296848167</v>
      </c>
      <c r="L95" s="13">
        <f t="shared" ref="L95:L109" si="45">$H$94*J95+$G$94</f>
        <v>0.61473882418723713</v>
      </c>
      <c r="M95" s="13">
        <f t="shared" si="38"/>
        <v>7.4406480812600401E-2</v>
      </c>
      <c r="N95" s="13">
        <f t="shared" si="39"/>
        <v>1.1182026124706506</v>
      </c>
      <c r="O95" s="13">
        <f t="shared" si="40"/>
        <v>0.13534450396784373</v>
      </c>
      <c r="P95" s="13">
        <f t="shared" si="41"/>
        <v>0.71345506568867167</v>
      </c>
      <c r="Q95" s="13">
        <f t="shared" si="42"/>
        <v>0.61151369780933162</v>
      </c>
      <c r="R95" s="21">
        <f t="shared" ref="R95:R109" si="46">IF(ISERROR(SQRT(2*$E$91/Q95)),0,SQRT(2*$E$91/Q95))</f>
        <v>1.9347551820203426</v>
      </c>
      <c r="S95" s="13">
        <f t="shared" si="43"/>
        <v>1.3353301881201367</v>
      </c>
      <c r="T95" s="22">
        <f t="shared" si="44"/>
        <v>1.3803608854798215</v>
      </c>
      <c r="U95" s="22"/>
      <c r="V95" s="19"/>
    </row>
    <row r="96" spans="3:22">
      <c r="C96" s="20"/>
      <c r="D96" s="11"/>
      <c r="E96" s="13"/>
      <c r="F96" s="13"/>
      <c r="G96" s="13"/>
      <c r="H96" s="13"/>
      <c r="I96" s="72">
        <f t="shared" si="36"/>
        <v>40.517640643985814</v>
      </c>
      <c r="J96" s="13">
        <f t="shared" ref="J96:J108" si="47">J95+0.5</f>
        <v>1</v>
      </c>
      <c r="K96" s="13">
        <f t="shared" si="37"/>
        <v>8.1860157479893232</v>
      </c>
      <c r="L96" s="13">
        <f t="shared" si="45"/>
        <v>0.62423833590039901</v>
      </c>
      <c r="M96" s="13">
        <f t="shared" si="38"/>
        <v>7.625667420121035E-2</v>
      </c>
      <c r="N96" s="13">
        <f t="shared" si="39"/>
        <v>1.135482111335713</v>
      </c>
      <c r="O96" s="13">
        <f t="shared" si="40"/>
        <v>0.13870998374448695</v>
      </c>
      <c r="P96" s="13">
        <f t="shared" si="41"/>
        <v>0.706924470526892</v>
      </c>
      <c r="Q96" s="13">
        <f t="shared" si="42"/>
        <v>0.56808908235462885</v>
      </c>
      <c r="R96" s="21">
        <f t="shared" si="46"/>
        <v>2.0073397829014432</v>
      </c>
      <c r="S96" s="13">
        <f t="shared" si="43"/>
        <v>1.4242453272000863</v>
      </c>
      <c r="T96" s="22">
        <f t="shared" si="44"/>
        <v>1.4190376131951692</v>
      </c>
      <c r="U96" s="22"/>
      <c r="V96" s="19"/>
    </row>
    <row r="97" spans="3:22">
      <c r="C97" s="17"/>
      <c r="D97" s="18"/>
      <c r="E97" s="13"/>
      <c r="F97" s="13"/>
      <c r="G97" s="13"/>
      <c r="H97" s="13"/>
      <c r="I97" s="72">
        <f t="shared" si="36"/>
        <v>39.98566046609897</v>
      </c>
      <c r="J97" s="13">
        <f t="shared" si="47"/>
        <v>1.5</v>
      </c>
      <c r="K97" s="13">
        <f t="shared" si="37"/>
        <v>8.1107814285791129</v>
      </c>
      <c r="L97" s="13">
        <f t="shared" si="45"/>
        <v>0.633737847613561</v>
      </c>
      <c r="M97" s="13">
        <f t="shared" si="38"/>
        <v>7.813523927306501E-2</v>
      </c>
      <c r="N97" s="13">
        <f t="shared" si="39"/>
        <v>1.1527616102007756</v>
      </c>
      <c r="O97" s="13">
        <f t="shared" si="40"/>
        <v>0.1421270712756369</v>
      </c>
      <c r="P97" s="13">
        <f t="shared" si="41"/>
        <v>0.69621368950232776</v>
      </c>
      <c r="Q97" s="13">
        <f t="shared" si="42"/>
        <v>0.52374464373739016</v>
      </c>
      <c r="R97" s="21">
        <f t="shared" si="46"/>
        <v>2.0905921536492493</v>
      </c>
      <c r="S97" s="13">
        <f t="shared" si="43"/>
        <v>1.5214272654665251</v>
      </c>
      <c r="T97" s="22">
        <f t="shared" si="44"/>
        <v>1.4554988765367611</v>
      </c>
      <c r="U97" s="22"/>
      <c r="V97" s="19"/>
    </row>
    <row r="98" spans="3:22">
      <c r="C98" s="17"/>
      <c r="D98" s="13"/>
      <c r="E98" s="13"/>
      <c r="F98" s="13"/>
      <c r="G98" s="13"/>
      <c r="H98" s="13"/>
      <c r="I98" s="72">
        <f t="shared" si="36"/>
        <v>39.45338895682557</v>
      </c>
      <c r="J98" s="13">
        <f t="shared" si="47"/>
        <v>2</v>
      </c>
      <c r="K98" s="13">
        <f t="shared" si="37"/>
        <v>8.0362302881469319</v>
      </c>
      <c r="L98" s="13">
        <f t="shared" si="45"/>
        <v>0.64323735932672288</v>
      </c>
      <c r="M98" s="13">
        <f t="shared" si="38"/>
        <v>8.004217602816438E-2</v>
      </c>
      <c r="N98" s="13">
        <f t="shared" si="39"/>
        <v>1.170041109065838</v>
      </c>
      <c r="O98" s="13">
        <f t="shared" si="40"/>
        <v>0.14559576656129361</v>
      </c>
      <c r="P98" s="13">
        <f t="shared" si="41"/>
        <v>0.68115754011993779</v>
      </c>
      <c r="Q98" s="13">
        <f t="shared" si="42"/>
        <v>0.4788007352392028</v>
      </c>
      <c r="R98" s="21">
        <f t="shared" si="46"/>
        <v>2.1865112138462539</v>
      </c>
      <c r="S98" s="13">
        <f t="shared" si="43"/>
        <v>1.6282496400250588</v>
      </c>
      <c r="T98" s="22">
        <f t="shared" si="44"/>
        <v>1.4893585998681735</v>
      </c>
      <c r="U98" s="22"/>
      <c r="V98" s="19"/>
    </row>
    <row r="99" spans="3:22">
      <c r="C99" s="17"/>
      <c r="D99" s="13"/>
      <c r="E99" s="13"/>
      <c r="F99" s="13"/>
      <c r="G99" s="13"/>
      <c r="H99" s="13"/>
      <c r="I99" s="72">
        <f t="shared" si="36"/>
        <v>38.920839545657493</v>
      </c>
      <c r="J99" s="13">
        <f t="shared" si="47"/>
        <v>2.5</v>
      </c>
      <c r="K99" s="13">
        <f t="shared" si="37"/>
        <v>7.9623920554253846</v>
      </c>
      <c r="L99" s="13">
        <f t="shared" si="45"/>
        <v>0.65273687103988487</v>
      </c>
      <c r="M99" s="13">
        <f t="shared" si="38"/>
        <v>8.197748446650846E-2</v>
      </c>
      <c r="N99" s="13">
        <f t="shared" si="39"/>
        <v>1.1873206079309007</v>
      </c>
      <c r="O99" s="13">
        <f t="shared" si="40"/>
        <v>0.1491160696014571</v>
      </c>
      <c r="P99" s="13">
        <f t="shared" si="41"/>
        <v>0.66161577259517201</v>
      </c>
      <c r="Q99" s="13">
        <f t="shared" si="42"/>
        <v>0.43359749458589875</v>
      </c>
      <c r="R99" s="21">
        <f t="shared" si="46"/>
        <v>2.2976598287327552</v>
      </c>
      <c r="S99" s="13">
        <f t="shared" si="43"/>
        <v>1.7464144534427932</v>
      </c>
      <c r="T99" s="22">
        <f t="shared" si="44"/>
        <v>1.5201679827479124</v>
      </c>
      <c r="U99" s="22"/>
      <c r="V99" s="19"/>
    </row>
    <row r="100" spans="3:22">
      <c r="C100" s="17"/>
      <c r="D100" s="13"/>
      <c r="E100" s="13"/>
      <c r="F100" s="13"/>
      <c r="G100" s="13"/>
      <c r="H100" s="13"/>
      <c r="I100" s="72">
        <f t="shared" si="36"/>
        <v>38.388024902098692</v>
      </c>
      <c r="J100" s="13">
        <f t="shared" si="47"/>
        <v>3</v>
      </c>
      <c r="K100" s="13">
        <f t="shared" si="37"/>
        <v>7.8892922918411745</v>
      </c>
      <c r="L100" s="13">
        <f t="shared" si="45"/>
        <v>0.66223638275304675</v>
      </c>
      <c r="M100" s="13">
        <f t="shared" si="38"/>
        <v>8.3941164588097222E-2</v>
      </c>
      <c r="N100" s="13">
        <f t="shared" si="39"/>
        <v>1.2046001067959631</v>
      </c>
      <c r="O100" s="13">
        <f t="shared" si="40"/>
        <v>0.15268798039612724</v>
      </c>
      <c r="P100" s="13">
        <f t="shared" si="41"/>
        <v>0.63747520807019575</v>
      </c>
      <c r="Q100" s="13">
        <f t="shared" si="42"/>
        <v>0.38849294795854089</v>
      </c>
      <c r="R100" s="21">
        <f t="shared" si="46"/>
        <v>2.4273787376268969</v>
      </c>
      <c r="S100" s="13">
        <f t="shared" si="43"/>
        <v>1.878055362960781</v>
      </c>
      <c r="T100" s="22">
        <f t="shared" si="44"/>
        <v>1.5473937658338752</v>
      </c>
      <c r="U100" s="22"/>
      <c r="V100" s="19"/>
    </row>
    <row r="101" spans="3:22">
      <c r="C101" s="17"/>
      <c r="D101" s="13"/>
      <c r="E101" s="13"/>
      <c r="F101" s="13"/>
      <c r="G101" s="13"/>
      <c r="H101" s="13"/>
      <c r="I101" s="72">
        <f t="shared" si="36"/>
        <v>37.854956989320385</v>
      </c>
      <c r="J101" s="13">
        <f t="shared" si="47"/>
        <v>3.5</v>
      </c>
      <c r="K101" s="13">
        <f t="shared" si="37"/>
        <v>7.8169527763826254</v>
      </c>
      <c r="L101" s="13">
        <f t="shared" si="45"/>
        <v>0.67173589446620874</v>
      </c>
      <c r="M101" s="13">
        <f t="shared" si="38"/>
        <v>8.5933216392930722E-2</v>
      </c>
      <c r="N101" s="13">
        <f t="shared" si="39"/>
        <v>1.2218796056610257</v>
      </c>
      <c r="O101" s="13">
        <f t="shared" si="40"/>
        <v>0.15631149894530422</v>
      </c>
      <c r="P101" s="13">
        <f t="shared" si="41"/>
        <v>0.60865173125637984</v>
      </c>
      <c r="Q101" s="13">
        <f t="shared" si="42"/>
        <v>0.34386088939759646</v>
      </c>
      <c r="R101" s="21">
        <f t="shared" si="46"/>
        <v>2.5801070311562828</v>
      </c>
      <c r="S101" s="13">
        <f t="shared" si="43"/>
        <v>2.0258827687760501</v>
      </c>
      <c r="T101" s="22">
        <f t="shared" si="44"/>
        <v>1.57038661134003</v>
      </c>
      <c r="U101" s="22"/>
      <c r="V101" s="19"/>
    </row>
    <row r="102" spans="3:22">
      <c r="C102" s="17"/>
      <c r="D102" s="13"/>
      <c r="E102" s="13"/>
      <c r="F102" s="13"/>
      <c r="G102" s="13"/>
      <c r="H102" s="13"/>
      <c r="I102" s="72">
        <f t="shared" si="36"/>
        <v>37.321647113332034</v>
      </c>
      <c r="J102" s="13">
        <f t="shared" si="47"/>
        <v>4</v>
      </c>
      <c r="K102" s="13">
        <f t="shared" si="37"/>
        <v>7.7453918575854663</v>
      </c>
      <c r="L102" s="13">
        <f t="shared" si="45"/>
        <v>0.68123540617937062</v>
      </c>
      <c r="M102" s="13">
        <f t="shared" si="38"/>
        <v>8.7953639881008891E-2</v>
      </c>
      <c r="N102" s="13">
        <f t="shared" si="39"/>
        <v>1.2391591045260881</v>
      </c>
      <c r="O102" s="13">
        <f t="shared" si="40"/>
        <v>0.15998662524898788</v>
      </c>
      <c r="P102" s="13">
        <f t="shared" si="41"/>
        <v>0.57509211485774203</v>
      </c>
      <c r="Q102" s="13">
        <f t="shared" si="42"/>
        <v>0.30008854740992352</v>
      </c>
      <c r="R102" s="21">
        <f t="shared" si="46"/>
        <v>2.7618774406553426</v>
      </c>
      <c r="S102" s="13">
        <f t="shared" si="43"/>
        <v>2.1933918362426645</v>
      </c>
      <c r="T102" s="22">
        <f t="shared" si="44"/>
        <v>1.5883339383243689</v>
      </c>
      <c r="U102" s="22"/>
      <c r="V102" s="19"/>
    </row>
    <row r="103" spans="3:22">
      <c r="C103" s="17"/>
      <c r="D103" s="18"/>
      <c r="E103" s="13"/>
      <c r="F103" s="13"/>
      <c r="G103" s="13"/>
      <c r="H103" s="13"/>
      <c r="I103" s="72">
        <f t="shared" si="36"/>
        <v>36.788105968099096</v>
      </c>
      <c r="J103" s="13">
        <f t="shared" si="47"/>
        <v>4.5</v>
      </c>
      <c r="K103" s="13">
        <f t="shared" si="37"/>
        <v>7.6746247753286418</v>
      </c>
      <c r="L103" s="13">
        <f t="shared" si="45"/>
        <v>0.69073491789253261</v>
      </c>
      <c r="M103" s="13">
        <f t="shared" si="38"/>
        <v>9.0002435052331797E-2</v>
      </c>
      <c r="N103" s="13">
        <f t="shared" si="39"/>
        <v>1.2564386033911508</v>
      </c>
      <c r="O103" s="13">
        <f t="shared" si="40"/>
        <v>0.16371335930717831</v>
      </c>
      <c r="P103" s="13">
        <f t="shared" si="41"/>
        <v>0.53677565408542716</v>
      </c>
      <c r="Q103" s="13">
        <f t="shared" si="42"/>
        <v>0.2575740527732211</v>
      </c>
      <c r="R103" s="21">
        <f t="shared" si="46"/>
        <v>2.9811103863826913</v>
      </c>
      <c r="S103" s="13">
        <f t="shared" si="43"/>
        <v>2.3851677547440433</v>
      </c>
      <c r="T103" s="22">
        <f t="shared" si="44"/>
        <v>1.6001874775514295</v>
      </c>
      <c r="U103" s="22"/>
      <c r="V103" s="19"/>
    </row>
    <row r="104" spans="3:22">
      <c r="C104" s="17"/>
      <c r="D104" s="22"/>
      <c r="E104" s="13"/>
      <c r="F104" s="13"/>
      <c r="G104" s="13"/>
      <c r="H104" s="13"/>
      <c r="I104" s="72">
        <f t="shared" si="36"/>
        <v>36.254343676992249</v>
      </c>
      <c r="J104" s="13">
        <f t="shared" si="47"/>
        <v>5</v>
      </c>
      <c r="K104" s="13">
        <f t="shared" si="37"/>
        <v>7.604663954929924</v>
      </c>
      <c r="L104" s="13">
        <f t="shared" si="45"/>
        <v>0.70023442960569449</v>
      </c>
      <c r="M104" s="13">
        <f t="shared" si="38"/>
        <v>9.2079601906899386E-2</v>
      </c>
      <c r="N104" s="13">
        <f t="shared" si="39"/>
        <v>1.273718102256213</v>
      </c>
      <c r="O104" s="13">
        <f t="shared" si="40"/>
        <v>0.16749170111987546</v>
      </c>
      <c r="P104" s="13">
        <f t="shared" si="41"/>
        <v>0.49371559074442967</v>
      </c>
      <c r="Q104" s="13">
        <f t="shared" si="42"/>
        <v>0.21672372364555395</v>
      </c>
      <c r="R104" s="21">
        <f t="shared" si="46"/>
        <v>3.249944065047035</v>
      </c>
      <c r="S104" s="13">
        <f t="shared" si="43"/>
        <v>2.6073457125267425</v>
      </c>
      <c r="T104" s="22">
        <f t="shared" si="44"/>
        <v>1.6045480539610502</v>
      </c>
      <c r="U104" s="22"/>
      <c r="V104" s="19"/>
    </row>
    <row r="105" spans="3:22">
      <c r="C105" s="17"/>
      <c r="D105" s="18"/>
      <c r="E105" s="13"/>
      <c r="F105" s="13"/>
      <c r="G105" s="13"/>
      <c r="H105" s="13"/>
      <c r="I105" s="72">
        <f t="shared" si="36"/>
        <v>35.720369830911054</v>
      </c>
      <c r="J105" s="13">
        <f t="shared" si="47"/>
        <v>5.5</v>
      </c>
      <c r="K105" s="13">
        <f t="shared" si="37"/>
        <v>7.5355192758403593</v>
      </c>
      <c r="L105" s="13">
        <f t="shared" si="45"/>
        <v>0.70973394131885648</v>
      </c>
      <c r="M105" s="13">
        <f t="shared" si="38"/>
        <v>9.4185140444711699E-2</v>
      </c>
      <c r="N105" s="13">
        <f t="shared" si="39"/>
        <v>1.2909976011212756</v>
      </c>
      <c r="O105" s="13">
        <f t="shared" si="40"/>
        <v>0.17132165068707941</v>
      </c>
      <c r="P105" s="13">
        <f t="shared" si="41"/>
        <v>0.4459603077518528</v>
      </c>
      <c r="Q105" s="13">
        <f t="shared" si="42"/>
        <v>0.17794918610408589</v>
      </c>
      <c r="R105" s="21">
        <f t="shared" si="46"/>
        <v>3.5865848557164486</v>
      </c>
      <c r="S105" s="13">
        <f t="shared" si="43"/>
        <v>2.8683254843561965</v>
      </c>
      <c r="T105" s="22">
        <f t="shared" si="44"/>
        <v>1.599474486033442</v>
      </c>
      <c r="U105" s="22"/>
      <c r="V105" s="19"/>
    </row>
    <row r="106" spans="3:22">
      <c r="C106" s="17"/>
      <c r="D106" s="18"/>
      <c r="E106" s="13"/>
      <c r="F106" s="13"/>
      <c r="G106" s="13"/>
      <c r="H106" s="13"/>
      <c r="I106" s="72">
        <f t="shared" si="36"/>
        <v>35.186193523389413</v>
      </c>
      <c r="J106" s="13">
        <f t="shared" si="47"/>
        <v>6</v>
      </c>
      <c r="K106" s="13">
        <f t="shared" si="37"/>
        <v>7.4671983170576492</v>
      </c>
      <c r="L106" s="13">
        <f t="shared" si="45"/>
        <v>0.71923345303201835</v>
      </c>
      <c r="M106" s="13">
        <f t="shared" si="38"/>
        <v>9.631905066576868E-2</v>
      </c>
      <c r="N106" s="13">
        <f t="shared" si="39"/>
        <v>1.308277099986338</v>
      </c>
      <c r="O106" s="13">
        <f t="shared" si="40"/>
        <v>0.17520320800879002</v>
      </c>
      <c r="P106" s="13">
        <f t="shared" si="41"/>
        <v>0.39359427652510198</v>
      </c>
      <c r="Q106" s="13">
        <f t="shared" si="42"/>
        <v>0.14166435013943179</v>
      </c>
      <c r="R106" s="21">
        <f t="shared" si="46"/>
        <v>4.0197479878812716</v>
      </c>
      <c r="S106" s="13">
        <f t="shared" si="43"/>
        <v>3.1799217397559993</v>
      </c>
      <c r="T106" s="22">
        <f t="shared" si="44"/>
        <v>1.5821498011033635</v>
      </c>
      <c r="U106" s="22"/>
      <c r="V106" s="19"/>
    </row>
    <row r="107" spans="3:22">
      <c r="C107" s="17"/>
      <c r="D107" s="18"/>
      <c r="E107" s="13"/>
      <c r="F107" s="13"/>
      <c r="G107" s="13"/>
      <c r="H107" s="13"/>
      <c r="I107" s="72">
        <f t="shared" si="36"/>
        <v>34.651823382957723</v>
      </c>
      <c r="J107" s="13">
        <f t="shared" si="47"/>
        <v>6.5</v>
      </c>
      <c r="K107" s="13">
        <f t="shared" si="37"/>
        <v>7.3997065812110119</v>
      </c>
      <c r="L107" s="13">
        <f t="shared" si="45"/>
        <v>0.72873296474518034</v>
      </c>
      <c r="M107" s="13">
        <f t="shared" si="38"/>
        <v>9.8481332570070398E-2</v>
      </c>
      <c r="N107" s="13">
        <f t="shared" si="39"/>
        <v>1.3255565988514006</v>
      </c>
      <c r="O107" s="13">
        <f t="shared" si="40"/>
        <v>0.17913637308500743</v>
      </c>
      <c r="P107" s="13">
        <f t="shared" si="41"/>
        <v>0.33673874144475108</v>
      </c>
      <c r="Q107" s="13">
        <f t="shared" si="42"/>
        <v>0.10828226289643142</v>
      </c>
      <c r="R107" s="21">
        <f t="shared" si="46"/>
        <v>4.5978039789338618</v>
      </c>
      <c r="S107" s="13">
        <f t="shared" si="43"/>
        <v>3.5592950637462035</v>
      </c>
      <c r="T107" s="22">
        <f t="shared" si="44"/>
        <v>1.5482587252758575</v>
      </c>
      <c r="U107" s="22"/>
      <c r="V107" s="19"/>
    </row>
    <row r="108" spans="3:22">
      <c r="C108" s="17"/>
      <c r="D108" s="18"/>
      <c r="E108" s="13"/>
      <c r="F108" s="13"/>
      <c r="G108" s="13"/>
      <c r="H108" s="13"/>
      <c r="I108" s="72">
        <f t="shared" si="36"/>
        <v>34.117267603008656</v>
      </c>
      <c r="J108" s="13">
        <f t="shared" si="47"/>
        <v>7</v>
      </c>
      <c r="K108" s="13">
        <f t="shared" si="37"/>
        <v>7.3330476991139397</v>
      </c>
      <c r="L108" s="13">
        <f t="shared" si="45"/>
        <v>0.73823247645834222</v>
      </c>
      <c r="M108" s="13">
        <f t="shared" si="38"/>
        <v>0.1006719861576168</v>
      </c>
      <c r="N108" s="13">
        <f t="shared" si="39"/>
        <v>1.3428360977164631</v>
      </c>
      <c r="O108" s="13">
        <f t="shared" si="40"/>
        <v>0.18312114591573153</v>
      </c>
      <c r="P108" s="13">
        <f t="shared" si="41"/>
        <v>0.27555212754042613</v>
      </c>
      <c r="Q108" s="13">
        <f t="shared" si="42"/>
        <v>7.8211862562376416E-2</v>
      </c>
      <c r="R108" s="21">
        <f t="shared" si="46"/>
        <v>5.4099443676310814</v>
      </c>
      <c r="S108" s="13">
        <f t="shared" si="43"/>
        <v>4.0323606792280842</v>
      </c>
      <c r="T108" s="22">
        <f t="shared" si="44"/>
        <v>1.4907216803760897</v>
      </c>
      <c r="U108" s="22"/>
      <c r="V108" s="19"/>
    </row>
    <row r="109" spans="3:22">
      <c r="C109" s="17"/>
      <c r="D109" s="18"/>
      <c r="E109" s="13"/>
      <c r="F109" s="13"/>
      <c r="G109" s="13"/>
      <c r="H109" s="13"/>
      <c r="I109" s="72">
        <f t="shared" si="36"/>
        <v>33.796448283158888</v>
      </c>
      <c r="J109" s="13">
        <v>7.3</v>
      </c>
      <c r="K109" s="13">
        <f t="shared" si="37"/>
        <v>7.2934530139471319</v>
      </c>
      <c r="L109" s="13">
        <f t="shared" si="45"/>
        <v>0.74393218348623935</v>
      </c>
      <c r="M109" s="13">
        <f t="shared" si="38"/>
        <v>0.1019999967181021</v>
      </c>
      <c r="N109" s="13">
        <f t="shared" si="39"/>
        <v>1.3532037970355004</v>
      </c>
      <c r="O109" s="13">
        <f t="shared" si="40"/>
        <v>0.18553678133632925</v>
      </c>
      <c r="P109" s="13">
        <f t="shared" si="41"/>
        <v>0.23684111446210904</v>
      </c>
      <c r="Q109" s="13">
        <f t="shared" si="42"/>
        <v>6.1926669422590931E-2</v>
      </c>
      <c r="R109" s="21">
        <f t="shared" si="46"/>
        <v>6.0798134215963247</v>
      </c>
      <c r="S109" s="13">
        <f t="shared" si="43"/>
        <v>4.3773130191711198</v>
      </c>
      <c r="T109" s="22">
        <f t="shared" si="44"/>
        <v>1.4399497864925619</v>
      </c>
      <c r="U109" s="22"/>
      <c r="V109" s="19"/>
    </row>
    <row r="110" spans="3:22">
      <c r="C110" s="17"/>
      <c r="D110" s="18"/>
      <c r="E110" s="13"/>
      <c r="F110" s="13"/>
      <c r="G110" s="13"/>
      <c r="H110" s="13"/>
      <c r="I110" s="72"/>
      <c r="J110" s="13"/>
      <c r="K110" s="13"/>
      <c r="L110" s="13"/>
      <c r="M110" s="13"/>
      <c r="N110" s="13"/>
      <c r="O110" s="13"/>
      <c r="P110" s="13"/>
      <c r="Q110" s="13"/>
      <c r="R110" s="21"/>
      <c r="S110" s="13"/>
      <c r="T110" s="22"/>
      <c r="U110" s="22"/>
      <c r="V110" s="19"/>
    </row>
    <row r="111" spans="3:22">
      <c r="C111" s="17"/>
      <c r="D111" s="18"/>
      <c r="E111" s="13"/>
      <c r="F111" s="13"/>
      <c r="G111" s="13"/>
      <c r="H111" s="13"/>
      <c r="I111" s="72"/>
      <c r="J111" s="13"/>
      <c r="K111" s="13"/>
      <c r="L111" s="13"/>
      <c r="M111" s="13"/>
      <c r="N111" s="13"/>
      <c r="O111" s="13"/>
      <c r="P111" s="13"/>
      <c r="Q111" s="13"/>
      <c r="R111" s="21"/>
      <c r="S111" s="13"/>
      <c r="T111" s="22"/>
      <c r="U111" s="22"/>
      <c r="V111" s="19"/>
    </row>
    <row r="112" spans="3:22">
      <c r="C112" s="17"/>
      <c r="D112" s="18"/>
      <c r="E112" s="13"/>
      <c r="F112" s="13"/>
      <c r="G112" s="13"/>
      <c r="H112" s="13"/>
      <c r="I112" s="72"/>
      <c r="J112" s="13"/>
      <c r="K112" s="13"/>
      <c r="L112" s="13"/>
      <c r="M112" s="13"/>
      <c r="N112" s="13"/>
      <c r="O112" s="13"/>
      <c r="P112" s="13"/>
      <c r="Q112" s="13"/>
      <c r="R112" s="21"/>
      <c r="S112" s="13"/>
      <c r="T112" s="22"/>
      <c r="U112" s="22"/>
      <c r="V112" s="19"/>
    </row>
    <row r="113" spans="3:22">
      <c r="C113" s="17"/>
      <c r="D113" s="18"/>
      <c r="E113" s="13"/>
      <c r="F113" s="13"/>
      <c r="G113" s="13"/>
      <c r="H113" s="13"/>
      <c r="I113" s="72"/>
      <c r="J113" s="13"/>
      <c r="K113" s="13"/>
      <c r="L113" s="13"/>
      <c r="M113" s="13"/>
      <c r="N113" s="13"/>
      <c r="O113" s="13"/>
      <c r="P113" s="13"/>
      <c r="Q113" s="13"/>
      <c r="R113" s="21"/>
      <c r="S113" s="13"/>
      <c r="T113" s="22"/>
      <c r="U113" s="22"/>
      <c r="V113" s="19"/>
    </row>
    <row r="114" spans="3:22">
      <c r="C114" s="17"/>
      <c r="D114" s="18"/>
      <c r="E114" s="13"/>
      <c r="F114" s="13"/>
      <c r="G114" s="13"/>
      <c r="H114" s="13"/>
      <c r="I114" s="72"/>
      <c r="J114" s="13"/>
      <c r="K114" s="13"/>
      <c r="L114" s="13"/>
      <c r="M114" s="13"/>
      <c r="N114" s="13"/>
      <c r="O114" s="13"/>
      <c r="P114" s="13"/>
      <c r="Q114" s="13"/>
      <c r="R114" s="21"/>
      <c r="S114" s="13"/>
      <c r="T114" s="22"/>
      <c r="U114" s="22"/>
      <c r="V114" s="19"/>
    </row>
    <row r="115" spans="3:22" ht="15" thickBot="1">
      <c r="C115" s="23"/>
      <c r="D115" s="24"/>
      <c r="E115" s="25"/>
      <c r="F115" s="25"/>
      <c r="G115" s="25"/>
      <c r="H115" s="25"/>
      <c r="I115" s="75"/>
      <c r="J115" s="25"/>
      <c r="K115" s="25"/>
      <c r="L115" s="25"/>
      <c r="M115" s="25"/>
      <c r="N115" s="25"/>
      <c r="O115" s="25"/>
      <c r="P115" s="25"/>
      <c r="Q115" s="25"/>
      <c r="R115" s="26"/>
      <c r="S115" s="25"/>
      <c r="T115" s="27"/>
      <c r="U115" s="27"/>
      <c r="V115" s="28"/>
    </row>
    <row r="117" spans="3:22" ht="15" thickBot="1"/>
    <row r="118" spans="3:22" ht="17" thickBot="1">
      <c r="C118" s="42" t="s">
        <v>36</v>
      </c>
      <c r="D118" s="43" t="s">
        <v>37</v>
      </c>
      <c r="E118" s="35" t="s">
        <v>24</v>
      </c>
      <c r="F118" s="36" t="s">
        <v>29</v>
      </c>
      <c r="G118" s="36" t="s">
        <v>30</v>
      </c>
      <c r="H118" s="97" t="s">
        <v>56</v>
      </c>
      <c r="I118" s="36" t="s">
        <v>77</v>
      </c>
      <c r="J118" s="36" t="s">
        <v>80</v>
      </c>
      <c r="K118" s="36" t="s">
        <v>81</v>
      </c>
      <c r="L118" s="110" t="s">
        <v>92</v>
      </c>
      <c r="M118" s="36" t="s">
        <v>89</v>
      </c>
      <c r="N118" s="36" t="s">
        <v>90</v>
      </c>
      <c r="O118" s="38" t="s">
        <v>91</v>
      </c>
      <c r="P118" s="15"/>
      <c r="Q118" s="15"/>
      <c r="R118" s="15"/>
      <c r="S118" s="15"/>
      <c r="T118" s="40"/>
      <c r="U118" s="40"/>
      <c r="V118" s="16"/>
    </row>
    <row r="119" spans="3:22" ht="16" thickTop="1" thickBot="1">
      <c r="C119" s="44">
        <v>20</v>
      </c>
      <c r="D119" s="45">
        <f>MAX(T122:T143)</f>
        <v>1.5993846868009016</v>
      </c>
      <c r="E119" s="25">
        <f>$M$4-H119</f>
        <v>1.1408851191671252</v>
      </c>
      <c r="F119" s="25">
        <f>MAX(N122:N144)</f>
        <v>1.4209102277997312</v>
      </c>
      <c r="G119" s="25">
        <f>F119*$L$4</f>
        <v>0.25576384100395155</v>
      </c>
      <c r="H119" s="75">
        <f>(-N119+SQRT(N119^2-4*$P$4*O119))/(2*$P$4)</f>
        <v>7.8314880832874786E-2</v>
      </c>
      <c r="I119" s="25">
        <f>$H$4*SBT!$C$23</f>
        <v>4.4225409836065571E-2</v>
      </c>
      <c r="J119" s="25">
        <f>I119+SBT!$B$23</f>
        <v>0.19422540983606557</v>
      </c>
      <c r="K119" s="25">
        <f>SBT!$B$12*H119</f>
        <v>0.10180934508273723</v>
      </c>
      <c r="L119" s="25">
        <f>(F119*$L$4-(SBT!$F$23*K119+0.5*SBT!$E$23*K119^2)*9.81)/(J119*9.81)</f>
        <v>4.3001738539169422E-2</v>
      </c>
      <c r="M119" s="79">
        <f>J119+SBT!$F$23+2*SBT!$G$23+H119*SBT!$D$23+K119*SBT!$E$23</f>
        <v>0.66581847592196863</v>
      </c>
      <c r="N119" s="25">
        <f>(SBT!$G$23+(SBT!$F$23+J119)*0.5)*9.81</f>
        <v>3.1869031352459021</v>
      </c>
      <c r="O119" s="37">
        <f>-F119*$L$4</f>
        <v>-0.25576384100395155</v>
      </c>
      <c r="P119" s="13"/>
      <c r="Q119" s="13"/>
      <c r="R119" s="13"/>
      <c r="S119" s="13"/>
      <c r="T119" s="13"/>
      <c r="U119" s="13"/>
      <c r="V119" s="19"/>
    </row>
    <row r="120" spans="3:22">
      <c r="C120" s="41"/>
      <c r="D120" s="13"/>
      <c r="E120" s="13"/>
      <c r="F120" s="13"/>
      <c r="G120" s="13"/>
      <c r="H120" s="13"/>
      <c r="I120" s="76"/>
      <c r="J120" s="18"/>
      <c r="K120" s="18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9"/>
    </row>
    <row r="121" spans="3:22" ht="17" thickBot="1">
      <c r="C121" s="47" t="s">
        <v>40</v>
      </c>
      <c r="D121" s="48" t="s">
        <v>42</v>
      </c>
      <c r="E121" s="30" t="s">
        <v>35</v>
      </c>
      <c r="F121" s="29" t="s">
        <v>34</v>
      </c>
      <c r="G121" s="29" t="s">
        <v>41</v>
      </c>
      <c r="H121" s="29" t="s">
        <v>7</v>
      </c>
      <c r="I121" s="70" t="s">
        <v>16</v>
      </c>
      <c r="J121" s="71" t="s">
        <v>17</v>
      </c>
      <c r="K121" s="29" t="s">
        <v>18</v>
      </c>
      <c r="L121" s="46" t="s">
        <v>39</v>
      </c>
      <c r="M121" s="31" t="s">
        <v>10</v>
      </c>
      <c r="N121" s="31" t="s">
        <v>13</v>
      </c>
      <c r="O121" s="31" t="s">
        <v>14</v>
      </c>
      <c r="P121" s="31" t="s">
        <v>8</v>
      </c>
      <c r="Q121" s="31" t="s">
        <v>9</v>
      </c>
      <c r="R121" s="31" t="s">
        <v>19</v>
      </c>
      <c r="S121" s="31" t="s">
        <v>25</v>
      </c>
      <c r="T121" s="32" t="s">
        <v>27</v>
      </c>
      <c r="U121" s="32"/>
      <c r="V121" s="33"/>
    </row>
    <row r="122" spans="3:22" ht="15" thickTop="1">
      <c r="C122" s="50">
        <v>2.6871720591635611</v>
      </c>
      <c r="D122" s="51">
        <v>1.1781999999999999</v>
      </c>
      <c r="E122" s="7">
        <f>$K$4/(2+SQRT(4+$K$4^2))</f>
        <v>0.53518375848799637</v>
      </c>
      <c r="F122" s="7">
        <f>C122*E122</f>
        <v>1.4381308423270831</v>
      </c>
      <c r="G122" s="12">
        <f>D122*E122</f>
        <v>0.63055350425055723</v>
      </c>
      <c r="H122" s="14">
        <f>F122*PI()/180</f>
        <v>2.5100118273087033E-2</v>
      </c>
      <c r="I122" s="72">
        <f t="shared" ref="I122:I134" si="48">0.5*ATAN(K122)*180/PI()-J122</f>
        <v>41.496413731975984</v>
      </c>
      <c r="J122" s="13">
        <v>0</v>
      </c>
      <c r="K122" s="13">
        <f t="shared" ref="K122:K134" si="49">L122/M122</f>
        <v>8.1359263015994188</v>
      </c>
      <c r="L122" s="13">
        <f>$H$122*J122+$G$122</f>
        <v>0.63055350425055723</v>
      </c>
      <c r="M122" s="13">
        <f t="shared" ref="M122:M134" si="50">0.015+0.1572*(L122^2)</f>
        <v>7.7502361854801763E-2</v>
      </c>
      <c r="N122" s="13">
        <f t="shared" ref="N122:N134" si="51">$O$4*L122</f>
        <v>1.1469693274826276</v>
      </c>
      <c r="O122" s="13">
        <f t="shared" ref="O122:O134" si="52">$O$4*M122</f>
        <v>0.14097587477619458</v>
      </c>
      <c r="P122" s="13">
        <f t="shared" ref="P122:P134" si="53">((N122*COS(I122+J122)+O122*SIN(I122+J122))*SIN(J122+I122)-O122)/$M$119</f>
        <v>0.69949217838142697</v>
      </c>
      <c r="Q122" s="13">
        <f t="shared" ref="Q122:Q134" si="54">P122*TAN(I122+J122)</f>
        <v>0.53808605884426886</v>
      </c>
      <c r="R122" s="21">
        <f>IF(ISERROR(SQRT(2*$E$119/Q122)),0,SQRT(2*$E$119/Q122))</f>
        <v>2.0592547932056946</v>
      </c>
      <c r="S122" s="13">
        <f t="shared" ref="S122:S134" si="55">0.5*P122*R122^2</f>
        <v>1.4831088896880946</v>
      </c>
      <c r="T122" s="22">
        <f t="shared" ref="T122:T134" si="56">R122*P122</f>
        <v>1.4404326211418461</v>
      </c>
      <c r="U122" s="22"/>
      <c r="V122" s="19"/>
    </row>
    <row r="123" spans="3:22">
      <c r="C123" s="17"/>
      <c r="D123" s="18"/>
      <c r="E123" s="13"/>
      <c r="F123" s="13"/>
      <c r="G123" s="13"/>
      <c r="H123" s="13"/>
      <c r="I123" s="72">
        <f t="shared" si="48"/>
        <v>40.953845445223152</v>
      </c>
      <c r="J123" s="13">
        <f>J122+0.5</f>
        <v>0.5</v>
      </c>
      <c r="K123" s="13">
        <f t="shared" si="49"/>
        <v>8.037275419170804</v>
      </c>
      <c r="L123" s="13">
        <f t="shared" ref="L123:L134" si="57">$H$122*J123+$G$122</f>
        <v>0.64310356338710073</v>
      </c>
      <c r="M123" s="13">
        <f t="shared" si="50"/>
        <v>8.0015120777514548E-2</v>
      </c>
      <c r="N123" s="13">
        <f t="shared" si="51"/>
        <v>1.1697977358423861</v>
      </c>
      <c r="O123" s="13">
        <f t="shared" si="52"/>
        <v>0.14554655338202568</v>
      </c>
      <c r="P123" s="13">
        <f t="shared" si="53"/>
        <v>0.68063334020328292</v>
      </c>
      <c r="Q123" s="13">
        <f t="shared" si="54"/>
        <v>0.47889663109858438</v>
      </c>
      <c r="R123" s="21">
        <f t="shared" ref="R123:R134" si="58">IF(ISERROR(SQRT(2*$E$119/Q123)),0,SQRT(2*$E$119/Q123))</f>
        <v>2.182805626931922</v>
      </c>
      <c r="S123" s="13">
        <f t="shared" si="55"/>
        <v>1.6214865568496502</v>
      </c>
      <c r="T123" s="22">
        <f t="shared" si="56"/>
        <v>1.4856902848731952</v>
      </c>
      <c r="U123" s="22"/>
      <c r="V123" s="19"/>
    </row>
    <row r="124" spans="3:22">
      <c r="C124" s="20"/>
      <c r="D124" s="11"/>
      <c r="E124" s="13"/>
      <c r="F124" s="13"/>
      <c r="G124" s="13"/>
      <c r="H124" s="13"/>
      <c r="I124" s="72">
        <f t="shared" si="48"/>
        <v>40.410791712063244</v>
      </c>
      <c r="J124" s="13">
        <f t="shared" ref="J124:J134" si="59">J123+0.5</f>
        <v>1</v>
      </c>
      <c r="K124" s="13">
        <f t="shared" si="49"/>
        <v>7.9398676979109588</v>
      </c>
      <c r="L124" s="13">
        <f t="shared" si="57"/>
        <v>0.65565362252364423</v>
      </c>
      <c r="M124" s="13">
        <f t="shared" si="50"/>
        <v>8.2577398952900921E-2</v>
      </c>
      <c r="N124" s="13">
        <f t="shared" si="51"/>
        <v>1.1926261442021449</v>
      </c>
      <c r="O124" s="13">
        <f t="shared" si="52"/>
        <v>0.15020730691972792</v>
      </c>
      <c r="P124" s="13">
        <f t="shared" si="53"/>
        <v>0.65396028014707364</v>
      </c>
      <c r="Q124" s="13">
        <f t="shared" si="54"/>
        <v>0.41924844601076322</v>
      </c>
      <c r="R124" s="21">
        <f t="shared" si="58"/>
        <v>2.3329220334115308</v>
      </c>
      <c r="S124" s="13">
        <f t="shared" si="55"/>
        <v>1.7795976568199525</v>
      </c>
      <c r="T124" s="22">
        <f t="shared" si="56"/>
        <v>1.5256383465310854</v>
      </c>
      <c r="U124" s="22"/>
      <c r="V124" s="19"/>
    </row>
    <row r="125" spans="3:22">
      <c r="C125" s="17"/>
      <c r="D125" s="18"/>
      <c r="E125" s="13"/>
      <c r="F125" s="13"/>
      <c r="G125" s="13"/>
      <c r="H125" s="13"/>
      <c r="I125" s="72">
        <f t="shared" si="48"/>
        <v>39.867281511962169</v>
      </c>
      <c r="J125" s="13">
        <f t="shared" si="59"/>
        <v>1.5</v>
      </c>
      <c r="K125" s="13">
        <f t="shared" si="49"/>
        <v>7.8437608293899341</v>
      </c>
      <c r="L125" s="13">
        <f t="shared" si="57"/>
        <v>0.66820368166018773</v>
      </c>
      <c r="M125" s="13">
        <f t="shared" si="50"/>
        <v>8.5189196380960883E-2</v>
      </c>
      <c r="N125" s="13">
        <f t="shared" si="51"/>
        <v>1.2154545525619034</v>
      </c>
      <c r="O125" s="13">
        <f t="shared" si="52"/>
        <v>0.15495813538930125</v>
      </c>
      <c r="P125" s="13">
        <f t="shared" si="53"/>
        <v>0.61922226726313712</v>
      </c>
      <c r="Q125" s="13">
        <f t="shared" si="54"/>
        <v>0.35997130847449782</v>
      </c>
      <c r="R125" s="21">
        <f t="shared" si="58"/>
        <v>2.5176885932390918</v>
      </c>
      <c r="S125" s="13">
        <f t="shared" si="55"/>
        <v>1.9625493853143881</v>
      </c>
      <c r="T125" s="22">
        <f t="shared" si="56"/>
        <v>1.5590088389680485</v>
      </c>
      <c r="U125" s="22"/>
      <c r="V125" s="19"/>
    </row>
    <row r="126" spans="3:22">
      <c r="C126" s="17"/>
      <c r="D126" s="13"/>
      <c r="E126" s="13"/>
      <c r="F126" s="13"/>
      <c r="G126" s="13"/>
      <c r="H126" s="13"/>
      <c r="I126" s="72">
        <f t="shared" si="48"/>
        <v>39.323341718395803</v>
      </c>
      <c r="J126" s="13">
        <f t="shared" si="59"/>
        <v>2</v>
      </c>
      <c r="K126" s="13">
        <f t="shared" si="49"/>
        <v>7.7490013099714172</v>
      </c>
      <c r="L126" s="13">
        <f t="shared" si="57"/>
        <v>0.68075374079673134</v>
      </c>
      <c r="M126" s="13">
        <f t="shared" si="50"/>
        <v>8.7850513061694446E-2</v>
      </c>
      <c r="N126" s="13">
        <f t="shared" si="51"/>
        <v>1.2382829609216621</v>
      </c>
      <c r="O126" s="13">
        <f t="shared" si="52"/>
        <v>0.15979903879074578</v>
      </c>
      <c r="P126" s="13">
        <f t="shared" si="53"/>
        <v>0.57625870432906112</v>
      </c>
      <c r="Q126" s="13">
        <f t="shared" si="54"/>
        <v>0.30194081153168112</v>
      </c>
      <c r="R126" s="21">
        <f t="shared" si="58"/>
        <v>2.74900194187369</v>
      </c>
      <c r="S126" s="13">
        <f t="shared" si="55"/>
        <v>2.1773968786282203</v>
      </c>
      <c r="T126" s="22">
        <f t="shared" si="56"/>
        <v>1.5841362972222055</v>
      </c>
      <c r="U126" s="22"/>
      <c r="V126" s="19"/>
    </row>
    <row r="127" spans="3:22">
      <c r="C127" s="17"/>
      <c r="D127" s="13"/>
      <c r="E127" s="13"/>
      <c r="F127" s="13"/>
      <c r="G127" s="13"/>
      <c r="H127" s="13"/>
      <c r="I127" s="72">
        <f t="shared" si="48"/>
        <v>38.778997289166853</v>
      </c>
      <c r="J127" s="13">
        <f t="shared" si="59"/>
        <v>2.5</v>
      </c>
      <c r="K127" s="13">
        <f t="shared" si="49"/>
        <v>7.6556258009228131</v>
      </c>
      <c r="L127" s="13">
        <f t="shared" si="57"/>
        <v>0.69330379993327484</v>
      </c>
      <c r="M127" s="13">
        <f t="shared" si="50"/>
        <v>9.056134899510157E-2</v>
      </c>
      <c r="N127" s="13">
        <f t="shared" si="51"/>
        <v>1.2611113692814209</v>
      </c>
      <c r="O127" s="13">
        <f t="shared" si="52"/>
        <v>0.16473001712406135</v>
      </c>
      <c r="P127" s="13">
        <f t="shared" si="53"/>
        <v>0.52500610252987512</v>
      </c>
      <c r="Q127" s="13">
        <f t="shared" si="54"/>
        <v>0.24606858410001498</v>
      </c>
      <c r="R127" s="21">
        <f t="shared" si="58"/>
        <v>3.0451442518544733</v>
      </c>
      <c r="S127" s="13">
        <f t="shared" si="55"/>
        <v>2.4341654666684778</v>
      </c>
      <c r="T127" s="22">
        <f t="shared" si="56"/>
        <v>1.5987193153073695</v>
      </c>
      <c r="U127" s="22"/>
      <c r="V127" s="19"/>
    </row>
    <row r="128" spans="3:22">
      <c r="C128" s="17"/>
      <c r="D128" s="13"/>
      <c r="E128" s="13"/>
      <c r="F128" s="13"/>
      <c r="G128" s="13"/>
      <c r="H128" s="13"/>
      <c r="I128" s="72">
        <f t="shared" si="48"/>
        <v>38.23427143643957</v>
      </c>
      <c r="J128" s="13">
        <f t="shared" si="59"/>
        <v>3</v>
      </c>
      <c r="K128" s="13">
        <f t="shared" si="49"/>
        <v>7.5636623362494184</v>
      </c>
      <c r="L128" s="13">
        <f t="shared" si="57"/>
        <v>0.70585385906981835</v>
      </c>
      <c r="M128" s="13">
        <f t="shared" si="50"/>
        <v>9.3321704181182283E-2</v>
      </c>
      <c r="N128" s="13">
        <f t="shared" si="51"/>
        <v>1.2839397776411794</v>
      </c>
      <c r="O128" s="13">
        <f t="shared" si="52"/>
        <v>0.16975107038924805</v>
      </c>
      <c r="P128" s="13">
        <f t="shared" si="53"/>
        <v>0.46550397956474326</v>
      </c>
      <c r="Q128" s="13">
        <f t="shared" si="54"/>
        <v>0.1932915373483606</v>
      </c>
      <c r="R128" s="21">
        <f t="shared" si="58"/>
        <v>3.4358131337488511</v>
      </c>
      <c r="S128" s="13">
        <f t="shared" si="55"/>
        <v>2.7475934564136657</v>
      </c>
      <c r="T128" s="22">
        <f t="shared" si="56"/>
        <v>1.5993846868009016</v>
      </c>
      <c r="U128" s="22"/>
      <c r="V128" s="19"/>
    </row>
    <row r="129" spans="3:22">
      <c r="C129" s="17"/>
      <c r="D129" s="13"/>
      <c r="E129" s="13"/>
      <c r="F129" s="13"/>
      <c r="G129" s="13"/>
      <c r="H129" s="13"/>
      <c r="I129" s="72">
        <f t="shared" si="48"/>
        <v>37.689185778969438</v>
      </c>
      <c r="J129" s="13">
        <f t="shared" si="59"/>
        <v>3.5</v>
      </c>
      <c r="K129" s="13">
        <f t="shared" si="49"/>
        <v>7.4731313946962805</v>
      </c>
      <c r="L129" s="13">
        <f t="shared" si="57"/>
        <v>0.71840391820636185</v>
      </c>
      <c r="M129" s="13">
        <f t="shared" si="50"/>
        <v>9.6131578619936583E-2</v>
      </c>
      <c r="N129" s="13">
        <f t="shared" si="51"/>
        <v>1.3067681860009381</v>
      </c>
      <c r="O129" s="13">
        <f t="shared" si="52"/>
        <v>0.17486219858630586</v>
      </c>
      <c r="P129" s="13">
        <f t="shared" si="53"/>
        <v>0.39789954502620828</v>
      </c>
      <c r="Q129" s="13">
        <f t="shared" si="54"/>
        <v>0.1445602337937722</v>
      </c>
      <c r="R129" s="21">
        <f t="shared" si="58"/>
        <v>3.9729356851717719</v>
      </c>
      <c r="S129" s="13">
        <f t="shared" si="55"/>
        <v>3.1402665721430756</v>
      </c>
      <c r="T129" s="22">
        <f t="shared" si="56"/>
        <v>1.5808293015482351</v>
      </c>
      <c r="U129" s="22"/>
      <c r="V129" s="19"/>
    </row>
    <row r="130" spans="3:22">
      <c r="C130" s="17"/>
      <c r="D130" s="13"/>
      <c r="E130" s="13"/>
      <c r="F130" s="13"/>
      <c r="G130" s="13"/>
      <c r="H130" s="13"/>
      <c r="I130" s="72">
        <f t="shared" si="48"/>
        <v>37.143760478665307</v>
      </c>
      <c r="J130" s="13">
        <f t="shared" si="59"/>
        <v>4</v>
      </c>
      <c r="K130" s="13">
        <f t="shared" si="49"/>
        <v>7.3840468506943804</v>
      </c>
      <c r="L130" s="13">
        <f t="shared" si="57"/>
        <v>0.73095397734290535</v>
      </c>
      <c r="M130" s="13">
        <f t="shared" si="50"/>
        <v>9.8990972311364459E-2</v>
      </c>
      <c r="N130" s="13">
        <f t="shared" si="51"/>
        <v>1.3295965943606967</v>
      </c>
      <c r="O130" s="13">
        <f t="shared" si="52"/>
        <v>0.1800634017152348</v>
      </c>
      <c r="P130" s="13">
        <f t="shared" si="53"/>
        <v>0.32245105141272162</v>
      </c>
      <c r="Q130" s="13">
        <f t="shared" si="54"/>
        <v>0.10082652083199543</v>
      </c>
      <c r="R130" s="21">
        <f t="shared" si="58"/>
        <v>4.7571688327036901</v>
      </c>
      <c r="S130" s="13">
        <f t="shared" si="55"/>
        <v>3.6486392982810125</v>
      </c>
      <c r="T130" s="22">
        <f t="shared" si="56"/>
        <v>1.5339540918531345</v>
      </c>
      <c r="U130" s="22"/>
      <c r="V130" s="19"/>
    </row>
    <row r="131" spans="3:22">
      <c r="C131" s="17"/>
      <c r="D131" s="18"/>
      <c r="E131" s="13"/>
      <c r="F131" s="13"/>
      <c r="G131" s="13"/>
      <c r="H131" s="13"/>
      <c r="I131" s="72">
        <f t="shared" si="48"/>
        <v>36.598014363332965</v>
      </c>
      <c r="J131" s="13">
        <f t="shared" si="59"/>
        <v>4.5</v>
      </c>
      <c r="K131" s="13">
        <f t="shared" si="49"/>
        <v>7.2964168175014423</v>
      </c>
      <c r="L131" s="13">
        <f t="shared" si="57"/>
        <v>0.74350403647944885</v>
      </c>
      <c r="M131" s="13">
        <f t="shared" si="50"/>
        <v>0.10189988525546592</v>
      </c>
      <c r="N131" s="13">
        <f t="shared" si="51"/>
        <v>1.3524250027204552</v>
      </c>
      <c r="O131" s="13">
        <f t="shared" si="52"/>
        <v>0.18535467977603484</v>
      </c>
      <c r="P131" s="13">
        <f t="shared" si="53"/>
        <v>0.23952970593803799</v>
      </c>
      <c r="Q131" s="13">
        <f t="shared" si="54"/>
        <v>6.3030586359267324E-2</v>
      </c>
      <c r="R131" s="21">
        <f t="shared" si="58"/>
        <v>6.0167266604994287</v>
      </c>
      <c r="S131" s="13">
        <f t="shared" si="55"/>
        <v>4.3356074072600688</v>
      </c>
      <c r="T131" s="22">
        <f t="shared" si="56"/>
        <v>1.4411847676989815</v>
      </c>
      <c r="U131" s="22"/>
      <c r="V131" s="19"/>
    </row>
    <row r="132" spans="3:22">
      <c r="C132" s="17"/>
      <c r="D132" s="22"/>
      <c r="E132" s="13"/>
      <c r="F132" s="13"/>
      <c r="G132" s="13"/>
      <c r="H132" s="13"/>
      <c r="I132" s="72">
        <f t="shared" si="48"/>
        <v>36.051965037204148</v>
      </c>
      <c r="J132" s="13">
        <f t="shared" si="59"/>
        <v>5</v>
      </c>
      <c r="K132" s="13">
        <f t="shared" si="49"/>
        <v>7.210244394397674</v>
      </c>
      <c r="L132" s="13">
        <f t="shared" si="57"/>
        <v>0.75605409561599246</v>
      </c>
      <c r="M132" s="13">
        <f t="shared" si="50"/>
        <v>0.104858317452241</v>
      </c>
      <c r="N132" s="13">
        <f t="shared" si="51"/>
        <v>1.3752534110802141</v>
      </c>
      <c r="O132" s="13">
        <f t="shared" si="52"/>
        <v>0.19073603276870607</v>
      </c>
      <c r="P132" s="13">
        <f t="shared" si="53"/>
        <v>0.14962005718108767</v>
      </c>
      <c r="Q132" s="13">
        <f t="shared" si="54"/>
        <v>3.2087608096107542E-2</v>
      </c>
      <c r="R132" s="21">
        <f t="shared" si="58"/>
        <v>8.432712291371784</v>
      </c>
      <c r="S132" s="13">
        <f t="shared" si="55"/>
        <v>5.3197887563188093</v>
      </c>
      <c r="T132" s="22">
        <f t="shared" si="56"/>
        <v>1.2617028952267071</v>
      </c>
      <c r="U132" s="22"/>
      <c r="V132" s="19"/>
    </row>
    <row r="133" spans="3:22">
      <c r="C133" s="17"/>
      <c r="D133" s="18"/>
      <c r="E133" s="13"/>
      <c r="F133" s="13"/>
      <c r="G133" s="13"/>
      <c r="H133" s="13"/>
      <c r="I133" s="72">
        <f t="shared" si="48"/>
        <v>35.505628980645596</v>
      </c>
      <c r="J133" s="13">
        <f t="shared" si="59"/>
        <v>5.5</v>
      </c>
      <c r="K133" s="13">
        <f t="shared" si="49"/>
        <v>7.1255283285365998</v>
      </c>
      <c r="L133" s="13">
        <f t="shared" si="57"/>
        <v>0.76860415475253596</v>
      </c>
      <c r="M133" s="13">
        <f t="shared" si="50"/>
        <v>0.10786626890168964</v>
      </c>
      <c r="N133" s="13">
        <f t="shared" si="51"/>
        <v>1.3980818194399727</v>
      </c>
      <c r="O133" s="13">
        <f t="shared" si="52"/>
        <v>0.19620746069324838</v>
      </c>
      <c r="P133" s="13">
        <f t="shared" si="53"/>
        <v>5.3318791326447186E-2</v>
      </c>
      <c r="Q133" s="13">
        <f t="shared" si="54"/>
        <v>8.874179909004843E-3</v>
      </c>
      <c r="R133" s="21">
        <f t="shared" si="58"/>
        <v>16.03510621818992</v>
      </c>
      <c r="S133" s="13">
        <f t="shared" si="55"/>
        <v>6.8547872840164645</v>
      </c>
      <c r="T133" s="22">
        <f t="shared" si="56"/>
        <v>0.85497248234508405</v>
      </c>
      <c r="U133" s="22"/>
      <c r="V133" s="19"/>
    </row>
    <row r="134" spans="3:22">
      <c r="C134" s="17"/>
      <c r="D134" s="18"/>
      <c r="E134" s="13"/>
      <c r="F134" s="13"/>
      <c r="G134" s="13"/>
      <c r="H134" s="13"/>
      <c r="I134" s="72">
        <f t="shared" si="48"/>
        <v>34.959021640263643</v>
      </c>
      <c r="J134" s="13">
        <f t="shared" si="59"/>
        <v>6</v>
      </c>
      <c r="K134" s="13">
        <f t="shared" si="49"/>
        <v>7.0422636009130315</v>
      </c>
      <c r="L134" s="13">
        <f t="shared" si="57"/>
        <v>0.78115421388907946</v>
      </c>
      <c r="M134" s="13">
        <f t="shared" si="50"/>
        <v>0.11092373960381184</v>
      </c>
      <c r="N134" s="13">
        <f t="shared" si="51"/>
        <v>1.4209102277997312</v>
      </c>
      <c r="O134" s="13">
        <f t="shared" si="52"/>
        <v>0.20176896354966176</v>
      </c>
      <c r="P134" s="13">
        <f t="shared" si="53"/>
        <v>-4.866810500419718E-2</v>
      </c>
      <c r="Q134" s="13">
        <f t="shared" si="54"/>
        <v>-5.7852923958687979E-3</v>
      </c>
      <c r="R134" s="21">
        <f t="shared" si="58"/>
        <v>0</v>
      </c>
      <c r="S134" s="13">
        <f t="shared" si="55"/>
        <v>0</v>
      </c>
      <c r="T134" s="22">
        <f t="shared" si="56"/>
        <v>0</v>
      </c>
      <c r="U134" s="22"/>
      <c r="V134" s="19"/>
    </row>
    <row r="135" spans="3:22">
      <c r="C135" s="17"/>
      <c r="D135" s="18"/>
      <c r="E135" s="13"/>
      <c r="F135" s="13"/>
      <c r="G135" s="13"/>
      <c r="H135" s="13"/>
      <c r="I135" s="72"/>
      <c r="J135" s="13"/>
      <c r="K135" s="13"/>
      <c r="L135" s="13"/>
      <c r="M135" s="13"/>
      <c r="N135" s="13"/>
      <c r="O135" s="13"/>
      <c r="P135" s="13"/>
      <c r="Q135" s="13"/>
      <c r="R135" s="21"/>
      <c r="S135" s="13"/>
      <c r="T135" s="22"/>
      <c r="U135" s="22"/>
      <c r="V135" s="19"/>
    </row>
    <row r="136" spans="3:22">
      <c r="C136" s="17"/>
      <c r="D136" s="18"/>
      <c r="E136" s="13"/>
      <c r="F136" s="13"/>
      <c r="G136" s="13"/>
      <c r="H136" s="13"/>
      <c r="I136" s="72"/>
      <c r="J136" s="13"/>
      <c r="K136" s="13"/>
      <c r="L136" s="13"/>
      <c r="M136" s="13"/>
      <c r="N136" s="13"/>
      <c r="O136" s="13"/>
      <c r="P136" s="13"/>
      <c r="Q136" s="13"/>
      <c r="R136" s="21"/>
      <c r="S136" s="13"/>
      <c r="T136" s="22"/>
      <c r="U136" s="22"/>
      <c r="V136" s="19"/>
    </row>
    <row r="137" spans="3:22">
      <c r="C137" s="17"/>
      <c r="D137" s="18"/>
      <c r="E137" s="13"/>
      <c r="F137" s="13"/>
      <c r="G137" s="13"/>
      <c r="H137" s="13"/>
      <c r="I137" s="72"/>
      <c r="J137" s="13"/>
      <c r="K137" s="13"/>
      <c r="L137" s="13"/>
      <c r="M137" s="13"/>
      <c r="N137" s="13"/>
      <c r="O137" s="13"/>
      <c r="P137" s="13"/>
      <c r="Q137" s="13"/>
      <c r="R137" s="21"/>
      <c r="S137" s="13"/>
      <c r="T137" s="22"/>
      <c r="U137" s="22"/>
      <c r="V137" s="19"/>
    </row>
    <row r="138" spans="3:22">
      <c r="C138" s="17"/>
      <c r="D138" s="18"/>
      <c r="E138" s="13"/>
      <c r="F138" s="13"/>
      <c r="G138" s="13"/>
      <c r="H138" s="13"/>
      <c r="I138" s="72"/>
      <c r="J138" s="13"/>
      <c r="K138" s="13"/>
      <c r="L138" s="13"/>
      <c r="M138" s="13"/>
      <c r="N138" s="13"/>
      <c r="O138" s="13"/>
      <c r="P138" s="13"/>
      <c r="Q138" s="13"/>
      <c r="R138" s="21"/>
      <c r="S138" s="13"/>
      <c r="T138" s="22"/>
      <c r="U138" s="22"/>
      <c r="V138" s="19"/>
    </row>
    <row r="139" spans="3:22">
      <c r="C139" s="17"/>
      <c r="D139" s="18"/>
      <c r="E139" s="13"/>
      <c r="F139" s="13"/>
      <c r="G139" s="13"/>
      <c r="H139" s="13"/>
      <c r="I139" s="72"/>
      <c r="J139" s="13"/>
      <c r="K139" s="13"/>
      <c r="L139" s="13"/>
      <c r="M139" s="13"/>
      <c r="N139" s="13"/>
      <c r="O139" s="13"/>
      <c r="P139" s="13"/>
      <c r="Q139" s="13"/>
      <c r="R139" s="21"/>
      <c r="S139" s="13"/>
      <c r="T139" s="22"/>
      <c r="U139" s="22"/>
      <c r="V139" s="19"/>
    </row>
    <row r="140" spans="3:22">
      <c r="C140" s="17"/>
      <c r="D140" s="18"/>
      <c r="E140" s="13"/>
      <c r="F140" s="13"/>
      <c r="G140" s="13"/>
      <c r="H140" s="13"/>
      <c r="I140" s="72"/>
      <c r="J140" s="13"/>
      <c r="K140" s="13"/>
      <c r="L140" s="13"/>
      <c r="M140" s="13"/>
      <c r="N140" s="13"/>
      <c r="O140" s="13"/>
      <c r="P140" s="13"/>
      <c r="Q140" s="13"/>
      <c r="R140" s="21"/>
      <c r="S140" s="13"/>
      <c r="T140" s="22"/>
      <c r="U140" s="22"/>
      <c r="V140" s="19"/>
    </row>
    <row r="141" spans="3:22">
      <c r="C141" s="17"/>
      <c r="D141" s="18"/>
      <c r="E141" s="13"/>
      <c r="F141" s="13"/>
      <c r="G141" s="13"/>
      <c r="H141" s="13"/>
      <c r="I141" s="72"/>
      <c r="J141" s="13"/>
      <c r="K141" s="13"/>
      <c r="L141" s="13"/>
      <c r="M141" s="13"/>
      <c r="N141" s="13"/>
      <c r="O141" s="13"/>
      <c r="P141" s="13"/>
      <c r="Q141" s="13"/>
      <c r="R141" s="21"/>
      <c r="S141" s="13"/>
      <c r="T141" s="22"/>
      <c r="U141" s="22"/>
      <c r="V141" s="19"/>
    </row>
    <row r="142" spans="3:22">
      <c r="C142" s="17"/>
      <c r="D142" s="18"/>
      <c r="E142" s="13"/>
      <c r="F142" s="13"/>
      <c r="G142" s="13"/>
      <c r="H142" s="13"/>
      <c r="I142" s="72"/>
      <c r="J142" s="13"/>
      <c r="K142" s="13"/>
      <c r="L142" s="13"/>
      <c r="M142" s="13"/>
      <c r="N142" s="13"/>
      <c r="O142" s="13"/>
      <c r="P142" s="13"/>
      <c r="Q142" s="13"/>
      <c r="R142" s="21"/>
      <c r="S142" s="13"/>
      <c r="T142" s="22"/>
      <c r="U142" s="22"/>
      <c r="V142" s="19"/>
    </row>
    <row r="143" spans="3:22" ht="15" thickBot="1">
      <c r="C143" s="23"/>
      <c r="D143" s="24"/>
      <c r="E143" s="25"/>
      <c r="F143" s="25"/>
      <c r="G143" s="25"/>
      <c r="H143" s="25"/>
      <c r="I143" s="75"/>
      <c r="J143" s="25"/>
      <c r="K143" s="25"/>
      <c r="L143" s="25"/>
      <c r="M143" s="25"/>
      <c r="N143" s="25"/>
      <c r="O143" s="25"/>
      <c r="P143" s="25"/>
      <c r="Q143" s="25"/>
      <c r="R143" s="26"/>
      <c r="S143" s="25"/>
      <c r="T143" s="27"/>
      <c r="U143" s="27"/>
      <c r="V143" s="28"/>
    </row>
  </sheetData>
  <mergeCells count="2">
    <mergeCell ref="C2:D2"/>
    <mergeCell ref="H2:P2"/>
  </mergeCells>
  <conditionalFormatting sqref="U33">
    <cfRule type="cellIs" dxfId="123" priority="37" operator="greaterThan">
      <formula>0</formula>
    </cfRule>
  </conditionalFormatting>
  <conditionalFormatting sqref="S11:S32">
    <cfRule type="cellIs" dxfId="122" priority="33" operator="greaterThan">
      <formula>0</formula>
    </cfRule>
  </conditionalFormatting>
  <conditionalFormatting sqref="T11:U32">
    <cfRule type="cellIs" dxfId="121" priority="32" operator="greaterThan">
      <formula>0</formula>
    </cfRule>
  </conditionalFormatting>
  <conditionalFormatting sqref="S38:S59">
    <cfRule type="cellIs" dxfId="120" priority="15" operator="greaterThan">
      <formula>0</formula>
    </cfRule>
  </conditionalFormatting>
  <conditionalFormatting sqref="T38:U59">
    <cfRule type="cellIs" dxfId="119" priority="14" operator="greaterThan">
      <formula>0</formula>
    </cfRule>
  </conditionalFormatting>
  <conditionalFormatting sqref="S66:S87">
    <cfRule type="cellIs" dxfId="118" priority="13" operator="greaterThan">
      <formula>0</formula>
    </cfRule>
  </conditionalFormatting>
  <conditionalFormatting sqref="T66:U87">
    <cfRule type="cellIs" dxfId="117" priority="12" operator="greaterThan">
      <formula>0</formula>
    </cfRule>
  </conditionalFormatting>
  <conditionalFormatting sqref="K11:K32">
    <cfRule type="cellIs" dxfId="116" priority="10" operator="equal">
      <formula>"max($K$11:$K$32)"</formula>
    </cfRule>
    <cfRule type="cellIs" dxfId="115" priority="11" operator="equal">
      <formula>"max($K$11:$K$32)"</formula>
    </cfRule>
  </conditionalFormatting>
  <conditionalFormatting sqref="S94:S115">
    <cfRule type="cellIs" dxfId="114" priority="9" operator="greaterThan">
      <formula>0</formula>
    </cfRule>
  </conditionalFormatting>
  <conditionalFormatting sqref="T94:U115">
    <cfRule type="cellIs" dxfId="113" priority="8" operator="greaterThan">
      <formula>0</formula>
    </cfRule>
  </conditionalFormatting>
  <conditionalFormatting sqref="S122:S143">
    <cfRule type="cellIs" dxfId="112" priority="7" operator="greaterThan">
      <formula>0</formula>
    </cfRule>
  </conditionalFormatting>
  <conditionalFormatting sqref="T122:U143">
    <cfRule type="cellIs" dxfId="111" priority="6" operator="greaterThan">
      <formula>0</formula>
    </cfRule>
  </conditionalFormatting>
  <conditionalFormatting sqref="T11:T32">
    <cfRule type="top10" dxfId="110" priority="5" rank="1"/>
  </conditionalFormatting>
  <conditionalFormatting sqref="T38:T57">
    <cfRule type="top10" dxfId="109" priority="4" rank="1"/>
  </conditionalFormatting>
  <conditionalFormatting sqref="T66:T82">
    <cfRule type="top10" dxfId="108" priority="3" rank="1"/>
  </conditionalFormatting>
  <conditionalFormatting sqref="T94:T109">
    <cfRule type="top10" dxfId="107" priority="2" rank="1"/>
  </conditionalFormatting>
  <conditionalFormatting sqref="T122:T134">
    <cfRule type="top10" dxfId="106" priority="1" rank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AC143"/>
  <sheetViews>
    <sheetView tabSelected="1" zoomScale="85" zoomScaleNormal="85" zoomScalePageLayoutView="85" workbookViewId="0">
      <selection activeCell="N38" sqref="N38"/>
    </sheetView>
  </sheetViews>
  <sheetFormatPr baseColWidth="10" defaultColWidth="8.83203125" defaultRowHeight="14" x14ac:dyDescent="0"/>
  <cols>
    <col min="1" max="1" width="5.5" style="5" customWidth="1"/>
    <col min="2" max="2" width="15.5" style="5" bestFit="1" customWidth="1"/>
    <col min="3" max="3" width="13.1640625" style="5" customWidth="1"/>
    <col min="4" max="4" width="12" style="6" customWidth="1"/>
    <col min="5" max="5" width="9.33203125" style="6" bestFit="1" customWidth="1"/>
    <col min="6" max="6" width="9.1640625" style="6" customWidth="1"/>
    <col min="7" max="7" width="13.83203125" style="6" customWidth="1"/>
    <col min="8" max="8" width="13.6640625" style="6" customWidth="1"/>
    <col min="9" max="9" width="16.83203125" style="74" customWidth="1"/>
    <col min="10" max="10" width="8" style="6" bestFit="1" customWidth="1"/>
    <col min="11" max="11" width="8.1640625" style="6" customWidth="1"/>
    <col min="12" max="12" width="14.83203125" style="6" bestFit="1" customWidth="1"/>
    <col min="13" max="13" width="15.5" style="6" bestFit="1" customWidth="1"/>
    <col min="14" max="14" width="16.1640625" style="6" bestFit="1" customWidth="1"/>
    <col min="15" max="15" width="9.33203125" style="6" customWidth="1"/>
    <col min="16" max="16" width="9.6640625" style="6" customWidth="1"/>
    <col min="17" max="17" width="5.83203125" style="6" bestFit="1" customWidth="1"/>
    <col min="18" max="18" width="9.83203125" style="6" customWidth="1"/>
    <col min="19" max="19" width="9.1640625" style="6" bestFit="1" customWidth="1"/>
    <col min="20" max="21" width="6.5" style="6" bestFit="1" customWidth="1"/>
    <col min="22" max="22" width="8" style="5" bestFit="1" customWidth="1"/>
    <col min="23" max="23" width="10" style="5" bestFit="1" customWidth="1"/>
    <col min="24" max="24" width="12.6640625" style="5" bestFit="1" customWidth="1"/>
    <col min="25" max="26" width="12" bestFit="1" customWidth="1"/>
    <col min="27" max="28" width="12.6640625" bestFit="1" customWidth="1"/>
  </cols>
  <sheetData>
    <row r="1" spans="3:29" ht="15" thickBot="1"/>
    <row r="2" spans="3:29" ht="15" thickBot="1">
      <c r="C2" s="130" t="s">
        <v>52</v>
      </c>
      <c r="D2" s="131"/>
      <c r="E2" s="11"/>
      <c r="F2" s="13"/>
      <c r="G2" s="13"/>
      <c r="H2" s="132" t="s">
        <v>38</v>
      </c>
      <c r="I2" s="133"/>
      <c r="J2" s="133"/>
      <c r="K2" s="133"/>
      <c r="L2" s="133"/>
      <c r="M2" s="133"/>
      <c r="N2" s="133"/>
      <c r="O2" s="133"/>
      <c r="P2" s="134"/>
      <c r="Q2" s="13"/>
      <c r="R2"/>
      <c r="S2"/>
      <c r="T2"/>
      <c r="U2"/>
      <c r="V2" s="13"/>
      <c r="W2" s="13"/>
      <c r="X2" s="6"/>
      <c r="Y2" s="52"/>
      <c r="Z2" s="52"/>
      <c r="AA2" s="52"/>
      <c r="AB2" s="52"/>
    </row>
    <row r="3" spans="3:29" ht="18" thickBot="1">
      <c r="C3" s="18"/>
      <c r="D3" s="13"/>
      <c r="E3" s="13"/>
      <c r="F3" s="13"/>
      <c r="G3" s="13"/>
      <c r="H3" s="101" t="s">
        <v>4</v>
      </c>
      <c r="I3" s="102" t="s">
        <v>5</v>
      </c>
      <c r="J3" s="103" t="s">
        <v>6</v>
      </c>
      <c r="K3" s="103" t="s">
        <v>31</v>
      </c>
      <c r="L3" s="103" t="s">
        <v>87</v>
      </c>
      <c r="M3" s="103" t="s">
        <v>23</v>
      </c>
      <c r="N3" s="103" t="s">
        <v>26</v>
      </c>
      <c r="O3" s="104" t="s">
        <v>15</v>
      </c>
      <c r="P3" s="66" t="s">
        <v>88</v>
      </c>
      <c r="R3"/>
      <c r="S3"/>
      <c r="T3"/>
      <c r="U3"/>
      <c r="Y3" s="5"/>
      <c r="Z3" s="6"/>
      <c r="AA3" s="52"/>
      <c r="AB3" s="52"/>
      <c r="AC3" s="52"/>
    </row>
    <row r="4" spans="3:29" ht="16" thickTop="1" thickBot="1">
      <c r="C4" s="18"/>
      <c r="D4" s="13"/>
      <c r="E4" s="13"/>
      <c r="F4" s="13"/>
      <c r="G4" s="13"/>
      <c r="H4" s="39">
        <f>SBT!B6</f>
        <v>0.495</v>
      </c>
      <c r="I4" s="75">
        <f>SBT!C9</f>
        <v>0.3</v>
      </c>
      <c r="J4" s="25">
        <f>SBT!D6</f>
        <v>8.1674999999999998E-2</v>
      </c>
      <c r="K4" s="25">
        <f>SBT!E6</f>
        <v>3</v>
      </c>
      <c r="L4" s="25">
        <f>SBT!D9</f>
        <v>0.17999999999999997</v>
      </c>
      <c r="M4" s="25">
        <f>SBT!B16</f>
        <v>1.2192000000000001</v>
      </c>
      <c r="N4" s="25">
        <f>SBT!C16</f>
        <v>4.2671999999999999</v>
      </c>
      <c r="O4" s="25">
        <f>0.5*SBT!$B$26*$J$4*SBT!$C$26^2</f>
        <v>1.81898811084375</v>
      </c>
      <c r="P4" s="37">
        <f>(SBT!$B$12*SBT!$E$23+SBT!$D$23)*0.5*9.81</f>
        <v>1.0079372950819674</v>
      </c>
      <c r="R4"/>
      <c r="S4"/>
      <c r="T4"/>
      <c r="U4"/>
      <c r="X4" s="6"/>
      <c r="Y4" s="5"/>
      <c r="Z4" s="5"/>
    </row>
    <row r="5" spans="3:29">
      <c r="C5" s="18"/>
      <c r="D5" s="13"/>
      <c r="E5" s="13"/>
      <c r="F5" s="13"/>
      <c r="G5" s="13"/>
      <c r="H5" s="13"/>
      <c r="I5" s="72"/>
      <c r="J5" s="13"/>
      <c r="K5" s="13"/>
      <c r="L5" s="13"/>
      <c r="M5" s="13"/>
      <c r="N5" s="13"/>
      <c r="O5" s="13"/>
      <c r="R5"/>
      <c r="S5"/>
      <c r="T5"/>
      <c r="U5"/>
      <c r="X5" s="6"/>
      <c r="Y5" s="5"/>
      <c r="Z5" s="5"/>
    </row>
    <row r="6" spans="3:29" ht="15" thickBot="1">
      <c r="C6" s="18"/>
      <c r="D6" s="13"/>
      <c r="E6" s="13"/>
      <c r="F6" s="34"/>
      <c r="G6" s="13"/>
      <c r="H6" s="13"/>
      <c r="I6" s="72"/>
      <c r="J6" s="13"/>
      <c r="K6" s="13"/>
      <c r="L6" s="13"/>
      <c r="M6" s="13"/>
      <c r="N6" s="13"/>
      <c r="O6" s="13"/>
      <c r="P6" s="13"/>
      <c r="Q6" s="13"/>
      <c r="R6" s="13"/>
      <c r="S6" s="13"/>
      <c r="T6" s="18"/>
      <c r="U6" s="18"/>
      <c r="V6" s="18"/>
      <c r="W6" s="13"/>
      <c r="X6" s="6"/>
      <c r="Y6" s="5"/>
      <c r="Z6" s="5"/>
    </row>
    <row r="7" spans="3:29" ht="17" thickBot="1">
      <c r="C7" s="42" t="s">
        <v>36</v>
      </c>
      <c r="D7" s="43" t="s">
        <v>37</v>
      </c>
      <c r="E7" s="35" t="s">
        <v>24</v>
      </c>
      <c r="F7" s="36" t="s">
        <v>29</v>
      </c>
      <c r="G7" s="36" t="s">
        <v>30</v>
      </c>
      <c r="H7" s="97" t="s">
        <v>56</v>
      </c>
      <c r="I7" s="36" t="s">
        <v>77</v>
      </c>
      <c r="J7" s="36" t="s">
        <v>80</v>
      </c>
      <c r="K7" s="36" t="s">
        <v>81</v>
      </c>
      <c r="L7" s="110" t="s">
        <v>92</v>
      </c>
      <c r="M7" s="36" t="s">
        <v>89</v>
      </c>
      <c r="N7" s="36" t="s">
        <v>90</v>
      </c>
      <c r="O7" s="38" t="s">
        <v>91</v>
      </c>
      <c r="P7" s="15"/>
      <c r="Q7" s="15"/>
      <c r="R7" s="15"/>
      <c r="S7" s="15"/>
      <c r="T7" s="40"/>
      <c r="U7" s="40"/>
      <c r="V7" s="16"/>
      <c r="W7" s="6"/>
      <c r="Y7" s="5"/>
    </row>
    <row r="8" spans="3:29" ht="16" thickTop="1" thickBot="1">
      <c r="C8" s="44">
        <v>4</v>
      </c>
      <c r="D8" s="45">
        <f>MAX(T11:T32)</f>
        <v>1.5917270497463456</v>
      </c>
      <c r="E8" s="25">
        <f>$M$4-H8</f>
        <v>1.1317058029511025</v>
      </c>
      <c r="F8" s="25">
        <f>MAX(N11:N33)</f>
        <v>1.5919529292415051</v>
      </c>
      <c r="G8" s="25">
        <f>F8*$L$4</f>
        <v>0.28655152726347088</v>
      </c>
      <c r="H8" s="75">
        <f>(-N8+SQRT(N8^2-4*$P$4*O8))/(2*$P$4)</f>
        <v>8.7494197048897646E-2</v>
      </c>
      <c r="I8" s="25">
        <f>$H$4*SBT!$C$23</f>
        <v>4.4225409836065571E-2</v>
      </c>
      <c r="J8" s="25">
        <f>I8+SBT!$B$23</f>
        <v>0.19422540983606557</v>
      </c>
      <c r="K8" s="25">
        <f>SBT!$B$12*H8</f>
        <v>0.11374245616356694</v>
      </c>
      <c r="L8" s="25">
        <f>(F8*$L$4-(SBT!$F$23*K8+0.5*SBT!$E$23*K8^2)*9.81)/(J8*9.81)</f>
        <v>4.8154669086297279E-2</v>
      </c>
      <c r="M8" s="79">
        <f>J8+SBT!$F$23+2*SBT!$G$23+H8*SBT!$D$23+K8*SBT!$E$23</f>
        <v>0.6677047501640645</v>
      </c>
      <c r="N8" s="25">
        <f>(SBT!$G$23+(SBT!$F$23+J8)*0.5)*9.81</f>
        <v>3.1869031352459021</v>
      </c>
      <c r="O8" s="37">
        <f>-F8*$L$4</f>
        <v>-0.28655152726347088</v>
      </c>
      <c r="P8" s="13"/>
      <c r="Q8" s="13"/>
      <c r="R8" s="13"/>
      <c r="S8" s="13"/>
      <c r="T8" s="13"/>
      <c r="U8" s="13"/>
      <c r="V8" s="19"/>
      <c r="X8"/>
    </row>
    <row r="9" spans="3:29">
      <c r="C9" s="41"/>
      <c r="D9" s="13"/>
      <c r="E9" s="13"/>
      <c r="F9" s="13"/>
      <c r="G9" s="13"/>
      <c r="H9" s="13"/>
      <c r="I9" s="76"/>
      <c r="J9" s="18"/>
      <c r="K9" s="18"/>
      <c r="L9" s="13"/>
      <c r="M9" s="13"/>
      <c r="N9" s="13"/>
      <c r="O9" s="13"/>
      <c r="P9" s="13"/>
      <c r="Q9" s="13"/>
      <c r="R9" s="13"/>
      <c r="S9" s="13"/>
      <c r="T9" s="13"/>
      <c r="U9" s="13"/>
      <c r="V9" s="19"/>
      <c r="X9"/>
    </row>
    <row r="10" spans="3:29" ht="17" thickBot="1">
      <c r="C10" s="47" t="s">
        <v>40</v>
      </c>
      <c r="D10" s="48" t="s">
        <v>42</v>
      </c>
      <c r="E10" s="30" t="s">
        <v>35</v>
      </c>
      <c r="F10" s="29" t="s">
        <v>34</v>
      </c>
      <c r="G10" s="29" t="s">
        <v>41</v>
      </c>
      <c r="H10" s="29" t="s">
        <v>7</v>
      </c>
      <c r="I10" s="70" t="s">
        <v>16</v>
      </c>
      <c r="J10" s="71" t="s">
        <v>17</v>
      </c>
      <c r="K10" s="29" t="s">
        <v>18</v>
      </c>
      <c r="L10" s="46" t="s">
        <v>39</v>
      </c>
      <c r="M10" s="31" t="s">
        <v>10</v>
      </c>
      <c r="N10" s="31" t="s">
        <v>13</v>
      </c>
      <c r="O10" s="31" t="s">
        <v>14</v>
      </c>
      <c r="P10" s="31" t="s">
        <v>8</v>
      </c>
      <c r="Q10" s="31" t="s">
        <v>9</v>
      </c>
      <c r="R10" s="31" t="s">
        <v>19</v>
      </c>
      <c r="S10" s="31" t="s">
        <v>25</v>
      </c>
      <c r="T10" s="32" t="s">
        <v>27</v>
      </c>
      <c r="U10" s="32"/>
      <c r="V10" s="33"/>
      <c r="X10"/>
    </row>
    <row r="11" spans="3:29" ht="15" thickTop="1">
      <c r="C11" s="49">
        <v>6.3712906818547541</v>
      </c>
      <c r="D11" s="10">
        <v>0.4677</v>
      </c>
      <c r="E11" s="7">
        <f>$K$4/(2+SQRT(4+$K$4^2))</f>
        <v>0.53518375848799637</v>
      </c>
      <c r="F11" s="7">
        <f>C11*E11</f>
        <v>3.4098112935345766</v>
      </c>
      <c r="G11" s="12">
        <f>D11*E11</f>
        <v>0.25030544384483588</v>
      </c>
      <c r="H11" s="14">
        <f>F11*PI()/180</f>
        <v>5.9512433943865198E-2</v>
      </c>
      <c r="I11" s="72">
        <f t="shared" ref="I11:I32" si="0">0.5*ATAN(K11)*180/PI()-J11</f>
        <v>42.165274693651945</v>
      </c>
      <c r="J11" s="13">
        <v>0</v>
      </c>
      <c r="K11" s="13">
        <f t="shared" ref="K11:K32" si="1">L11/M11</f>
        <v>10.073049888290418</v>
      </c>
      <c r="L11" s="13">
        <f>$H$11*J11+$G$11</f>
        <v>0.25030544384483588</v>
      </c>
      <c r="M11" s="13">
        <f t="shared" ref="M11:M32" si="2">0.015+0.1572*(L11^2)</f>
        <v>2.4849022552326239E-2</v>
      </c>
      <c r="N11" s="13">
        <f>$O$4*L11</f>
        <v>0.45530262643322439</v>
      </c>
      <c r="O11" s="13">
        <f>$O$4*M11</f>
        <v>4.5200076588769643E-2</v>
      </c>
      <c r="P11" s="13">
        <f>((N11*COS(I11+J11)+O11*SIN(I11+J11))*SIN(J11+I11)-O11)/$M$8</f>
        <v>0.15717339976607184</v>
      </c>
      <c r="Q11" s="13">
        <f t="shared" ref="Q11:Q32" si="3">P11*TAN(I11+J11)</f>
        <v>0.62537698097084693</v>
      </c>
      <c r="R11" s="21">
        <f t="shared" ref="R11:R32" si="4">IF(ISERROR(SQRT(2*$E$8/Q11)),0,SQRT(2*$E$8/Q11))</f>
        <v>1.9024393637214927</v>
      </c>
      <c r="S11" s="13">
        <f t="shared" ref="S11:S32" si="5">0.5*P11*R11^2</f>
        <v>0.28442692007736187</v>
      </c>
      <c r="T11" s="22">
        <f t="shared" ref="T11:T32" si="6">R11*P11</f>
        <v>0.29901286264490951</v>
      </c>
      <c r="U11" s="22"/>
      <c r="V11" s="19"/>
      <c r="X11"/>
    </row>
    <row r="12" spans="3:29">
      <c r="C12" s="17"/>
      <c r="D12" s="18"/>
      <c r="E12" s="13"/>
      <c r="F12" s="13"/>
      <c r="G12" s="13"/>
      <c r="H12" s="13"/>
      <c r="I12" s="72">
        <f t="shared" si="0"/>
        <v>41.713210063969385</v>
      </c>
      <c r="J12" s="13">
        <f>J11+0.5</f>
        <v>0.5</v>
      </c>
      <c r="K12" s="13">
        <f t="shared" si="1"/>
        <v>10.247442231085834</v>
      </c>
      <c r="L12" s="13">
        <f t="shared" ref="L12:L32" si="7">$H$11*J12+$G$11</f>
        <v>0.28006166081676848</v>
      </c>
      <c r="M12" s="13">
        <f t="shared" si="2"/>
        <v>2.7329908722705014E-2</v>
      </c>
      <c r="N12" s="13">
        <f t="shared" ref="N12:N32" si="8">$O$4*L12</f>
        <v>0.50942883132885675</v>
      </c>
      <c r="O12" s="13">
        <f t="shared" ref="O12:O32" si="9">$O$4*M12</f>
        <v>4.9712779037045317E-2</v>
      </c>
      <c r="P12" s="13">
        <f t="shared" ref="P12:P32" si="10">((N12*COS(I12+J12)+O12*SIN(I12+J12))*SIN(J12+I12)-O12)/$M$8</f>
        <v>0.14446310728854894</v>
      </c>
      <c r="Q12" s="13">
        <f t="shared" si="3"/>
        <v>0.71896811223966939</v>
      </c>
      <c r="R12" s="21">
        <f t="shared" si="4"/>
        <v>1.7742996004991982</v>
      </c>
      <c r="S12" s="13">
        <f t="shared" si="5"/>
        <v>0.22739497628275748</v>
      </c>
      <c r="T12" s="22">
        <f t="shared" si="6"/>
        <v>0.25632083354894519</v>
      </c>
      <c r="U12" s="22"/>
      <c r="V12" s="19"/>
      <c r="X12"/>
    </row>
    <row r="13" spans="3:29">
      <c r="C13" s="20"/>
      <c r="D13" s="11"/>
      <c r="E13" s="13"/>
      <c r="F13" s="13"/>
      <c r="G13" s="13"/>
      <c r="H13" s="13"/>
      <c r="I13" s="72">
        <f t="shared" si="0"/>
        <v>41.226446452082257</v>
      </c>
      <c r="J13" s="13">
        <f t="shared" ref="J13:J31" si="11">J12+0.5</f>
        <v>1</v>
      </c>
      <c r="K13" s="13">
        <f t="shared" si="1"/>
        <v>10.296655833298473</v>
      </c>
      <c r="L13" s="13">
        <f t="shared" si="7"/>
        <v>0.30981787778870107</v>
      </c>
      <c r="M13" s="13">
        <f t="shared" si="2"/>
        <v>3.0089174854886137E-2</v>
      </c>
      <c r="N13" s="13">
        <f t="shared" si="8"/>
        <v>0.56355503622448921</v>
      </c>
      <c r="O13" s="13">
        <f t="shared" si="9"/>
        <v>5.4731851326136602E-2</v>
      </c>
      <c r="P13" s="13">
        <f t="shared" si="10"/>
        <v>0.14987262693575312</v>
      </c>
      <c r="Q13" s="13">
        <f t="shared" si="3"/>
        <v>0.8006182465412931</v>
      </c>
      <c r="R13" s="21">
        <f t="shared" si="4"/>
        <v>1.6813921960852765</v>
      </c>
      <c r="S13" s="13">
        <f t="shared" si="5"/>
        <v>0.2118509318760193</v>
      </c>
      <c r="T13" s="22">
        <f t="shared" si="6"/>
        <v>0.25199466533657527</v>
      </c>
      <c r="U13" s="22"/>
      <c r="V13" s="19"/>
      <c r="X13"/>
    </row>
    <row r="14" spans="3:29">
      <c r="C14" s="17"/>
      <c r="D14" s="18"/>
      <c r="E14" s="13"/>
      <c r="F14" s="13"/>
      <c r="G14" s="13"/>
      <c r="H14" s="13"/>
      <c r="I14" s="72">
        <f t="shared" si="0"/>
        <v>40.714098239175776</v>
      </c>
      <c r="J14" s="13">
        <f t="shared" si="11"/>
        <v>1.5</v>
      </c>
      <c r="K14" s="13">
        <f t="shared" si="1"/>
        <v>10.250729923186942</v>
      </c>
      <c r="L14" s="13">
        <f t="shared" si="7"/>
        <v>0.33957409476063372</v>
      </c>
      <c r="M14" s="13">
        <f t="shared" si="2"/>
        <v>3.3126820948869609E-2</v>
      </c>
      <c r="N14" s="13">
        <f t="shared" si="8"/>
        <v>0.61768124112012168</v>
      </c>
      <c r="O14" s="13">
        <f t="shared" si="9"/>
        <v>6.0257293456043491E-2</v>
      </c>
      <c r="P14" s="13">
        <f t="shared" si="10"/>
        <v>0.17443504500325097</v>
      </c>
      <c r="Q14" s="13">
        <f t="shared" si="3"/>
        <v>0.87214336812957982</v>
      </c>
      <c r="R14" s="21">
        <f t="shared" si="4"/>
        <v>1.610971390813174</v>
      </c>
      <c r="S14" s="13">
        <f t="shared" si="5"/>
        <v>0.2263494281812683</v>
      </c>
      <c r="T14" s="22">
        <f t="shared" si="6"/>
        <v>0.28100986705544578</v>
      </c>
      <c r="U14" s="22"/>
      <c r="V14" s="19"/>
      <c r="X14"/>
    </row>
    <row r="15" spans="3:29">
      <c r="C15" s="17"/>
      <c r="D15" s="13"/>
      <c r="E15" s="13"/>
      <c r="F15" s="13"/>
      <c r="G15" s="13"/>
      <c r="H15" s="13"/>
      <c r="I15" s="72">
        <f t="shared" si="0"/>
        <v>40.182354075748748</v>
      </c>
      <c r="J15" s="13">
        <f t="shared" si="11"/>
        <v>2</v>
      </c>
      <c r="K15" s="13">
        <f t="shared" si="1"/>
        <v>10.134507649344357</v>
      </c>
      <c r="L15" s="13">
        <f t="shared" si="7"/>
        <v>0.36933031173256625</v>
      </c>
      <c r="M15" s="13">
        <f t="shared" si="2"/>
        <v>3.6442847004655401E-2</v>
      </c>
      <c r="N15" s="13">
        <f t="shared" si="8"/>
        <v>0.67180744601575393</v>
      </c>
      <c r="O15" s="13">
        <f t="shared" si="9"/>
        <v>6.6289105426765943E-2</v>
      </c>
      <c r="P15" s="13">
        <f t="shared" si="10"/>
        <v>0.21744602276726202</v>
      </c>
      <c r="Q15" s="13">
        <f t="shared" si="3"/>
        <v>0.93227040360696911</v>
      </c>
      <c r="R15" s="21">
        <f t="shared" si="4"/>
        <v>1.5581555849986346</v>
      </c>
      <c r="S15" s="13">
        <f t="shared" si="5"/>
        <v>0.26396303566244456</v>
      </c>
      <c r="T15" s="22">
        <f t="shared" si="6"/>
        <v>0.33881473481054958</v>
      </c>
      <c r="U15" s="22"/>
      <c r="V15" s="19"/>
      <c r="X15"/>
    </row>
    <row r="16" spans="3:29">
      <c r="C16" s="17"/>
      <c r="D16" s="13"/>
      <c r="E16" s="13"/>
      <c r="F16" s="13"/>
      <c r="G16" s="13"/>
      <c r="H16" s="13"/>
      <c r="I16" s="72">
        <f t="shared" si="0"/>
        <v>39.635563734098874</v>
      </c>
      <c r="J16" s="13">
        <f t="shared" si="11"/>
        <v>2.5</v>
      </c>
      <c r="K16" s="13">
        <f t="shared" si="1"/>
        <v>9.9678798763436109</v>
      </c>
      <c r="L16" s="13">
        <f t="shared" si="7"/>
        <v>0.3990865287044989</v>
      </c>
      <c r="M16" s="13">
        <f t="shared" si="2"/>
        <v>4.0037253022243549E-2</v>
      </c>
      <c r="N16" s="13">
        <f t="shared" si="8"/>
        <v>0.72593365091138651</v>
      </c>
      <c r="O16" s="13">
        <f t="shared" si="9"/>
        <v>7.282728723830402E-2</v>
      </c>
      <c r="P16" s="13">
        <f t="shared" si="10"/>
        <v>0.27690665344292148</v>
      </c>
      <c r="Q16" s="13">
        <f t="shared" si="3"/>
        <v>0.97791387830990006</v>
      </c>
      <c r="R16" s="21">
        <f t="shared" si="4"/>
        <v>1.5213581467307116</v>
      </c>
      <c r="S16" s="13">
        <f t="shared" si="5"/>
        <v>0.32045446283953355</v>
      </c>
      <c r="T16" s="22">
        <f t="shared" si="6"/>
        <v>0.42127419309932645</v>
      </c>
      <c r="U16" s="22"/>
      <c r="V16" s="19"/>
      <c r="X16"/>
    </row>
    <row r="17" spans="3:24">
      <c r="C17" s="17"/>
      <c r="D17" s="13"/>
      <c r="E17" s="13"/>
      <c r="F17" s="13"/>
      <c r="G17" s="13"/>
      <c r="H17" s="13"/>
      <c r="I17" s="72">
        <f t="shared" si="0"/>
        <v>39.076874155396801</v>
      </c>
      <c r="J17" s="13">
        <f t="shared" si="11"/>
        <v>3</v>
      </c>
      <c r="K17" s="13">
        <f t="shared" si="1"/>
        <v>9.7663940963585301</v>
      </c>
      <c r="L17" s="13">
        <f t="shared" si="7"/>
        <v>0.42884274567643149</v>
      </c>
      <c r="M17" s="13">
        <f t="shared" si="2"/>
        <v>4.3910039001634038E-2</v>
      </c>
      <c r="N17" s="13">
        <f t="shared" si="8"/>
        <v>0.78005985580701886</v>
      </c>
      <c r="O17" s="13">
        <f t="shared" si="9"/>
        <v>7.9871838890657687E-2</v>
      </c>
      <c r="P17" s="13">
        <f t="shared" si="10"/>
        <v>0.34949581294403192</v>
      </c>
      <c r="Q17" s="13">
        <f t="shared" si="3"/>
        <v>1.005157336022479</v>
      </c>
      <c r="R17" s="21">
        <f t="shared" si="4"/>
        <v>1.5005993220323208</v>
      </c>
      <c r="S17" s="13">
        <f t="shared" si="5"/>
        <v>0.39349704314054629</v>
      </c>
      <c r="T17" s="22">
        <f t="shared" si="6"/>
        <v>0.52445317995694918</v>
      </c>
      <c r="U17" s="22"/>
      <c r="V17" s="19"/>
      <c r="X17"/>
    </row>
    <row r="18" spans="3:24">
      <c r="C18" s="17"/>
      <c r="D18" s="13"/>
      <c r="E18" s="13"/>
      <c r="F18" s="13"/>
      <c r="G18" s="13"/>
      <c r="H18" s="13"/>
      <c r="I18" s="72">
        <f t="shared" si="0"/>
        <v>38.50861866160804</v>
      </c>
      <c r="J18" s="13">
        <f t="shared" si="11"/>
        <v>3.5</v>
      </c>
      <c r="K18" s="13">
        <f t="shared" si="1"/>
        <v>9.5419780505692451</v>
      </c>
      <c r="L18" s="13">
        <f t="shared" si="7"/>
        <v>0.45859896264836408</v>
      </c>
      <c r="M18" s="13">
        <f t="shared" si="2"/>
        <v>4.8061204942826868E-2</v>
      </c>
      <c r="N18" s="13">
        <f t="shared" si="8"/>
        <v>0.83418606070265122</v>
      </c>
      <c r="O18" s="13">
        <f t="shared" si="9"/>
        <v>8.7422760383826945E-2</v>
      </c>
      <c r="P18" s="13">
        <f t="shared" si="10"/>
        <v>0.43048321295969971</v>
      </c>
      <c r="Q18" s="13">
        <f t="shared" si="3"/>
        <v>1.0100622541882252</v>
      </c>
      <c r="R18" s="21">
        <f t="shared" si="4"/>
        <v>1.4969513913568548</v>
      </c>
      <c r="S18" s="13">
        <f t="shared" si="5"/>
        <v>0.48232705277267129</v>
      </c>
      <c r="T18" s="22">
        <f t="shared" si="6"/>
        <v>0.64441244459579172</v>
      </c>
      <c r="U18" s="22"/>
      <c r="V18" s="19"/>
      <c r="X18"/>
    </row>
    <row r="19" spans="3:24">
      <c r="C19" s="17"/>
      <c r="D19" s="13"/>
      <c r="E19" s="13"/>
      <c r="F19" s="13"/>
      <c r="G19" s="13"/>
      <c r="H19" s="13"/>
      <c r="I19" s="72">
        <f t="shared" si="0"/>
        <v>37.932564265754458</v>
      </c>
      <c r="J19" s="13">
        <f t="shared" si="11"/>
        <v>4</v>
      </c>
      <c r="K19" s="13">
        <f t="shared" si="1"/>
        <v>9.3036424846486447</v>
      </c>
      <c r="L19" s="13">
        <f t="shared" si="7"/>
        <v>0.48835517962029668</v>
      </c>
      <c r="M19" s="13">
        <f t="shared" si="2"/>
        <v>5.2490750845822033E-2</v>
      </c>
      <c r="N19" s="13">
        <f t="shared" si="8"/>
        <v>0.88831226559828369</v>
      </c>
      <c r="O19" s="13">
        <f t="shared" si="9"/>
        <v>9.5480051717811792E-2</v>
      </c>
      <c r="P19" s="13">
        <f t="shared" si="10"/>
        <v>0.51374398595652415</v>
      </c>
      <c r="Q19" s="13">
        <f t="shared" si="3"/>
        <v>0.98937731877984136</v>
      </c>
      <c r="R19" s="21">
        <f t="shared" si="4"/>
        <v>1.512518844354737</v>
      </c>
      <c r="S19" s="13">
        <f t="shared" si="5"/>
        <v>0.58764946305344212</v>
      </c>
      <c r="T19" s="22">
        <f t="shared" si="6"/>
        <v>0.77704745993315816</v>
      </c>
      <c r="U19" s="22"/>
      <c r="V19" s="19"/>
      <c r="X19"/>
    </row>
    <row r="20" spans="3:24">
      <c r="C20" s="17"/>
      <c r="D20" s="18"/>
      <c r="E20" s="13"/>
      <c r="F20" s="13"/>
      <c r="G20" s="13"/>
      <c r="H20" s="13"/>
      <c r="I20" s="72">
        <f t="shared" si="0"/>
        <v>37.350073964908987</v>
      </c>
      <c r="J20" s="13">
        <f t="shared" si="11"/>
        <v>4.5</v>
      </c>
      <c r="K20" s="13">
        <f t="shared" si="1"/>
        <v>9.0581011028186325</v>
      </c>
      <c r="L20" s="13">
        <f t="shared" si="7"/>
        <v>0.51811139659222927</v>
      </c>
      <c r="M20" s="13">
        <f t="shared" si="2"/>
        <v>5.7198676710619539E-2</v>
      </c>
      <c r="N20" s="13">
        <f t="shared" si="8"/>
        <v>0.94243847049391605</v>
      </c>
      <c r="O20" s="13">
        <f t="shared" si="9"/>
        <v>0.10404371289261223</v>
      </c>
      <c r="P20" s="13">
        <f t="shared" si="10"/>
        <v>0.59193561804617778</v>
      </c>
      <c r="Q20" s="13">
        <f t="shared" si="3"/>
        <v>0.941165352406519</v>
      </c>
      <c r="R20" s="21">
        <f t="shared" si="4"/>
        <v>1.5507750451167261</v>
      </c>
      <c r="S20" s="13">
        <f t="shared" si="5"/>
        <v>0.71177394302011776</v>
      </c>
      <c r="T20" s="22">
        <f t="shared" si="6"/>
        <v>0.91795898478175852</v>
      </c>
      <c r="U20" s="22"/>
      <c r="V20" s="19"/>
      <c r="X20"/>
    </row>
    <row r="21" spans="3:24">
      <c r="C21" s="17"/>
      <c r="D21" s="22"/>
      <c r="E21" s="13"/>
      <c r="F21" s="13"/>
      <c r="G21" s="13"/>
      <c r="H21" s="13"/>
      <c r="I21" s="72">
        <f t="shared" si="0"/>
        <v>36.762216257160716</v>
      </c>
      <c r="J21" s="13">
        <f t="shared" si="11"/>
        <v>5</v>
      </c>
      <c r="K21" s="13">
        <f t="shared" si="1"/>
        <v>8.8102881308400836</v>
      </c>
      <c r="L21" s="13">
        <f t="shared" si="7"/>
        <v>0.5478676135641618</v>
      </c>
      <c r="M21" s="13">
        <f t="shared" si="2"/>
        <v>6.2184982537219387E-2</v>
      </c>
      <c r="N21" s="13">
        <f t="shared" si="8"/>
        <v>0.99656467538954829</v>
      </c>
      <c r="O21" s="13">
        <f t="shared" si="9"/>
        <v>0.11311374390822827</v>
      </c>
      <c r="P21" s="13">
        <f t="shared" si="10"/>
        <v>0.65685139907765289</v>
      </c>
      <c r="Q21" s="13">
        <f t="shared" si="3"/>
        <v>0.86533007688572339</v>
      </c>
      <c r="R21" s="21">
        <f t="shared" si="4"/>
        <v>1.6173010544416582</v>
      </c>
      <c r="S21" s="13">
        <f t="shared" si="5"/>
        <v>0.85905085223438937</v>
      </c>
      <c r="T21" s="22">
        <f t="shared" si="6"/>
        <v>1.0623264603397664</v>
      </c>
      <c r="U21" s="22"/>
      <c r="V21" s="19"/>
      <c r="X21"/>
    </row>
    <row r="22" spans="3:24">
      <c r="C22" s="17"/>
      <c r="D22" s="18"/>
      <c r="E22" s="13"/>
      <c r="F22" s="13"/>
      <c r="G22" s="13"/>
      <c r="H22" s="13"/>
      <c r="I22" s="72">
        <f t="shared" si="0"/>
        <v>36.169840871321725</v>
      </c>
      <c r="J22" s="13">
        <f t="shared" si="11"/>
        <v>5.5</v>
      </c>
      <c r="K22" s="13">
        <f t="shared" si="1"/>
        <v>8.563775699348799</v>
      </c>
      <c r="L22" s="13">
        <f t="shared" si="7"/>
        <v>0.57762383053609445</v>
      </c>
      <c r="M22" s="13">
        <f t="shared" si="2"/>
        <v>6.7449668325621576E-2</v>
      </c>
      <c r="N22" s="13">
        <f t="shared" si="8"/>
        <v>1.0506908802851809</v>
      </c>
      <c r="O22" s="13">
        <f t="shared" si="9"/>
        <v>0.12269014476465991</v>
      </c>
      <c r="P22" s="13">
        <f t="shared" si="10"/>
        <v>0.69993668746522364</v>
      </c>
      <c r="Q22" s="13">
        <f t="shared" si="3"/>
        <v>0.76400786552319933</v>
      </c>
      <c r="R22" s="21">
        <f t="shared" si="4"/>
        <v>1.721206012070815</v>
      </c>
      <c r="S22" s="13">
        <f t="shared" si="5"/>
        <v>1.0367987643167957</v>
      </c>
      <c r="T22" s="22">
        <f t="shared" si="6"/>
        <v>1.2047352345340741</v>
      </c>
      <c r="U22" s="22"/>
      <c r="V22" s="19"/>
      <c r="X22"/>
    </row>
    <row r="23" spans="3:24">
      <c r="C23" s="17"/>
      <c r="D23" s="18"/>
      <c r="E23" s="13"/>
      <c r="F23" s="13"/>
      <c r="G23" s="13"/>
      <c r="H23" s="13"/>
      <c r="I23" s="72">
        <f t="shared" si="0"/>
        <v>35.573632273221143</v>
      </c>
      <c r="J23" s="13">
        <f t="shared" si="11"/>
        <v>6</v>
      </c>
      <c r="K23" s="13">
        <f t="shared" si="1"/>
        <v>8.3211028494571817</v>
      </c>
      <c r="L23" s="13">
        <f t="shared" si="7"/>
        <v>0.6073800475080271</v>
      </c>
      <c r="M23" s="13">
        <f t="shared" si="2"/>
        <v>7.2992734075826127E-2</v>
      </c>
      <c r="N23" s="13">
        <f t="shared" si="8"/>
        <v>1.1048170851808135</v>
      </c>
      <c r="O23" s="13">
        <f t="shared" si="9"/>
        <v>0.13277291546190717</v>
      </c>
      <c r="P23" s="13">
        <f t="shared" si="10"/>
        <v>0.71293380926518646</v>
      </c>
      <c r="Q23" s="13">
        <f t="shared" si="3"/>
        <v>0.64178583975350989</v>
      </c>
      <c r="R23" s="21">
        <f t="shared" si="4"/>
        <v>1.8779615835432439</v>
      </c>
      <c r="S23" s="13">
        <f t="shared" si="5"/>
        <v>1.2571659876062784</v>
      </c>
      <c r="T23" s="22">
        <f t="shared" si="6"/>
        <v>1.3388623054091666</v>
      </c>
      <c r="U23" s="22"/>
      <c r="V23" s="19"/>
      <c r="X23"/>
    </row>
    <row r="24" spans="3:24">
      <c r="C24" s="17"/>
      <c r="D24" s="18"/>
      <c r="E24" s="13"/>
      <c r="F24" s="13"/>
      <c r="G24" s="13"/>
      <c r="H24" s="13"/>
      <c r="I24" s="72">
        <f t="shared" si="0"/>
        <v>34.974148200903507</v>
      </c>
      <c r="J24" s="13">
        <f t="shared" si="11"/>
        <v>6.5</v>
      </c>
      <c r="K24" s="13">
        <f t="shared" si="1"/>
        <v>8.0840308964087964</v>
      </c>
      <c r="L24" s="13">
        <f t="shared" si="7"/>
        <v>0.63713626447995964</v>
      </c>
      <c r="M24" s="13">
        <f t="shared" si="2"/>
        <v>7.8814179787832991E-2</v>
      </c>
      <c r="N24" s="13">
        <f t="shared" si="8"/>
        <v>1.1589432900764456</v>
      </c>
      <c r="O24" s="13">
        <f t="shared" si="9"/>
        <v>0.14336205599997001</v>
      </c>
      <c r="P24" s="13">
        <f t="shared" si="10"/>
        <v>0.68860533900339338</v>
      </c>
      <c r="Q24" s="13">
        <f t="shared" si="3"/>
        <v>0.50571343617130826</v>
      </c>
      <c r="R24" s="21">
        <f t="shared" si="4"/>
        <v>2.1155803425245541</v>
      </c>
      <c r="S24" s="13">
        <f t="shared" si="5"/>
        <v>1.5409886357642029</v>
      </c>
      <c r="T24" s="22">
        <f t="shared" si="6"/>
        <v>1.4567999189530356</v>
      </c>
      <c r="U24" s="22"/>
      <c r="V24" s="19"/>
      <c r="X24"/>
    </row>
    <row r="25" spans="3:24">
      <c r="C25" s="17"/>
      <c r="D25" s="18"/>
      <c r="E25" s="13"/>
      <c r="F25" s="13"/>
      <c r="G25" s="13"/>
      <c r="H25" s="13"/>
      <c r="I25" s="72">
        <f t="shared" si="0"/>
        <v>34.371847897169474</v>
      </c>
      <c r="J25" s="13">
        <f t="shared" si="11"/>
        <v>7</v>
      </c>
      <c r="K25" s="13">
        <f t="shared" si="1"/>
        <v>7.8537395312619456</v>
      </c>
      <c r="L25" s="13">
        <f t="shared" si="7"/>
        <v>0.66689248145189228</v>
      </c>
      <c r="M25" s="13">
        <f t="shared" si="2"/>
        <v>8.4914005461642225E-2</v>
      </c>
      <c r="N25" s="13">
        <f t="shared" si="8"/>
        <v>1.2130694949720782</v>
      </c>
      <c r="O25" s="13">
        <f t="shared" si="9"/>
        <v>0.15445756637884847</v>
      </c>
      <c r="P25" s="13">
        <f t="shared" si="10"/>
        <v>0.62147377085763245</v>
      </c>
      <c r="Q25" s="13">
        <f t="shared" si="3"/>
        <v>0.36508723480838867</v>
      </c>
      <c r="R25" s="21">
        <f t="shared" si="4"/>
        <v>2.4899088287063429</v>
      </c>
      <c r="S25" s="13">
        <f t="shared" si="5"/>
        <v>1.9264586811166311</v>
      </c>
      <c r="T25" s="22">
        <f t="shared" si="6"/>
        <v>1.5474130288678418</v>
      </c>
      <c r="U25" s="22"/>
      <c r="V25" s="19"/>
      <c r="X25"/>
    </row>
    <row r="26" spans="3:24">
      <c r="C26" s="17"/>
      <c r="D26" s="18"/>
      <c r="E26" s="13"/>
      <c r="F26" s="13"/>
      <c r="G26" s="13"/>
      <c r="H26" s="13"/>
      <c r="I26" s="72">
        <f t="shared" si="0"/>
        <v>33.767113115374769</v>
      </c>
      <c r="J26" s="13">
        <f t="shared" si="11"/>
        <v>7.5</v>
      </c>
      <c r="K26" s="13">
        <f t="shared" si="1"/>
        <v>7.630976290865422</v>
      </c>
      <c r="L26" s="13">
        <f t="shared" si="7"/>
        <v>0.69664869842382493</v>
      </c>
      <c r="M26" s="13">
        <f t="shared" si="2"/>
        <v>9.12922110972538E-2</v>
      </c>
      <c r="N26" s="13">
        <f t="shared" si="8"/>
        <v>1.2671956998677105</v>
      </c>
      <c r="O26" s="13">
        <f t="shared" si="9"/>
        <v>0.16605944659854252</v>
      </c>
      <c r="P26" s="13">
        <f t="shared" si="10"/>
        <v>0.50850894354771137</v>
      </c>
      <c r="Q26" s="13">
        <f t="shared" si="3"/>
        <v>0.23100614685781096</v>
      </c>
      <c r="R26" s="21">
        <f t="shared" si="4"/>
        <v>3.1301849651676781</v>
      </c>
      <c r="S26" s="13">
        <f t="shared" si="5"/>
        <v>2.491200039883358</v>
      </c>
      <c r="T26" s="22">
        <f t="shared" si="6"/>
        <v>1.5917270497463456</v>
      </c>
      <c r="U26" s="22"/>
      <c r="V26" s="19"/>
      <c r="X26"/>
    </row>
    <row r="27" spans="3:24">
      <c r="C27" s="17"/>
      <c r="D27" s="18"/>
      <c r="E27" s="13"/>
      <c r="F27" s="13"/>
      <c r="G27" s="13"/>
      <c r="H27" s="13"/>
      <c r="I27" s="72">
        <f t="shared" si="0"/>
        <v>33.160263967958386</v>
      </c>
      <c r="J27" s="13">
        <f t="shared" si="11"/>
        <v>8</v>
      </c>
      <c r="K27" s="13">
        <f t="shared" si="1"/>
        <v>7.4161698755744165</v>
      </c>
      <c r="L27" s="13">
        <f t="shared" si="7"/>
        <v>0.72640491539575747</v>
      </c>
      <c r="M27" s="13">
        <f t="shared" si="2"/>
        <v>9.7948796694667689E-2</v>
      </c>
      <c r="N27" s="13">
        <f t="shared" si="8"/>
        <v>1.3213219047633429</v>
      </c>
      <c r="O27" s="13">
        <f t="shared" si="9"/>
        <v>0.17816769665905213</v>
      </c>
      <c r="P27" s="13">
        <f t="shared" si="10"/>
        <v>0.34969378566372006</v>
      </c>
      <c r="Q27" s="13">
        <f t="shared" si="3"/>
        <v>0.11571387281002272</v>
      </c>
      <c r="R27" s="21">
        <f t="shared" si="4"/>
        <v>4.4227160217565116</v>
      </c>
      <c r="S27" s="13">
        <f t="shared" si="5"/>
        <v>3.4200781365369046</v>
      </c>
      <c r="T27" s="22">
        <f t="shared" si="6"/>
        <v>1.5465963085636223</v>
      </c>
      <c r="U27" s="22"/>
      <c r="V27" s="19"/>
      <c r="X27"/>
    </row>
    <row r="28" spans="3:24">
      <c r="C28" s="17"/>
      <c r="D28" s="18"/>
      <c r="E28" s="13"/>
      <c r="F28" s="13"/>
      <c r="G28" s="13"/>
      <c r="H28" s="13"/>
      <c r="I28" s="72">
        <f t="shared" si="0"/>
        <v>32.551571036596549</v>
      </c>
      <c r="J28" s="13">
        <f t="shared" si="11"/>
        <v>8.5</v>
      </c>
      <c r="K28" s="13">
        <f t="shared" si="1"/>
        <v>7.2095157164300598</v>
      </c>
      <c r="L28" s="13">
        <f t="shared" si="7"/>
        <v>0.75616113236769011</v>
      </c>
      <c r="M28" s="13">
        <f t="shared" si="2"/>
        <v>0.10488376225388393</v>
      </c>
      <c r="N28" s="13">
        <f t="shared" si="8"/>
        <v>1.3754481096589755</v>
      </c>
      <c r="O28" s="13">
        <f t="shared" si="9"/>
        <v>0.19078231656037736</v>
      </c>
      <c r="P28" s="13">
        <f t="shared" si="10"/>
        <v>0.14840438919075047</v>
      </c>
      <c r="Q28" s="13">
        <f t="shared" si="3"/>
        <v>3.176573965077939E-2</v>
      </c>
      <c r="R28" s="21">
        <f t="shared" si="4"/>
        <v>8.4411629323805712</v>
      </c>
      <c r="S28" s="13">
        <f t="shared" si="5"/>
        <v>5.2871461605165369</v>
      </c>
      <c r="T28" s="22">
        <f t="shared" si="6"/>
        <v>1.2527056290395429</v>
      </c>
      <c r="U28" s="22"/>
      <c r="V28" s="19"/>
      <c r="X28"/>
    </row>
    <row r="29" spans="3:24">
      <c r="C29" s="17"/>
      <c r="D29" s="18"/>
      <c r="E29" s="13"/>
      <c r="F29" s="13"/>
      <c r="G29" s="13"/>
      <c r="H29" s="13"/>
      <c r="I29" s="72">
        <f t="shared" si="0"/>
        <v>31.941264733662628</v>
      </c>
      <c r="J29" s="13">
        <f t="shared" si="11"/>
        <v>9</v>
      </c>
      <c r="K29" s="13">
        <f t="shared" si="1"/>
        <v>7.0110403822174456</v>
      </c>
      <c r="L29" s="13">
        <f t="shared" si="7"/>
        <v>0.78591734933962265</v>
      </c>
      <c r="M29" s="13">
        <f t="shared" si="2"/>
        <v>0.1120971077749025</v>
      </c>
      <c r="N29" s="13">
        <f t="shared" si="8"/>
        <v>1.4295743145546078</v>
      </c>
      <c r="O29" s="13">
        <f t="shared" si="9"/>
        <v>0.20390330630251816</v>
      </c>
      <c r="P29" s="13">
        <f t="shared" si="10"/>
        <v>-8.8448031524939186E-2</v>
      </c>
      <c r="Q29" s="13">
        <f t="shared" si="3"/>
        <v>-8.9244577587554476E-3</v>
      </c>
      <c r="R29" s="21">
        <f t="shared" si="4"/>
        <v>0</v>
      </c>
      <c r="S29" s="13">
        <f t="shared" si="5"/>
        <v>0</v>
      </c>
      <c r="T29" s="22">
        <f t="shared" si="6"/>
        <v>0</v>
      </c>
      <c r="U29" s="22"/>
      <c r="V29" s="19"/>
      <c r="X29"/>
    </row>
    <row r="30" spans="3:24">
      <c r="C30" s="17"/>
      <c r="D30" s="18"/>
      <c r="E30" s="13"/>
      <c r="F30" s="13"/>
      <c r="G30" s="13"/>
      <c r="H30" s="13"/>
      <c r="I30" s="72">
        <f t="shared" si="0"/>
        <v>31.329542616186998</v>
      </c>
      <c r="J30" s="13">
        <f t="shared" si="11"/>
        <v>9.5</v>
      </c>
      <c r="K30" s="13">
        <f t="shared" si="1"/>
        <v>6.8206499226705715</v>
      </c>
      <c r="L30" s="13">
        <f t="shared" si="7"/>
        <v>0.8156735663115553</v>
      </c>
      <c r="M30" s="13">
        <f t="shared" si="2"/>
        <v>0.11958883325772345</v>
      </c>
      <c r="N30" s="13">
        <f t="shared" si="8"/>
        <v>1.4837005194502402</v>
      </c>
      <c r="O30" s="13">
        <f t="shared" si="9"/>
        <v>0.21753066588547459</v>
      </c>
      <c r="P30" s="13">
        <f t="shared" si="10"/>
        <v>-0.35054876832236015</v>
      </c>
      <c r="Q30" s="13">
        <f t="shared" si="3"/>
        <v>3.9129459573688805E-3</v>
      </c>
      <c r="R30" s="21">
        <f t="shared" si="4"/>
        <v>24.050817581274458</v>
      </c>
      <c r="S30" s="13">
        <f t="shared" si="5"/>
        <v>-101.38603488266301</v>
      </c>
      <c r="T30" s="22">
        <f t="shared" si="6"/>
        <v>-8.430984480261527</v>
      </c>
      <c r="U30" s="22"/>
      <c r="V30" s="19"/>
      <c r="X30"/>
    </row>
    <row r="31" spans="3:24">
      <c r="C31" s="17"/>
      <c r="D31" s="18"/>
      <c r="E31" s="13"/>
      <c r="F31" s="13"/>
      <c r="G31" s="13"/>
      <c r="H31" s="13"/>
      <c r="I31" s="72">
        <f t="shared" si="0"/>
        <v>30.716575156292201</v>
      </c>
      <c r="J31" s="13">
        <f t="shared" si="11"/>
        <v>10</v>
      </c>
      <c r="K31" s="13">
        <f t="shared" si="1"/>
        <v>6.6381660517708925</v>
      </c>
      <c r="L31" s="13">
        <f t="shared" si="7"/>
        <v>0.84542978328348783</v>
      </c>
      <c r="M31" s="13">
        <f t="shared" si="2"/>
        <v>0.12735893870234669</v>
      </c>
      <c r="N31" s="13">
        <f t="shared" si="8"/>
        <v>1.5378267243458725</v>
      </c>
      <c r="O31" s="13">
        <f t="shared" si="9"/>
        <v>0.23166439530924657</v>
      </c>
      <c r="P31" s="13">
        <f t="shared" si="10"/>
        <v>-0.62459913116624344</v>
      </c>
      <c r="Q31" s="13">
        <f t="shared" si="3"/>
        <v>7.7931749790738386E-2</v>
      </c>
      <c r="R31" s="21">
        <f t="shared" si="4"/>
        <v>5.3892031564336582</v>
      </c>
      <c r="S31" s="13">
        <f t="shared" si="5"/>
        <v>-9.0702757625372836</v>
      </c>
      <c r="T31" s="22">
        <f t="shared" si="6"/>
        <v>-3.3660916091868396</v>
      </c>
      <c r="U31" s="22"/>
      <c r="V31" s="19"/>
      <c r="X31"/>
    </row>
    <row r="32" spans="3:24" ht="15" thickBot="1">
      <c r="C32" s="23"/>
      <c r="D32" s="24"/>
      <c r="E32" s="25"/>
      <c r="F32" s="25"/>
      <c r="G32" s="25"/>
      <c r="H32" s="25"/>
      <c r="I32" s="75">
        <f t="shared" si="0"/>
        <v>30.102510335139364</v>
      </c>
      <c r="J32" s="25">
        <v>10.5</v>
      </c>
      <c r="K32" s="25">
        <f t="shared" si="1"/>
        <v>6.4633531434169118</v>
      </c>
      <c r="L32" s="25">
        <f t="shared" si="7"/>
        <v>0.87518600025542048</v>
      </c>
      <c r="M32" s="25">
        <f t="shared" si="2"/>
        <v>0.13540742410877232</v>
      </c>
      <c r="N32" s="13">
        <f t="shared" si="8"/>
        <v>1.5919529292415051</v>
      </c>
      <c r="O32" s="13">
        <f t="shared" si="9"/>
        <v>0.24630449457383422</v>
      </c>
      <c r="P32" s="13">
        <f t="shared" si="10"/>
        <v>-0.89501440178129565</v>
      </c>
      <c r="Q32" s="25">
        <f t="shared" si="3"/>
        <v>0.21731268541571463</v>
      </c>
      <c r="R32" s="26">
        <f t="shared" si="4"/>
        <v>3.2272991971562499</v>
      </c>
      <c r="S32" s="25">
        <f t="shared" si="5"/>
        <v>-4.6609933989037895</v>
      </c>
      <c r="T32" s="27">
        <f t="shared" si="6"/>
        <v>-2.8884792603120566</v>
      </c>
      <c r="U32" s="27"/>
      <c r="V32" s="28"/>
      <c r="X32"/>
    </row>
    <row r="33" spans="1:24" ht="27" customHeight="1" thickBot="1">
      <c r="T33" s="8"/>
      <c r="V33" s="9"/>
    </row>
    <row r="34" spans="1:24" ht="17" thickBot="1">
      <c r="A34"/>
      <c r="B34"/>
      <c r="C34" s="42" t="s">
        <v>36</v>
      </c>
      <c r="D34" s="43" t="s">
        <v>37</v>
      </c>
      <c r="E34" s="35" t="s">
        <v>24</v>
      </c>
      <c r="F34" s="36" t="s">
        <v>29</v>
      </c>
      <c r="G34" s="36" t="s">
        <v>30</v>
      </c>
      <c r="H34" s="97" t="s">
        <v>56</v>
      </c>
      <c r="I34" s="36" t="s">
        <v>77</v>
      </c>
      <c r="J34" s="36" t="s">
        <v>80</v>
      </c>
      <c r="K34" s="36" t="s">
        <v>81</v>
      </c>
      <c r="L34" s="110" t="s">
        <v>92</v>
      </c>
      <c r="M34" s="36" t="s">
        <v>89</v>
      </c>
      <c r="N34" s="36" t="s">
        <v>90</v>
      </c>
      <c r="O34" s="38" t="s">
        <v>91</v>
      </c>
      <c r="P34" s="15"/>
      <c r="Q34" s="15"/>
      <c r="R34" s="15"/>
      <c r="S34" s="15"/>
      <c r="T34" s="40"/>
      <c r="U34" s="40"/>
      <c r="V34" s="16"/>
      <c r="W34"/>
      <c r="X34"/>
    </row>
    <row r="35" spans="1:24" ht="16" thickTop="1" thickBot="1">
      <c r="A35"/>
      <c r="B35"/>
      <c r="C35" s="44">
        <v>8</v>
      </c>
      <c r="D35" s="45">
        <f>MAX(T38:T59)</f>
        <v>2.2644922162874397</v>
      </c>
      <c r="E35" s="25">
        <f>$M$4-H35</f>
        <v>1.0185428435018586</v>
      </c>
      <c r="F35" s="25">
        <f>MAX(N38:N60)</f>
        <v>3.7780988736468206</v>
      </c>
      <c r="G35" s="25">
        <f>F35*$L$4</f>
        <v>0.68005779725642757</v>
      </c>
      <c r="H35" s="75">
        <f>(-N35+SQRT(N35^2-4*$P$4*O35))/(2*$P$4)</f>
        <v>0.2006571564981415</v>
      </c>
      <c r="I35" s="25">
        <f>$H$4*SBT!$C$23</f>
        <v>4.4225409836065571E-2</v>
      </c>
      <c r="J35" s="25">
        <f>I35+SBT!$B$23</f>
        <v>0.19422540983606557</v>
      </c>
      <c r="K35" s="25">
        <f>SBT!$B$12*H35</f>
        <v>0.26085430344758398</v>
      </c>
      <c r="L35" s="25">
        <f>(F35*$L$4-(SBT!$F$23*K35+0.5*SBT!$E$23*K35^2)*9.81)/(J35*9.81)</f>
        <v>0.11362260468018981</v>
      </c>
      <c r="M35" s="79">
        <f>J35+SBT!$F$23+2*SBT!$G$23+H35*SBT!$D$23+K35*SBT!$E$23</f>
        <v>0.69095881076564281</v>
      </c>
      <c r="N35" s="25">
        <f>(SBT!$G$23+(SBT!$F$23+J35)*0.5)*9.81</f>
        <v>3.1869031352459021</v>
      </c>
      <c r="O35" s="37">
        <f>-F35*$L$4</f>
        <v>-0.68005779725642757</v>
      </c>
      <c r="P35" s="13"/>
      <c r="Q35" s="13"/>
      <c r="R35" s="13"/>
      <c r="S35" s="13"/>
      <c r="T35" s="13"/>
      <c r="U35" s="13"/>
      <c r="V35" s="19"/>
      <c r="W35"/>
      <c r="X35"/>
    </row>
    <row r="36" spans="1:24">
      <c r="A36"/>
      <c r="B36"/>
      <c r="C36" s="41"/>
      <c r="D36" s="13"/>
      <c r="E36" s="13"/>
      <c r="F36" s="13"/>
      <c r="G36" s="13"/>
      <c r="H36" s="13"/>
      <c r="I36" s="76"/>
      <c r="J36" s="18"/>
      <c r="K36" s="18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9"/>
      <c r="W36"/>
      <c r="X36"/>
    </row>
    <row r="37" spans="1:24" ht="17" thickBot="1">
      <c r="A37"/>
      <c r="B37"/>
      <c r="C37" s="47" t="s">
        <v>40</v>
      </c>
      <c r="D37" s="48" t="s">
        <v>42</v>
      </c>
      <c r="E37" s="30" t="s">
        <v>35</v>
      </c>
      <c r="F37" s="29" t="s">
        <v>34</v>
      </c>
      <c r="G37" s="29" t="s">
        <v>41</v>
      </c>
      <c r="H37" s="29" t="s">
        <v>7</v>
      </c>
      <c r="I37" s="70" t="s">
        <v>16</v>
      </c>
      <c r="J37" s="71" t="s">
        <v>17</v>
      </c>
      <c r="K37" s="29" t="s">
        <v>18</v>
      </c>
      <c r="L37" s="46" t="s">
        <v>39</v>
      </c>
      <c r="M37" s="31" t="s">
        <v>10</v>
      </c>
      <c r="N37" s="31" t="s">
        <v>13</v>
      </c>
      <c r="O37" s="31" t="s">
        <v>14</v>
      </c>
      <c r="P37" s="31" t="s">
        <v>8</v>
      </c>
      <c r="Q37" s="31" t="s">
        <v>9</v>
      </c>
      <c r="R37" s="31" t="s">
        <v>19</v>
      </c>
      <c r="S37" s="31" t="s">
        <v>25</v>
      </c>
      <c r="T37" s="32" t="s">
        <v>27</v>
      </c>
      <c r="U37" s="32"/>
      <c r="V37" s="33"/>
      <c r="W37"/>
      <c r="X37"/>
    </row>
    <row r="38" spans="1:24" ht="15" thickTop="1">
      <c r="C38" s="50">
        <v>5.3227779167653475</v>
      </c>
      <c r="D38" s="51">
        <v>0.77180000000000004</v>
      </c>
      <c r="E38" s="7">
        <f>$K$4/(2+SQRT(4+$K$4^2))</f>
        <v>0.53518375848799637</v>
      </c>
      <c r="F38" s="7">
        <f>C38*E38</f>
        <v>2.8486642910913864</v>
      </c>
      <c r="G38" s="12">
        <f>D38*E38</f>
        <v>0.41305482480103561</v>
      </c>
      <c r="H38" s="14">
        <f>F38*PI()/180</f>
        <v>4.9718571163534869E-2</v>
      </c>
      <c r="I38" s="72">
        <f t="shared" ref="I38:I57" si="12">0.5*ATAN(K38)*180/PI()-J38</f>
        <v>42.109337305973519</v>
      </c>
      <c r="J38" s="13">
        <v>0</v>
      </c>
      <c r="K38" s="13">
        <f t="shared" ref="K38:K57" si="13">L38/M38</f>
        <v>9.8768348477550401</v>
      </c>
      <c r="L38" s="13">
        <f>$H$38*J38+$G$38</f>
        <v>0.41305482480103561</v>
      </c>
      <c r="M38" s="13">
        <f t="shared" ref="M38:M57" si="14">0.015+0.1572*(L38^2)</f>
        <v>4.1820566119410318E-2</v>
      </c>
      <c r="N38" s="13">
        <f t="shared" ref="N38:O57" si="15">$N$4*L38</f>
        <v>1.7625875483909792</v>
      </c>
      <c r="O38" s="13">
        <f t="shared" si="15"/>
        <v>0.17845671974474769</v>
      </c>
      <c r="P38" s="13">
        <f>((N38*COS(I38+J38)+O38*SIN(I38+J38))*SIN(J38+I38)-O38)/$M$35</f>
        <v>0.70185781812463288</v>
      </c>
      <c r="Q38" s="13">
        <f t="shared" ref="Q38:Q57" si="16">P38*TAN(I38+J38)</f>
        <v>2.2516488371770285</v>
      </c>
      <c r="R38" s="21">
        <f>IF(ISERROR(SQRT(2*$E$35/Q38)),0,SQRT(2*$E$35/Q38))</f>
        <v>0.95116162199656362</v>
      </c>
      <c r="S38" s="13">
        <f t="shared" ref="S38:S57" si="17">0.5*P38*R38^2</f>
        <v>0.31748834276615462</v>
      </c>
      <c r="T38" s="22">
        <f t="shared" ref="T38:T57" si="18">R38*P38</f>
        <v>0.66758022069839495</v>
      </c>
      <c r="U38" s="22"/>
      <c r="V38" s="19"/>
    </row>
    <row r="39" spans="1:24">
      <c r="C39" s="17"/>
      <c r="D39" s="18"/>
      <c r="E39" s="13"/>
      <c r="F39" s="13"/>
      <c r="G39" s="13"/>
      <c r="H39" s="13"/>
      <c r="I39" s="72">
        <f t="shared" si="12"/>
        <v>41.556988880224885</v>
      </c>
      <c r="J39" s="13">
        <f>J38+0.5</f>
        <v>0.5</v>
      </c>
      <c r="K39" s="13">
        <f t="shared" si="13"/>
        <v>9.6999428981131768</v>
      </c>
      <c r="L39" s="13">
        <f t="shared" ref="L39:L57" si="19">$H$38*J39+$G$38</f>
        <v>0.43791411038280303</v>
      </c>
      <c r="M39" s="13">
        <f t="shared" si="14"/>
        <v>4.5146050340975269E-2</v>
      </c>
      <c r="N39" s="13">
        <f t="shared" si="15"/>
        <v>1.8686670918254971</v>
      </c>
      <c r="O39" s="13">
        <f t="shared" si="15"/>
        <v>0.19264722601500966</v>
      </c>
      <c r="P39" s="13">
        <f t="shared" ref="P39:P57" si="20">((N39*COS(I39+J39)+O39*SIN(I39+J39))*SIN(J39+I39)-O39)/$M$35</f>
        <v>0.84682909730029632</v>
      </c>
      <c r="Q39" s="13">
        <f t="shared" si="16"/>
        <v>2.2877991512269582</v>
      </c>
      <c r="R39" s="21">
        <f t="shared" ref="R39:R57" si="21">IF(ISERROR(SQRT(2*$E$35/Q39)),0,SQRT(2*$E$35/Q39))</f>
        <v>0.94361688041964353</v>
      </c>
      <c r="S39" s="13">
        <f t="shared" si="17"/>
        <v>0.37701374102782398</v>
      </c>
      <c r="T39" s="22">
        <f t="shared" si="18"/>
        <v>0.7990822310430884</v>
      </c>
      <c r="U39" s="22"/>
      <c r="V39" s="19"/>
    </row>
    <row r="40" spans="1:24">
      <c r="C40" s="20"/>
      <c r="D40" s="11"/>
      <c r="E40" s="13"/>
      <c r="F40" s="13"/>
      <c r="G40" s="13"/>
      <c r="H40" s="13"/>
      <c r="I40" s="72">
        <f t="shared" si="12"/>
        <v>40.998384505869417</v>
      </c>
      <c r="J40" s="13">
        <f t="shared" ref="J40:J56" si="22">J39+0.5</f>
        <v>1</v>
      </c>
      <c r="K40" s="13">
        <f t="shared" si="13"/>
        <v>9.5092061058616153</v>
      </c>
      <c r="L40" s="13">
        <f t="shared" si="19"/>
        <v>0.46277339596457046</v>
      </c>
      <c r="M40" s="13">
        <f t="shared" si="14"/>
        <v>4.8665828757177752E-2</v>
      </c>
      <c r="N40" s="13">
        <f t="shared" si="15"/>
        <v>1.9747466352600149</v>
      </c>
      <c r="O40" s="13">
        <f t="shared" si="15"/>
        <v>0.20766682447262891</v>
      </c>
      <c r="P40" s="13">
        <f t="shared" si="20"/>
        <v>1.0024151604497162</v>
      </c>
      <c r="Q40" s="13">
        <f t="shared" si="16"/>
        <v>2.2868374168973111</v>
      </c>
      <c r="R40" s="21">
        <f t="shared" si="21"/>
        <v>0.94381527960351308</v>
      </c>
      <c r="S40" s="13">
        <f t="shared" si="17"/>
        <v>0.44646933811284284</v>
      </c>
      <c r="T40" s="22">
        <f t="shared" si="18"/>
        <v>0.94609474493864931</v>
      </c>
      <c r="U40" s="22"/>
      <c r="V40" s="19"/>
    </row>
    <row r="41" spans="1:24">
      <c r="C41" s="17"/>
      <c r="D41" s="18"/>
      <c r="E41" s="13"/>
      <c r="F41" s="13"/>
      <c r="G41" s="13"/>
      <c r="H41" s="13"/>
      <c r="I41" s="72">
        <f t="shared" si="12"/>
        <v>40.434491998510296</v>
      </c>
      <c r="J41" s="13">
        <f t="shared" si="22"/>
        <v>1.5</v>
      </c>
      <c r="K41" s="13">
        <f t="shared" si="13"/>
        <v>9.3095379871043029</v>
      </c>
      <c r="L41" s="13">
        <f t="shared" si="19"/>
        <v>0.48763268154633793</v>
      </c>
      <c r="M41" s="13">
        <f t="shared" si="14"/>
        <v>5.2379901368017755E-2</v>
      </c>
      <c r="N41" s="13">
        <f t="shared" si="15"/>
        <v>2.080826178694533</v>
      </c>
      <c r="O41" s="13">
        <f t="shared" si="15"/>
        <v>0.22351551511760537</v>
      </c>
      <c r="P41" s="13">
        <f t="shared" si="20"/>
        <v>1.1601224608777225</v>
      </c>
      <c r="Q41" s="13">
        <f t="shared" si="16"/>
        <v>2.2447544839022431</v>
      </c>
      <c r="R41" s="21">
        <f t="shared" si="21"/>
        <v>0.95262116174943356</v>
      </c>
      <c r="S41" s="13">
        <f t="shared" si="17"/>
        <v>0.5263980709634829</v>
      </c>
      <c r="T41" s="22">
        <f t="shared" si="18"/>
        <v>1.1051572064529478</v>
      </c>
      <c r="U41" s="22"/>
      <c r="V41" s="19"/>
    </row>
    <row r="42" spans="1:24">
      <c r="C42" s="17"/>
      <c r="D42" s="13"/>
      <c r="E42" s="13"/>
      <c r="F42" s="13"/>
      <c r="G42" s="13"/>
      <c r="H42" s="13"/>
      <c r="I42" s="72">
        <f t="shared" si="12"/>
        <v>39.86609231573479</v>
      </c>
      <c r="J42" s="13">
        <f t="shared" si="22"/>
        <v>2</v>
      </c>
      <c r="K42" s="13">
        <f t="shared" si="13"/>
        <v>9.1047741164903151</v>
      </c>
      <c r="L42" s="13">
        <f t="shared" si="19"/>
        <v>0.51249196712810541</v>
      </c>
      <c r="M42" s="13">
        <f t="shared" si="14"/>
        <v>5.6288268173495276E-2</v>
      </c>
      <c r="N42" s="13">
        <f t="shared" si="15"/>
        <v>2.1869057221290515</v>
      </c>
      <c r="O42" s="13">
        <f t="shared" si="15"/>
        <v>0.24019329794993904</v>
      </c>
      <c r="P42" s="13">
        <f t="shared" si="20"/>
        <v>1.3101459115270457</v>
      </c>
      <c r="Q42" s="13">
        <f t="shared" si="16"/>
        <v>2.1590871518070056</v>
      </c>
      <c r="R42" s="21">
        <f t="shared" si="21"/>
        <v>0.97133617253461746</v>
      </c>
      <c r="S42" s="13">
        <f t="shared" si="17"/>
        <v>0.61805737717083753</v>
      </c>
      <c r="T42" s="22">
        <f t="shared" si="18"/>
        <v>1.2725921151645581</v>
      </c>
      <c r="U42" s="22"/>
      <c r="V42" s="19"/>
    </row>
    <row r="43" spans="1:24">
      <c r="C43" s="17"/>
      <c r="D43" s="13"/>
      <c r="E43" s="13"/>
      <c r="F43" s="13"/>
      <c r="G43" s="13"/>
      <c r="H43" s="13"/>
      <c r="I43" s="72">
        <f t="shared" si="12"/>
        <v>39.293822700275662</v>
      </c>
      <c r="J43" s="13">
        <f t="shared" si="22"/>
        <v>2.5</v>
      </c>
      <c r="K43" s="13">
        <f t="shared" si="13"/>
        <v>8.8978801959663372</v>
      </c>
      <c r="L43" s="13">
        <f t="shared" si="19"/>
        <v>0.53735125270987283</v>
      </c>
      <c r="M43" s="13">
        <f t="shared" si="14"/>
        <v>6.0390929173610303E-2</v>
      </c>
      <c r="N43" s="13">
        <f t="shared" si="15"/>
        <v>2.2929852655635692</v>
      </c>
      <c r="O43" s="13">
        <f t="shared" si="15"/>
        <v>0.25770017296962988</v>
      </c>
      <c r="P43" s="13">
        <f t="shared" si="20"/>
        <v>1.4417051485736676</v>
      </c>
      <c r="Q43" s="13">
        <f t="shared" si="16"/>
        <v>2.029400032496556</v>
      </c>
      <c r="R43" s="21">
        <f t="shared" si="21"/>
        <v>1.0018917885674394</v>
      </c>
      <c r="S43" s="13">
        <f t="shared" si="17"/>
        <v>0.72358255543783978</v>
      </c>
      <c r="T43" s="22">
        <f t="shared" si="18"/>
        <v>1.4444325498913579</v>
      </c>
      <c r="U43" s="22"/>
      <c r="V43" s="19"/>
    </row>
    <row r="44" spans="1:24">
      <c r="C44" s="17"/>
      <c r="D44" s="13"/>
      <c r="E44" s="13"/>
      <c r="F44" s="13"/>
      <c r="G44" s="13"/>
      <c r="H44" s="13"/>
      <c r="I44" s="72">
        <f t="shared" si="12"/>
        <v>38.718208399099659</v>
      </c>
      <c r="J44" s="13">
        <f t="shared" si="22"/>
        <v>3</v>
      </c>
      <c r="K44" s="13">
        <f t="shared" si="13"/>
        <v>8.6911257615128097</v>
      </c>
      <c r="L44" s="13">
        <f t="shared" si="19"/>
        <v>0.56221053829164025</v>
      </c>
      <c r="M44" s="13">
        <f t="shared" si="14"/>
        <v>6.4687884368362855E-2</v>
      </c>
      <c r="N44" s="13">
        <f t="shared" si="15"/>
        <v>2.3990648089980873</v>
      </c>
      <c r="O44" s="13">
        <f t="shared" si="15"/>
        <v>0.27603614017667799</v>
      </c>
      <c r="P44" s="13">
        <f t="shared" si="20"/>
        <v>1.5435079234739204</v>
      </c>
      <c r="Q44" s="13">
        <f t="shared" si="16"/>
        <v>1.8576642845075331</v>
      </c>
      <c r="R44" s="21">
        <f t="shared" si="21"/>
        <v>1.0471792619003919</v>
      </c>
      <c r="S44" s="13">
        <f t="shared" si="17"/>
        <v>0.84629336013721557</v>
      </c>
      <c r="T44" s="22">
        <f t="shared" si="18"/>
        <v>1.6163294880408265</v>
      </c>
      <c r="U44" s="22"/>
      <c r="V44" s="19"/>
    </row>
    <row r="45" spans="1:24">
      <c r="C45" s="17"/>
      <c r="D45" s="13"/>
      <c r="E45" s="13"/>
      <c r="F45" s="13"/>
      <c r="G45" s="13"/>
      <c r="H45" s="13"/>
      <c r="I45" s="72">
        <f t="shared" si="12"/>
        <v>38.139686337681525</v>
      </c>
      <c r="J45" s="13">
        <f t="shared" si="22"/>
        <v>3.5</v>
      </c>
      <c r="K45" s="13">
        <f t="shared" si="13"/>
        <v>8.4862268719520451</v>
      </c>
      <c r="L45" s="13">
        <f t="shared" si="19"/>
        <v>0.58706982387340767</v>
      </c>
      <c r="M45" s="13">
        <f t="shared" si="14"/>
        <v>6.917913375775292E-2</v>
      </c>
      <c r="N45" s="13">
        <f t="shared" si="15"/>
        <v>2.5051443524326054</v>
      </c>
      <c r="O45" s="13">
        <f t="shared" si="15"/>
        <v>0.29520119957108326</v>
      </c>
      <c r="P45" s="13">
        <f t="shared" si="20"/>
        <v>1.6043196386090295</v>
      </c>
      <c r="Q45" s="13">
        <f t="shared" si="16"/>
        <v>1.6485077145575944</v>
      </c>
      <c r="R45" s="21">
        <f t="shared" si="21"/>
        <v>1.1116271792963013</v>
      </c>
      <c r="S45" s="13">
        <f t="shared" si="17"/>
        <v>0.99124090968130252</v>
      </c>
      <c r="T45" s="22">
        <f t="shared" si="18"/>
        <v>1.7834053145566169</v>
      </c>
      <c r="U45" s="22"/>
      <c r="V45" s="19"/>
    </row>
    <row r="46" spans="1:24">
      <c r="C46" s="17"/>
      <c r="D46" s="13"/>
      <c r="E46" s="13"/>
      <c r="F46" s="13"/>
      <c r="G46" s="13"/>
      <c r="H46" s="13"/>
      <c r="I46" s="72">
        <f t="shared" si="12"/>
        <v>37.558623032871623</v>
      </c>
      <c r="J46" s="13">
        <f t="shared" si="22"/>
        <v>4</v>
      </c>
      <c r="K46" s="13">
        <f t="shared" si="13"/>
        <v>8.2844619576920042</v>
      </c>
      <c r="L46" s="13">
        <f t="shared" si="19"/>
        <v>0.61192910945517509</v>
      </c>
      <c r="M46" s="13">
        <f t="shared" si="14"/>
        <v>7.3864677341780496E-2</v>
      </c>
      <c r="N46" s="13">
        <f t="shared" si="15"/>
        <v>2.611223895867123</v>
      </c>
      <c r="O46" s="13">
        <f t="shared" si="15"/>
        <v>0.31519535115284575</v>
      </c>
      <c r="P46" s="13">
        <f t="shared" si="20"/>
        <v>1.6136089821671922</v>
      </c>
      <c r="Q46" s="13">
        <f t="shared" si="16"/>
        <v>1.4093131429190182</v>
      </c>
      <c r="R46" s="21">
        <f t="shared" si="21"/>
        <v>1.2022669195526672</v>
      </c>
      <c r="S46" s="13">
        <f t="shared" si="17"/>
        <v>1.1661921193699905</v>
      </c>
      <c r="T46" s="22">
        <f t="shared" si="18"/>
        <v>1.9399887003526648</v>
      </c>
      <c r="U46" s="22"/>
      <c r="V46" s="19"/>
    </row>
    <row r="47" spans="1:24">
      <c r="C47" s="17"/>
      <c r="D47" s="18"/>
      <c r="E47" s="13"/>
      <c r="F47" s="13"/>
      <c r="G47" s="13"/>
      <c r="H47" s="13"/>
      <c r="I47" s="72">
        <f t="shared" si="12"/>
        <v>36.975328316060626</v>
      </c>
      <c r="J47" s="13">
        <f t="shared" si="22"/>
        <v>4.5</v>
      </c>
      <c r="K47" s="13">
        <f t="shared" si="13"/>
        <v>8.0867650789763221</v>
      </c>
      <c r="L47" s="13">
        <f t="shared" si="19"/>
        <v>0.63678839503694251</v>
      </c>
      <c r="M47" s="13">
        <f t="shared" si="14"/>
        <v>7.8744515120445599E-2</v>
      </c>
      <c r="N47" s="13">
        <f t="shared" si="15"/>
        <v>2.7173034393016411</v>
      </c>
      <c r="O47" s="13">
        <f t="shared" si="15"/>
        <v>0.33601859492196545</v>
      </c>
      <c r="P47" s="13">
        <f t="shared" si="20"/>
        <v>1.5622324015750284</v>
      </c>
      <c r="Q47" s="13">
        <f t="shared" si="16"/>
        <v>1.1501477010662018</v>
      </c>
      <c r="R47" s="21">
        <f t="shared" si="21"/>
        <v>1.3308461140115557</v>
      </c>
      <c r="S47" s="13">
        <f t="shared" si="17"/>
        <v>1.3834750363243811</v>
      </c>
      <c r="T47" s="22">
        <f t="shared" si="18"/>
        <v>2.0790909208190667</v>
      </c>
      <c r="U47" s="22"/>
      <c r="V47" s="19"/>
    </row>
    <row r="48" spans="1:24">
      <c r="C48" s="17"/>
      <c r="D48" s="22"/>
      <c r="E48" s="13"/>
      <c r="F48" s="13"/>
      <c r="G48" s="13"/>
      <c r="H48" s="13"/>
      <c r="I48" s="72">
        <f t="shared" si="12"/>
        <v>36.390065966796492</v>
      </c>
      <c r="J48" s="13">
        <f t="shared" si="22"/>
        <v>5</v>
      </c>
      <c r="K48" s="13">
        <f t="shared" si="13"/>
        <v>7.8938005272106126</v>
      </c>
      <c r="L48" s="13">
        <f t="shared" si="19"/>
        <v>0.66164768061870993</v>
      </c>
      <c r="M48" s="13">
        <f t="shared" si="14"/>
        <v>8.3818647093748214E-2</v>
      </c>
      <c r="N48" s="13">
        <f t="shared" si="15"/>
        <v>2.8233829827361587</v>
      </c>
      <c r="O48" s="13">
        <f t="shared" si="15"/>
        <v>0.35767093087844237</v>
      </c>
      <c r="P48" s="13">
        <f t="shared" si="20"/>
        <v>1.4431150548412546</v>
      </c>
      <c r="Q48" s="13">
        <f t="shared" si="16"/>
        <v>0.8835140078975845</v>
      </c>
      <c r="R48" s="21">
        <f t="shared" si="21"/>
        <v>1.5184410248745506</v>
      </c>
      <c r="S48" s="13">
        <f t="shared" si="17"/>
        <v>1.6636685987085533</v>
      </c>
      <c r="T48" s="22">
        <f t="shared" si="18"/>
        <v>2.1912851028850477</v>
      </c>
      <c r="U48" s="22"/>
      <c r="V48" s="19"/>
    </row>
    <row r="49" spans="3:22">
      <c r="C49" s="17"/>
      <c r="D49" s="18"/>
      <c r="E49" s="13"/>
      <c r="F49" s="13"/>
      <c r="G49" s="13"/>
      <c r="H49" s="13"/>
      <c r="I49" s="72">
        <f t="shared" si="12"/>
        <v>35.803062038843244</v>
      </c>
      <c r="J49" s="13">
        <f t="shared" si="22"/>
        <v>5.5</v>
      </c>
      <c r="K49" s="13">
        <f t="shared" si="13"/>
        <v>7.7060222214720318</v>
      </c>
      <c r="L49" s="13">
        <f t="shared" si="19"/>
        <v>0.68650696620047746</v>
      </c>
      <c r="M49" s="13">
        <f t="shared" si="14"/>
        <v>8.9087073261688368E-2</v>
      </c>
      <c r="N49" s="13">
        <f t="shared" si="15"/>
        <v>2.9294625261706773</v>
      </c>
      <c r="O49" s="13">
        <f t="shared" si="15"/>
        <v>0.38015235902227662</v>
      </c>
      <c r="P49" s="13">
        <f t="shared" si="20"/>
        <v>1.2518832280365944</v>
      </c>
      <c r="Q49" s="13">
        <f t="shared" si="16"/>
        <v>0.62392414795572826</v>
      </c>
      <c r="R49" s="21">
        <f t="shared" si="21"/>
        <v>1.8069192778713103</v>
      </c>
      <c r="S49" s="13">
        <f t="shared" si="17"/>
        <v>2.0436726275052837</v>
      </c>
      <c r="T49" s="22">
        <f t="shared" si="18"/>
        <v>2.2620519383830882</v>
      </c>
      <c r="U49" s="22"/>
      <c r="V49" s="19"/>
    </row>
    <row r="50" spans="3:22">
      <c r="C50" s="17"/>
      <c r="D50" s="18"/>
      <c r="E50" s="13"/>
      <c r="F50" s="13"/>
      <c r="G50" s="13"/>
      <c r="H50" s="13"/>
      <c r="I50" s="72">
        <f t="shared" si="12"/>
        <v>35.214511442394461</v>
      </c>
      <c r="J50" s="13">
        <f t="shared" si="22"/>
        <v>6</v>
      </c>
      <c r="K50" s="13">
        <f t="shared" si="13"/>
        <v>7.523720830202576</v>
      </c>
      <c r="L50" s="13">
        <f t="shared" si="19"/>
        <v>0.71136625178224477</v>
      </c>
      <c r="M50" s="13">
        <f t="shared" si="14"/>
        <v>9.4549793624265993E-2</v>
      </c>
      <c r="N50" s="13">
        <f t="shared" si="15"/>
        <v>3.0355420696051949</v>
      </c>
      <c r="O50" s="13">
        <f t="shared" si="15"/>
        <v>0.40346287935346781</v>
      </c>
      <c r="P50" s="13">
        <f t="shared" si="20"/>
        <v>0.98740326630445363</v>
      </c>
      <c r="Q50" s="13">
        <f t="shared" si="16"/>
        <v>0.38730825356567117</v>
      </c>
      <c r="R50" s="21">
        <f t="shared" si="21"/>
        <v>2.293381330165877</v>
      </c>
      <c r="S50" s="13">
        <f t="shared" si="17"/>
        <v>2.5966720855697818</v>
      </c>
      <c r="T50" s="22">
        <f t="shared" si="18"/>
        <v>2.2644922162874397</v>
      </c>
      <c r="U50" s="22"/>
      <c r="V50" s="19"/>
    </row>
    <row r="51" spans="3:22">
      <c r="C51" s="17"/>
      <c r="D51" s="18"/>
      <c r="E51" s="13"/>
      <c r="F51" s="13"/>
      <c r="G51" s="13"/>
      <c r="H51" s="13"/>
      <c r="I51" s="72">
        <f t="shared" si="12"/>
        <v>34.624583194101007</v>
      </c>
      <c r="J51" s="13">
        <f t="shared" si="22"/>
        <v>6.5</v>
      </c>
      <c r="K51" s="13">
        <f t="shared" si="13"/>
        <v>7.3470610502897067</v>
      </c>
      <c r="L51" s="13">
        <f t="shared" si="19"/>
        <v>0.73622553736401231</v>
      </c>
      <c r="M51" s="13">
        <f t="shared" si="14"/>
        <v>0.10020680818148119</v>
      </c>
      <c r="N51" s="13">
        <f t="shared" si="15"/>
        <v>3.1416216130397134</v>
      </c>
      <c r="O51" s="13">
        <f t="shared" si="15"/>
        <v>0.42760249187201649</v>
      </c>
      <c r="P51" s="13">
        <f t="shared" si="20"/>
        <v>0.65218495968311807</v>
      </c>
      <c r="Q51" s="13">
        <f t="shared" si="16"/>
        <v>0.19028047492664735</v>
      </c>
      <c r="R51" s="21">
        <f t="shared" si="21"/>
        <v>3.2719566064647712</v>
      </c>
      <c r="S51" s="13">
        <f t="shared" si="17"/>
        <v>3.4910482727188161</v>
      </c>
      <c r="T51" s="22">
        <f t="shared" si="18"/>
        <v>2.1339208874721387</v>
      </c>
      <c r="U51" s="22"/>
      <c r="V51" s="19"/>
    </row>
    <row r="52" spans="3:22">
      <c r="C52" s="17"/>
      <c r="D52" s="18"/>
      <c r="E52" s="13"/>
      <c r="F52" s="13"/>
      <c r="G52" s="13"/>
      <c r="H52" s="13"/>
      <c r="I52" s="72">
        <f t="shared" si="12"/>
        <v>34.033424639149565</v>
      </c>
      <c r="J52" s="13">
        <f t="shared" si="22"/>
        <v>7</v>
      </c>
      <c r="K52" s="13">
        <f t="shared" si="13"/>
        <v>7.1761110318805983</v>
      </c>
      <c r="L52" s="13">
        <f t="shared" si="19"/>
        <v>0.76108482294577973</v>
      </c>
      <c r="M52" s="13">
        <f t="shared" si="14"/>
        <v>0.10605811693333388</v>
      </c>
      <c r="N52" s="13">
        <f t="shared" si="15"/>
        <v>3.2477011564742311</v>
      </c>
      <c r="O52" s="13">
        <f t="shared" si="15"/>
        <v>0.45257119657792233</v>
      </c>
      <c r="P52" s="13">
        <f t="shared" si="20"/>
        <v>0.25261300928287594</v>
      </c>
      <c r="Q52" s="13">
        <f t="shared" si="16"/>
        <v>4.9295426325369332E-2</v>
      </c>
      <c r="R52" s="21">
        <f t="shared" si="21"/>
        <v>6.4283769504034058</v>
      </c>
      <c r="S52" s="13">
        <f t="shared" si="17"/>
        <v>5.2194938143404759</v>
      </c>
      <c r="T52" s="22">
        <f t="shared" si="18"/>
        <v>1.6238916462460813</v>
      </c>
      <c r="U52" s="22"/>
      <c r="V52" s="19"/>
    </row>
    <row r="53" spans="3:22">
      <c r="C53" s="17"/>
      <c r="D53" s="18"/>
      <c r="E53" s="13"/>
      <c r="F53" s="13"/>
      <c r="G53" s="13"/>
      <c r="H53" s="13"/>
      <c r="I53" s="72">
        <f t="shared" si="12"/>
        <v>33.441164872741439</v>
      </c>
      <c r="J53" s="13">
        <f t="shared" si="22"/>
        <v>7.5</v>
      </c>
      <c r="K53" s="13">
        <f t="shared" si="13"/>
        <v>7.0108655570937737</v>
      </c>
      <c r="L53" s="13">
        <f t="shared" si="19"/>
        <v>0.78594410852754715</v>
      </c>
      <c r="M53" s="13">
        <f t="shared" si="14"/>
        <v>0.11210371987982408</v>
      </c>
      <c r="N53" s="13">
        <f t="shared" si="15"/>
        <v>3.3537806999087492</v>
      </c>
      <c r="O53" s="13">
        <f t="shared" si="15"/>
        <v>0.47836899347118528</v>
      </c>
      <c r="P53" s="13">
        <f t="shared" si="20"/>
        <v>-0.20102154880002343</v>
      </c>
      <c r="Q53" s="13">
        <f t="shared" si="16"/>
        <v>-2.0262912677043068E-2</v>
      </c>
      <c r="R53" s="21">
        <f t="shared" si="21"/>
        <v>0</v>
      </c>
      <c r="S53" s="13">
        <f t="shared" si="17"/>
        <v>0</v>
      </c>
      <c r="T53" s="22">
        <f t="shared" si="18"/>
        <v>0</v>
      </c>
      <c r="U53" s="22"/>
      <c r="V53" s="19"/>
    </row>
    <row r="54" spans="3:22">
      <c r="C54" s="17"/>
      <c r="D54" s="18"/>
      <c r="E54" s="13"/>
      <c r="F54" s="13"/>
      <c r="G54" s="13"/>
      <c r="H54" s="13"/>
      <c r="I54" s="72">
        <f t="shared" si="12"/>
        <v>32.847917532622638</v>
      </c>
      <c r="J54" s="13">
        <f t="shared" si="22"/>
        <v>8</v>
      </c>
      <c r="K54" s="13">
        <f t="shared" si="13"/>
        <v>6.8512642635028485</v>
      </c>
      <c r="L54" s="13">
        <f t="shared" si="19"/>
        <v>0.81080339410931457</v>
      </c>
      <c r="M54" s="13">
        <f t="shared" si="14"/>
        <v>0.11834361702095181</v>
      </c>
      <c r="N54" s="13">
        <f t="shared" si="15"/>
        <v>3.4598602433432672</v>
      </c>
      <c r="O54" s="13">
        <f t="shared" si="15"/>
        <v>0.5049958825518055</v>
      </c>
      <c r="P54" s="13">
        <f t="shared" si="20"/>
        <v>-0.69470765973807569</v>
      </c>
      <c r="Q54" s="13">
        <f t="shared" si="16"/>
        <v>-5.0110382330107927E-3</v>
      </c>
      <c r="R54" s="21">
        <f t="shared" si="21"/>
        <v>0</v>
      </c>
      <c r="S54" s="13">
        <f t="shared" si="17"/>
        <v>0</v>
      </c>
      <c r="T54" s="22">
        <f t="shared" si="18"/>
        <v>0</v>
      </c>
      <c r="U54" s="22"/>
      <c r="V54" s="19"/>
    </row>
    <row r="55" spans="3:22">
      <c r="C55" s="17"/>
      <c r="D55" s="18"/>
      <c r="E55" s="13"/>
      <c r="F55" s="13"/>
      <c r="G55" s="13"/>
      <c r="H55" s="13"/>
      <c r="I55" s="72">
        <f t="shared" si="12"/>
        <v>32.253783093510819</v>
      </c>
      <c r="J55" s="13">
        <f t="shared" si="22"/>
        <v>8.5</v>
      </c>
      <c r="K55" s="13">
        <f t="shared" si="13"/>
        <v>6.697205943079835</v>
      </c>
      <c r="L55" s="13">
        <f t="shared" si="19"/>
        <v>0.83566267969108199</v>
      </c>
      <c r="M55" s="13">
        <f t="shared" si="14"/>
        <v>0.12477780835671703</v>
      </c>
      <c r="N55" s="13">
        <f t="shared" si="15"/>
        <v>3.5659397867777849</v>
      </c>
      <c r="O55" s="13">
        <f t="shared" si="15"/>
        <v>0.53245186381978293</v>
      </c>
      <c r="P55" s="13">
        <f t="shared" si="20"/>
        <v>-1.2111239536267895</v>
      </c>
      <c r="Q55" s="13">
        <f t="shared" si="16"/>
        <v>0.10553852021304187</v>
      </c>
      <c r="R55" s="21">
        <f t="shared" si="21"/>
        <v>4.3933838416789355</v>
      </c>
      <c r="S55" s="13">
        <f t="shared" si="17"/>
        <v>-11.688449232281391</v>
      </c>
      <c r="T55" s="22">
        <f t="shared" si="18"/>
        <v>-5.3209324081342455</v>
      </c>
      <c r="U55" s="22"/>
      <c r="V55" s="19"/>
    </row>
    <row r="56" spans="3:22">
      <c r="C56" s="17"/>
      <c r="D56" s="18"/>
      <c r="E56" s="13"/>
      <c r="F56" s="13"/>
      <c r="G56" s="13"/>
      <c r="H56" s="13"/>
      <c r="I56" s="72">
        <f t="shared" si="12"/>
        <v>31.65885076405646</v>
      </c>
      <c r="J56" s="13">
        <f t="shared" si="22"/>
        <v>9</v>
      </c>
      <c r="K56" s="13">
        <f t="shared" si="13"/>
        <v>6.5485597365073867</v>
      </c>
      <c r="L56" s="13">
        <f t="shared" si="19"/>
        <v>0.86052196527284941</v>
      </c>
      <c r="M56" s="13">
        <f t="shared" si="14"/>
        <v>0.1314062938871198</v>
      </c>
      <c r="N56" s="13">
        <f t="shared" si="15"/>
        <v>3.672019330212303</v>
      </c>
      <c r="O56" s="13">
        <f t="shared" si="15"/>
        <v>0.56073693727511764</v>
      </c>
      <c r="P56" s="13">
        <f t="shared" si="20"/>
        <v>-1.7302644757268819</v>
      </c>
      <c r="Q56" s="13">
        <f t="shared" si="16"/>
        <v>0.31817018931904323</v>
      </c>
      <c r="R56" s="21">
        <f t="shared" si="21"/>
        <v>2.5303168378229448</v>
      </c>
      <c r="S56" s="13">
        <f t="shared" si="17"/>
        <v>-5.5390120076583509</v>
      </c>
      <c r="T56" s="22">
        <f t="shared" si="18"/>
        <v>-4.3781173368186197</v>
      </c>
      <c r="U56" s="22"/>
      <c r="V56" s="19"/>
    </row>
    <row r="57" spans="3:22">
      <c r="C57" s="17"/>
      <c r="D57" s="18"/>
      <c r="E57" s="13"/>
      <c r="F57" s="13"/>
      <c r="G57" s="13"/>
      <c r="H57" s="13"/>
      <c r="I57" s="72">
        <f t="shared" si="12"/>
        <v>31.063200064392532</v>
      </c>
      <c r="J57" s="13">
        <v>9.5</v>
      </c>
      <c r="K57" s="13">
        <f t="shared" si="13"/>
        <v>6.4051738734703454</v>
      </c>
      <c r="L57" s="13">
        <f t="shared" si="19"/>
        <v>0.88538125085461683</v>
      </c>
      <c r="M57" s="13">
        <f t="shared" si="14"/>
        <v>0.13822907361216008</v>
      </c>
      <c r="N57" s="13">
        <f t="shared" si="15"/>
        <v>3.7780988736468206</v>
      </c>
      <c r="O57" s="13">
        <f t="shared" si="15"/>
        <v>0.58985110291780951</v>
      </c>
      <c r="P57" s="13">
        <f t="shared" si="20"/>
        <v>-2.2302598683981949</v>
      </c>
      <c r="Q57" s="13">
        <f t="shared" si="16"/>
        <v>0.63529919775974342</v>
      </c>
      <c r="R57" s="21">
        <f t="shared" si="21"/>
        <v>1.7906697422758022</v>
      </c>
      <c r="S57" s="13">
        <f t="shared" si="17"/>
        <v>-3.5756620441467248</v>
      </c>
      <c r="T57" s="22">
        <f t="shared" si="18"/>
        <v>-3.9936588637526604</v>
      </c>
      <c r="U57" s="22"/>
      <c r="V57" s="19"/>
    </row>
    <row r="58" spans="3:22">
      <c r="C58" s="17"/>
      <c r="D58" s="18"/>
      <c r="E58" s="13"/>
      <c r="F58" s="13"/>
      <c r="G58" s="13"/>
      <c r="H58" s="13"/>
      <c r="I58" s="72"/>
      <c r="J58" s="13"/>
      <c r="K58" s="13"/>
      <c r="L58" s="13"/>
      <c r="M58" s="13"/>
      <c r="N58" s="13"/>
      <c r="O58" s="13"/>
      <c r="P58" s="13"/>
      <c r="Q58" s="13"/>
      <c r="R58" s="21"/>
      <c r="S58" s="13"/>
      <c r="T58" s="22"/>
      <c r="U58" s="22"/>
      <c r="V58" s="19"/>
    </row>
    <row r="59" spans="3:22" ht="15" thickBot="1">
      <c r="C59" s="23"/>
      <c r="D59" s="24"/>
      <c r="E59" s="25"/>
      <c r="F59" s="25"/>
      <c r="G59" s="25"/>
      <c r="H59" s="25"/>
      <c r="I59" s="75"/>
      <c r="J59" s="25"/>
      <c r="K59" s="25"/>
      <c r="L59" s="25"/>
      <c r="M59" s="25"/>
      <c r="N59" s="25"/>
      <c r="O59" s="25"/>
      <c r="P59" s="25"/>
      <c r="Q59" s="25"/>
      <c r="R59" s="26"/>
      <c r="S59" s="25"/>
      <c r="T59" s="27"/>
      <c r="U59" s="27"/>
      <c r="V59" s="28"/>
    </row>
    <row r="61" spans="3:22" ht="15" thickBot="1"/>
    <row r="62" spans="3:22" ht="17" thickBot="1">
      <c r="C62" s="42" t="s">
        <v>36</v>
      </c>
      <c r="D62" s="43" t="s">
        <v>37</v>
      </c>
      <c r="E62" s="35" t="s">
        <v>24</v>
      </c>
      <c r="F62" s="36" t="s">
        <v>29</v>
      </c>
      <c r="G62" s="36" t="s">
        <v>30</v>
      </c>
      <c r="H62" s="97" t="s">
        <v>56</v>
      </c>
      <c r="I62" s="36" t="s">
        <v>77</v>
      </c>
      <c r="J62" s="36" t="s">
        <v>80</v>
      </c>
      <c r="K62" s="36" t="s">
        <v>81</v>
      </c>
      <c r="L62" s="110" t="s">
        <v>92</v>
      </c>
      <c r="M62" s="36" t="s">
        <v>89</v>
      </c>
      <c r="N62" s="36" t="s">
        <v>90</v>
      </c>
      <c r="O62" s="38" t="s">
        <v>91</v>
      </c>
      <c r="P62" s="15"/>
      <c r="Q62" s="15"/>
      <c r="R62" s="15"/>
      <c r="S62" s="15"/>
      <c r="T62" s="40"/>
      <c r="U62" s="40"/>
      <c r="V62" s="16"/>
    </row>
    <row r="63" spans="3:22" ht="16" thickTop="1" thickBot="1">
      <c r="C63" s="44">
        <v>12</v>
      </c>
      <c r="D63" s="45">
        <f>MAX(T66:T87)</f>
        <v>2.2659885704058542</v>
      </c>
      <c r="E63" s="25">
        <f>$M$4-H63</f>
        <v>1.0129031615304989</v>
      </c>
      <c r="F63" s="25">
        <f>MAX(N66:N88)</f>
        <v>3.8908012518705766</v>
      </c>
      <c r="G63" s="25">
        <f>F63*$L$4</f>
        <v>0.7003442253367036</v>
      </c>
      <c r="H63" s="75">
        <f>(-N63+SQRT(N63^2-4*$P$4*O63))/(2*$P$4)</f>
        <v>0.20629683846950114</v>
      </c>
      <c r="I63" s="25">
        <f>$H$4*SBT!$C$23</f>
        <v>4.4225409836065571E-2</v>
      </c>
      <c r="J63" s="25">
        <f>I63+SBT!$B$23</f>
        <v>0.19422540983606557</v>
      </c>
      <c r="K63" s="25">
        <f>SBT!$B$12*H63</f>
        <v>0.26818589001035148</v>
      </c>
      <c r="L63" s="25">
        <f>(F63*$L$4-(SBT!$F$23*K63+0.5*SBT!$E$23*K63^2)*9.81)/(J63*9.81)</f>
        <v>0.11697932124453439</v>
      </c>
      <c r="M63" s="79">
        <f>J63+SBT!$F$23+2*SBT!$G$23+H63*SBT!$D$23+K63*SBT!$E$23</f>
        <v>0.69211771918385578</v>
      </c>
      <c r="N63" s="25">
        <f>(SBT!$G$23+(SBT!$F$23+J63)*0.5)*9.81</f>
        <v>3.1869031352459021</v>
      </c>
      <c r="O63" s="37">
        <f>-F63*$L$4</f>
        <v>-0.7003442253367036</v>
      </c>
      <c r="P63" s="13"/>
      <c r="Q63" s="13"/>
      <c r="R63" s="13"/>
      <c r="S63" s="13"/>
      <c r="T63" s="13"/>
      <c r="U63" s="13"/>
      <c r="V63" s="19"/>
    </row>
    <row r="64" spans="3:22">
      <c r="C64" s="41"/>
      <c r="D64" s="13"/>
      <c r="E64" s="13"/>
      <c r="F64" s="13"/>
      <c r="G64" s="13"/>
      <c r="H64" s="13"/>
      <c r="I64" s="76"/>
      <c r="J64" s="18"/>
      <c r="K64" s="18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9"/>
    </row>
    <row r="65" spans="3:22" ht="17" thickBot="1">
      <c r="C65" s="47" t="s">
        <v>40</v>
      </c>
      <c r="D65" s="48" t="s">
        <v>42</v>
      </c>
      <c r="E65" s="30" t="s">
        <v>35</v>
      </c>
      <c r="F65" s="29" t="s">
        <v>34</v>
      </c>
      <c r="G65" s="29" t="s">
        <v>41</v>
      </c>
      <c r="H65" s="29" t="s">
        <v>7</v>
      </c>
      <c r="I65" s="70" t="s">
        <v>16</v>
      </c>
      <c r="J65" s="71" t="s">
        <v>17</v>
      </c>
      <c r="K65" s="29" t="s">
        <v>18</v>
      </c>
      <c r="L65" s="46" t="s">
        <v>39</v>
      </c>
      <c r="M65" s="31" t="s">
        <v>10</v>
      </c>
      <c r="N65" s="31" t="s">
        <v>13</v>
      </c>
      <c r="O65" s="31" t="s">
        <v>14</v>
      </c>
      <c r="P65" s="31" t="s">
        <v>8</v>
      </c>
      <c r="Q65" s="31" t="s">
        <v>9</v>
      </c>
      <c r="R65" s="31" t="s">
        <v>19</v>
      </c>
      <c r="S65" s="31" t="s">
        <v>25</v>
      </c>
      <c r="T65" s="32" t="s">
        <v>27</v>
      </c>
      <c r="U65" s="32"/>
      <c r="V65" s="33"/>
    </row>
    <row r="66" spans="3:22" ht="15" thickTop="1">
      <c r="C66" s="50">
        <v>4.1596735926497761</v>
      </c>
      <c r="D66" s="51">
        <v>1.0866</v>
      </c>
      <c r="E66" s="7">
        <f>$K$4/(2+SQRT(4+$K$4^2))</f>
        <v>0.53518375848799637</v>
      </c>
      <c r="F66" s="7">
        <f>C66*E66</f>
        <v>2.2261897473975738</v>
      </c>
      <c r="G66" s="12">
        <f>D66*E66</f>
        <v>0.58153067197305686</v>
      </c>
      <c r="H66" s="14">
        <f>F66*PI()/180</f>
        <v>3.8854340866228528E-2</v>
      </c>
      <c r="I66" s="72">
        <f t="shared" ref="I66:I82" si="23">0.5*ATAN(K66)*180/PI()-J66</f>
        <v>41.657414639581305</v>
      </c>
      <c r="J66" s="13">
        <v>0</v>
      </c>
      <c r="K66" s="13">
        <f t="shared" ref="K66:K82" si="24">L66/M66</f>
        <v>8.5316502689153175</v>
      </c>
      <c r="L66" s="13">
        <f>$H$66*J66+$G$66</f>
        <v>0.58153067197305686</v>
      </c>
      <c r="M66" s="13">
        <f t="shared" ref="M66:M82" si="25">0.015+0.1572*(L66^2)</f>
        <v>6.8161569408422384E-2</v>
      </c>
      <c r="N66" s="13">
        <f t="shared" ref="N66:O82" si="26">$N$4*L66</f>
        <v>2.4815076834434282</v>
      </c>
      <c r="O66" s="13">
        <f t="shared" si="26"/>
        <v>0.29085904897962001</v>
      </c>
      <c r="P66" s="13">
        <f>((N66*COS(I66+J66)+O66*SIN(I66+J66))*SIN(J66+I66)-O66)/$M$63</f>
        <v>1.5922053909243989</v>
      </c>
      <c r="Q66" s="13">
        <f t="shared" ref="Q66:Q82" si="27">P66*TAN(I66+J66)</f>
        <v>1.6951733812147216</v>
      </c>
      <c r="R66" s="21">
        <f>IF(ISERROR(SQRT(2*$E$63/Q66)),0,SQRT(2*$E$63/Q66))</f>
        <v>1.0931805576026592</v>
      </c>
      <c r="S66" s="13">
        <f t="shared" ref="S66:S82" si="28">0.5*P66*R66^2</f>
        <v>0.95137753585864404</v>
      </c>
      <c r="T66" s="22">
        <f t="shared" ref="T66:T82" si="29">R66*P66</f>
        <v>1.7405679770686944</v>
      </c>
      <c r="U66" s="22"/>
      <c r="V66" s="19"/>
    </row>
    <row r="67" spans="3:22">
      <c r="C67" s="17"/>
      <c r="D67" s="18"/>
      <c r="E67" s="13"/>
      <c r="F67" s="13"/>
      <c r="G67" s="13"/>
      <c r="H67" s="13"/>
      <c r="I67" s="72">
        <f t="shared" si="23"/>
        <v>41.094691355358592</v>
      </c>
      <c r="J67" s="13">
        <f>J66+0.5</f>
        <v>0.5</v>
      </c>
      <c r="K67" s="13">
        <f t="shared" si="24"/>
        <v>8.3730546624789266</v>
      </c>
      <c r="L67" s="13">
        <f t="shared" ref="L67:L82" si="30">$H$66*J67+$G$66</f>
        <v>0.60095784240617112</v>
      </c>
      <c r="M67" s="13">
        <f t="shared" si="25"/>
        <v>7.177283161653833E-2</v>
      </c>
      <c r="N67" s="13">
        <f t="shared" si="26"/>
        <v>2.5644073051156133</v>
      </c>
      <c r="O67" s="13">
        <f t="shared" si="26"/>
        <v>0.30626902707409237</v>
      </c>
      <c r="P67" s="13">
        <f t="shared" ref="P67:P83" si="31">((N67*COS(I67+J67)+O67*SIN(I67+J67))*SIN(J67+I67)-O67)/$M$63</f>
        <v>1.6137800453125557</v>
      </c>
      <c r="Q67" s="13">
        <f t="shared" si="27"/>
        <v>1.5154543691614271</v>
      </c>
      <c r="R67" s="21">
        <f t="shared" ref="R67:R83" si="32">IF(ISERROR(SQRT(2*$E$63/Q67)),0,SQRT(2*$E$63/Q67))</f>
        <v>1.1561855282619367</v>
      </c>
      <c r="S67" s="13">
        <f t="shared" si="28"/>
        <v>1.0786223215789879</v>
      </c>
      <c r="T67" s="22">
        <f t="shared" si="29"/>
        <v>1.8658291341882693</v>
      </c>
      <c r="U67" s="22"/>
      <c r="V67" s="19"/>
    </row>
    <row r="68" spans="3:22">
      <c r="C68" s="20"/>
      <c r="D68" s="11"/>
      <c r="E68" s="13"/>
      <c r="F68" s="13"/>
      <c r="G68" s="13"/>
      <c r="H68" s="13"/>
      <c r="I68" s="72">
        <f t="shared" si="23"/>
        <v>40.530526602647605</v>
      </c>
      <c r="J68" s="13">
        <f t="shared" ref="J68:J83" si="33">J67+0.5</f>
        <v>1</v>
      </c>
      <c r="K68" s="13">
        <f t="shared" si="24"/>
        <v>8.2167204173167683</v>
      </c>
      <c r="L68" s="13">
        <f t="shared" si="30"/>
        <v>0.62038501283928538</v>
      </c>
      <c r="M68" s="13">
        <f t="shared" si="25"/>
        <v>7.550275308526036E-2</v>
      </c>
      <c r="N68" s="13">
        <f t="shared" si="26"/>
        <v>2.6473069267877984</v>
      </c>
      <c r="O68" s="13">
        <f t="shared" si="26"/>
        <v>0.32218534796542297</v>
      </c>
      <c r="P68" s="13">
        <f t="shared" si="31"/>
        <v>1.6006608531348911</v>
      </c>
      <c r="Q68" s="13">
        <f t="shared" si="27"/>
        <v>1.3206045521110421</v>
      </c>
      <c r="R68" s="21">
        <f t="shared" si="32"/>
        <v>1.2385472124348724</v>
      </c>
      <c r="S68" s="13">
        <f t="shared" si="28"/>
        <v>1.2277062320334255</v>
      </c>
      <c r="T68" s="22">
        <f t="shared" si="29"/>
        <v>1.9824940377038442</v>
      </c>
      <c r="U68" s="22"/>
      <c r="V68" s="19"/>
    </row>
    <row r="69" spans="3:22">
      <c r="C69" s="17"/>
      <c r="D69" s="18"/>
      <c r="E69" s="13"/>
      <c r="F69" s="13"/>
      <c r="G69" s="13"/>
      <c r="H69" s="13"/>
      <c r="I69" s="72">
        <f t="shared" si="23"/>
        <v>39.965057602726041</v>
      </c>
      <c r="J69" s="13">
        <f t="shared" si="33"/>
        <v>1.5</v>
      </c>
      <c r="K69" s="13">
        <f t="shared" si="24"/>
        <v>8.0630299771315492</v>
      </c>
      <c r="L69" s="13">
        <f t="shared" si="30"/>
        <v>0.63981218327239964</v>
      </c>
      <c r="M69" s="13">
        <f t="shared" si="25"/>
        <v>7.9351333814588532E-2</v>
      </c>
      <c r="N69" s="13">
        <f t="shared" si="26"/>
        <v>2.7302065484599836</v>
      </c>
      <c r="O69" s="13">
        <f t="shared" si="26"/>
        <v>0.33860801165361215</v>
      </c>
      <c r="P69" s="13">
        <f t="shared" si="31"/>
        <v>1.5488793602024429</v>
      </c>
      <c r="Q69" s="13">
        <f t="shared" si="27"/>
        <v>1.1159695487964467</v>
      </c>
      <c r="R69" s="21">
        <f t="shared" si="32"/>
        <v>1.3473263052184354</v>
      </c>
      <c r="S69" s="13">
        <f t="shared" si="28"/>
        <v>1.4058311917833095</v>
      </c>
      <c r="T69" s="22">
        <f t="shared" si="29"/>
        <v>2.0868459056106516</v>
      </c>
      <c r="U69" s="22"/>
      <c r="V69" s="19"/>
    </row>
    <row r="70" spans="3:22">
      <c r="C70" s="17"/>
      <c r="D70" s="13"/>
      <c r="E70" s="13"/>
      <c r="F70" s="13"/>
      <c r="G70" s="13"/>
      <c r="H70" s="13"/>
      <c r="I70" s="72">
        <f t="shared" si="23"/>
        <v>39.398405591598397</v>
      </c>
      <c r="J70" s="13">
        <f t="shared" si="33"/>
        <v>2</v>
      </c>
      <c r="K70" s="13">
        <f t="shared" si="24"/>
        <v>7.9122736216318703</v>
      </c>
      <c r="L70" s="13">
        <f t="shared" si="30"/>
        <v>0.6592393537055139</v>
      </c>
      <c r="M70" s="13">
        <f t="shared" si="25"/>
        <v>8.3318573804522802E-2</v>
      </c>
      <c r="N70" s="13">
        <f t="shared" si="26"/>
        <v>2.8131061701321687</v>
      </c>
      <c r="O70" s="13">
        <f t="shared" si="26"/>
        <v>0.35553701813865968</v>
      </c>
      <c r="P70" s="13">
        <f t="shared" si="31"/>
        <v>1.4553219308306031</v>
      </c>
      <c r="Q70" s="13">
        <f t="shared" si="27"/>
        <v>0.90775940140055711</v>
      </c>
      <c r="R70" s="21">
        <f t="shared" si="32"/>
        <v>1.4938726748200624</v>
      </c>
      <c r="S70" s="13">
        <f t="shared" si="28"/>
        <v>1.6238886455030253</v>
      </c>
      <c r="T70" s="22">
        <f t="shared" si="29"/>
        <v>2.174065665534211</v>
      </c>
      <c r="U70" s="22"/>
      <c r="V70" s="19"/>
    </row>
    <row r="71" spans="3:22">
      <c r="C71" s="17"/>
      <c r="D71" s="13"/>
      <c r="E71" s="13"/>
      <c r="F71" s="13"/>
      <c r="G71" s="13"/>
      <c r="H71" s="13"/>
      <c r="I71" s="72">
        <f t="shared" si="23"/>
        <v>38.830678104584592</v>
      </c>
      <c r="J71" s="13">
        <f t="shared" si="33"/>
        <v>2.5</v>
      </c>
      <c r="K71" s="13">
        <f t="shared" si="24"/>
        <v>7.7646658164860831</v>
      </c>
      <c r="L71" s="13">
        <f t="shared" si="30"/>
        <v>0.67866652413862816</v>
      </c>
      <c r="M71" s="13">
        <f t="shared" si="25"/>
        <v>8.74044730550632E-2</v>
      </c>
      <c r="N71" s="13">
        <f t="shared" si="26"/>
        <v>2.8960057918043538</v>
      </c>
      <c r="O71" s="13">
        <f t="shared" si="26"/>
        <v>0.37297236742056566</v>
      </c>
      <c r="P71" s="13">
        <f t="shared" si="31"/>
        <v>1.3179096977978551</v>
      </c>
      <c r="Q71" s="13">
        <f t="shared" si="27"/>
        <v>0.702912733701756</v>
      </c>
      <c r="R71" s="21">
        <f t="shared" si="32"/>
        <v>1.6976503827912832</v>
      </c>
      <c r="S71" s="13">
        <f t="shared" si="28"/>
        <v>1.8991189595912952</v>
      </c>
      <c r="T71" s="22">
        <f t="shared" si="29"/>
        <v>2.2373499029508732</v>
      </c>
      <c r="U71" s="22"/>
      <c r="V71" s="19"/>
    </row>
    <row r="72" spans="3:22">
      <c r="C72" s="17"/>
      <c r="D72" s="13"/>
      <c r="E72" s="13"/>
      <c r="F72" s="13"/>
      <c r="G72" s="13"/>
      <c r="H72" s="13"/>
      <c r="I72" s="72">
        <f t="shared" si="23"/>
        <v>38.26197087986678</v>
      </c>
      <c r="J72" s="13">
        <f t="shared" si="33"/>
        <v>3</v>
      </c>
      <c r="K72" s="13">
        <f t="shared" si="24"/>
        <v>7.6203588514872633</v>
      </c>
      <c r="L72" s="13">
        <f t="shared" si="30"/>
        <v>0.69809369457174242</v>
      </c>
      <c r="M72" s="13">
        <f t="shared" si="25"/>
        <v>9.1609031566209725E-2</v>
      </c>
      <c r="N72" s="13">
        <f t="shared" si="26"/>
        <v>2.9789054134765394</v>
      </c>
      <c r="O72" s="13">
        <f t="shared" si="26"/>
        <v>0.39091405949933011</v>
      </c>
      <c r="P72" s="13">
        <f t="shared" si="31"/>
        <v>1.1357559697851305</v>
      </c>
      <c r="Q72" s="13">
        <f t="shared" si="27"/>
        <v>0.50892355112487198</v>
      </c>
      <c r="R72" s="21">
        <f t="shared" si="32"/>
        <v>1.9951368345741984</v>
      </c>
      <c r="S72" s="13">
        <f t="shared" si="28"/>
        <v>2.2604786317704244</v>
      </c>
      <c r="T72" s="22">
        <f t="shared" si="29"/>
        <v>2.2659885704058542</v>
      </c>
      <c r="U72" s="22"/>
      <c r="V72" s="19"/>
    </row>
    <row r="73" spans="3:22">
      <c r="C73" s="17"/>
      <c r="D73" s="13"/>
      <c r="E73" s="13"/>
      <c r="F73" s="13"/>
      <c r="G73" s="13"/>
      <c r="H73" s="13"/>
      <c r="I73" s="72">
        <f t="shared" si="23"/>
        <v>37.692369453119667</v>
      </c>
      <c r="J73" s="13">
        <f t="shared" si="33"/>
        <v>3.5</v>
      </c>
      <c r="K73" s="13">
        <f t="shared" si="24"/>
        <v>7.4794541976919851</v>
      </c>
      <c r="L73" s="13">
        <f t="shared" si="30"/>
        <v>0.71752086500485668</v>
      </c>
      <c r="M73" s="13">
        <f t="shared" si="25"/>
        <v>9.593224933796235E-2</v>
      </c>
      <c r="N73" s="13">
        <f t="shared" si="26"/>
        <v>3.0618050351487245</v>
      </c>
      <c r="O73" s="13">
        <f t="shared" si="26"/>
        <v>0.40936209437495291</v>
      </c>
      <c r="P73" s="13">
        <f t="shared" si="31"/>
        <v>0.90929357461776772</v>
      </c>
      <c r="Q73" s="13">
        <f t="shared" si="27"/>
        <v>0.33363476940779463</v>
      </c>
      <c r="R73" s="21">
        <f t="shared" si="32"/>
        <v>2.4641282585720354</v>
      </c>
      <c r="S73" s="13">
        <f t="shared" si="28"/>
        <v>2.7605825919299036</v>
      </c>
      <c r="T73" s="22">
        <f t="shared" si="29"/>
        <v>2.2406159925536211</v>
      </c>
      <c r="U73" s="22"/>
      <c r="V73" s="19"/>
    </row>
    <row r="74" spans="3:22">
      <c r="C74" s="17"/>
      <c r="D74" s="13"/>
      <c r="E74" s="13"/>
      <c r="F74" s="13"/>
      <c r="G74" s="13"/>
      <c r="H74" s="13"/>
      <c r="I74" s="72">
        <f t="shared" si="23"/>
        <v>37.121950500160281</v>
      </c>
      <c r="J74" s="13">
        <f t="shared" si="33"/>
        <v>4</v>
      </c>
      <c r="K74" s="13">
        <f t="shared" si="24"/>
        <v>7.3420119515568079</v>
      </c>
      <c r="L74" s="13">
        <f t="shared" si="30"/>
        <v>0.73694803543797094</v>
      </c>
      <c r="M74" s="13">
        <f t="shared" si="25"/>
        <v>0.10037412637032112</v>
      </c>
      <c r="N74" s="13">
        <f t="shared" si="26"/>
        <v>3.1447046568209096</v>
      </c>
      <c r="O74" s="13">
        <f t="shared" si="26"/>
        <v>0.42831647204743423</v>
      </c>
      <c r="P74" s="13">
        <f t="shared" si="31"/>
        <v>0.64036537319822628</v>
      </c>
      <c r="Q74" s="13">
        <f t="shared" si="27"/>
        <v>0.18500401683017809</v>
      </c>
      <c r="R74" s="21">
        <f t="shared" si="32"/>
        <v>3.3090884990596581</v>
      </c>
      <c r="S74" s="13">
        <f t="shared" si="28"/>
        <v>3.5060217727193481</v>
      </c>
      <c r="T74" s="22">
        <f t="shared" si="29"/>
        <v>2.1190256916462964</v>
      </c>
      <c r="U74" s="22"/>
      <c r="V74" s="19"/>
    </row>
    <row r="75" spans="3:22">
      <c r="C75" s="17"/>
      <c r="D75" s="18"/>
      <c r="E75" s="13"/>
      <c r="F75" s="13"/>
      <c r="G75" s="13"/>
      <c r="H75" s="13"/>
      <c r="I75" s="72">
        <f t="shared" si="23"/>
        <v>36.5507829728692</v>
      </c>
      <c r="J75" s="13">
        <f t="shared" si="33"/>
        <v>4.5</v>
      </c>
      <c r="K75" s="13">
        <f t="shared" si="24"/>
        <v>7.2080586783619793</v>
      </c>
      <c r="L75" s="13">
        <f t="shared" si="30"/>
        <v>0.7563752058710852</v>
      </c>
      <c r="M75" s="13">
        <f t="shared" si="25"/>
        <v>0.10493466266328597</v>
      </c>
      <c r="N75" s="13">
        <f t="shared" si="26"/>
        <v>3.2276042784930947</v>
      </c>
      <c r="O75" s="13">
        <f t="shared" si="26"/>
        <v>0.44777719251677384</v>
      </c>
      <c r="P75" s="13">
        <f t="shared" si="31"/>
        <v>0.33227222360529934</v>
      </c>
      <c r="Q75" s="13">
        <f t="shared" si="27"/>
        <v>7.0848574458286184E-2</v>
      </c>
      <c r="R75" s="21">
        <f t="shared" si="32"/>
        <v>5.347285877530048</v>
      </c>
      <c r="S75" s="13">
        <f t="shared" si="28"/>
        <v>4.7504073067374728</v>
      </c>
      <c r="T75" s="22">
        <f t="shared" si="29"/>
        <v>1.7767545687801234</v>
      </c>
      <c r="U75" s="22"/>
      <c r="V75" s="19"/>
    </row>
    <row r="76" spans="3:22">
      <c r="C76" s="17"/>
      <c r="D76" s="22"/>
      <c r="E76" s="13"/>
      <c r="F76" s="13"/>
      <c r="G76" s="13"/>
      <c r="H76" s="13"/>
      <c r="I76" s="72">
        <f t="shared" si="23"/>
        <v>35.978929064581493</v>
      </c>
      <c r="J76" s="13">
        <f t="shared" si="33"/>
        <v>5</v>
      </c>
      <c r="K76" s="13">
        <f t="shared" si="24"/>
        <v>7.0775939185479082</v>
      </c>
      <c r="L76" s="13">
        <f t="shared" si="30"/>
        <v>0.77580237630419946</v>
      </c>
      <c r="M76" s="13">
        <f t="shared" si="25"/>
        <v>0.10961385821685696</v>
      </c>
      <c r="N76" s="13">
        <f t="shared" si="26"/>
        <v>3.3105039001652798</v>
      </c>
      <c r="O76" s="13">
        <f t="shared" si="26"/>
        <v>0.46774425578297202</v>
      </c>
      <c r="P76" s="13">
        <f t="shared" si="31"/>
        <v>-1.0226021785821333E-2</v>
      </c>
      <c r="Q76" s="13">
        <f t="shared" si="27"/>
        <v>-1.4225588214051524E-3</v>
      </c>
      <c r="R76" s="21">
        <f t="shared" si="32"/>
        <v>0</v>
      </c>
      <c r="S76" s="13">
        <f t="shared" si="28"/>
        <v>0</v>
      </c>
      <c r="T76" s="22">
        <f t="shared" si="29"/>
        <v>0</v>
      </c>
      <c r="U76" s="22"/>
      <c r="V76" s="19"/>
    </row>
    <row r="77" spans="3:22">
      <c r="C77" s="17"/>
      <c r="D77" s="18"/>
      <c r="E77" s="13"/>
      <c r="F77" s="13"/>
      <c r="G77" s="13"/>
      <c r="H77" s="13"/>
      <c r="I77" s="72">
        <f t="shared" si="23"/>
        <v>35.406445034079397</v>
      </c>
      <c r="J77" s="13">
        <f t="shared" si="33"/>
        <v>5.5</v>
      </c>
      <c r="K77" s="13">
        <f t="shared" si="24"/>
        <v>6.9505955786328322</v>
      </c>
      <c r="L77" s="13">
        <f t="shared" si="30"/>
        <v>0.79522954673731372</v>
      </c>
      <c r="M77" s="13">
        <f t="shared" si="25"/>
        <v>0.11441171303103406</v>
      </c>
      <c r="N77" s="13">
        <f t="shared" si="26"/>
        <v>3.393403521837465</v>
      </c>
      <c r="O77" s="13">
        <f t="shared" si="26"/>
        <v>0.48821766184602855</v>
      </c>
      <c r="P77" s="13">
        <f t="shared" si="31"/>
        <v>-0.38095938125435658</v>
      </c>
      <c r="Q77" s="13">
        <f t="shared" si="27"/>
        <v>-2.5080616158603134E-2</v>
      </c>
      <c r="R77" s="21">
        <f t="shared" si="32"/>
        <v>0</v>
      </c>
      <c r="S77" s="13">
        <f t="shared" si="28"/>
        <v>0</v>
      </c>
      <c r="T77" s="22">
        <f t="shared" si="29"/>
        <v>0</v>
      </c>
      <c r="U77" s="22"/>
      <c r="V77" s="19"/>
    </row>
    <row r="78" spans="3:22">
      <c r="C78" s="17"/>
      <c r="D78" s="18"/>
      <c r="E78" s="13"/>
      <c r="F78" s="13"/>
      <c r="G78" s="13"/>
      <c r="H78" s="13"/>
      <c r="I78" s="72">
        <f t="shared" si="23"/>
        <v>34.833381911767255</v>
      </c>
      <c r="J78" s="13">
        <f t="shared" si="33"/>
        <v>6</v>
      </c>
      <c r="K78" s="13">
        <f t="shared" si="24"/>
        <v>6.8270243925438603</v>
      </c>
      <c r="L78" s="13">
        <f t="shared" si="30"/>
        <v>0.81465671717042798</v>
      </c>
      <c r="M78" s="13">
        <f t="shared" si="25"/>
        <v>0.11932822710581728</v>
      </c>
      <c r="N78" s="13">
        <f t="shared" si="26"/>
        <v>3.4763031435096501</v>
      </c>
      <c r="O78" s="13">
        <f t="shared" si="26"/>
        <v>0.50919741070594349</v>
      </c>
      <c r="P78" s="13">
        <f t="shared" si="31"/>
        <v>-0.77244767478883347</v>
      </c>
      <c r="Q78" s="13">
        <f t="shared" si="27"/>
        <v>5.6564147793120058E-3</v>
      </c>
      <c r="R78" s="21">
        <f t="shared" si="32"/>
        <v>18.924670949827615</v>
      </c>
      <c r="S78" s="13">
        <f t="shared" si="28"/>
        <v>-138.32342966999636</v>
      </c>
      <c r="T78" s="22">
        <f t="shared" si="29"/>
        <v>-14.618318071338125</v>
      </c>
      <c r="U78" s="22"/>
      <c r="V78" s="19"/>
    </row>
    <row r="79" spans="3:22">
      <c r="C79" s="17"/>
      <c r="D79" s="18"/>
      <c r="E79" s="13"/>
      <c r="F79" s="13"/>
      <c r="G79" s="13"/>
      <c r="H79" s="13"/>
      <c r="I79" s="72">
        <f t="shared" si="23"/>
        <v>34.259786107220258</v>
      </c>
      <c r="J79" s="13">
        <f t="shared" si="33"/>
        <v>6.5</v>
      </c>
      <c r="K79" s="13">
        <f t="shared" si="24"/>
        <v>6.7068276088016692</v>
      </c>
      <c r="L79" s="13">
        <f t="shared" si="30"/>
        <v>0.83408388760354235</v>
      </c>
      <c r="M79" s="13">
        <f t="shared" si="25"/>
        <v>0.12436340044120664</v>
      </c>
      <c r="N79" s="13">
        <f t="shared" si="26"/>
        <v>3.5592027651818356</v>
      </c>
      <c r="O79" s="13">
        <f t="shared" si="26"/>
        <v>0.530683502362717</v>
      </c>
      <c r="P79" s="13">
        <f t="shared" si="31"/>
        <v>-1.1760509227220177</v>
      </c>
      <c r="Q79" s="13">
        <f t="shared" si="27"/>
        <v>9.537239683694608E-2</v>
      </c>
      <c r="R79" s="21">
        <f t="shared" si="32"/>
        <v>4.6087973508320088</v>
      </c>
      <c r="S79" s="13">
        <f t="shared" si="28"/>
        <v>-12.490256481469974</v>
      </c>
      <c r="T79" s="22">
        <f t="shared" si="29"/>
        <v>-5.4201803770847752</v>
      </c>
      <c r="U79" s="22"/>
      <c r="V79" s="19"/>
    </row>
    <row r="80" spans="3:22">
      <c r="C80" s="17"/>
      <c r="D80" s="18"/>
      <c r="E80" s="13"/>
      <c r="F80" s="13"/>
      <c r="G80" s="13"/>
      <c r="H80" s="13"/>
      <c r="I80" s="72">
        <f t="shared" si="23"/>
        <v>33.685699933807356</v>
      </c>
      <c r="J80" s="13">
        <f t="shared" si="33"/>
        <v>7</v>
      </c>
      <c r="K80" s="13">
        <f t="shared" si="24"/>
        <v>6.5899420333624397</v>
      </c>
      <c r="L80" s="13">
        <f t="shared" si="30"/>
        <v>0.8535110580366565</v>
      </c>
      <c r="M80" s="13">
        <f t="shared" si="25"/>
        <v>0.12951723303720208</v>
      </c>
      <c r="N80" s="13">
        <f t="shared" si="26"/>
        <v>3.6421023868540203</v>
      </c>
      <c r="O80" s="13">
        <f t="shared" si="26"/>
        <v>0.55267593681634875</v>
      </c>
      <c r="P80" s="13">
        <f t="shared" si="31"/>
        <v>-1.5821677626554098</v>
      </c>
      <c r="Q80" s="13">
        <f t="shared" si="27"/>
        <v>0.24722638906364591</v>
      </c>
      <c r="R80" s="21">
        <f t="shared" si="32"/>
        <v>2.8625398963599333</v>
      </c>
      <c r="S80" s="13">
        <f t="shared" si="28"/>
        <v>-6.4822478495721265</v>
      </c>
      <c r="T80" s="22">
        <f t="shared" si="29"/>
        <v>-4.5290183433356441</v>
      </c>
      <c r="U80" s="22"/>
      <c r="V80" s="19"/>
    </row>
    <row r="81" spans="3:22">
      <c r="C81" s="17"/>
      <c r="D81" s="18"/>
      <c r="E81" s="13"/>
      <c r="F81" s="13"/>
      <c r="G81" s="13"/>
      <c r="H81" s="13"/>
      <c r="I81" s="72">
        <f t="shared" si="23"/>
        <v>33.111162063296113</v>
      </c>
      <c r="J81" s="13">
        <f t="shared" si="33"/>
        <v>7.5</v>
      </c>
      <c r="K81" s="13">
        <f t="shared" si="24"/>
        <v>6.4762965363830931</v>
      </c>
      <c r="L81" s="13">
        <f t="shared" si="30"/>
        <v>0.87293822846977087</v>
      </c>
      <c r="M81" s="13">
        <f t="shared" si="25"/>
        <v>0.1347897248938037</v>
      </c>
      <c r="N81" s="13">
        <f t="shared" si="26"/>
        <v>3.7250020085262063</v>
      </c>
      <c r="O81" s="13">
        <f t="shared" si="26"/>
        <v>0.57517471406683918</v>
      </c>
      <c r="P81" s="13">
        <f t="shared" si="31"/>
        <v>-1.9804776031676259</v>
      </c>
      <c r="Q81" s="13">
        <f t="shared" si="27"/>
        <v>0.46275990620767998</v>
      </c>
      <c r="R81" s="21">
        <f t="shared" si="32"/>
        <v>2.0922862403559361</v>
      </c>
      <c r="S81" s="13">
        <f t="shared" si="28"/>
        <v>-4.3349304870170737</v>
      </c>
      <c r="T81" s="22">
        <f t="shared" si="29"/>
        <v>-4.143726038440728</v>
      </c>
      <c r="U81" s="22"/>
      <c r="V81" s="19"/>
    </row>
    <row r="82" spans="3:22">
      <c r="C82" s="17"/>
      <c r="D82" s="18"/>
      <c r="E82" s="13"/>
      <c r="F82" s="13"/>
      <c r="G82" s="13"/>
      <c r="H82" s="13"/>
      <c r="I82" s="72">
        <f t="shared" si="23"/>
        <v>32.536207921101578</v>
      </c>
      <c r="J82" s="13">
        <f t="shared" si="33"/>
        <v>8</v>
      </c>
      <c r="K82" s="13">
        <f t="shared" si="24"/>
        <v>6.3658141131375796</v>
      </c>
      <c r="L82" s="13">
        <f t="shared" si="30"/>
        <v>0.89236539890288502</v>
      </c>
      <c r="M82" s="13">
        <f t="shared" si="25"/>
        <v>0.14018087601101131</v>
      </c>
      <c r="N82" s="13">
        <f t="shared" si="26"/>
        <v>3.807901630198391</v>
      </c>
      <c r="O82" s="13">
        <f t="shared" si="26"/>
        <v>0.5981798341141874</v>
      </c>
      <c r="P82" s="13">
        <f t="shared" si="31"/>
        <v>-2.3602204869084633</v>
      </c>
      <c r="Q82" s="13">
        <f t="shared" si="27"/>
        <v>0.74174647702250984</v>
      </c>
      <c r="R82" s="21">
        <f t="shared" si="32"/>
        <v>1.6526131913808382</v>
      </c>
      <c r="S82" s="13">
        <f t="shared" si="28"/>
        <v>-3.2230349144295105</v>
      </c>
      <c r="T82" s="22">
        <f t="shared" si="29"/>
        <v>-3.9005315112322312</v>
      </c>
      <c r="U82" s="22"/>
      <c r="V82" s="19"/>
    </row>
    <row r="83" spans="3:22">
      <c r="C83" s="17"/>
      <c r="D83" s="18"/>
      <c r="E83" s="13"/>
      <c r="F83" s="13"/>
      <c r="G83" s="13"/>
      <c r="H83" s="13"/>
      <c r="I83" s="72">
        <f t="shared" ref="I83" si="34">0.5*ATAN(K83)*180/PI()-J83</f>
        <v>31.960870031025081</v>
      </c>
      <c r="J83" s="13">
        <f t="shared" si="33"/>
        <v>8.5</v>
      </c>
      <c r="K83" s="13">
        <f t="shared" ref="K83" si="35">L83/M83</f>
        <v>6.2584135742388556</v>
      </c>
      <c r="L83" s="13">
        <f t="shared" ref="L83" si="36">$H$66*J83+$G$66</f>
        <v>0.91179256933599939</v>
      </c>
      <c r="M83" s="13">
        <f t="shared" ref="M83" si="37">0.015+0.1572*(L83^2)</f>
        <v>0.14569068638882515</v>
      </c>
      <c r="N83" s="13">
        <f t="shared" ref="N83" si="38">$N$4*L83</f>
        <v>3.8908012518705766</v>
      </c>
      <c r="O83" s="13">
        <f t="shared" ref="O83" si="39">$N$4*M83</f>
        <v>0.62169129695839465</v>
      </c>
      <c r="P83" s="13">
        <f t="shared" si="31"/>
        <v>-2.7105070423671029</v>
      </c>
      <c r="Q83" s="13">
        <f t="shared" ref="Q83" si="40">P83*TAN(I83+J83)</f>
        <v>1.0820907681778116</v>
      </c>
      <c r="R83" s="21">
        <f t="shared" si="32"/>
        <v>1.3682552248666766</v>
      </c>
      <c r="S83" s="13">
        <f t="shared" ref="S83" si="41">0.5*P83*R83^2</f>
        <v>-2.5372004209846257</v>
      </c>
      <c r="T83" s="22">
        <f t="shared" ref="T83" si="42">R83*P83</f>
        <v>-3.7086654227567108</v>
      </c>
      <c r="U83" s="22"/>
      <c r="V83" s="19"/>
    </row>
    <row r="84" spans="3:22">
      <c r="C84" s="17"/>
      <c r="D84" s="18"/>
      <c r="E84" s="13"/>
      <c r="F84" s="13"/>
      <c r="G84" s="13"/>
      <c r="H84" s="13"/>
      <c r="I84" s="72"/>
      <c r="J84" s="13"/>
      <c r="K84" s="13"/>
      <c r="L84" s="13"/>
      <c r="M84" s="13"/>
      <c r="N84" s="13"/>
      <c r="O84" s="13"/>
      <c r="P84" s="13"/>
      <c r="Q84" s="13"/>
      <c r="R84" s="21"/>
      <c r="S84" s="13"/>
      <c r="T84" s="22"/>
      <c r="U84" s="22"/>
      <c r="V84" s="19"/>
    </row>
    <row r="85" spans="3:22">
      <c r="C85" s="17"/>
      <c r="D85" s="18"/>
      <c r="E85" s="13"/>
      <c r="F85" s="13"/>
      <c r="G85" s="13"/>
      <c r="H85" s="13"/>
      <c r="I85" s="72"/>
      <c r="J85" s="13"/>
      <c r="K85" s="13"/>
      <c r="L85" s="13"/>
      <c r="M85" s="13"/>
      <c r="N85" s="13"/>
      <c r="O85" s="13"/>
      <c r="P85" s="13"/>
      <c r="Q85" s="13"/>
      <c r="R85" s="21"/>
      <c r="S85" s="13"/>
      <c r="T85" s="22"/>
      <c r="U85" s="22"/>
      <c r="V85" s="19"/>
    </row>
    <row r="86" spans="3:22">
      <c r="C86" s="17"/>
      <c r="D86" s="18"/>
      <c r="E86" s="13"/>
      <c r="F86" s="13"/>
      <c r="G86" s="13"/>
      <c r="H86" s="13"/>
      <c r="I86" s="72"/>
      <c r="J86" s="13"/>
      <c r="K86" s="13"/>
      <c r="L86" s="13"/>
      <c r="M86" s="13"/>
      <c r="N86" s="13"/>
      <c r="O86" s="13"/>
      <c r="P86" s="13"/>
      <c r="Q86" s="13"/>
      <c r="R86" s="21"/>
      <c r="S86" s="13"/>
      <c r="T86" s="22"/>
      <c r="U86" s="22"/>
      <c r="V86" s="19"/>
    </row>
    <row r="87" spans="3:22" ht="15" thickBot="1">
      <c r="C87" s="23"/>
      <c r="D87" s="24"/>
      <c r="E87" s="25"/>
      <c r="F87" s="25"/>
      <c r="G87" s="25"/>
      <c r="H87" s="25"/>
      <c r="I87" s="75"/>
      <c r="J87" s="25"/>
      <c r="K87" s="25"/>
      <c r="L87" s="25"/>
      <c r="M87" s="25"/>
      <c r="N87" s="25"/>
      <c r="O87" s="25"/>
      <c r="P87" s="25"/>
      <c r="Q87" s="25"/>
      <c r="R87" s="26"/>
      <c r="S87" s="25"/>
      <c r="T87" s="27"/>
      <c r="U87" s="27"/>
      <c r="V87" s="28"/>
    </row>
    <row r="89" spans="3:22" ht="15" thickBot="1"/>
    <row r="90" spans="3:22" ht="17" thickBot="1">
      <c r="C90" s="42" t="s">
        <v>36</v>
      </c>
      <c r="D90" s="43" t="s">
        <v>37</v>
      </c>
      <c r="E90" s="35" t="s">
        <v>24</v>
      </c>
      <c r="F90" s="36" t="s">
        <v>29</v>
      </c>
      <c r="G90" s="36" t="s">
        <v>30</v>
      </c>
      <c r="H90" s="97" t="s">
        <v>56</v>
      </c>
      <c r="I90" s="36" t="s">
        <v>77</v>
      </c>
      <c r="J90" s="36" t="s">
        <v>80</v>
      </c>
      <c r="K90" s="36" t="s">
        <v>81</v>
      </c>
      <c r="L90" s="110" t="s">
        <v>92</v>
      </c>
      <c r="M90" s="36" t="s">
        <v>89</v>
      </c>
      <c r="N90" s="36" t="s">
        <v>90</v>
      </c>
      <c r="O90" s="38" t="s">
        <v>91</v>
      </c>
      <c r="P90" s="15"/>
      <c r="Q90" s="15"/>
      <c r="R90" s="15"/>
      <c r="S90" s="15"/>
      <c r="T90" s="40"/>
      <c r="U90" s="40"/>
      <c r="V90" s="16"/>
    </row>
    <row r="91" spans="3:22" ht="16" thickTop="1" thickBot="1">
      <c r="C91" s="44">
        <v>16</v>
      </c>
      <c r="D91" s="45">
        <f>MAX(T94:T115)</f>
        <v>2.3866803572563087</v>
      </c>
      <c r="E91" s="25">
        <f>$M$4-H91</f>
        <v>1.0001354543494323</v>
      </c>
      <c r="F91" s="25">
        <f>MAX(N94:N116)</f>
        <v>4.14726481974348</v>
      </c>
      <c r="G91" s="25">
        <f>F91*$L$4</f>
        <v>0.74650766755382625</v>
      </c>
      <c r="H91" s="75">
        <f>(-N91+SQRT(N91^2-4*$P$4*O91))/(2*$P$4)</f>
        <v>0.21906454565056782</v>
      </c>
      <c r="I91" s="25">
        <f>$H$4*SBT!$C$23</f>
        <v>4.4225409836065571E-2</v>
      </c>
      <c r="J91" s="25">
        <f>I91+SBT!$B$23</f>
        <v>0.19422540983606557</v>
      </c>
      <c r="K91" s="25">
        <f>SBT!$B$12*H91</f>
        <v>0.28478390934573816</v>
      </c>
      <c r="L91" s="25">
        <f>(F91*$L$4-(SBT!$F$23*K91+0.5*SBT!$E$23*K91^2)*9.81)/(J91*9.81)</f>
        <v>0.12461158396395458</v>
      </c>
      <c r="M91" s="79">
        <f>J91+SBT!$F$23+2*SBT!$G$23+H91*SBT!$D$23+K91*SBT!$E$23</f>
        <v>0.6947413783562274</v>
      </c>
      <c r="N91" s="25">
        <f>(SBT!$G$23+(SBT!$F$23+J91)*0.5)*9.81</f>
        <v>3.1869031352459021</v>
      </c>
      <c r="O91" s="37">
        <f>-F91*$L$4</f>
        <v>-0.74650766755382625</v>
      </c>
      <c r="P91" s="13"/>
      <c r="Q91" s="13"/>
      <c r="R91" s="13"/>
      <c r="S91" s="13"/>
      <c r="T91" s="13"/>
      <c r="U91" s="13"/>
      <c r="V91" s="19"/>
    </row>
    <row r="92" spans="3:22">
      <c r="C92" s="41"/>
      <c r="D92" s="13"/>
      <c r="E92" s="13"/>
      <c r="F92" s="13"/>
      <c r="G92" s="13"/>
      <c r="H92" s="13"/>
      <c r="I92" s="76"/>
      <c r="J92" s="18"/>
      <c r="K92" s="18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9"/>
    </row>
    <row r="93" spans="3:22" ht="17" thickBot="1">
      <c r="C93" s="47" t="s">
        <v>40</v>
      </c>
      <c r="D93" s="48" t="s">
        <v>42</v>
      </c>
      <c r="E93" s="30" t="s">
        <v>35</v>
      </c>
      <c r="F93" s="29" t="s">
        <v>34</v>
      </c>
      <c r="G93" s="29" t="s">
        <v>41</v>
      </c>
      <c r="H93" s="29" t="s">
        <v>7</v>
      </c>
      <c r="I93" s="70" t="s">
        <v>16</v>
      </c>
      <c r="J93" s="71" t="s">
        <v>17</v>
      </c>
      <c r="K93" s="29" t="s">
        <v>18</v>
      </c>
      <c r="L93" s="46" t="s">
        <v>39</v>
      </c>
      <c r="M93" s="31" t="s">
        <v>10</v>
      </c>
      <c r="N93" s="31" t="s">
        <v>13</v>
      </c>
      <c r="O93" s="31" t="s">
        <v>14</v>
      </c>
      <c r="P93" s="31" t="s">
        <v>8</v>
      </c>
      <c r="Q93" s="31" t="s">
        <v>9</v>
      </c>
      <c r="R93" s="31" t="s">
        <v>19</v>
      </c>
      <c r="S93" s="31" t="s">
        <v>25</v>
      </c>
      <c r="T93" s="32" t="s">
        <v>27</v>
      </c>
      <c r="U93" s="32"/>
      <c r="V93" s="33"/>
    </row>
    <row r="94" spans="3:22" ht="15" thickTop="1">
      <c r="C94" s="50">
        <v>4.9847328176381618</v>
      </c>
      <c r="D94" s="51">
        <v>1.1635</v>
      </c>
      <c r="E94" s="7">
        <f>$K$4/(2+SQRT(4+$K$4^2))</f>
        <v>0.53518375848799637</v>
      </c>
      <c r="F94" s="7">
        <f>C94*E94</f>
        <v>2.6677480444020518</v>
      </c>
      <c r="G94" s="12">
        <f>D94*E94</f>
        <v>0.62268630300078376</v>
      </c>
      <c r="H94" s="14">
        <f>F94*PI()/180</f>
        <v>4.6560986988455691E-2</v>
      </c>
      <c r="I94" s="72">
        <f t="shared" ref="I94:I109" si="43">0.5*ATAN(K94)*180/PI()-J94</f>
        <v>41.5228369231111</v>
      </c>
      <c r="J94" s="13">
        <v>0</v>
      </c>
      <c r="K94" s="13">
        <f t="shared" ref="K94:K109" si="44">L94/M94</f>
        <v>8.1983701973376792</v>
      </c>
      <c r="L94" s="13">
        <f>$H$94*J94+$G$94</f>
        <v>0.62268630300078376</v>
      </c>
      <c r="M94" s="13">
        <f t="shared" ref="M94:M109" si="45">0.015+0.1572*(L94^2)</f>
        <v>7.5952450061720023E-2</v>
      </c>
      <c r="N94" s="13">
        <f t="shared" ref="N94:O109" si="46">$N$4*L94</f>
        <v>2.6571269921649443</v>
      </c>
      <c r="O94" s="13">
        <f t="shared" si="46"/>
        <v>0.32410429490337167</v>
      </c>
      <c r="P94" s="13">
        <f>((N94*COS(I94+J94)+O94*SIN(I94+J94))*SIN(J94+I94)-O94)/$M$91</f>
        <v>1.5905852415598631</v>
      </c>
      <c r="Q94" s="13">
        <f t="shared" ref="Q94:Q109" si="47">P94*TAN(I94+J94)</f>
        <v>1.2918643682677555</v>
      </c>
      <c r="R94" s="21">
        <f t="shared" ref="R94:R109" si="48">IF(ISERROR(SQRT(2*$E$8/Q94)),0,SQRT(2*$E$8/Q94))</f>
        <v>1.3236504429057192</v>
      </c>
      <c r="S94" s="21">
        <f>IF(ISERROR(SQRT(2*$E$91/R94)),0,SQRT(2*$E$91/R94))</f>
        <v>1.2292996408168542</v>
      </c>
      <c r="T94" s="22">
        <f t="shared" ref="T94:T109" si="49">R94*P94</f>
        <v>2.1053788594700134</v>
      </c>
      <c r="U94" s="22"/>
      <c r="V94" s="19"/>
    </row>
    <row r="95" spans="3:22">
      <c r="C95" s="17"/>
      <c r="D95" s="18"/>
      <c r="E95" s="13"/>
      <c r="F95" s="13"/>
      <c r="G95" s="13"/>
      <c r="H95" s="13"/>
      <c r="I95" s="72">
        <f t="shared" si="43"/>
        <v>40.944064614038929</v>
      </c>
      <c r="J95" s="13">
        <f>J94+0.5</f>
        <v>0.5</v>
      </c>
      <c r="K95" s="13">
        <f t="shared" si="44"/>
        <v>8.014940607304748</v>
      </c>
      <c r="L95" s="13">
        <f t="shared" ref="L95:L109" si="50">$H$94*J95+$G$94</f>
        <v>0.64596679649501165</v>
      </c>
      <c r="M95" s="13">
        <f t="shared" si="45"/>
        <v>8.0595331661757169E-2</v>
      </c>
      <c r="N95" s="13">
        <f t="shared" si="46"/>
        <v>2.7564695140035136</v>
      </c>
      <c r="O95" s="13">
        <f t="shared" si="46"/>
        <v>0.3439163992670502</v>
      </c>
      <c r="P95" s="13">
        <f t="shared" ref="P95:P109" si="51">((N95*COS(I95+J95)+O95*SIN(I95+J95))*SIN(J95+I95)-O95)/$M$91</f>
        <v>1.5181270614239655</v>
      </c>
      <c r="Q95" s="13">
        <f t="shared" si="47"/>
        <v>1.0461124982812222</v>
      </c>
      <c r="R95" s="21">
        <f t="shared" si="48"/>
        <v>1.4709319245345751</v>
      </c>
      <c r="S95" s="21">
        <f t="shared" ref="S95:S109" si="52">IF(ISERROR(SQRT(2*$E$91/R95)),0,SQRT(2*$E$91/R95))</f>
        <v>1.1661330993192363</v>
      </c>
      <c r="T95" s="22">
        <f t="shared" si="49"/>
        <v>2.2330615601483728</v>
      </c>
      <c r="U95" s="22"/>
      <c r="V95" s="19"/>
    </row>
    <row r="96" spans="3:22">
      <c r="C96" s="20"/>
      <c r="D96" s="11"/>
      <c r="E96" s="13"/>
      <c r="F96" s="13"/>
      <c r="G96" s="13"/>
      <c r="H96" s="13"/>
      <c r="I96" s="72">
        <f t="shared" si="43"/>
        <v>40.363643690477979</v>
      </c>
      <c r="J96" s="13">
        <f t="shared" ref="J96:J108" si="53">J95+0.5</f>
        <v>1</v>
      </c>
      <c r="K96" s="13">
        <f t="shared" si="44"/>
        <v>7.8358291125087938</v>
      </c>
      <c r="L96" s="13">
        <f t="shared" si="50"/>
        <v>0.66924728998923944</v>
      </c>
      <c r="M96" s="13">
        <f t="shared" si="45"/>
        <v>8.5408612206828341E-2</v>
      </c>
      <c r="N96" s="13">
        <f t="shared" si="46"/>
        <v>2.8558120358420824</v>
      </c>
      <c r="O96" s="13">
        <f t="shared" si="46"/>
        <v>0.3644556300089779</v>
      </c>
      <c r="P96" s="13">
        <f t="shared" si="51"/>
        <v>1.3848464963739382</v>
      </c>
      <c r="Q96" s="13">
        <f t="shared" si="47"/>
        <v>0.79832406819659318</v>
      </c>
      <c r="R96" s="21">
        <f t="shared" si="48"/>
        <v>1.6838064075500547</v>
      </c>
      <c r="S96" s="21">
        <f t="shared" si="52"/>
        <v>1.0899293070341391</v>
      </c>
      <c r="T96" s="22">
        <f t="shared" si="49"/>
        <v>2.3318134040676806</v>
      </c>
      <c r="U96" s="22"/>
      <c r="V96" s="19"/>
    </row>
    <row r="97" spans="3:22">
      <c r="C97" s="17"/>
      <c r="D97" s="18"/>
      <c r="E97" s="13"/>
      <c r="F97" s="13"/>
      <c r="G97" s="13"/>
      <c r="H97" s="13"/>
      <c r="I97" s="72">
        <f t="shared" si="43"/>
        <v>39.78175056212109</v>
      </c>
      <c r="J97" s="13">
        <f t="shared" si="53"/>
        <v>1.5</v>
      </c>
      <c r="K97" s="13">
        <f t="shared" si="44"/>
        <v>7.6613588446829928</v>
      </c>
      <c r="L97" s="13">
        <f t="shared" si="50"/>
        <v>0.69252778348346733</v>
      </c>
      <c r="M97" s="13">
        <f t="shared" si="45"/>
        <v>9.0392291696933608E-2</v>
      </c>
      <c r="N97" s="13">
        <f t="shared" si="46"/>
        <v>2.9551545576806517</v>
      </c>
      <c r="O97" s="13">
        <f t="shared" si="46"/>
        <v>0.38572198712915506</v>
      </c>
      <c r="P97" s="13">
        <f t="shared" si="51"/>
        <v>1.1880133548277327</v>
      </c>
      <c r="Q97" s="13">
        <f t="shared" si="47"/>
        <v>0.56081247565714776</v>
      </c>
      <c r="R97" s="21">
        <f t="shared" si="48"/>
        <v>2.0089676160268315</v>
      </c>
      <c r="S97" s="21">
        <f t="shared" si="52"/>
        <v>0.99783318069085425</v>
      </c>
      <c r="T97" s="22">
        <f t="shared" si="49"/>
        <v>2.3866803572563087</v>
      </c>
      <c r="U97" s="22"/>
      <c r="V97" s="19"/>
    </row>
    <row r="98" spans="3:22">
      <c r="C98" s="17"/>
      <c r="D98" s="13"/>
      <c r="E98" s="13"/>
      <c r="F98" s="13"/>
      <c r="G98" s="13"/>
      <c r="H98" s="13"/>
      <c r="I98" s="72">
        <f t="shared" si="43"/>
        <v>39.198539034659049</v>
      </c>
      <c r="J98" s="13">
        <f t="shared" si="53"/>
        <v>2</v>
      </c>
      <c r="K98" s="13">
        <f t="shared" si="44"/>
        <v>7.4917370067354696</v>
      </c>
      <c r="L98" s="13">
        <f t="shared" si="50"/>
        <v>0.71580827697769511</v>
      </c>
      <c r="M98" s="13">
        <f t="shared" si="45"/>
        <v>9.55463701320729E-2</v>
      </c>
      <c r="N98" s="13">
        <f t="shared" si="46"/>
        <v>3.0544970795192206</v>
      </c>
      <c r="O98" s="13">
        <f t="shared" si="46"/>
        <v>0.40771547062758146</v>
      </c>
      <c r="P98" s="13">
        <f t="shared" si="51"/>
        <v>0.92748503473599075</v>
      </c>
      <c r="Q98" s="13">
        <f t="shared" si="47"/>
        <v>0.34681688912586711</v>
      </c>
      <c r="R98" s="21">
        <f t="shared" si="48"/>
        <v>2.5546514237013556</v>
      </c>
      <c r="S98" s="21">
        <f t="shared" si="52"/>
        <v>0.88486819279039297</v>
      </c>
      <c r="T98" s="22">
        <f t="shared" si="49"/>
        <v>2.36940096445</v>
      </c>
      <c r="U98" s="22"/>
      <c r="V98" s="19"/>
    </row>
    <row r="99" spans="3:22">
      <c r="C99" s="17"/>
      <c r="D99" s="13"/>
      <c r="E99" s="13"/>
      <c r="F99" s="13"/>
      <c r="G99" s="13"/>
      <c r="H99" s="13"/>
      <c r="I99" s="72">
        <f t="shared" si="43"/>
        <v>38.61414386432579</v>
      </c>
      <c r="J99" s="13">
        <f t="shared" si="53"/>
        <v>2.5</v>
      </c>
      <c r="K99" s="13">
        <f t="shared" si="44"/>
        <v>7.3270800107255329</v>
      </c>
      <c r="L99" s="13">
        <f t="shared" si="50"/>
        <v>0.73908877047192301</v>
      </c>
      <c r="M99" s="13">
        <f t="shared" si="45"/>
        <v>0.10087084751224627</v>
      </c>
      <c r="N99" s="13">
        <f t="shared" si="46"/>
        <v>3.1538396013577898</v>
      </c>
      <c r="O99" s="13">
        <f t="shared" si="46"/>
        <v>0.4304360805042573</v>
      </c>
      <c r="P99" s="13">
        <f t="shared" si="51"/>
        <v>0.6059647725356555</v>
      </c>
      <c r="Q99" s="13">
        <f t="shared" si="47"/>
        <v>0.16995159768362522</v>
      </c>
      <c r="R99" s="21">
        <f t="shared" si="48"/>
        <v>3.6493804686770042</v>
      </c>
      <c r="S99" s="21">
        <f t="shared" si="52"/>
        <v>0.74034617625473753</v>
      </c>
      <c r="T99" s="22">
        <f t="shared" si="49"/>
        <v>2.2113960055979245</v>
      </c>
      <c r="U99" s="22"/>
      <c r="V99" s="19"/>
    </row>
    <row r="100" spans="3:22">
      <c r="C100" s="17"/>
      <c r="D100" s="13"/>
      <c r="E100" s="13"/>
      <c r="F100" s="13"/>
      <c r="G100" s="13"/>
      <c r="H100" s="13"/>
      <c r="I100" s="72">
        <f t="shared" si="43"/>
        <v>38.028683661756027</v>
      </c>
      <c r="J100" s="13">
        <f t="shared" si="53"/>
        <v>3</v>
      </c>
      <c r="K100" s="13">
        <f t="shared" si="44"/>
        <v>7.1674336098270794</v>
      </c>
      <c r="L100" s="13">
        <f t="shared" si="50"/>
        <v>0.76236926396615079</v>
      </c>
      <c r="M100" s="13">
        <f t="shared" si="45"/>
        <v>0.10636572383745367</v>
      </c>
      <c r="N100" s="13">
        <f t="shared" si="46"/>
        <v>3.2531821231963587</v>
      </c>
      <c r="O100" s="13">
        <f t="shared" si="46"/>
        <v>0.45388381675918227</v>
      </c>
      <c r="P100" s="13">
        <f t="shared" si="51"/>
        <v>0.22913923203280004</v>
      </c>
      <c r="Q100" s="13">
        <f t="shared" si="47"/>
        <v>4.3588026329034295E-2</v>
      </c>
      <c r="R100" s="21">
        <f t="shared" si="48"/>
        <v>7.2060648627591828</v>
      </c>
      <c r="S100" s="21">
        <f t="shared" si="52"/>
        <v>0.52686011933372201</v>
      </c>
      <c r="T100" s="22">
        <f t="shared" si="49"/>
        <v>1.6511921686311837</v>
      </c>
      <c r="U100" s="22"/>
      <c r="V100" s="19"/>
    </row>
    <row r="101" spans="3:22">
      <c r="C101" s="17"/>
      <c r="D101" s="13"/>
      <c r="E101" s="13"/>
      <c r="F101" s="13"/>
      <c r="G101" s="13"/>
      <c r="H101" s="13"/>
      <c r="I101" s="72">
        <f t="shared" si="43"/>
        <v>37.44226327997864</v>
      </c>
      <c r="J101" s="13">
        <f t="shared" si="53"/>
        <v>3.5</v>
      </c>
      <c r="K101" s="13">
        <f t="shared" si="44"/>
        <v>7.012788993385084</v>
      </c>
      <c r="L101" s="13">
        <f t="shared" si="50"/>
        <v>0.78564975746037868</v>
      </c>
      <c r="M101" s="13">
        <f t="shared" si="45"/>
        <v>0.11203099910769515</v>
      </c>
      <c r="N101" s="13">
        <f t="shared" si="46"/>
        <v>3.352524645034928</v>
      </c>
      <c r="O101" s="13">
        <f t="shared" si="46"/>
        <v>0.47805867939235674</v>
      </c>
      <c r="P101" s="13">
        <f t="shared" si="51"/>
        <v>-0.19432100762422447</v>
      </c>
      <c r="Q101" s="13">
        <f t="shared" si="47"/>
        <v>-1.9803136381633127E-2</v>
      </c>
      <c r="R101" s="21">
        <f t="shared" si="48"/>
        <v>0</v>
      </c>
      <c r="S101" s="21">
        <f t="shared" si="52"/>
        <v>0</v>
      </c>
      <c r="T101" s="22">
        <f t="shared" si="49"/>
        <v>0</v>
      </c>
      <c r="U101" s="22"/>
      <c r="V101" s="19"/>
    </row>
    <row r="102" spans="3:22">
      <c r="C102" s="17"/>
      <c r="D102" s="13"/>
      <c r="E102" s="13"/>
      <c r="F102" s="13"/>
      <c r="G102" s="13"/>
      <c r="H102" s="13"/>
      <c r="I102" s="72">
        <f t="shared" si="43"/>
        <v>36.854975790364499</v>
      </c>
      <c r="J102" s="13">
        <f t="shared" si="53"/>
        <v>4</v>
      </c>
      <c r="K102" s="13">
        <f t="shared" si="44"/>
        <v>6.8630956329617261</v>
      </c>
      <c r="L102" s="13">
        <f t="shared" si="50"/>
        <v>0.80893025095460658</v>
      </c>
      <c r="M102" s="13">
        <f t="shared" si="45"/>
        <v>0.1178666733229707</v>
      </c>
      <c r="N102" s="13">
        <f t="shared" si="46"/>
        <v>3.4518671668734973</v>
      </c>
      <c r="O102" s="13">
        <f t="shared" si="46"/>
        <v>0.50296066840378051</v>
      </c>
      <c r="P102" s="13">
        <f t="shared" si="51"/>
        <v>-0.65290816127499407</v>
      </c>
      <c r="Q102" s="13">
        <f t="shared" si="47"/>
        <v>-9.3184767662759169E-3</v>
      </c>
      <c r="R102" s="21">
        <f t="shared" si="48"/>
        <v>0</v>
      </c>
      <c r="S102" s="21">
        <f t="shared" si="52"/>
        <v>0</v>
      </c>
      <c r="T102" s="22">
        <f t="shared" si="49"/>
        <v>0</v>
      </c>
      <c r="U102" s="22"/>
      <c r="V102" s="19"/>
    </row>
    <row r="103" spans="3:22">
      <c r="C103" s="17"/>
      <c r="D103" s="18"/>
      <c r="E103" s="13"/>
      <c r="F103" s="13"/>
      <c r="G103" s="13"/>
      <c r="H103" s="13"/>
      <c r="I103" s="72">
        <f t="shared" si="43"/>
        <v>36.266904127139227</v>
      </c>
      <c r="J103" s="13">
        <f t="shared" si="53"/>
        <v>4.5</v>
      </c>
      <c r="K103" s="13">
        <f t="shared" si="44"/>
        <v>6.7182715171424903</v>
      </c>
      <c r="L103" s="13">
        <f t="shared" si="50"/>
        <v>0.83221074444883436</v>
      </c>
      <c r="M103" s="13">
        <f t="shared" si="45"/>
        <v>0.12387274648328025</v>
      </c>
      <c r="N103" s="13">
        <f t="shared" si="46"/>
        <v>3.5512096887120661</v>
      </c>
      <c r="O103" s="13">
        <f t="shared" si="46"/>
        <v>0.52858978379345345</v>
      </c>
      <c r="P103" s="13">
        <f t="shared" si="51"/>
        <v>-1.1325740478152693</v>
      </c>
      <c r="Q103" s="13">
        <f t="shared" si="47"/>
        <v>8.373646186916546E-2</v>
      </c>
      <c r="R103" s="21">
        <f t="shared" si="48"/>
        <v>5.199055647901484</v>
      </c>
      <c r="S103" s="21">
        <f t="shared" si="52"/>
        <v>0.62027199930378885</v>
      </c>
      <c r="T103" s="22">
        <f t="shared" si="49"/>
        <v>-5.8883154999606209</v>
      </c>
      <c r="U103" s="22"/>
      <c r="V103" s="19"/>
    </row>
    <row r="104" spans="3:22">
      <c r="C104" s="17"/>
      <c r="D104" s="22"/>
      <c r="E104" s="13"/>
      <c r="F104" s="13"/>
      <c r="G104" s="13"/>
      <c r="H104" s="13"/>
      <c r="I104" s="72">
        <f t="shared" si="43"/>
        <v>35.678122463539943</v>
      </c>
      <c r="J104" s="13">
        <f t="shared" si="53"/>
        <v>5</v>
      </c>
      <c r="K104" s="13">
        <f t="shared" si="44"/>
        <v>6.5782112897516214</v>
      </c>
      <c r="L104" s="13">
        <f t="shared" si="50"/>
        <v>0.85549123794306214</v>
      </c>
      <c r="M104" s="13">
        <f t="shared" si="45"/>
        <v>0.13004921858862389</v>
      </c>
      <c r="N104" s="13">
        <f t="shared" si="46"/>
        <v>3.6505522105506345</v>
      </c>
      <c r="O104" s="13">
        <f t="shared" si="46"/>
        <v>0.55494602556137584</v>
      </c>
      <c r="P104" s="13">
        <f t="shared" si="51"/>
        <v>-1.6171722150505485</v>
      </c>
      <c r="Q104" s="13">
        <f t="shared" si="47"/>
        <v>0.26526451404254131</v>
      </c>
      <c r="R104" s="21">
        <f t="shared" si="48"/>
        <v>2.9210715259428324</v>
      </c>
      <c r="S104" s="21">
        <f t="shared" si="52"/>
        <v>0.82751012009406555</v>
      </c>
      <c r="T104" s="22">
        <f t="shared" si="49"/>
        <v>-4.7238757099300557</v>
      </c>
      <c r="U104" s="22"/>
      <c r="V104" s="19"/>
    </row>
    <row r="105" spans="3:22">
      <c r="C105" s="17"/>
      <c r="D105" s="18"/>
      <c r="E105" s="13"/>
      <c r="F105" s="13"/>
      <c r="G105" s="13"/>
      <c r="H105" s="13"/>
      <c r="I105" s="72">
        <f t="shared" si="43"/>
        <v>35.088697369339755</v>
      </c>
      <c r="J105" s="13">
        <f t="shared" si="53"/>
        <v>5.5</v>
      </c>
      <c r="K105" s="13">
        <f t="shared" si="44"/>
        <v>6.4427927058842211</v>
      </c>
      <c r="L105" s="13">
        <f t="shared" si="50"/>
        <v>0.87877173143729004</v>
      </c>
      <c r="M105" s="13">
        <f t="shared" si="45"/>
        <v>0.13639608963900163</v>
      </c>
      <c r="N105" s="13">
        <f t="shared" si="46"/>
        <v>3.7498947323892038</v>
      </c>
      <c r="O105" s="13">
        <f t="shared" si="46"/>
        <v>0.58202939370754769</v>
      </c>
      <c r="P105" s="13">
        <f t="shared" si="51"/>
        <v>-2.0890327980521102</v>
      </c>
      <c r="Q105" s="13">
        <f t="shared" si="47"/>
        <v>0.53788627769952591</v>
      </c>
      <c r="R105" s="21">
        <f t="shared" si="48"/>
        <v>2.0513347483627777</v>
      </c>
      <c r="S105" s="21">
        <f t="shared" si="52"/>
        <v>0.98747507191839967</v>
      </c>
      <c r="T105" s="22">
        <f t="shared" si="49"/>
        <v>-4.2853055691138149</v>
      </c>
      <c r="U105" s="22"/>
      <c r="V105" s="19"/>
    </row>
    <row r="106" spans="3:22">
      <c r="C106" s="17"/>
      <c r="D106" s="18"/>
      <c r="E106" s="13"/>
      <c r="F106" s="13"/>
      <c r="G106" s="13"/>
      <c r="H106" s="13"/>
      <c r="I106" s="72">
        <f t="shared" si="43"/>
        <v>34.498688789206845</v>
      </c>
      <c r="J106" s="13">
        <f t="shared" si="53"/>
        <v>6</v>
      </c>
      <c r="K106" s="13">
        <f t="shared" si="44"/>
        <v>6.3118817389714827</v>
      </c>
      <c r="L106" s="13">
        <f t="shared" si="50"/>
        <v>0.90205222493151793</v>
      </c>
      <c r="M106" s="13">
        <f t="shared" si="45"/>
        <v>0.14291335963441337</v>
      </c>
      <c r="N106" s="13">
        <f t="shared" si="46"/>
        <v>3.8492372542277731</v>
      </c>
      <c r="O106" s="13">
        <f t="shared" si="46"/>
        <v>0.60983988823196877</v>
      </c>
      <c r="P106" s="13">
        <f t="shared" si="51"/>
        <v>-2.5296500368964838</v>
      </c>
      <c r="Q106" s="13">
        <f t="shared" si="47"/>
        <v>0.90057168349588668</v>
      </c>
      <c r="R106" s="21">
        <f t="shared" si="48"/>
        <v>1.5853407592792519</v>
      </c>
      <c r="S106" s="21">
        <f t="shared" si="52"/>
        <v>1.1232672495997889</v>
      </c>
      <c r="T106" s="22">
        <f t="shared" si="49"/>
        <v>-4.0103573102042596</v>
      </c>
      <c r="U106" s="22"/>
      <c r="V106" s="19"/>
    </row>
    <row r="107" spans="3:22">
      <c r="C107" s="17"/>
      <c r="D107" s="18"/>
      <c r="E107" s="13"/>
      <c r="F107" s="13"/>
      <c r="G107" s="13"/>
      <c r="H107" s="13"/>
      <c r="I107" s="72">
        <f t="shared" si="43"/>
        <v>33.90815087342834</v>
      </c>
      <c r="J107" s="13">
        <f t="shared" si="53"/>
        <v>6.5</v>
      </c>
      <c r="K107" s="13">
        <f t="shared" si="44"/>
        <v>6.1853366065776516</v>
      </c>
      <c r="L107" s="13">
        <f t="shared" si="50"/>
        <v>0.92533271842574583</v>
      </c>
      <c r="M107" s="13">
        <f t="shared" si="45"/>
        <v>0.14960102857485919</v>
      </c>
      <c r="N107" s="13">
        <f t="shared" si="46"/>
        <v>3.9485797760663424</v>
      </c>
      <c r="O107" s="13">
        <f t="shared" si="46"/>
        <v>0.63837750913463909</v>
      </c>
      <c r="P107" s="13">
        <f t="shared" si="51"/>
        <v>-2.9204555939297046</v>
      </c>
      <c r="Q107" s="13">
        <f t="shared" si="47"/>
        <v>1.3484192913686903</v>
      </c>
      <c r="R107" s="21">
        <f t="shared" si="48"/>
        <v>1.2955950815313828</v>
      </c>
      <c r="S107" s="21">
        <f t="shared" si="52"/>
        <v>1.2425382420904287</v>
      </c>
      <c r="T107" s="22">
        <f t="shared" si="49"/>
        <v>-3.7837279033261386</v>
      </c>
      <c r="U107" s="22"/>
      <c r="V107" s="19"/>
    </row>
    <row r="108" spans="3:22">
      <c r="C108" s="17"/>
      <c r="D108" s="18"/>
      <c r="E108" s="13"/>
      <c r="F108" s="13"/>
      <c r="G108" s="13"/>
      <c r="H108" s="13"/>
      <c r="I108" s="72">
        <f t="shared" si="43"/>
        <v>33.317132686344003</v>
      </c>
      <c r="J108" s="13">
        <f t="shared" si="53"/>
        <v>7</v>
      </c>
      <c r="K108" s="13">
        <f t="shared" si="44"/>
        <v>6.0630109298914316</v>
      </c>
      <c r="L108" s="13">
        <f t="shared" si="50"/>
        <v>0.94861321191997361</v>
      </c>
      <c r="M108" s="13">
        <f t="shared" si="45"/>
        <v>0.15645909646033906</v>
      </c>
      <c r="N108" s="13">
        <f t="shared" si="46"/>
        <v>4.0479222979049112</v>
      </c>
      <c r="O108" s="13">
        <f t="shared" si="46"/>
        <v>0.66764225641555885</v>
      </c>
      <c r="P108" s="13">
        <f t="shared" si="51"/>
        <v>-3.2436451109903919</v>
      </c>
      <c r="Q108" s="13">
        <f t="shared" si="47"/>
        <v>1.8726027587582814</v>
      </c>
      <c r="R108" s="21">
        <f t="shared" si="48"/>
        <v>1.0994081188480274</v>
      </c>
      <c r="S108" s="21">
        <f t="shared" si="52"/>
        <v>1.3488539854442632</v>
      </c>
      <c r="T108" s="22">
        <f t="shared" si="49"/>
        <v>-3.5660897696845475</v>
      </c>
      <c r="U108" s="22"/>
      <c r="V108" s="19"/>
    </row>
    <row r="109" spans="3:22">
      <c r="C109" s="17"/>
      <c r="D109" s="18"/>
      <c r="E109" s="13"/>
      <c r="F109" s="13"/>
      <c r="G109" s="13"/>
      <c r="H109" s="13"/>
      <c r="I109" s="72">
        <f t="shared" si="43"/>
        <v>32.72567881298167</v>
      </c>
      <c r="J109" s="13">
        <v>7.5</v>
      </c>
      <c r="K109" s="13">
        <f t="shared" si="44"/>
        <v>5.9447561994984994</v>
      </c>
      <c r="L109" s="13">
        <f t="shared" si="50"/>
        <v>0.97189370541420139</v>
      </c>
      <c r="M109" s="13">
        <f t="shared" si="45"/>
        <v>0.16348756329085296</v>
      </c>
      <c r="N109" s="13">
        <f t="shared" si="46"/>
        <v>4.14726481974348</v>
      </c>
      <c r="O109" s="13">
        <f t="shared" si="46"/>
        <v>0.69763413007472774</v>
      </c>
      <c r="P109" s="13">
        <f t="shared" si="51"/>
        <v>-3.4830211658505004</v>
      </c>
      <c r="Q109" s="13">
        <f t="shared" si="47"/>
        <v>2.4604965785728568</v>
      </c>
      <c r="R109" s="21">
        <f t="shared" si="48"/>
        <v>0.95911434483478164</v>
      </c>
      <c r="S109" s="21">
        <f t="shared" si="52"/>
        <v>1.444139730075209</v>
      </c>
      <c r="T109" s="22">
        <f t="shared" si="49"/>
        <v>-3.3406155635303798</v>
      </c>
      <c r="U109" s="22"/>
      <c r="V109" s="19"/>
    </row>
    <row r="110" spans="3:22">
      <c r="C110" s="17"/>
      <c r="D110" s="18"/>
      <c r="E110" s="13"/>
      <c r="F110" s="13"/>
      <c r="G110" s="13"/>
      <c r="H110" s="13"/>
      <c r="I110" s="72"/>
      <c r="J110" s="13"/>
      <c r="K110" s="13"/>
      <c r="L110" s="13"/>
      <c r="M110" s="13"/>
      <c r="N110" s="13"/>
      <c r="O110" s="13"/>
      <c r="P110" s="13"/>
      <c r="Q110" s="13"/>
      <c r="R110" s="21"/>
      <c r="S110" s="13"/>
      <c r="T110" s="22"/>
      <c r="U110" s="22"/>
      <c r="V110" s="19"/>
    </row>
    <row r="111" spans="3:22">
      <c r="C111" s="17"/>
      <c r="D111" s="18"/>
      <c r="E111" s="13"/>
      <c r="F111" s="13"/>
      <c r="G111" s="13"/>
      <c r="H111" s="13"/>
      <c r="I111" s="72"/>
      <c r="J111" s="13"/>
      <c r="K111" s="13"/>
      <c r="L111" s="13"/>
      <c r="M111" s="13"/>
      <c r="N111" s="13"/>
      <c r="O111" s="13"/>
      <c r="P111" s="13"/>
      <c r="Q111" s="13"/>
      <c r="R111" s="21"/>
      <c r="S111" s="13"/>
      <c r="T111" s="22"/>
      <c r="U111" s="22"/>
      <c r="V111" s="19"/>
    </row>
    <row r="112" spans="3:22">
      <c r="C112" s="17"/>
      <c r="D112" s="18"/>
      <c r="E112" s="13"/>
      <c r="F112" s="13"/>
      <c r="G112" s="13"/>
      <c r="H112" s="13"/>
      <c r="I112" s="72"/>
      <c r="J112" s="13"/>
      <c r="K112" s="13"/>
      <c r="L112" s="13"/>
      <c r="M112" s="13"/>
      <c r="N112" s="13"/>
      <c r="O112" s="13"/>
      <c r="P112" s="13"/>
      <c r="Q112" s="13"/>
      <c r="R112" s="21"/>
      <c r="S112" s="13"/>
      <c r="T112" s="22"/>
      <c r="U112" s="22"/>
      <c r="V112" s="19"/>
    </row>
    <row r="113" spans="3:22">
      <c r="C113" s="17"/>
      <c r="D113" s="18"/>
      <c r="E113" s="13"/>
      <c r="F113" s="13"/>
      <c r="G113" s="13"/>
      <c r="H113" s="13"/>
      <c r="I113" s="72"/>
      <c r="J113" s="13"/>
      <c r="K113" s="13"/>
      <c r="L113" s="13"/>
      <c r="M113" s="13"/>
      <c r="N113" s="13"/>
      <c r="O113" s="13"/>
      <c r="P113" s="13"/>
      <c r="Q113" s="13"/>
      <c r="R113" s="21"/>
      <c r="S113" s="13"/>
      <c r="T113" s="22"/>
      <c r="U113" s="22"/>
      <c r="V113" s="19"/>
    </row>
    <row r="114" spans="3:22">
      <c r="C114" s="17"/>
      <c r="D114" s="18"/>
      <c r="E114" s="13"/>
      <c r="F114" s="13"/>
      <c r="G114" s="13"/>
      <c r="H114" s="13"/>
      <c r="I114" s="72"/>
      <c r="J114" s="13"/>
      <c r="K114" s="13"/>
      <c r="L114" s="13"/>
      <c r="M114" s="13"/>
      <c r="N114" s="13"/>
      <c r="O114" s="13"/>
      <c r="P114" s="13"/>
      <c r="Q114" s="13"/>
      <c r="R114" s="21"/>
      <c r="S114" s="13"/>
      <c r="T114" s="22"/>
      <c r="U114" s="22"/>
      <c r="V114" s="19"/>
    </row>
    <row r="115" spans="3:22" ht="15" thickBot="1">
      <c r="C115" s="23"/>
      <c r="D115" s="24"/>
      <c r="E115" s="25"/>
      <c r="F115" s="25"/>
      <c r="G115" s="25"/>
      <c r="H115" s="25"/>
      <c r="I115" s="75"/>
      <c r="J115" s="25"/>
      <c r="K115" s="25"/>
      <c r="L115" s="25"/>
      <c r="M115" s="25"/>
      <c r="N115" s="25"/>
      <c r="O115" s="25"/>
      <c r="P115" s="25"/>
      <c r="Q115" s="25"/>
      <c r="R115" s="26"/>
      <c r="S115" s="25"/>
      <c r="T115" s="27"/>
      <c r="U115" s="27"/>
      <c r="V115" s="28"/>
    </row>
    <row r="117" spans="3:22" ht="15" thickBot="1"/>
    <row r="118" spans="3:22" ht="17" thickBot="1">
      <c r="C118" s="42" t="s">
        <v>36</v>
      </c>
      <c r="D118" s="43" t="s">
        <v>37</v>
      </c>
      <c r="E118" s="35" t="s">
        <v>24</v>
      </c>
      <c r="F118" s="36" t="s">
        <v>29</v>
      </c>
      <c r="G118" s="36" t="s">
        <v>30</v>
      </c>
      <c r="H118" s="97" t="s">
        <v>56</v>
      </c>
      <c r="I118" s="36" t="s">
        <v>77</v>
      </c>
      <c r="J118" s="36" t="s">
        <v>80</v>
      </c>
      <c r="K118" s="36" t="s">
        <v>81</v>
      </c>
      <c r="L118" s="110" t="s">
        <v>92</v>
      </c>
      <c r="M118" s="36" t="s">
        <v>89</v>
      </c>
      <c r="N118" s="36" t="s">
        <v>90</v>
      </c>
      <c r="O118" s="38" t="s">
        <v>91</v>
      </c>
      <c r="P118" s="15"/>
      <c r="Q118" s="15"/>
      <c r="R118" s="15"/>
      <c r="S118" s="15"/>
      <c r="T118" s="40"/>
      <c r="U118" s="40"/>
      <c r="V118" s="16"/>
    </row>
    <row r="119" spans="3:22" ht="16" thickTop="1" thickBot="1">
      <c r="C119" s="44">
        <v>20</v>
      </c>
      <c r="D119" s="45">
        <f>MAX(T122:T143)</f>
        <v>2.3925828331444516</v>
      </c>
      <c r="E119" s="25">
        <f>$M$4-H119</f>
        <v>1.0175473183407566</v>
      </c>
      <c r="F119" s="25">
        <f>MAX(N122:N144)</f>
        <v>3.7979673780145351</v>
      </c>
      <c r="G119" s="25">
        <f>F119*$L$4</f>
        <v>0.68363412804261614</v>
      </c>
      <c r="H119" s="75">
        <f>(-N119+SQRT(N119^2-4*$P$4*O119))/(2*$P$4)</f>
        <v>0.20165268165924352</v>
      </c>
      <c r="I119" s="25">
        <f>$H$4*SBT!$C$23</f>
        <v>4.4225409836065571E-2</v>
      </c>
      <c r="J119" s="25">
        <f>I119+SBT!$B$23</f>
        <v>0.19422540983606557</v>
      </c>
      <c r="K119" s="25">
        <f>SBT!$B$12*H119</f>
        <v>0.26214848615701658</v>
      </c>
      <c r="L119" s="25">
        <f>(F119*$L$4-(SBT!$F$23*K119+0.5*SBT!$E$23*K119^2)*9.81)/(J119*9.81)</f>
        <v>0.11421448868333518</v>
      </c>
      <c r="M119" s="79">
        <f>J119+SBT!$F$23+2*SBT!$G$23+H119*SBT!$D$23+K119*SBT!$E$23</f>
        <v>0.69116338302620695</v>
      </c>
      <c r="N119" s="25">
        <f>(SBT!$G$23+(SBT!$F$23+J119)*0.5)*9.81</f>
        <v>3.1869031352459021</v>
      </c>
      <c r="O119" s="37">
        <f>-F119*$L$4</f>
        <v>-0.68363412804261614</v>
      </c>
      <c r="P119" s="13"/>
      <c r="Q119" s="13"/>
      <c r="R119" s="13"/>
      <c r="S119" s="13"/>
      <c r="T119" s="13"/>
      <c r="U119" s="13"/>
      <c r="V119" s="19"/>
    </row>
    <row r="120" spans="3:22">
      <c r="C120" s="41"/>
      <c r="D120" s="13"/>
      <c r="E120" s="13"/>
      <c r="F120" s="13"/>
      <c r="G120" s="13"/>
      <c r="H120" s="13"/>
      <c r="I120" s="76"/>
      <c r="J120" s="18"/>
      <c r="K120" s="18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9"/>
    </row>
    <row r="121" spans="3:22" ht="17" thickBot="1">
      <c r="C121" s="47" t="s">
        <v>40</v>
      </c>
      <c r="D121" s="48" t="s">
        <v>42</v>
      </c>
      <c r="E121" s="30" t="s">
        <v>35</v>
      </c>
      <c r="F121" s="29" t="s">
        <v>34</v>
      </c>
      <c r="G121" s="29" t="s">
        <v>41</v>
      </c>
      <c r="H121" s="29" t="s">
        <v>7</v>
      </c>
      <c r="I121" s="70" t="s">
        <v>16</v>
      </c>
      <c r="J121" s="71" t="s">
        <v>17</v>
      </c>
      <c r="K121" s="29" t="s">
        <v>18</v>
      </c>
      <c r="L121" s="46" t="s">
        <v>39</v>
      </c>
      <c r="M121" s="31" t="s">
        <v>10</v>
      </c>
      <c r="N121" s="31" t="s">
        <v>13</v>
      </c>
      <c r="O121" s="31" t="s">
        <v>14</v>
      </c>
      <c r="P121" s="31" t="s">
        <v>8</v>
      </c>
      <c r="Q121" s="31" t="s">
        <v>9</v>
      </c>
      <c r="R121" s="31" t="s">
        <v>19</v>
      </c>
      <c r="S121" s="31" t="s">
        <v>25</v>
      </c>
      <c r="T121" s="32" t="s">
        <v>27</v>
      </c>
      <c r="U121" s="32"/>
      <c r="V121" s="33"/>
    </row>
    <row r="122" spans="3:22" ht="15" thickTop="1">
      <c r="C122" s="50">
        <v>4.337290509140332</v>
      </c>
      <c r="D122" s="51">
        <v>1.171</v>
      </c>
      <c r="E122" s="7">
        <f>$K$4/(2+SQRT(4+$K$4^2))</f>
        <v>0.53518375848799637</v>
      </c>
      <c r="F122" s="7">
        <f>C122*E122</f>
        <v>2.3212474363360385</v>
      </c>
      <c r="G122" s="12">
        <f>D122*E122</f>
        <v>0.62670018118944382</v>
      </c>
      <c r="H122" s="14">
        <f>F122*PI()/180</f>
        <v>4.0513410517541329E-2</v>
      </c>
      <c r="I122" s="72">
        <f t="shared" ref="I122:I134" si="54">0.5*ATAN(K122)*180/PI()-J122</f>
        <v>41.509381568869479</v>
      </c>
      <c r="J122" s="13">
        <v>0</v>
      </c>
      <c r="K122" s="13">
        <f t="shared" ref="K122:K134" si="55">L122/M122</f>
        <v>8.1664546471235546</v>
      </c>
      <c r="L122" s="13">
        <f>$H$122*J122+$G$122</f>
        <v>0.62670018118944382</v>
      </c>
      <c r="M122" s="13">
        <f t="shared" ref="M122:M134" si="56">0.015+0.1572*(L122^2)</f>
        <v>7.6740790008573007E-2</v>
      </c>
      <c r="N122" s="13">
        <f t="shared" ref="N122:O134" si="57">$N$4*L122</f>
        <v>2.6742550131715945</v>
      </c>
      <c r="O122" s="13">
        <f t="shared" si="57"/>
        <v>0.32746829912458275</v>
      </c>
      <c r="P122" s="13">
        <f>((N122*COS(I122+J122)+O122*SIN(I122+J122))*SIN(J122+I122)-O122)/$M$119</f>
        <v>1.5904325127825196</v>
      </c>
      <c r="Q122" s="13">
        <f t="shared" ref="Q122:Q134" si="58">P122*TAN(I122+J122)</f>
        <v>1.2566057262305101</v>
      </c>
      <c r="R122" s="21">
        <f t="shared" ref="R122:R134" si="59">IF(ISERROR(SQRT(2*$E$8/Q122)),0,SQRT(2*$E$8/Q122))</f>
        <v>1.3420918900054006</v>
      </c>
      <c r="S122" s="13">
        <f t="shared" ref="S122:S134" si="60">0.5*P122*R122^2</f>
        <v>1.432351983081692</v>
      </c>
      <c r="T122" s="22">
        <f t="shared" ref="T122:T134" si="61">R122*P122</f>
        <v>2.1345065770063303</v>
      </c>
      <c r="U122" s="22"/>
      <c r="V122" s="19"/>
    </row>
    <row r="123" spans="3:22">
      <c r="C123" s="17"/>
      <c r="D123" s="18"/>
      <c r="E123" s="13"/>
      <c r="F123" s="13"/>
      <c r="G123" s="13"/>
      <c r="H123" s="13"/>
      <c r="I123" s="72">
        <f t="shared" si="54"/>
        <v>40.940676644935479</v>
      </c>
      <c r="J123" s="13">
        <f>J122+0.5</f>
        <v>0.5</v>
      </c>
      <c r="K123" s="13">
        <f t="shared" si="55"/>
        <v>8.0072325584141435</v>
      </c>
      <c r="L123" s="13">
        <f t="shared" ref="L123:L134" si="62">$H$122*J123+$G$122</f>
        <v>0.64695688644821447</v>
      </c>
      <c r="M123" s="13">
        <f t="shared" si="56"/>
        <v>8.0796565071459117E-2</v>
      </c>
      <c r="N123" s="13">
        <f t="shared" si="57"/>
        <v>2.7606944258518209</v>
      </c>
      <c r="O123" s="13">
        <f t="shared" si="57"/>
        <v>0.34477510247293036</v>
      </c>
      <c r="P123" s="13">
        <f t="shared" ref="P123:P135" si="63">((N123*COS(I123+J123)+O123*SIN(I123+J123))*SIN(J123+I123)-O123)/$M$119</f>
        <v>1.5215609646913966</v>
      </c>
      <c r="Q123" s="13">
        <f t="shared" si="58"/>
        <v>1.0408936503746191</v>
      </c>
      <c r="R123" s="21">
        <f t="shared" si="59"/>
        <v>1.4746148040555251</v>
      </c>
      <c r="S123" s="13">
        <f t="shared" si="60"/>
        <v>1.6543086535933769</v>
      </c>
      <c r="T123" s="22">
        <f t="shared" si="61"/>
        <v>2.2437163238069395</v>
      </c>
      <c r="U123" s="22"/>
      <c r="V123" s="19"/>
    </row>
    <row r="124" spans="3:22">
      <c r="C124" s="20"/>
      <c r="D124" s="11"/>
      <c r="E124" s="13"/>
      <c r="F124" s="13"/>
      <c r="G124" s="13"/>
      <c r="H124" s="13"/>
      <c r="I124" s="72">
        <f t="shared" si="54"/>
        <v>40.370730033766229</v>
      </c>
      <c r="J124" s="13">
        <f t="shared" ref="J124:J135" si="64">J123+0.5</f>
        <v>1</v>
      </c>
      <c r="K124" s="13">
        <f t="shared" si="55"/>
        <v>7.8512944094401576</v>
      </c>
      <c r="L124" s="13">
        <f t="shared" si="62"/>
        <v>0.66721359170698513</v>
      </c>
      <c r="M124" s="13">
        <f t="shared" si="56"/>
        <v>8.4981349177881776E-2</v>
      </c>
      <c r="N124" s="13">
        <f t="shared" si="57"/>
        <v>2.8471338385320468</v>
      </c>
      <c r="O124" s="13">
        <f t="shared" si="57"/>
        <v>0.36263241321185713</v>
      </c>
      <c r="P124" s="13">
        <f t="shared" si="63"/>
        <v>1.4062425962813465</v>
      </c>
      <c r="Q124" s="13">
        <f t="shared" si="58"/>
        <v>0.8239897014035461</v>
      </c>
      <c r="R124" s="21">
        <f t="shared" si="59"/>
        <v>1.6573753577604355</v>
      </c>
      <c r="S124" s="13">
        <f t="shared" si="60"/>
        <v>1.9313990258104159</v>
      </c>
      <c r="T124" s="22">
        <f t="shared" si="61"/>
        <v>2.3306718261097603</v>
      </c>
      <c r="U124" s="22"/>
      <c r="V124" s="19"/>
    </row>
    <row r="125" spans="3:22">
      <c r="C125" s="17"/>
      <c r="D125" s="18"/>
      <c r="E125" s="13"/>
      <c r="F125" s="13"/>
      <c r="G125" s="13"/>
      <c r="H125" s="13"/>
      <c r="I125" s="72">
        <f t="shared" si="54"/>
        <v>39.799658224722471</v>
      </c>
      <c r="J125" s="13">
        <f t="shared" si="64"/>
        <v>1.5</v>
      </c>
      <c r="K125" s="13">
        <f t="shared" si="55"/>
        <v>7.6988543726349157</v>
      </c>
      <c r="L125" s="13">
        <f t="shared" si="62"/>
        <v>0.68747029696575579</v>
      </c>
      <c r="M125" s="13">
        <f t="shared" si="56"/>
        <v>8.9295142327840998E-2</v>
      </c>
      <c r="N125" s="13">
        <f t="shared" si="57"/>
        <v>2.9335732512122732</v>
      </c>
      <c r="O125" s="13">
        <f t="shared" si="57"/>
        <v>0.38104023134136311</v>
      </c>
      <c r="P125" s="13">
        <f t="shared" si="63"/>
        <v>1.2426263558513797</v>
      </c>
      <c r="Q125" s="13">
        <f t="shared" si="58"/>
        <v>0.61403927071414788</v>
      </c>
      <c r="R125" s="21">
        <f t="shared" si="59"/>
        <v>1.919922488438647</v>
      </c>
      <c r="S125" s="13">
        <f t="shared" si="60"/>
        <v>2.2902239724528197</v>
      </c>
      <c r="T125" s="22">
        <f t="shared" si="61"/>
        <v>2.3857462853256286</v>
      </c>
      <c r="U125" s="22"/>
      <c r="V125" s="19"/>
    </row>
    <row r="126" spans="3:22">
      <c r="C126" s="17"/>
      <c r="D126" s="13"/>
      <c r="E126" s="13"/>
      <c r="F126" s="13"/>
      <c r="G126" s="13"/>
      <c r="H126" s="13"/>
      <c r="I126" s="72">
        <f t="shared" si="54"/>
        <v>39.227564571167534</v>
      </c>
      <c r="J126" s="13">
        <f t="shared" si="64"/>
        <v>2</v>
      </c>
      <c r="K126" s="13">
        <f t="shared" si="55"/>
        <v>7.5500588991839113</v>
      </c>
      <c r="L126" s="13">
        <f t="shared" si="62"/>
        <v>0.70772700222452645</v>
      </c>
      <c r="M126" s="13">
        <f t="shared" si="56"/>
        <v>9.3737944521336769E-2</v>
      </c>
      <c r="N126" s="13">
        <f t="shared" si="57"/>
        <v>3.0200126638924991</v>
      </c>
      <c r="O126" s="13">
        <f t="shared" si="57"/>
        <v>0.39999855686144825</v>
      </c>
      <c r="P126" s="13">
        <f t="shared" si="63"/>
        <v>1.0303384414583501</v>
      </c>
      <c r="Q126" s="13">
        <f t="shared" si="58"/>
        <v>0.41974872023552884</v>
      </c>
      <c r="R126" s="21">
        <f t="shared" si="59"/>
        <v>2.3221329389185645</v>
      </c>
      <c r="S126" s="13">
        <f t="shared" si="60"/>
        <v>2.7779477029679156</v>
      </c>
      <c r="T126" s="22">
        <f t="shared" si="61"/>
        <v>2.3925828331444516</v>
      </c>
      <c r="U126" s="22"/>
      <c r="V126" s="19"/>
    </row>
    <row r="127" spans="3:22">
      <c r="C127" s="17"/>
      <c r="D127" s="13"/>
      <c r="E127" s="13"/>
      <c r="F127" s="13"/>
      <c r="G127" s="13"/>
      <c r="H127" s="13"/>
      <c r="I127" s="72">
        <f t="shared" si="54"/>
        <v>38.654541115248144</v>
      </c>
      <c r="J127" s="13">
        <f t="shared" si="64"/>
        <v>2.5</v>
      </c>
      <c r="K127" s="13">
        <f t="shared" si="55"/>
        <v>7.4049996550960184</v>
      </c>
      <c r="L127" s="13">
        <f t="shared" si="62"/>
        <v>0.7279837074832971</v>
      </c>
      <c r="M127" s="13">
        <f t="shared" si="56"/>
        <v>9.8309755758369116E-2</v>
      </c>
      <c r="N127" s="13">
        <f t="shared" si="57"/>
        <v>3.1064520765727255</v>
      </c>
      <c r="O127" s="13">
        <f t="shared" si="57"/>
        <v>0.41950738977211266</v>
      </c>
      <c r="P127" s="13">
        <f t="shared" si="63"/>
        <v>0.77062065663351476</v>
      </c>
      <c r="Q127" s="13">
        <f t="shared" si="58"/>
        <v>0.25011497075642514</v>
      </c>
      <c r="R127" s="21">
        <f t="shared" si="59"/>
        <v>3.0082361475115489</v>
      </c>
      <c r="S127" s="13">
        <f t="shared" si="60"/>
        <v>3.4868599282505524</v>
      </c>
      <c r="T127" s="22">
        <f t="shared" si="61"/>
        <v>2.3182089153040244</v>
      </c>
      <c r="U127" s="22"/>
      <c r="V127" s="19"/>
    </row>
    <row r="128" spans="3:22">
      <c r="C128" s="17"/>
      <c r="D128" s="13"/>
      <c r="E128" s="13"/>
      <c r="F128" s="13"/>
      <c r="G128" s="13"/>
      <c r="H128" s="13"/>
      <c r="I128" s="72">
        <f t="shared" si="54"/>
        <v>38.080670116541299</v>
      </c>
      <c r="J128" s="13">
        <f t="shared" si="64"/>
        <v>3</v>
      </c>
      <c r="K128" s="13">
        <f t="shared" si="55"/>
        <v>7.2637241874973384</v>
      </c>
      <c r="L128" s="13">
        <f t="shared" si="62"/>
        <v>0.74824041274206776</v>
      </c>
      <c r="M128" s="13">
        <f t="shared" si="56"/>
        <v>0.10301057603893801</v>
      </c>
      <c r="N128" s="13">
        <f t="shared" si="57"/>
        <v>3.1928914892529514</v>
      </c>
      <c r="O128" s="13">
        <f t="shared" si="57"/>
        <v>0.43956673007335628</v>
      </c>
      <c r="P128" s="13">
        <f t="shared" si="63"/>
        <v>0.46641787840590165</v>
      </c>
      <c r="Q128" s="13">
        <f t="shared" si="58"/>
        <v>0.11412324962159737</v>
      </c>
      <c r="R128" s="21">
        <f t="shared" si="59"/>
        <v>4.453430759661563</v>
      </c>
      <c r="S128" s="13">
        <f t="shared" si="60"/>
        <v>4.6252435094716011</v>
      </c>
      <c r="T128" s="22">
        <f t="shared" si="61"/>
        <v>2.077159726548929</v>
      </c>
      <c r="U128" s="22"/>
      <c r="V128" s="19"/>
    </row>
    <row r="129" spans="3:22">
      <c r="C129" s="17"/>
      <c r="D129" s="13"/>
      <c r="E129" s="13"/>
      <c r="F129" s="13"/>
      <c r="G129" s="13"/>
      <c r="H129" s="13"/>
      <c r="I129" s="72">
        <f t="shared" si="54"/>
        <v>37.506025339146788</v>
      </c>
      <c r="J129" s="13">
        <f t="shared" si="64"/>
        <v>3.5</v>
      </c>
      <c r="K129" s="13">
        <f t="shared" si="55"/>
        <v>7.1262447077577447</v>
      </c>
      <c r="L129" s="13">
        <f t="shared" si="62"/>
        <v>0.76849711800083842</v>
      </c>
      <c r="M129" s="13">
        <f t="shared" si="56"/>
        <v>0.10784040536304347</v>
      </c>
      <c r="N129" s="13">
        <f t="shared" si="57"/>
        <v>3.2793309019331778</v>
      </c>
      <c r="O129" s="13">
        <f t="shared" si="57"/>
        <v>0.46017657776517906</v>
      </c>
      <c r="P129" s="13">
        <f t="shared" si="63"/>
        <v>0.12240775923015389</v>
      </c>
      <c r="Q129" s="13">
        <f t="shared" si="58"/>
        <v>2.0422953564899718E-2</v>
      </c>
      <c r="R129" s="21">
        <f t="shared" si="59"/>
        <v>10.527433197887705</v>
      </c>
      <c r="S129" s="13">
        <f t="shared" si="60"/>
        <v>6.7830331693596406</v>
      </c>
      <c r="T129" s="22">
        <f t="shared" si="61"/>
        <v>1.2886395081985671</v>
      </c>
      <c r="U129" s="22"/>
      <c r="V129" s="19"/>
    </row>
    <row r="130" spans="3:22">
      <c r="C130" s="17"/>
      <c r="D130" s="13"/>
      <c r="E130" s="13"/>
      <c r="F130" s="13"/>
      <c r="G130" s="13"/>
      <c r="H130" s="13"/>
      <c r="I130" s="72">
        <f t="shared" si="54"/>
        <v>36.930673140604846</v>
      </c>
      <c r="J130" s="13">
        <f t="shared" si="64"/>
        <v>4</v>
      </c>
      <c r="K130" s="13">
        <f t="shared" si="55"/>
        <v>6.9925453147789085</v>
      </c>
      <c r="L130" s="13">
        <f t="shared" si="62"/>
        <v>0.78875382325960919</v>
      </c>
      <c r="M130" s="13">
        <f t="shared" si="56"/>
        <v>0.11279924373068552</v>
      </c>
      <c r="N130" s="13">
        <f t="shared" si="57"/>
        <v>3.3657703146134041</v>
      </c>
      <c r="O130" s="13">
        <f t="shared" si="57"/>
        <v>0.48133693284758122</v>
      </c>
      <c r="P130" s="13">
        <f t="shared" si="63"/>
        <v>-0.25503223414376924</v>
      </c>
      <c r="Q130" s="13">
        <f t="shared" si="58"/>
        <v>-2.3007013448912206E-2</v>
      </c>
      <c r="R130" s="21">
        <f t="shared" si="59"/>
        <v>0</v>
      </c>
      <c r="S130" s="13">
        <f t="shared" si="60"/>
        <v>0</v>
      </c>
      <c r="T130" s="22">
        <f t="shared" si="61"/>
        <v>0</v>
      </c>
      <c r="U130" s="22"/>
      <c r="V130" s="19"/>
    </row>
    <row r="131" spans="3:22">
      <c r="C131" s="17"/>
      <c r="D131" s="18"/>
      <c r="E131" s="13"/>
      <c r="F131" s="13"/>
      <c r="G131" s="13"/>
      <c r="H131" s="13"/>
      <c r="I131" s="72">
        <f t="shared" si="54"/>
        <v>36.354673397338956</v>
      </c>
      <c r="J131" s="13">
        <f t="shared" si="64"/>
        <v>4.5</v>
      </c>
      <c r="K131" s="13">
        <f t="shared" si="55"/>
        <v>6.8625879278404218</v>
      </c>
      <c r="L131" s="13">
        <f t="shared" si="62"/>
        <v>0.80901052851837973</v>
      </c>
      <c r="M131" s="13">
        <f t="shared" si="56"/>
        <v>0.11788709114186405</v>
      </c>
      <c r="N131" s="13">
        <f t="shared" si="57"/>
        <v>3.4522097272936301</v>
      </c>
      <c r="O131" s="13">
        <f t="shared" si="57"/>
        <v>0.50304779532056221</v>
      </c>
      <c r="P131" s="13">
        <f t="shared" si="63"/>
        <v>-0.65792307765378011</v>
      </c>
      <c r="Q131" s="13">
        <f t="shared" si="58"/>
        <v>-9.1910599468507277E-3</v>
      </c>
      <c r="R131" s="21">
        <f t="shared" si="59"/>
        <v>0</v>
      </c>
      <c r="S131" s="13">
        <f t="shared" si="60"/>
        <v>0</v>
      </c>
      <c r="T131" s="22">
        <f t="shared" si="61"/>
        <v>0</v>
      </c>
      <c r="U131" s="22"/>
      <c r="V131" s="19"/>
    </row>
    <row r="132" spans="3:22">
      <c r="C132" s="17"/>
      <c r="D132" s="22"/>
      <c r="E132" s="13"/>
      <c r="F132" s="13"/>
      <c r="G132" s="13"/>
      <c r="H132" s="13"/>
      <c r="I132" s="72">
        <f t="shared" si="54"/>
        <v>35.778080294550236</v>
      </c>
      <c r="J132" s="13">
        <f t="shared" si="64"/>
        <v>5</v>
      </c>
      <c r="K132" s="13">
        <f t="shared" si="55"/>
        <v>6.7363171528399794</v>
      </c>
      <c r="L132" s="13">
        <f t="shared" si="62"/>
        <v>0.8292672337771505</v>
      </c>
      <c r="M132" s="13">
        <f t="shared" si="56"/>
        <v>0.12310394759657921</v>
      </c>
      <c r="N132" s="13">
        <f t="shared" si="57"/>
        <v>3.5386491399738564</v>
      </c>
      <c r="O132" s="13">
        <f t="shared" si="57"/>
        <v>0.52530916518412274</v>
      </c>
      <c r="P132" s="13">
        <f t="shared" si="63"/>
        <v>-1.0768479108952103</v>
      </c>
      <c r="Q132" s="13">
        <f t="shared" si="58"/>
        <v>6.7525037330029583E-2</v>
      </c>
      <c r="R132" s="21">
        <f t="shared" si="59"/>
        <v>5.7896105732918173</v>
      </c>
      <c r="S132" s="13">
        <f t="shared" si="60"/>
        <v>-18.047750550652633</v>
      </c>
      <c r="T132" s="22">
        <f t="shared" si="61"/>
        <v>-6.2345300507461143</v>
      </c>
      <c r="U132" s="22"/>
      <c r="V132" s="19"/>
    </row>
    <row r="133" spans="3:22">
      <c r="C133" s="17"/>
      <c r="D133" s="18"/>
      <c r="E133" s="13"/>
      <c r="F133" s="13"/>
      <c r="G133" s="13"/>
      <c r="H133" s="13"/>
      <c r="I133" s="72">
        <f t="shared" si="54"/>
        <v>35.20094300316822</v>
      </c>
      <c r="J133" s="13">
        <f t="shared" si="64"/>
        <v>5.5</v>
      </c>
      <c r="K133" s="13">
        <f t="shared" si="55"/>
        <v>6.6136642675279056</v>
      </c>
      <c r="L133" s="13">
        <f t="shared" si="62"/>
        <v>0.84952393903592116</v>
      </c>
      <c r="M133" s="13">
        <f t="shared" si="56"/>
        <v>0.12844981309483089</v>
      </c>
      <c r="N133" s="13">
        <f t="shared" si="57"/>
        <v>3.6250885526540828</v>
      </c>
      <c r="O133" s="13">
        <f t="shared" si="57"/>
        <v>0.54812104243826232</v>
      </c>
      <c r="P133" s="13">
        <f t="shared" si="63"/>
        <v>-1.5011788179324428</v>
      </c>
      <c r="Q133" s="13">
        <f t="shared" si="58"/>
        <v>0.21118382478603021</v>
      </c>
      <c r="R133" s="21">
        <f t="shared" si="59"/>
        <v>3.2737947177139946</v>
      </c>
      <c r="S133" s="13">
        <f t="shared" si="60"/>
        <v>-8.0446160175511867</v>
      </c>
      <c r="T133" s="22">
        <f t="shared" si="61"/>
        <v>-4.9145512844913695</v>
      </c>
      <c r="U133" s="22"/>
      <c r="V133" s="19"/>
    </row>
    <row r="134" spans="3:22">
      <c r="C134" s="17"/>
      <c r="D134" s="18"/>
      <c r="E134" s="13"/>
      <c r="F134" s="13"/>
      <c r="G134" s="13"/>
      <c r="H134" s="13"/>
      <c r="I134" s="72">
        <f t="shared" si="54"/>
        <v>34.623306262255234</v>
      </c>
      <c r="J134" s="13">
        <f t="shared" si="64"/>
        <v>6</v>
      </c>
      <c r="K134" s="13">
        <f t="shared" si="55"/>
        <v>6.4945504794059117</v>
      </c>
      <c r="L134" s="13">
        <f t="shared" si="62"/>
        <v>0.86978064429469182</v>
      </c>
      <c r="M134" s="13">
        <f t="shared" si="56"/>
        <v>0.13392468763661913</v>
      </c>
      <c r="N134" s="73">
        <f t="shared" si="57"/>
        <v>3.7115279653343087</v>
      </c>
      <c r="O134" s="13">
        <f t="shared" si="57"/>
        <v>0.57148342708298117</v>
      </c>
      <c r="P134" s="13">
        <f t="shared" si="63"/>
        <v>-1.9193616837840888</v>
      </c>
      <c r="Q134" s="13">
        <f t="shared" si="58"/>
        <v>0.42396614265337701</v>
      </c>
      <c r="R134" s="21">
        <f t="shared" si="59"/>
        <v>2.3105543108956512</v>
      </c>
      <c r="S134" s="13">
        <f t="shared" si="60"/>
        <v>-5.1234108976393991</v>
      </c>
      <c r="T134" s="22">
        <f t="shared" si="61"/>
        <v>-4.4347894126352623</v>
      </c>
      <c r="U134" s="22"/>
      <c r="V134" s="19"/>
    </row>
    <row r="135" spans="3:22">
      <c r="C135" s="17"/>
      <c r="D135" s="18"/>
      <c r="E135" s="13"/>
      <c r="F135" s="13"/>
      <c r="G135" s="13"/>
      <c r="H135" s="13"/>
      <c r="I135" s="72">
        <f t="shared" ref="I135" si="65">0.5*ATAN(K135)*180/PI()-J135</f>
        <v>34.04521088191521</v>
      </c>
      <c r="J135" s="13">
        <f t="shared" si="64"/>
        <v>6.5</v>
      </c>
      <c r="K135" s="13">
        <f t="shared" ref="K135" si="66">L135/M135</f>
        <v>6.3788895833936872</v>
      </c>
      <c r="L135" s="13">
        <f t="shared" ref="L135" si="67">$H$122*J135+$G$122</f>
        <v>0.89003734955346248</v>
      </c>
      <c r="M135" s="13">
        <f t="shared" ref="M135" si="68">0.015+0.1572*(L135^2)</f>
        <v>0.13952857122194395</v>
      </c>
      <c r="N135" s="13">
        <f t="shared" ref="N135" si="69">$N$4*L135</f>
        <v>3.7979673780145351</v>
      </c>
      <c r="O135" s="13">
        <f t="shared" ref="O135" si="70">$N$4*M135</f>
        <v>0.59539631911827917</v>
      </c>
      <c r="P135" s="13">
        <f t="shared" si="63"/>
        <v>-2.3192516575094686</v>
      </c>
      <c r="Q135" s="13">
        <f t="shared" ref="Q135" si="71">P135*TAN(I135+J135)</f>
        <v>0.70599294485586206</v>
      </c>
      <c r="R135" s="21">
        <f t="shared" ref="R135" si="72">IF(ISERROR(SQRT(2*$E$8/Q135)),0,SQRT(2*$E$8/Q135))</f>
        <v>1.7905299454009638</v>
      </c>
      <c r="S135" s="13">
        <f t="shared" ref="S135" si="73">0.5*P135*R135^2</f>
        <v>-3.717757490966568</v>
      </c>
      <c r="T135" s="22">
        <f t="shared" ref="T135" si="74">R135*P135</f>
        <v>-4.1526895436915234</v>
      </c>
      <c r="U135" s="22"/>
      <c r="V135" s="19"/>
    </row>
    <row r="136" spans="3:22">
      <c r="C136" s="17"/>
      <c r="D136" s="18"/>
      <c r="E136" s="13"/>
      <c r="F136" s="13"/>
      <c r="G136" s="13"/>
      <c r="H136" s="13"/>
      <c r="I136" s="72"/>
      <c r="J136" s="13"/>
      <c r="K136" s="13"/>
      <c r="L136" s="13"/>
      <c r="M136" s="13"/>
      <c r="N136" s="13"/>
      <c r="O136" s="13"/>
      <c r="P136" s="13"/>
      <c r="Q136" s="13"/>
      <c r="R136" s="21"/>
      <c r="S136" s="13"/>
      <c r="T136" s="22"/>
      <c r="U136" s="22"/>
      <c r="V136" s="19"/>
    </row>
    <row r="137" spans="3:22">
      <c r="C137" s="17"/>
      <c r="D137" s="18"/>
      <c r="E137" s="13"/>
      <c r="F137" s="13"/>
      <c r="G137" s="13"/>
      <c r="H137" s="13"/>
      <c r="I137" s="72"/>
      <c r="J137" s="13"/>
      <c r="K137" s="13"/>
      <c r="L137" s="13"/>
      <c r="M137" s="13"/>
      <c r="N137" s="13"/>
      <c r="O137" s="13"/>
      <c r="P137" s="13"/>
      <c r="Q137" s="13"/>
      <c r="R137" s="21"/>
      <c r="S137" s="13"/>
      <c r="T137" s="22"/>
      <c r="U137" s="22"/>
      <c r="V137" s="19"/>
    </row>
    <row r="138" spans="3:22">
      <c r="C138" s="17"/>
      <c r="D138" s="18"/>
      <c r="E138" s="13"/>
      <c r="F138" s="13"/>
      <c r="G138" s="13"/>
      <c r="H138" s="13"/>
      <c r="I138" s="72"/>
      <c r="J138" s="13"/>
      <c r="K138" s="13"/>
      <c r="L138" s="13"/>
      <c r="M138" s="13"/>
      <c r="N138" s="13"/>
      <c r="O138" s="13"/>
      <c r="P138" s="13"/>
      <c r="Q138" s="13"/>
      <c r="R138" s="21"/>
      <c r="S138" s="13"/>
      <c r="T138" s="22"/>
      <c r="U138" s="22"/>
      <c r="V138" s="19"/>
    </row>
    <row r="139" spans="3:22">
      <c r="C139" s="17"/>
      <c r="D139" s="18"/>
      <c r="E139" s="13"/>
      <c r="F139" s="13"/>
      <c r="G139" s="13"/>
      <c r="H139" s="13"/>
      <c r="I139" s="72"/>
      <c r="J139" s="13"/>
      <c r="K139" s="13"/>
      <c r="L139" s="13"/>
      <c r="M139" s="13"/>
      <c r="N139" s="13"/>
      <c r="O139" s="13"/>
      <c r="P139" s="13"/>
      <c r="Q139" s="13"/>
      <c r="R139" s="21"/>
      <c r="S139" s="13"/>
      <c r="T139" s="22"/>
      <c r="U139" s="22"/>
      <c r="V139" s="19"/>
    </row>
    <row r="140" spans="3:22">
      <c r="C140" s="17"/>
      <c r="D140" s="18"/>
      <c r="E140" s="13"/>
      <c r="F140" s="13"/>
      <c r="G140" s="13"/>
      <c r="H140" s="13"/>
      <c r="I140" s="72"/>
      <c r="J140" s="13"/>
      <c r="K140" s="13"/>
      <c r="L140" s="13"/>
      <c r="M140" s="13"/>
      <c r="N140" s="13"/>
      <c r="O140" s="13"/>
      <c r="P140" s="13"/>
      <c r="Q140" s="13"/>
      <c r="R140" s="21"/>
      <c r="S140" s="13"/>
      <c r="T140" s="22"/>
      <c r="U140" s="22"/>
      <c r="V140" s="19"/>
    </row>
    <row r="141" spans="3:22">
      <c r="C141" s="17"/>
      <c r="D141" s="18"/>
      <c r="E141" s="13"/>
      <c r="F141" s="13"/>
      <c r="G141" s="13"/>
      <c r="H141" s="13"/>
      <c r="I141" s="72"/>
      <c r="J141" s="13"/>
      <c r="K141" s="13"/>
      <c r="L141" s="13"/>
      <c r="M141" s="13"/>
      <c r="N141" s="13"/>
      <c r="O141" s="13"/>
      <c r="P141" s="13"/>
      <c r="Q141" s="13"/>
      <c r="R141" s="21"/>
      <c r="S141" s="13"/>
      <c r="T141" s="22"/>
      <c r="U141" s="22"/>
      <c r="V141" s="19"/>
    </row>
    <row r="142" spans="3:22">
      <c r="C142" s="17"/>
      <c r="D142" s="18"/>
      <c r="E142" s="13"/>
      <c r="F142" s="13"/>
      <c r="G142" s="13"/>
      <c r="H142" s="13"/>
      <c r="I142" s="72"/>
      <c r="J142" s="13"/>
      <c r="K142" s="13"/>
      <c r="L142" s="13"/>
      <c r="M142" s="13"/>
      <c r="N142" s="13"/>
      <c r="O142" s="13"/>
      <c r="P142" s="13"/>
      <c r="Q142" s="13"/>
      <c r="R142" s="21"/>
      <c r="S142" s="13"/>
      <c r="T142" s="22"/>
      <c r="U142" s="22"/>
      <c r="V142" s="19"/>
    </row>
    <row r="143" spans="3:22" ht="15" thickBot="1">
      <c r="C143" s="23"/>
      <c r="D143" s="24"/>
      <c r="E143" s="25"/>
      <c r="F143" s="25"/>
      <c r="G143" s="25"/>
      <c r="H143" s="25"/>
      <c r="I143" s="75"/>
      <c r="J143" s="25"/>
      <c r="K143" s="25"/>
      <c r="L143" s="25"/>
      <c r="M143" s="25"/>
      <c r="N143" s="25"/>
      <c r="O143" s="25"/>
      <c r="P143" s="25"/>
      <c r="Q143" s="25"/>
      <c r="R143" s="26"/>
      <c r="S143" s="25"/>
      <c r="T143" s="27"/>
      <c r="U143" s="27"/>
      <c r="V143" s="28"/>
    </row>
  </sheetData>
  <mergeCells count="2">
    <mergeCell ref="C2:D2"/>
    <mergeCell ref="H2:P2"/>
  </mergeCells>
  <conditionalFormatting sqref="U33">
    <cfRule type="cellIs" dxfId="105" priority="18" operator="greaterThan">
      <formula>0</formula>
    </cfRule>
  </conditionalFormatting>
  <conditionalFormatting sqref="S11:S32">
    <cfRule type="cellIs" dxfId="104" priority="17" operator="greaterThan">
      <formula>0</formula>
    </cfRule>
  </conditionalFormatting>
  <conditionalFormatting sqref="T11:U32">
    <cfRule type="cellIs" dxfId="103" priority="16" operator="greaterThan">
      <formula>0</formula>
    </cfRule>
  </conditionalFormatting>
  <conditionalFormatting sqref="S38:S59">
    <cfRule type="cellIs" dxfId="102" priority="15" operator="greaterThan">
      <formula>0</formula>
    </cfRule>
  </conditionalFormatting>
  <conditionalFormatting sqref="T38:U59">
    <cfRule type="cellIs" dxfId="101" priority="14" operator="greaterThan">
      <formula>0</formula>
    </cfRule>
  </conditionalFormatting>
  <conditionalFormatting sqref="S66:S87">
    <cfRule type="cellIs" dxfId="100" priority="13" operator="greaterThan">
      <formula>0</formula>
    </cfRule>
  </conditionalFormatting>
  <conditionalFormatting sqref="T66:U87">
    <cfRule type="cellIs" dxfId="99" priority="12" operator="greaterThan">
      <formula>0</formula>
    </cfRule>
  </conditionalFormatting>
  <conditionalFormatting sqref="K11:K32">
    <cfRule type="cellIs" dxfId="98" priority="10" operator="equal">
      <formula>"max($K$11:$K$32)"</formula>
    </cfRule>
    <cfRule type="cellIs" dxfId="97" priority="11" operator="equal">
      <formula>"max($K$11:$K$32)"</formula>
    </cfRule>
  </conditionalFormatting>
  <conditionalFormatting sqref="S110:S115">
    <cfRule type="cellIs" dxfId="96" priority="9" operator="greaterThan">
      <formula>0</formula>
    </cfRule>
  </conditionalFormatting>
  <conditionalFormatting sqref="T94:U115">
    <cfRule type="cellIs" dxfId="95" priority="8" operator="greaterThan">
      <formula>0</formula>
    </cfRule>
  </conditionalFormatting>
  <conditionalFormatting sqref="S122:S143">
    <cfRule type="cellIs" dxfId="94" priority="7" operator="greaterThan">
      <formula>0</formula>
    </cfRule>
  </conditionalFormatting>
  <conditionalFormatting sqref="T122:U143">
    <cfRule type="cellIs" dxfId="93" priority="6" operator="greaterThan">
      <formula>0</formula>
    </cfRule>
  </conditionalFormatting>
  <conditionalFormatting sqref="T11:T32">
    <cfRule type="top10" dxfId="92" priority="5" rank="1"/>
  </conditionalFormatting>
  <conditionalFormatting sqref="T38:T57">
    <cfRule type="top10" dxfId="91" priority="4" rank="1"/>
  </conditionalFormatting>
  <conditionalFormatting sqref="T66:T83">
    <cfRule type="top10" dxfId="90" priority="3" rank="1"/>
  </conditionalFormatting>
  <conditionalFormatting sqref="T94:T109">
    <cfRule type="top10" dxfId="89" priority="2" rank="1"/>
  </conditionalFormatting>
  <conditionalFormatting sqref="T122:T135">
    <cfRule type="top10" dxfId="88" priority="1" rank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AC143"/>
  <sheetViews>
    <sheetView topLeftCell="A118" zoomScale="75" zoomScaleNormal="75" zoomScalePageLayoutView="75" workbookViewId="0">
      <selection activeCell="P126" sqref="P126"/>
    </sheetView>
  </sheetViews>
  <sheetFormatPr baseColWidth="10" defaultColWidth="8.83203125" defaultRowHeight="14" x14ac:dyDescent="0"/>
  <cols>
    <col min="1" max="1" width="5.5" style="5" customWidth="1"/>
    <col min="2" max="2" width="15.5" style="5" bestFit="1" customWidth="1"/>
    <col min="3" max="3" width="13.1640625" style="5" customWidth="1"/>
    <col min="4" max="4" width="12" style="6" customWidth="1"/>
    <col min="5" max="5" width="9.33203125" style="6" bestFit="1" customWidth="1"/>
    <col min="6" max="6" width="9.1640625" style="6" customWidth="1"/>
    <col min="7" max="7" width="13.83203125" style="6" customWidth="1"/>
    <col min="8" max="8" width="13.6640625" style="6" customWidth="1"/>
    <col min="9" max="9" width="16.83203125" style="74" customWidth="1"/>
    <col min="10" max="10" width="8" style="6" bestFit="1" customWidth="1"/>
    <col min="11" max="11" width="8.1640625" style="6" customWidth="1"/>
    <col min="12" max="12" width="14.83203125" style="6" bestFit="1" customWidth="1"/>
    <col min="13" max="13" width="15.5" style="6" bestFit="1" customWidth="1"/>
    <col min="14" max="14" width="16.1640625" style="6" bestFit="1" customWidth="1"/>
    <col min="15" max="15" width="9.5" style="6" customWidth="1"/>
    <col min="16" max="17" width="5.83203125" style="6" bestFit="1" customWidth="1"/>
    <col min="18" max="18" width="9.83203125" style="6" customWidth="1"/>
    <col min="19" max="19" width="9.1640625" style="6" bestFit="1" customWidth="1"/>
    <col min="20" max="21" width="6.5" style="6" bestFit="1" customWidth="1"/>
    <col min="22" max="22" width="8" style="5" bestFit="1" customWidth="1"/>
    <col min="23" max="23" width="10" style="5" bestFit="1" customWidth="1"/>
    <col min="24" max="24" width="12.6640625" style="5" bestFit="1" customWidth="1"/>
    <col min="25" max="26" width="12" bestFit="1" customWidth="1"/>
    <col min="27" max="28" width="12.6640625" bestFit="1" customWidth="1"/>
  </cols>
  <sheetData>
    <row r="1" spans="3:29" ht="15" thickBot="1"/>
    <row r="2" spans="3:29" ht="15" thickBot="1">
      <c r="C2" s="130" t="s">
        <v>53</v>
      </c>
      <c r="D2" s="131"/>
      <c r="E2" s="11"/>
      <c r="F2" s="13"/>
      <c r="G2" s="13"/>
      <c r="H2" s="132" t="s">
        <v>38</v>
      </c>
      <c r="I2" s="133"/>
      <c r="J2" s="133"/>
      <c r="K2" s="133"/>
      <c r="L2" s="133"/>
      <c r="M2" s="133"/>
      <c r="N2" s="133"/>
      <c r="O2" s="133"/>
      <c r="P2" s="134"/>
      <c r="Q2" s="13"/>
      <c r="R2"/>
      <c r="S2"/>
      <c r="T2"/>
      <c r="U2"/>
      <c r="V2" s="13"/>
      <c r="W2" s="13"/>
      <c r="X2" s="6"/>
      <c r="Y2" s="52"/>
      <c r="Z2" s="52"/>
      <c r="AA2" s="52"/>
      <c r="AB2" s="52"/>
    </row>
    <row r="3" spans="3:29" ht="18" thickBot="1">
      <c r="C3" s="18"/>
      <c r="D3" s="13"/>
      <c r="E3" s="13"/>
      <c r="F3" s="13"/>
      <c r="G3" s="13"/>
      <c r="H3" s="101" t="s">
        <v>4</v>
      </c>
      <c r="I3" s="102" t="s">
        <v>5</v>
      </c>
      <c r="J3" s="103" t="s">
        <v>6</v>
      </c>
      <c r="K3" s="103" t="s">
        <v>31</v>
      </c>
      <c r="L3" s="103" t="s">
        <v>87</v>
      </c>
      <c r="M3" s="103" t="s">
        <v>23</v>
      </c>
      <c r="N3" s="103" t="s">
        <v>26</v>
      </c>
      <c r="O3" s="104" t="s">
        <v>15</v>
      </c>
      <c r="P3" s="66" t="s">
        <v>88</v>
      </c>
      <c r="R3"/>
      <c r="S3"/>
      <c r="T3"/>
      <c r="U3"/>
      <c r="Y3" s="5"/>
      <c r="Z3" s="6"/>
      <c r="AA3" s="52"/>
      <c r="AB3" s="52"/>
      <c r="AC3" s="52"/>
    </row>
    <row r="4" spans="3:29" ht="16" thickTop="1" thickBot="1">
      <c r="C4" s="18"/>
      <c r="D4" s="13"/>
      <c r="E4" s="13"/>
      <c r="F4" s="13"/>
      <c r="G4" s="13"/>
      <c r="H4" s="39">
        <f>SBT!B6</f>
        <v>0.495</v>
      </c>
      <c r="I4" s="75">
        <f>SBT!C9</f>
        <v>0.3</v>
      </c>
      <c r="J4" s="25">
        <f>SBT!D6</f>
        <v>8.1674999999999998E-2</v>
      </c>
      <c r="K4" s="25">
        <f>SBT!E6</f>
        <v>3</v>
      </c>
      <c r="L4" s="25">
        <f>SBT!D9</f>
        <v>0.17999999999999997</v>
      </c>
      <c r="M4" s="25">
        <f>SBT!B16</f>
        <v>1.2192000000000001</v>
      </c>
      <c r="N4" s="25">
        <f>SBT!C16</f>
        <v>4.2671999999999999</v>
      </c>
      <c r="O4" s="25">
        <f>0.5*SBT!$B$26*$J$4*SBT!$C$26^2</f>
        <v>1.81898811084375</v>
      </c>
      <c r="P4" s="37">
        <f>(SBT!$B$12*SBT!$E$23+SBT!$D$23)*0.5*9.81</f>
        <v>1.0079372950819674</v>
      </c>
      <c r="R4"/>
      <c r="S4"/>
      <c r="T4"/>
      <c r="U4"/>
      <c r="X4" s="6"/>
      <c r="Y4" s="5"/>
      <c r="Z4" s="5"/>
    </row>
    <row r="5" spans="3:29">
      <c r="C5" s="18"/>
      <c r="D5" s="13"/>
      <c r="E5" s="13"/>
      <c r="F5" s="13"/>
      <c r="G5" s="13"/>
      <c r="H5" s="13"/>
      <c r="I5" s="72"/>
      <c r="J5" s="13"/>
      <c r="K5" s="13"/>
      <c r="L5" s="13"/>
      <c r="M5" s="13"/>
      <c r="N5" s="13"/>
      <c r="O5" s="13"/>
      <c r="R5"/>
      <c r="S5"/>
      <c r="T5"/>
      <c r="U5"/>
      <c r="X5" s="6"/>
      <c r="Y5" s="5"/>
      <c r="Z5" s="5"/>
    </row>
    <row r="6" spans="3:29" ht="15" thickBot="1">
      <c r="C6" s="18"/>
      <c r="D6" s="13"/>
      <c r="E6" s="13"/>
      <c r="F6" s="34"/>
      <c r="G6" s="13"/>
      <c r="H6" s="13"/>
      <c r="I6" s="72"/>
      <c r="J6" s="13"/>
      <c r="K6" s="13"/>
      <c r="L6" s="13"/>
      <c r="M6" s="13"/>
      <c r="N6" s="13"/>
      <c r="O6" s="13"/>
      <c r="P6" s="13"/>
      <c r="Q6" s="13"/>
      <c r="R6" s="13"/>
      <c r="S6" s="13"/>
      <c r="T6" s="18"/>
      <c r="U6" s="18"/>
      <c r="V6" s="18"/>
      <c r="W6" s="13"/>
      <c r="X6" s="6"/>
      <c r="Y6" s="5"/>
      <c r="Z6" s="5"/>
    </row>
    <row r="7" spans="3:29" ht="17" thickBot="1">
      <c r="C7" s="42" t="s">
        <v>36</v>
      </c>
      <c r="D7" s="43" t="s">
        <v>37</v>
      </c>
      <c r="E7" s="35" t="s">
        <v>24</v>
      </c>
      <c r="F7" s="36" t="s">
        <v>29</v>
      </c>
      <c r="G7" s="36" t="s">
        <v>30</v>
      </c>
      <c r="H7" s="97" t="s">
        <v>56</v>
      </c>
      <c r="I7" s="36" t="s">
        <v>77</v>
      </c>
      <c r="J7" s="36" t="s">
        <v>80</v>
      </c>
      <c r="K7" s="36" t="s">
        <v>81</v>
      </c>
      <c r="L7" s="110" t="s">
        <v>92</v>
      </c>
      <c r="M7" s="36" t="s">
        <v>89</v>
      </c>
      <c r="N7" s="36" t="s">
        <v>90</v>
      </c>
      <c r="O7" s="38" t="s">
        <v>91</v>
      </c>
      <c r="P7" s="15"/>
      <c r="Q7" s="15"/>
      <c r="R7" s="15"/>
      <c r="S7" s="15"/>
      <c r="T7" s="40"/>
      <c r="U7" s="40"/>
      <c r="V7" s="16"/>
      <c r="W7" s="6"/>
      <c r="Y7" s="5"/>
    </row>
    <row r="8" spans="3:29" ht="16" thickTop="1" thickBot="1">
      <c r="C8" s="44">
        <v>4</v>
      </c>
      <c r="D8" s="45">
        <f>MAX(T11:T32)</f>
        <v>1.9999892004500508</v>
      </c>
      <c r="E8" s="25">
        <f>$M$4-H8</f>
        <v>1.0785262402739706</v>
      </c>
      <c r="F8" s="25">
        <f>MAX(N11:N33)</f>
        <v>2.6014434698458926</v>
      </c>
      <c r="G8" s="25">
        <f>F8*$L$4</f>
        <v>0.46825982457226056</v>
      </c>
      <c r="H8" s="75">
        <f>(-N8+SQRT(N8^2-4*$P$4*O8))/(2*$P$4)</f>
        <v>0.14067375972602955</v>
      </c>
      <c r="I8" s="25">
        <f>$H$4*SBT!$C$23</f>
        <v>4.4225409836065571E-2</v>
      </c>
      <c r="J8" s="25">
        <f>I8+SBT!$B$23</f>
        <v>0.19422540983606557</v>
      </c>
      <c r="K8" s="25">
        <f>SBT!$B$12*H8</f>
        <v>0.18287588764383841</v>
      </c>
      <c r="L8" s="25">
        <f>(F8*$L$4-(SBT!$F$23*K8+0.5*SBT!$E$23*K8^2)*9.81)/(J8*9.81)</f>
        <v>7.8472988213681136E-2</v>
      </c>
      <c r="M8" s="79">
        <f>J8+SBT!$F$23+2*SBT!$G$23+H8*SBT!$D$23+K8*SBT!$E$23</f>
        <v>0.67863271439616046</v>
      </c>
      <c r="N8" s="25">
        <f>(SBT!$G$23+(SBT!$F$23+J8)*0.5)*9.81</f>
        <v>3.1869031352459021</v>
      </c>
      <c r="O8" s="37">
        <f>-F8*$L$4</f>
        <v>-0.46825982457226056</v>
      </c>
      <c r="P8" s="13"/>
      <c r="Q8" s="13"/>
      <c r="R8" s="13"/>
      <c r="S8" s="13"/>
      <c r="T8" s="13"/>
      <c r="U8" s="13"/>
      <c r="V8" s="19"/>
      <c r="X8"/>
    </row>
    <row r="9" spans="3:29">
      <c r="C9" s="41"/>
      <c r="D9" s="13"/>
      <c r="E9" s="13"/>
      <c r="F9" s="13"/>
      <c r="G9" s="13"/>
      <c r="H9" s="13"/>
      <c r="I9" s="76"/>
      <c r="J9" s="18"/>
      <c r="K9" s="18"/>
      <c r="L9" s="13"/>
      <c r="M9" s="13"/>
      <c r="N9" s="13"/>
      <c r="O9" s="13"/>
      <c r="P9" s="13"/>
      <c r="Q9" s="13"/>
      <c r="R9" s="13"/>
      <c r="S9" s="13"/>
      <c r="T9" s="13"/>
      <c r="U9" s="13"/>
      <c r="V9" s="19"/>
      <c r="X9"/>
    </row>
    <row r="10" spans="3:29" ht="17" thickBot="1">
      <c r="C10" s="47" t="s">
        <v>40</v>
      </c>
      <c r="D10" s="48" t="s">
        <v>42</v>
      </c>
      <c r="E10" s="30" t="s">
        <v>35</v>
      </c>
      <c r="F10" s="29" t="s">
        <v>34</v>
      </c>
      <c r="G10" s="29" t="s">
        <v>41</v>
      </c>
      <c r="H10" s="29" t="s">
        <v>7</v>
      </c>
      <c r="I10" s="70" t="s">
        <v>16</v>
      </c>
      <c r="J10" s="71" t="s">
        <v>17</v>
      </c>
      <c r="K10" s="29" t="s">
        <v>18</v>
      </c>
      <c r="L10" s="46" t="s">
        <v>39</v>
      </c>
      <c r="M10" s="31" t="s">
        <v>10</v>
      </c>
      <c r="N10" s="31" t="s">
        <v>13</v>
      </c>
      <c r="O10" s="31" t="s">
        <v>14</v>
      </c>
      <c r="P10" s="31" t="s">
        <v>8</v>
      </c>
      <c r="Q10" s="31" t="s">
        <v>9</v>
      </c>
      <c r="R10" s="31" t="s">
        <v>19</v>
      </c>
      <c r="S10" s="31" t="s">
        <v>25</v>
      </c>
      <c r="T10" s="32" t="s">
        <v>27</v>
      </c>
      <c r="U10" s="32"/>
      <c r="V10" s="33"/>
      <c r="X10"/>
    </row>
    <row r="11" spans="3:29" ht="15" thickTop="1">
      <c r="C11" s="49">
        <v>4.3843724980000003</v>
      </c>
      <c r="D11" s="10">
        <v>0.37390000000000001</v>
      </c>
      <c r="E11" s="7">
        <f>$K$4/(2+SQRT(4+$K$4^2))</f>
        <v>0.53518375848799637</v>
      </c>
      <c r="F11" s="7">
        <f>C11*E11</f>
        <v>2.3464449520910455</v>
      </c>
      <c r="G11" s="12">
        <f>D11*E11</f>
        <v>0.20010520729866185</v>
      </c>
      <c r="H11" s="14">
        <f>F11*PI()/180</f>
        <v>4.0953190130789345E-2</v>
      </c>
      <c r="I11" s="72">
        <f t="shared" ref="I11:I31" si="0">0.5*ATAN(K11)*180/PI()-J11</f>
        <v>41.962805049462027</v>
      </c>
      <c r="J11" s="13">
        <v>0</v>
      </c>
      <c r="K11" s="13">
        <f t="shared" ref="K11:K31" si="1">L11/M11</f>
        <v>9.3969854285212815</v>
      </c>
      <c r="L11" s="13">
        <f>$H$11*J11+$G$11</f>
        <v>0.20010520729866185</v>
      </c>
      <c r="M11" s="13">
        <f t="shared" ref="M11:M31" si="2">0.015+0.1572*(L11^2)</f>
        <v>2.1294617174919955E-2</v>
      </c>
      <c r="N11" s="13">
        <f t="shared" ref="N11:O31" si="3">$N$4*L11</f>
        <v>0.85388894058484988</v>
      </c>
      <c r="O11" s="13">
        <f t="shared" si="3"/>
        <v>9.0868390408818431E-2</v>
      </c>
      <c r="P11" s="13">
        <f>((N11*COS(I11+J11)+O11*SIN(I11+J11))*SIN(J11+I11)-O11)/$M$8</f>
        <v>0.46659198071569652</v>
      </c>
      <c r="Q11" s="13">
        <f>P11*TAN(I11+J11)</f>
        <v>0.96914401015425111</v>
      </c>
      <c r="R11" s="21">
        <f t="shared" ref="R11:R31" si="4">IF(ISERROR(SQRT(2*$E$8/Q11)),0,SQRT(2*$E$8/Q11))</f>
        <v>1.4918879212411404</v>
      </c>
      <c r="S11" s="13">
        <f>0.5*P11*R11^2</f>
        <v>0.51925378419579737</v>
      </c>
      <c r="T11" s="22">
        <f>R11*P11</f>
        <v>0.69610294017772678</v>
      </c>
      <c r="U11" s="22"/>
      <c r="V11" s="19"/>
      <c r="X11"/>
    </row>
    <row r="12" spans="3:29">
      <c r="C12" s="17"/>
      <c r="D12" s="18"/>
      <c r="E12" s="13"/>
      <c r="F12" s="13"/>
      <c r="G12" s="13"/>
      <c r="H12" s="13"/>
      <c r="I12" s="72">
        <f t="shared" si="0"/>
        <v>41.568780096155024</v>
      </c>
      <c r="J12" s="13">
        <f>J11+0.5</f>
        <v>0.5</v>
      </c>
      <c r="K12" s="13">
        <f t="shared" si="1"/>
        <v>9.7392375205740258</v>
      </c>
      <c r="L12" s="13">
        <f t="shared" ref="L12:L31" si="5">$H$11*J12+$G$11</f>
        <v>0.22058180236405653</v>
      </c>
      <c r="M12" s="13">
        <f t="shared" si="2"/>
        <v>2.264877531717242E-2</v>
      </c>
      <c r="N12" s="13">
        <f t="shared" si="3"/>
        <v>0.94126666704790196</v>
      </c>
      <c r="O12" s="13">
        <f t="shared" si="3"/>
        <v>9.6646854033438145E-2</v>
      </c>
      <c r="P12" s="13">
        <f t="shared" ref="P12:P31" si="6">((N12*COS(I12+J12)+O12*SIN(I12+J12))*SIN(J12+I12)-O12)/$M$8</f>
        <v>0.42291437508997526</v>
      </c>
      <c r="Q12" s="13">
        <f t="shared" ref="Q12:Q31" si="7">P12*TAN(I12+J12)</f>
        <v>1.185294794861647</v>
      </c>
      <c r="R12" s="21">
        <f t="shared" si="4"/>
        <v>1.34901620652355</v>
      </c>
      <c r="S12" s="13">
        <f t="shared" ref="S12:S31" si="8">0.5*P12*R12^2</f>
        <v>0.38481924741502616</v>
      </c>
      <c r="T12" s="22">
        <f t="shared" ref="T12:T31" si="9">R12*P12</f>
        <v>0.5705183459681562</v>
      </c>
      <c r="U12" s="22"/>
      <c r="V12" s="19"/>
      <c r="X12"/>
    </row>
    <row r="13" spans="3:29">
      <c r="C13" s="20"/>
      <c r="D13" s="11"/>
      <c r="E13" s="13"/>
      <c r="F13" s="13"/>
      <c r="G13" s="13"/>
      <c r="H13" s="13"/>
      <c r="I13" s="72">
        <f t="shared" si="0"/>
        <v>41.141300728978294</v>
      </c>
      <c r="J13" s="13">
        <f t="shared" ref="J13:J31" si="10">J12+0.5</f>
        <v>1</v>
      </c>
      <c r="K13" s="13">
        <f t="shared" si="1"/>
        <v>9.9880177836885977</v>
      </c>
      <c r="L13" s="13">
        <f t="shared" si="5"/>
        <v>0.2410583974294512</v>
      </c>
      <c r="M13" s="13">
        <f t="shared" si="2"/>
        <v>2.4134758532681325E-2</v>
      </c>
      <c r="N13" s="13">
        <f t="shared" si="3"/>
        <v>1.0286443935109542</v>
      </c>
      <c r="O13" s="13">
        <f t="shared" si="3"/>
        <v>0.10298784161065774</v>
      </c>
      <c r="P13" s="13">
        <f t="shared" si="6"/>
        <v>0.37910099004053704</v>
      </c>
      <c r="Q13" s="13">
        <f t="shared" si="7"/>
        <v>1.3687262363550519</v>
      </c>
      <c r="R13" s="21">
        <f t="shared" si="4"/>
        <v>1.2553709069352907</v>
      </c>
      <c r="S13" s="13">
        <f t="shared" si="8"/>
        <v>0.29872326153503947</v>
      </c>
      <c r="T13" s="22">
        <f t="shared" si="9"/>
        <v>0.4759123536872556</v>
      </c>
      <c r="U13" s="22"/>
      <c r="V13" s="19"/>
      <c r="X13"/>
    </row>
    <row r="14" spans="3:29">
      <c r="C14" s="17"/>
      <c r="D14" s="18"/>
      <c r="E14" s="13"/>
      <c r="F14" s="13"/>
      <c r="G14" s="13"/>
      <c r="H14" s="13"/>
      <c r="I14" s="72">
        <f t="shared" si="0"/>
        <v>40.688192312166748</v>
      </c>
      <c r="J14" s="13">
        <f t="shared" si="10"/>
        <v>1.5</v>
      </c>
      <c r="K14" s="13">
        <f t="shared" si="1"/>
        <v>10.155686394609805</v>
      </c>
      <c r="L14" s="13">
        <f t="shared" si="5"/>
        <v>0.26153499249484585</v>
      </c>
      <c r="M14" s="13">
        <f t="shared" si="2"/>
        <v>2.5752566821446672E-2</v>
      </c>
      <c r="N14" s="13">
        <f t="shared" si="3"/>
        <v>1.1160221199740061</v>
      </c>
      <c r="O14" s="13">
        <f t="shared" si="3"/>
        <v>0.10989135314047724</v>
      </c>
      <c r="P14" s="13">
        <f t="shared" si="6"/>
        <v>0.34720541166150182</v>
      </c>
      <c r="Q14" s="13">
        <f t="shared" si="7"/>
        <v>1.5288929350833689</v>
      </c>
      <c r="R14" s="21">
        <f t="shared" si="4"/>
        <v>1.1877958917602462</v>
      </c>
      <c r="S14" s="13">
        <f t="shared" si="8"/>
        <v>0.24492895391765038</v>
      </c>
      <c r="T14" s="22">
        <f t="shared" si="9"/>
        <v>0.41240916156845697</v>
      </c>
      <c r="U14" s="22"/>
      <c r="V14" s="19"/>
      <c r="X14"/>
    </row>
    <row r="15" spans="3:29">
      <c r="C15" s="17"/>
      <c r="D15" s="13"/>
      <c r="E15" s="13"/>
      <c r="F15" s="13"/>
      <c r="G15" s="13"/>
      <c r="H15" s="13"/>
      <c r="I15" s="72">
        <f t="shared" si="0"/>
        <v>40.215020613490204</v>
      </c>
      <c r="J15" s="13">
        <f t="shared" si="10"/>
        <v>2</v>
      </c>
      <c r="K15" s="13">
        <f t="shared" si="1"/>
        <v>10.254146420247402</v>
      </c>
      <c r="L15" s="13">
        <f t="shared" si="5"/>
        <v>0.28201158756024053</v>
      </c>
      <c r="M15" s="13">
        <f t="shared" si="2"/>
        <v>2.750220018346846E-2</v>
      </c>
      <c r="N15" s="13">
        <f t="shared" si="3"/>
        <v>1.2033998464370583</v>
      </c>
      <c r="O15" s="13">
        <f t="shared" si="3"/>
        <v>0.11735738862289662</v>
      </c>
      <c r="P15" s="13">
        <f t="shared" si="6"/>
        <v>0.3329243296790097</v>
      </c>
      <c r="Q15" s="13">
        <f t="shared" si="7"/>
        <v>1.6725813786661179</v>
      </c>
      <c r="R15" s="21">
        <f t="shared" si="4"/>
        <v>1.1356296608300505</v>
      </c>
      <c r="S15" s="13">
        <f t="shared" si="8"/>
        <v>0.21467871767817381</v>
      </c>
      <c r="T15" s="22">
        <f t="shared" si="9"/>
        <v>0.37807874359544569</v>
      </c>
      <c r="U15" s="22"/>
      <c r="V15" s="19"/>
      <c r="X15"/>
    </row>
    <row r="16" spans="3:29">
      <c r="C16" s="17"/>
      <c r="D16" s="13"/>
      <c r="E16" s="13"/>
      <c r="F16" s="13"/>
      <c r="G16" s="13"/>
      <c r="H16" s="13"/>
      <c r="I16" s="72">
        <f t="shared" si="0"/>
        <v>39.725852014865943</v>
      </c>
      <c r="J16" s="13">
        <f t="shared" si="10"/>
        <v>2.5</v>
      </c>
      <c r="K16" s="13">
        <f t="shared" si="1"/>
        <v>10.294435643648834</v>
      </c>
      <c r="L16" s="13">
        <f t="shared" si="5"/>
        <v>0.3024881826256352</v>
      </c>
      <c r="M16" s="13">
        <f t="shared" si="2"/>
        <v>2.9383658618746693E-2</v>
      </c>
      <c r="N16" s="13">
        <f t="shared" si="3"/>
        <v>1.2907775729001105</v>
      </c>
      <c r="O16" s="13">
        <f t="shared" si="3"/>
        <v>0.12538594805791589</v>
      </c>
      <c r="P16" s="13">
        <f t="shared" si="6"/>
        <v>0.33875625213698723</v>
      </c>
      <c r="Q16" s="13">
        <f t="shared" si="7"/>
        <v>1.8037039077960124</v>
      </c>
      <c r="R16" s="21">
        <f t="shared" si="4"/>
        <v>1.0935728830817146</v>
      </c>
      <c r="S16" s="13">
        <f t="shared" si="8"/>
        <v>0.20255958054282025</v>
      </c>
      <c r="T16" s="22">
        <f t="shared" si="9"/>
        <v>0.37045465131140137</v>
      </c>
      <c r="U16" s="22"/>
      <c r="V16" s="19"/>
      <c r="X16"/>
    </row>
    <row r="17" spans="3:24">
      <c r="C17" s="17"/>
      <c r="D17" s="13"/>
      <c r="E17" s="13"/>
      <c r="F17" s="13"/>
      <c r="G17" s="13"/>
      <c r="H17" s="13"/>
      <c r="I17" s="72">
        <f t="shared" si="0"/>
        <v>39.223726366411718</v>
      </c>
      <c r="J17" s="13">
        <f t="shared" si="10"/>
        <v>3</v>
      </c>
      <c r="K17" s="13">
        <f t="shared" si="1"/>
        <v>10.28650422011639</v>
      </c>
      <c r="L17" s="13">
        <f t="shared" si="5"/>
        <v>0.32296477769102988</v>
      </c>
      <c r="M17" s="13">
        <f t="shared" si="2"/>
        <v>3.139694212728137E-2</v>
      </c>
      <c r="N17" s="13">
        <f t="shared" si="3"/>
        <v>1.3781552993631627</v>
      </c>
      <c r="O17" s="13">
        <f t="shared" si="3"/>
        <v>0.13397703144553505</v>
      </c>
      <c r="P17" s="13">
        <f t="shared" si="6"/>
        <v>0.36554893490585166</v>
      </c>
      <c r="Q17" s="13">
        <f t="shared" si="7"/>
        <v>1.9238105162781567</v>
      </c>
      <c r="R17" s="21">
        <f t="shared" si="4"/>
        <v>1.05888600535977</v>
      </c>
      <c r="S17" s="13">
        <f t="shared" si="8"/>
        <v>0.20493396572282732</v>
      </c>
      <c r="T17" s="22">
        <f t="shared" si="9"/>
        <v>0.38707465144597586</v>
      </c>
      <c r="U17" s="22"/>
      <c r="V17" s="19"/>
      <c r="X17"/>
    </row>
    <row r="18" spans="3:24">
      <c r="C18" s="17"/>
      <c r="D18" s="13"/>
      <c r="E18" s="13"/>
      <c r="F18" s="13"/>
      <c r="G18" s="13"/>
      <c r="H18" s="13"/>
      <c r="I18" s="72">
        <f t="shared" si="0"/>
        <v>38.710961619161075</v>
      </c>
      <c r="J18" s="13">
        <f t="shared" si="10"/>
        <v>3.5</v>
      </c>
      <c r="K18" s="13">
        <f t="shared" si="1"/>
        <v>10.239128660774764</v>
      </c>
      <c r="L18" s="13">
        <f t="shared" si="5"/>
        <v>0.34344137275642456</v>
      </c>
      <c r="M18" s="13">
        <f t="shared" si="2"/>
        <v>3.3542050709072485E-2</v>
      </c>
      <c r="N18" s="13">
        <f t="shared" si="3"/>
        <v>1.4655330258262149</v>
      </c>
      <c r="O18" s="13">
        <f t="shared" si="3"/>
        <v>0.14313063878575411</v>
      </c>
      <c r="P18" s="13">
        <f t="shared" si="6"/>
        <v>0.4131852232144767</v>
      </c>
      <c r="Q18" s="13">
        <f t="shared" si="7"/>
        <v>2.0326770297806851</v>
      </c>
      <c r="R18" s="21">
        <f t="shared" si="4"/>
        <v>1.0301397984083698</v>
      </c>
      <c r="S18" s="13">
        <f t="shared" si="8"/>
        <v>0.21923360120734581</v>
      </c>
      <c r="T18" s="22">
        <f t="shared" si="9"/>
        <v>0.42563854254747829</v>
      </c>
      <c r="U18" s="22"/>
      <c r="V18" s="19"/>
      <c r="X18"/>
    </row>
    <row r="19" spans="3:24">
      <c r="C19" s="17"/>
      <c r="D19" s="13"/>
      <c r="E19" s="13"/>
      <c r="F19" s="13"/>
      <c r="G19" s="13"/>
      <c r="H19" s="13"/>
      <c r="I19" s="72">
        <f t="shared" si="0"/>
        <v>38.189356110669777</v>
      </c>
      <c r="J19" s="13">
        <f t="shared" si="10"/>
        <v>4</v>
      </c>
      <c r="K19" s="13">
        <f t="shared" si="1"/>
        <v>10.159918665543085</v>
      </c>
      <c r="L19" s="13">
        <f t="shared" si="5"/>
        <v>0.36391796782181923</v>
      </c>
      <c r="M19" s="13">
        <f t="shared" si="2"/>
        <v>3.5818984364120052E-2</v>
      </c>
      <c r="N19" s="13">
        <f t="shared" si="3"/>
        <v>1.5529107522892669</v>
      </c>
      <c r="O19" s="13">
        <f t="shared" si="3"/>
        <v>0.15284677007857309</v>
      </c>
      <c r="P19" s="13">
        <f t="shared" si="6"/>
        <v>0.48084005250240974</v>
      </c>
      <c r="Q19" s="13">
        <f t="shared" si="7"/>
        <v>2.128812160522731</v>
      </c>
      <c r="R19" s="21">
        <f t="shared" si="4"/>
        <v>1.0066110292175989</v>
      </c>
      <c r="S19" s="13">
        <f t="shared" si="8"/>
        <v>0.24360938161459034</v>
      </c>
      <c r="T19" s="22">
        <f t="shared" si="9"/>
        <v>0.48401890013849497</v>
      </c>
      <c r="U19" s="22"/>
      <c r="V19" s="19"/>
      <c r="X19"/>
    </row>
    <row r="20" spans="3:24">
      <c r="C20" s="17"/>
      <c r="D20" s="18"/>
      <c r="E20" s="13"/>
      <c r="F20" s="13"/>
      <c r="G20" s="13"/>
      <c r="H20" s="13"/>
      <c r="I20" s="72">
        <f t="shared" si="0"/>
        <v>37.660326473101087</v>
      </c>
      <c r="J20" s="13">
        <f t="shared" si="10"/>
        <v>4.5</v>
      </c>
      <c r="K20" s="13">
        <f t="shared" si="1"/>
        <v>10.055382080962897</v>
      </c>
      <c r="L20" s="13">
        <f t="shared" si="5"/>
        <v>0.38439456288721391</v>
      </c>
      <c r="M20" s="13">
        <f t="shared" si="2"/>
        <v>3.8227743092424049E-2</v>
      </c>
      <c r="N20" s="13">
        <f t="shared" si="3"/>
        <v>1.6402884787523191</v>
      </c>
      <c r="O20" s="13">
        <f t="shared" si="3"/>
        <v>0.16312542532399191</v>
      </c>
      <c r="P20" s="13">
        <f t="shared" si="6"/>
        <v>0.56703829019900409</v>
      </c>
      <c r="Q20" s="13">
        <f t="shared" si="7"/>
        <v>2.2098725076279155</v>
      </c>
      <c r="R20" s="21">
        <f t="shared" si="4"/>
        <v>0.98797679951905371</v>
      </c>
      <c r="S20" s="13">
        <f t="shared" si="8"/>
        <v>0.276742514832301</v>
      </c>
      <c r="T20" s="22">
        <f t="shared" si="9"/>
        <v>0.5602206751555685</v>
      </c>
      <c r="U20" s="22"/>
      <c r="V20" s="19"/>
      <c r="X20"/>
    </row>
    <row r="21" spans="3:24">
      <c r="C21" s="17"/>
      <c r="D21" s="22"/>
      <c r="E21" s="13"/>
      <c r="F21" s="13"/>
      <c r="G21" s="13"/>
      <c r="H21" s="13"/>
      <c r="I21" s="72">
        <f t="shared" si="0"/>
        <v>37.125003852161626</v>
      </c>
      <c r="J21" s="13">
        <f t="shared" si="10"/>
        <v>5</v>
      </c>
      <c r="K21" s="13">
        <f t="shared" si="1"/>
        <v>9.9310221634910576</v>
      </c>
      <c r="L21" s="13">
        <f t="shared" si="5"/>
        <v>0.40487115795260858</v>
      </c>
      <c r="M21" s="13">
        <f t="shared" si="2"/>
        <v>4.0768326893984498E-2</v>
      </c>
      <c r="N21" s="13">
        <f t="shared" si="3"/>
        <v>1.7276662052153713</v>
      </c>
      <c r="O21" s="13">
        <f t="shared" si="3"/>
        <v>0.17396660452201065</v>
      </c>
      <c r="P21" s="13">
        <f t="shared" si="6"/>
        <v>0.66963243801750072</v>
      </c>
      <c r="Q21" s="13">
        <f t="shared" si="7"/>
        <v>2.2730087929060114</v>
      </c>
      <c r="R21" s="21">
        <f t="shared" si="4"/>
        <v>0.97415888933284267</v>
      </c>
      <c r="S21" s="13">
        <f t="shared" si="8"/>
        <v>0.31773575095464723</v>
      </c>
      <c r="T21" s="22">
        <f t="shared" si="9"/>
        <v>0.65232839208037208</v>
      </c>
      <c r="U21" s="22"/>
      <c r="V21" s="19"/>
      <c r="X21"/>
    </row>
    <row r="22" spans="3:24">
      <c r="C22" s="17"/>
      <c r="D22" s="18"/>
      <c r="E22" s="13"/>
      <c r="F22" s="13"/>
      <c r="G22" s="13"/>
      <c r="H22" s="13"/>
      <c r="I22" s="72">
        <f t="shared" si="0"/>
        <v>36.584302428675002</v>
      </c>
      <c r="J22" s="13">
        <f t="shared" si="10"/>
        <v>5.5</v>
      </c>
      <c r="K22" s="13">
        <f t="shared" si="1"/>
        <v>9.7914490970358479</v>
      </c>
      <c r="L22" s="13">
        <f t="shared" si="5"/>
        <v>0.42534775301800326</v>
      </c>
      <c r="M22" s="13">
        <f t="shared" si="2"/>
        <v>4.3440735768801392E-2</v>
      </c>
      <c r="N22" s="13">
        <f t="shared" si="3"/>
        <v>1.8150439316784235</v>
      </c>
      <c r="O22" s="13">
        <f t="shared" si="3"/>
        <v>0.1853703076726293</v>
      </c>
      <c r="P22" s="13">
        <f t="shared" si="6"/>
        <v>0.78576202680863028</v>
      </c>
      <c r="Q22" s="13">
        <f t="shared" si="7"/>
        <v>2.315166977127562</v>
      </c>
      <c r="R22" s="21">
        <f t="shared" si="4"/>
        <v>0.96524863506160929</v>
      </c>
      <c r="S22" s="13">
        <f t="shared" si="8"/>
        <v>0.36604917610539717</v>
      </c>
      <c r="T22" s="22">
        <f t="shared" si="9"/>
        <v>0.75845572386027404</v>
      </c>
      <c r="U22" s="22"/>
      <c r="V22" s="19"/>
      <c r="X22"/>
    </row>
    <row r="23" spans="3:24">
      <c r="C23" s="17"/>
      <c r="D23" s="18"/>
      <c r="E23" s="13"/>
      <c r="F23" s="13"/>
      <c r="G23" s="13"/>
      <c r="H23" s="13"/>
      <c r="I23" s="72">
        <f t="shared" si="0"/>
        <v>36.03896911528404</v>
      </c>
      <c r="J23" s="13">
        <f t="shared" si="10"/>
        <v>6</v>
      </c>
      <c r="K23" s="13">
        <f t="shared" si="1"/>
        <v>9.6404938918300829</v>
      </c>
      <c r="L23" s="13">
        <f t="shared" si="5"/>
        <v>0.44582434808339788</v>
      </c>
      <c r="M23" s="13">
        <f t="shared" si="2"/>
        <v>4.6244969716874716E-2</v>
      </c>
      <c r="N23" s="13">
        <f t="shared" si="3"/>
        <v>1.9024216581414755</v>
      </c>
      <c r="O23" s="13">
        <f t="shared" si="3"/>
        <v>0.19733653477584778</v>
      </c>
      <c r="P23" s="13">
        <f t="shared" si="6"/>
        <v>0.91182726042651152</v>
      </c>
      <c r="Q23" s="13">
        <f t="shared" si="7"/>
        <v>2.3333602506653999</v>
      </c>
      <c r="R23" s="21">
        <f t="shared" si="4"/>
        <v>0.96147823623212436</v>
      </c>
      <c r="S23" s="13">
        <f t="shared" si="8"/>
        <v>0.42146497810900713</v>
      </c>
      <c r="T23" s="22">
        <f t="shared" si="9"/>
        <v>0.87670206610325219</v>
      </c>
      <c r="U23" s="22"/>
      <c r="V23" s="19"/>
      <c r="X23"/>
    </row>
    <row r="24" spans="3:24">
      <c r="C24" s="17"/>
      <c r="D24" s="18"/>
      <c r="E24" s="13"/>
      <c r="F24" s="13"/>
      <c r="G24" s="13"/>
      <c r="H24" s="13"/>
      <c r="I24" s="72">
        <f t="shared" si="0"/>
        <v>35.489620195783303</v>
      </c>
      <c r="J24" s="13">
        <f t="shared" si="10"/>
        <v>6.5</v>
      </c>
      <c r="K24" s="13">
        <f t="shared" si="1"/>
        <v>9.4813173923416478</v>
      </c>
      <c r="L24" s="13">
        <f t="shared" si="5"/>
        <v>0.46630094314879256</v>
      </c>
      <c r="M24" s="13">
        <f t="shared" si="2"/>
        <v>4.9181028738204485E-2</v>
      </c>
      <c r="N24" s="13">
        <f t="shared" si="3"/>
        <v>1.9897993846045277</v>
      </c>
      <c r="O24" s="13">
        <f t="shared" si="3"/>
        <v>0.20986528583166617</v>
      </c>
      <c r="P24" s="13">
        <f t="shared" si="6"/>
        <v>1.0434941457716294</v>
      </c>
      <c r="Q24" s="13">
        <f t="shared" si="7"/>
        <v>2.3249200483929626</v>
      </c>
      <c r="R24" s="21">
        <f t="shared" si="4"/>
        <v>0.96322189168896855</v>
      </c>
      <c r="S24" s="13">
        <f t="shared" si="8"/>
        <v>0.48407506252307503</v>
      </c>
      <c r="T24" s="22">
        <f t="shared" si="9"/>
        <v>1.0051164050565131</v>
      </c>
      <c r="U24" s="22"/>
      <c r="V24" s="19"/>
      <c r="X24"/>
    </row>
    <row r="25" spans="3:24">
      <c r="C25" s="17"/>
      <c r="D25" s="18"/>
      <c r="E25" s="13"/>
      <c r="F25" s="13"/>
      <c r="G25" s="13"/>
      <c r="H25" s="13"/>
      <c r="I25" s="72">
        <f t="shared" si="0"/>
        <v>34.936768740423283</v>
      </c>
      <c r="J25" s="13">
        <f t="shared" si="10"/>
        <v>7</v>
      </c>
      <c r="K25" s="13">
        <f t="shared" si="1"/>
        <v>9.3165103697371539</v>
      </c>
      <c r="L25" s="13">
        <f t="shared" si="5"/>
        <v>0.48677753821418723</v>
      </c>
      <c r="M25" s="13">
        <f t="shared" si="2"/>
        <v>5.2248912832790706E-2</v>
      </c>
      <c r="N25" s="13">
        <f t="shared" si="3"/>
        <v>2.0771771110675799</v>
      </c>
      <c r="O25" s="13">
        <f t="shared" si="3"/>
        <v>0.2229565608400845</v>
      </c>
      <c r="P25" s="13">
        <f t="shared" si="6"/>
        <v>1.1757398548859606</v>
      </c>
      <c r="Q25" s="13">
        <f t="shared" si="7"/>
        <v>2.2877281150987292</v>
      </c>
      <c r="R25" s="21">
        <f t="shared" si="4"/>
        <v>0.97101994609441344</v>
      </c>
      <c r="S25" s="13">
        <f t="shared" si="8"/>
        <v>0.55429064182117393</v>
      </c>
      <c r="T25" s="22">
        <f t="shared" si="9"/>
        <v>1.141666850512419</v>
      </c>
      <c r="U25" s="22"/>
      <c r="V25" s="19"/>
      <c r="X25"/>
    </row>
    <row r="26" spans="3:24">
      <c r="C26" s="17"/>
      <c r="D26" s="18"/>
      <c r="E26" s="13"/>
      <c r="F26" s="13"/>
      <c r="G26" s="13"/>
      <c r="H26" s="13"/>
      <c r="I26" s="72">
        <f t="shared" si="0"/>
        <v>34.380845396510793</v>
      </c>
      <c r="J26" s="13">
        <f t="shared" si="10"/>
        <v>7.5</v>
      </c>
      <c r="K26" s="13">
        <f t="shared" si="1"/>
        <v>9.1481828578857698</v>
      </c>
      <c r="L26" s="13">
        <f t="shared" si="5"/>
        <v>0.50725413327958191</v>
      </c>
      <c r="M26" s="13">
        <f t="shared" si="2"/>
        <v>5.5448622000633364E-2</v>
      </c>
      <c r="N26" s="13">
        <f t="shared" si="3"/>
        <v>2.1645548375306318</v>
      </c>
      <c r="O26" s="13">
        <f t="shared" si="3"/>
        <v>0.23661035980110268</v>
      </c>
      <c r="P26" s="13">
        <f t="shared" si="6"/>
        <v>1.302941871987473</v>
      </c>
      <c r="Q26" s="13">
        <f t="shared" si="7"/>
        <v>2.2204273855934482</v>
      </c>
      <c r="R26" s="21">
        <f t="shared" si="4"/>
        <v>0.9856258114626294</v>
      </c>
      <c r="S26" s="13">
        <f t="shared" si="8"/>
        <v>0.63287680903584187</v>
      </c>
      <c r="T26" s="22">
        <f t="shared" si="9"/>
        <v>1.2842131398662906</v>
      </c>
      <c r="U26" s="22"/>
      <c r="V26" s="19"/>
      <c r="X26"/>
    </row>
    <row r="27" spans="3:24">
      <c r="C27" s="17"/>
      <c r="D27" s="18"/>
      <c r="E27" s="13"/>
      <c r="F27" s="13"/>
      <c r="G27" s="13"/>
      <c r="H27" s="13"/>
      <c r="I27" s="72">
        <f t="shared" si="0"/>
        <v>33.822214349115846</v>
      </c>
      <c r="J27" s="13">
        <f t="shared" si="10"/>
        <v>8</v>
      </c>
      <c r="K27" s="13">
        <f t="shared" si="1"/>
        <v>8.9780422864936309</v>
      </c>
      <c r="L27" s="13">
        <f t="shared" si="5"/>
        <v>0.52773072834497659</v>
      </c>
      <c r="M27" s="13">
        <f t="shared" si="2"/>
        <v>5.8780156241732461E-2</v>
      </c>
      <c r="N27" s="13">
        <f t="shared" si="3"/>
        <v>2.2519325639936838</v>
      </c>
      <c r="O27" s="13">
        <f t="shared" si="3"/>
        <v>0.25082668271472075</v>
      </c>
      <c r="P27" s="13">
        <f t="shared" si="6"/>
        <v>1.4190108762221703</v>
      </c>
      <c r="Q27" s="13">
        <f t="shared" si="7"/>
        <v>2.1226067552136292</v>
      </c>
      <c r="R27" s="21">
        <f t="shared" si="4"/>
        <v>1.0080813606244377</v>
      </c>
      <c r="S27" s="13">
        <f t="shared" si="8"/>
        <v>0.7210193133893702</v>
      </c>
      <c r="T27" s="22">
        <f t="shared" si="9"/>
        <v>1.4304784148429208</v>
      </c>
      <c r="U27" s="22"/>
      <c r="V27" s="19"/>
      <c r="X27"/>
    </row>
    <row r="28" spans="3:24">
      <c r="C28" s="17"/>
      <c r="D28" s="18"/>
      <c r="E28" s="13"/>
      <c r="F28" s="13"/>
      <c r="G28" s="13"/>
      <c r="H28" s="13"/>
      <c r="I28" s="72">
        <f t="shared" si="0"/>
        <v>33.261185711808636</v>
      </c>
      <c r="J28" s="13">
        <f t="shared" si="10"/>
        <v>8.5</v>
      </c>
      <c r="K28" s="13">
        <f t="shared" si="1"/>
        <v>8.8074608015412998</v>
      </c>
      <c r="L28" s="13">
        <f t="shared" si="5"/>
        <v>0.54820732341037126</v>
      </c>
      <c r="M28" s="13">
        <f t="shared" si="2"/>
        <v>6.2243515556088008E-2</v>
      </c>
      <c r="N28" s="13">
        <f t="shared" si="3"/>
        <v>2.3393102904567362</v>
      </c>
      <c r="O28" s="13">
        <f t="shared" si="3"/>
        <v>0.26560552958093875</v>
      </c>
      <c r="P28" s="13">
        <f t="shared" si="6"/>
        <v>1.5175645022043323</v>
      </c>
      <c r="Q28" s="13">
        <f t="shared" si="7"/>
        <v>1.9949533827731452</v>
      </c>
      <c r="R28" s="21">
        <f t="shared" si="4"/>
        <v>1.0398339190789765</v>
      </c>
      <c r="S28" s="13">
        <f t="shared" si="8"/>
        <v>0.82043678367084871</v>
      </c>
      <c r="T28" s="22">
        <f t="shared" si="9"/>
        <v>1.5780150437822669</v>
      </c>
      <c r="U28" s="22"/>
      <c r="V28" s="19"/>
      <c r="X28"/>
    </row>
    <row r="29" spans="3:24">
      <c r="C29" s="17"/>
      <c r="D29" s="18"/>
      <c r="E29" s="13"/>
      <c r="F29" s="13"/>
      <c r="G29" s="13"/>
      <c r="H29" s="13"/>
      <c r="I29" s="72">
        <f t="shared" si="0"/>
        <v>32.698025245314724</v>
      </c>
      <c r="J29" s="13">
        <f t="shared" si="10"/>
        <v>9</v>
      </c>
      <c r="K29" s="13">
        <f t="shared" si="1"/>
        <v>8.6375326208151009</v>
      </c>
      <c r="L29" s="13">
        <f t="shared" si="5"/>
        <v>0.56868391847576594</v>
      </c>
      <c r="M29" s="13">
        <f t="shared" si="2"/>
        <v>6.583869994369998E-2</v>
      </c>
      <c r="N29" s="13">
        <f t="shared" si="3"/>
        <v>2.4266880169197882</v>
      </c>
      <c r="O29" s="13">
        <f t="shared" si="3"/>
        <v>0.28094690039975656</v>
      </c>
      <c r="P29" s="13">
        <f t="shared" si="6"/>
        <v>1.5921367599634502</v>
      </c>
      <c r="Q29" s="13">
        <f t="shared" si="7"/>
        <v>1.8393657309609237</v>
      </c>
      <c r="R29" s="21">
        <f t="shared" si="4"/>
        <v>1.0829198396616992</v>
      </c>
      <c r="S29" s="13">
        <f t="shared" si="8"/>
        <v>0.9335616320459984</v>
      </c>
      <c r="T29" s="22">
        <f t="shared" si="9"/>
        <v>1.7241564848191169</v>
      </c>
      <c r="U29" s="22"/>
      <c r="V29" s="19"/>
      <c r="X29"/>
    </row>
    <row r="30" spans="3:24">
      <c r="C30" s="17"/>
      <c r="D30" s="18"/>
      <c r="E30" s="13"/>
      <c r="F30" s="13"/>
      <c r="G30" s="13"/>
      <c r="H30" s="13"/>
      <c r="I30" s="72">
        <f t="shared" si="0"/>
        <v>32.132962052891656</v>
      </c>
      <c r="J30" s="13">
        <f t="shared" si="10"/>
        <v>9.5</v>
      </c>
      <c r="K30" s="13">
        <f t="shared" si="1"/>
        <v>8.469122482670608</v>
      </c>
      <c r="L30" s="13">
        <f t="shared" si="5"/>
        <v>0.58916051354116061</v>
      </c>
      <c r="M30" s="13">
        <f t="shared" si="2"/>
        <v>6.9565709404568424E-2</v>
      </c>
      <c r="N30" s="13">
        <f t="shared" si="3"/>
        <v>2.5140657433828406</v>
      </c>
      <c r="O30" s="13">
        <f t="shared" si="3"/>
        <v>0.29685079517117435</v>
      </c>
      <c r="P30" s="13">
        <f t="shared" si="6"/>
        <v>1.6364158620142999</v>
      </c>
      <c r="Q30" s="13">
        <f t="shared" si="7"/>
        <v>1.6590209119161012</v>
      </c>
      <c r="R30" s="21">
        <f t="shared" si="4"/>
        <v>1.1402614071019084</v>
      </c>
      <c r="S30" s="13">
        <f t="shared" si="8"/>
        <v>1.0638307416779722</v>
      </c>
      <c r="T30" s="22">
        <f t="shared" si="9"/>
        <v>1.865941853424308</v>
      </c>
      <c r="U30" s="22"/>
      <c r="V30" s="19"/>
      <c r="X30"/>
    </row>
    <row r="31" spans="3:24">
      <c r="C31" s="17"/>
      <c r="D31" s="18"/>
      <c r="E31" s="13"/>
      <c r="F31" s="13"/>
      <c r="G31" s="13"/>
      <c r="H31" s="13"/>
      <c r="I31" s="72">
        <f t="shared" si="0"/>
        <v>31.566194727261859</v>
      </c>
      <c r="J31" s="13">
        <f t="shared" si="10"/>
        <v>10</v>
      </c>
      <c r="K31" s="13">
        <f t="shared" si="1"/>
        <v>8.3029063022247591</v>
      </c>
      <c r="L31" s="13">
        <f t="shared" si="5"/>
        <v>0.60963710860655529</v>
      </c>
      <c r="M31" s="13">
        <f t="shared" si="2"/>
        <v>7.3424543938693299E-2</v>
      </c>
      <c r="N31" s="13">
        <f t="shared" si="3"/>
        <v>2.6014434698458926</v>
      </c>
      <c r="O31" s="13">
        <f t="shared" si="3"/>
        <v>0.31331721389519201</v>
      </c>
      <c r="P31" s="13">
        <f t="shared" si="6"/>
        <v>1.6445014839801995</v>
      </c>
      <c r="Q31" s="13">
        <f t="shared" si="7"/>
        <v>1.4583909136173234</v>
      </c>
      <c r="R31" s="21">
        <f t="shared" si="4"/>
        <v>1.2161674646893366</v>
      </c>
      <c r="S31" s="13">
        <f t="shared" si="8"/>
        <v>1.2161608976586957</v>
      </c>
      <c r="T31" s="22">
        <f t="shared" si="9"/>
        <v>1.9999892004500508</v>
      </c>
      <c r="U31" s="22"/>
      <c r="V31" s="19"/>
      <c r="X31"/>
    </row>
    <row r="32" spans="3:24" ht="15" thickBot="1">
      <c r="C32" s="23"/>
      <c r="D32" s="24"/>
      <c r="E32" s="25"/>
      <c r="F32" s="25"/>
      <c r="G32" s="25"/>
      <c r="H32" s="25"/>
      <c r="I32" s="75"/>
      <c r="J32" s="25"/>
      <c r="K32" s="25"/>
      <c r="L32" s="25"/>
      <c r="M32" s="25"/>
      <c r="N32" s="25"/>
      <c r="O32" s="25"/>
      <c r="P32" s="25"/>
      <c r="Q32" s="25"/>
      <c r="R32" s="26"/>
      <c r="S32" s="25"/>
      <c r="T32" s="27"/>
      <c r="U32" s="27"/>
      <c r="V32" s="28"/>
      <c r="X32"/>
    </row>
    <row r="33" spans="1:24" ht="27" customHeight="1" thickBot="1">
      <c r="T33" s="8"/>
      <c r="V33" s="9"/>
    </row>
    <row r="34" spans="1:24" ht="17" thickBot="1">
      <c r="A34"/>
      <c r="B34"/>
      <c r="C34" s="42" t="s">
        <v>36</v>
      </c>
      <c r="D34" s="43" t="s">
        <v>37</v>
      </c>
      <c r="E34" s="35" t="s">
        <v>24</v>
      </c>
      <c r="F34" s="36" t="s">
        <v>29</v>
      </c>
      <c r="G34" s="36" t="s">
        <v>30</v>
      </c>
      <c r="H34" s="97" t="s">
        <v>56</v>
      </c>
      <c r="I34" s="36" t="s">
        <v>77</v>
      </c>
      <c r="J34" s="36" t="s">
        <v>80</v>
      </c>
      <c r="K34" s="36" t="s">
        <v>81</v>
      </c>
      <c r="L34" s="110" t="s">
        <v>92</v>
      </c>
      <c r="M34" s="36" t="s">
        <v>89</v>
      </c>
      <c r="N34" s="36" t="s">
        <v>90</v>
      </c>
      <c r="O34" s="38" t="s">
        <v>91</v>
      </c>
      <c r="P34" s="15"/>
      <c r="Q34" s="15"/>
      <c r="R34" s="15"/>
      <c r="S34" s="15"/>
      <c r="T34" s="40"/>
      <c r="U34" s="40"/>
      <c r="V34" s="16"/>
      <c r="W34"/>
      <c r="X34"/>
    </row>
    <row r="35" spans="1:24" ht="16" thickTop="1" thickBot="1">
      <c r="A35"/>
      <c r="B35"/>
      <c r="C35" s="44">
        <v>8</v>
      </c>
      <c r="D35" s="45">
        <f>MAX(T38:T59)</f>
        <v>2.324655463560914</v>
      </c>
      <c r="E35" s="25">
        <f>$M$4-H35</f>
        <v>1.0538423583377534</v>
      </c>
      <c r="F35" s="25">
        <f>MAX(N38:N60)</f>
        <v>3.0807720386315198</v>
      </c>
      <c r="G35" s="25">
        <f>F35*$L$4</f>
        <v>0.55453896695367344</v>
      </c>
      <c r="H35" s="75">
        <f>(-N35+SQRT(N35^2-4*$P$4*O35))/(2*$P$4)</f>
        <v>0.16535764166224673</v>
      </c>
      <c r="I35" s="25">
        <f>$H$4*SBT!$C$23</f>
        <v>4.4225409836065571E-2</v>
      </c>
      <c r="J35" s="25">
        <f>I35+SBT!$B$23</f>
        <v>0.19422540983606557</v>
      </c>
      <c r="K35" s="25">
        <f>SBT!$B$12*H35</f>
        <v>0.21496493416092075</v>
      </c>
      <c r="L35" s="25">
        <f>(F35*$L$4-(SBT!$F$23*K35+0.5*SBT!$E$23*K35^2)*9.81)/(J35*9.81)</f>
        <v>9.2815225630531809E-2</v>
      </c>
      <c r="M35" s="79">
        <f>J35+SBT!$F$23+2*SBT!$G$23+H35*SBT!$D$23+K35*SBT!$E$23</f>
        <v>0.68370504980715185</v>
      </c>
      <c r="N35" s="25">
        <f>(SBT!$G$23+(SBT!$F$23+J35)*0.5)*9.81</f>
        <v>3.1869031352459021</v>
      </c>
      <c r="O35" s="37">
        <f>-F35*$L$4</f>
        <v>-0.55453896695367344</v>
      </c>
      <c r="P35" s="13"/>
      <c r="Q35" s="13"/>
      <c r="R35" s="13"/>
      <c r="S35" s="13"/>
      <c r="T35" s="13"/>
      <c r="U35" s="13"/>
      <c r="V35" s="19"/>
      <c r="W35"/>
      <c r="X35"/>
    </row>
    <row r="36" spans="1:24">
      <c r="A36"/>
      <c r="B36"/>
      <c r="C36" s="41"/>
      <c r="D36" s="13"/>
      <c r="E36" s="13"/>
      <c r="F36" s="13"/>
      <c r="G36" s="13"/>
      <c r="H36" s="13"/>
      <c r="I36" s="76"/>
      <c r="J36" s="18"/>
      <c r="K36" s="18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9"/>
      <c r="W36"/>
      <c r="X36"/>
    </row>
    <row r="37" spans="1:24" ht="17" thickBot="1">
      <c r="A37"/>
      <c r="B37"/>
      <c r="C37" s="47" t="s">
        <v>40</v>
      </c>
      <c r="D37" s="48" t="s">
        <v>42</v>
      </c>
      <c r="E37" s="30" t="s">
        <v>35</v>
      </c>
      <c r="F37" s="29" t="s">
        <v>34</v>
      </c>
      <c r="G37" s="29" t="s">
        <v>41</v>
      </c>
      <c r="H37" s="29" t="s">
        <v>7</v>
      </c>
      <c r="I37" s="70" t="s">
        <v>16</v>
      </c>
      <c r="J37" s="71" t="s">
        <v>17</v>
      </c>
      <c r="K37" s="29" t="s">
        <v>18</v>
      </c>
      <c r="L37" s="46" t="s">
        <v>39</v>
      </c>
      <c r="M37" s="31" t="s">
        <v>10</v>
      </c>
      <c r="N37" s="31" t="s">
        <v>13</v>
      </c>
      <c r="O37" s="31" t="s">
        <v>14</v>
      </c>
      <c r="P37" s="31" t="s">
        <v>8</v>
      </c>
      <c r="Q37" s="31" t="s">
        <v>9</v>
      </c>
      <c r="R37" s="31" t="s">
        <v>19</v>
      </c>
      <c r="S37" s="31" t="s">
        <v>25</v>
      </c>
      <c r="T37" s="32" t="s">
        <v>27</v>
      </c>
      <c r="U37" s="32"/>
      <c r="V37" s="33"/>
      <c r="W37"/>
      <c r="X37"/>
    </row>
    <row r="38" spans="1:24" ht="15" thickTop="1">
      <c r="C38" s="50">
        <v>3.677020943</v>
      </c>
      <c r="D38" s="51">
        <v>0.69120000000000004</v>
      </c>
      <c r="E38" s="7">
        <f>$K$4/(2+SQRT(4+$K$4^2))</f>
        <v>0.53518375848799637</v>
      </c>
      <c r="F38" s="7">
        <f>C38*E38</f>
        <v>1.9678818883138167</v>
      </c>
      <c r="G38" s="12">
        <f>D38*E38</f>
        <v>0.36991901386690312</v>
      </c>
      <c r="H38" s="14">
        <f>F38*PI()/180</f>
        <v>3.4346018241439423E-2</v>
      </c>
      <c r="I38" s="72">
        <f t="shared" ref="I38:I57" si="11">0.5*ATAN(K38)*180/PI()-J38</f>
        <v>42.181562243583855</v>
      </c>
      <c r="J38" s="13">
        <v>0</v>
      </c>
      <c r="K38" s="13">
        <f t="shared" ref="K38:K57" si="12">L38/M38</f>
        <v>10.131641939922844</v>
      </c>
      <c r="L38" s="13">
        <f>$H$38*J38+$G$38</f>
        <v>0.36991901386690312</v>
      </c>
      <c r="M38" s="13">
        <f t="shared" ref="M38:M57" si="13">0.015+0.1572*(L38^2)</f>
        <v>3.6511260076145191E-2</v>
      </c>
      <c r="N38" s="13">
        <f t="shared" ref="N38:O57" si="14">$N$4*L38</f>
        <v>1.5785184159728489</v>
      </c>
      <c r="O38" s="13">
        <f t="shared" si="14"/>
        <v>0.15580084899692676</v>
      </c>
      <c r="P38" s="13">
        <f>((N38*COS(I38+J38)+O38*SIN(I38+J38))*SIN(J38+I38)-O38)/$M$35</f>
        <v>0.50052277240330656</v>
      </c>
      <c r="Q38" s="13">
        <f>P38*TAN(I38+J38)</f>
        <v>2.1382681880989112</v>
      </c>
      <c r="R38" s="21">
        <f>IF(ISERROR(SQRT(2*$E$35/Q38)),0,SQRT(2*$E$35/Q38))</f>
        <v>0.99282278552881553</v>
      </c>
      <c r="S38" s="13">
        <f>0.5*P38*R38^2</f>
        <v>0.24668191848292681</v>
      </c>
      <c r="T38" s="22">
        <f>R38*P38</f>
        <v>0.49693041311805619</v>
      </c>
      <c r="U38" s="22"/>
      <c r="V38" s="19"/>
    </row>
    <row r="39" spans="1:24">
      <c r="C39" s="17"/>
      <c r="D39" s="18"/>
      <c r="E39" s="13"/>
      <c r="F39" s="13"/>
      <c r="G39" s="13"/>
      <c r="H39" s="13"/>
      <c r="I39" s="72">
        <f t="shared" si="11"/>
        <v>41.65601152145247</v>
      </c>
      <c r="J39" s="13">
        <f>J38+0.5</f>
        <v>0.5</v>
      </c>
      <c r="K39" s="13">
        <f t="shared" si="12"/>
        <v>10.040025401109455</v>
      </c>
      <c r="L39" s="13">
        <f t="shared" ref="L39:L57" si="15">$H$38*J39+$G$38</f>
        <v>0.38709202298762285</v>
      </c>
      <c r="M39" s="13">
        <f t="shared" si="13"/>
        <v>3.8554884825774238E-2</v>
      </c>
      <c r="N39" s="13">
        <f t="shared" si="14"/>
        <v>1.6517990804927842</v>
      </c>
      <c r="O39" s="13">
        <f t="shared" si="14"/>
        <v>0.16452140452854383</v>
      </c>
      <c r="P39" s="13">
        <f t="shared" ref="P39:P58" si="16">((N39*COS(I39+J39)+O39*SIN(I39+J39))*SIN(J39+I39)-O39)/$M$35</f>
        <v>0.57536958174201636</v>
      </c>
      <c r="Q39" s="13">
        <f t="shared" ref="Q39:Q57" si="17">P39*TAN(I39+J39)</f>
        <v>2.2028152109889039</v>
      </c>
      <c r="R39" s="21">
        <f t="shared" ref="R39:R58" si="18">IF(ISERROR(SQRT(2*$E$35/Q39)),0,SQRT(2*$E$35/Q39))</f>
        <v>0.97816876286675181</v>
      </c>
      <c r="S39" s="13">
        <f t="shared" ref="S39:S57" si="19">0.5*P39*R39^2</f>
        <v>0.27526087250260395</v>
      </c>
      <c r="T39" s="22">
        <f t="shared" ref="T39:T57" si="20">R39*P39</f>
        <v>0.56280855196374857</v>
      </c>
      <c r="U39" s="22"/>
      <c r="V39" s="19"/>
    </row>
    <row r="40" spans="1:24">
      <c r="C40" s="20"/>
      <c r="D40" s="11"/>
      <c r="E40" s="13"/>
      <c r="F40" s="13"/>
      <c r="G40" s="13"/>
      <c r="H40" s="13"/>
      <c r="I40" s="72">
        <f t="shared" si="11"/>
        <v>41.126130744477599</v>
      </c>
      <c r="J40" s="13">
        <f t="shared" ref="J40:J56" si="21">J39+0.5</f>
        <v>1</v>
      </c>
      <c r="K40" s="13">
        <f t="shared" si="12"/>
        <v>9.9349425481516906</v>
      </c>
      <c r="L40" s="13">
        <f t="shared" si="15"/>
        <v>0.40426503210834253</v>
      </c>
      <c r="M40" s="13">
        <f t="shared" si="13"/>
        <v>4.0691229984369914E-2</v>
      </c>
      <c r="N40" s="13">
        <f t="shared" si="14"/>
        <v>1.7250797450127191</v>
      </c>
      <c r="O40" s="13">
        <f t="shared" si="14"/>
        <v>0.1736376165893033</v>
      </c>
      <c r="P40" s="13">
        <f t="shared" si="16"/>
        <v>0.66144143361941754</v>
      </c>
      <c r="Q40" s="13">
        <f t="shared" si="17"/>
        <v>2.2545745792545908</v>
      </c>
      <c r="R40" s="21">
        <f t="shared" si="18"/>
        <v>0.96687542114735259</v>
      </c>
      <c r="S40" s="13">
        <f t="shared" si="19"/>
        <v>0.30917362713202079</v>
      </c>
      <c r="T40" s="22">
        <f t="shared" si="20"/>
        <v>0.63953146469508304</v>
      </c>
      <c r="U40" s="22"/>
      <c r="V40" s="19"/>
    </row>
    <row r="41" spans="1:24">
      <c r="C41" s="17"/>
      <c r="D41" s="18"/>
      <c r="E41" s="13"/>
      <c r="F41" s="13"/>
      <c r="G41" s="13"/>
      <c r="H41" s="13"/>
      <c r="I41" s="72">
        <f t="shared" si="11"/>
        <v>40.592452444732096</v>
      </c>
      <c r="J41" s="13">
        <f t="shared" si="21"/>
        <v>1.5</v>
      </c>
      <c r="K41" s="13">
        <f t="shared" si="12"/>
        <v>9.8190852558117925</v>
      </c>
      <c r="L41" s="13">
        <f t="shared" si="15"/>
        <v>0.42143804122906225</v>
      </c>
      <c r="M41" s="13">
        <f t="shared" si="13"/>
        <v>4.2920295551932233E-2</v>
      </c>
      <c r="N41" s="13">
        <f t="shared" si="14"/>
        <v>1.7983604095326544</v>
      </c>
      <c r="O41" s="13">
        <f t="shared" si="14"/>
        <v>0.18314948517920521</v>
      </c>
      <c r="P41" s="13">
        <f t="shared" si="16"/>
        <v>0.75704223054462949</v>
      </c>
      <c r="Q41" s="13">
        <f t="shared" si="17"/>
        <v>2.2917505405579344</v>
      </c>
      <c r="R41" s="21">
        <f t="shared" si="18"/>
        <v>0.95900120297760294</v>
      </c>
      <c r="S41" s="13">
        <f t="shared" si="19"/>
        <v>0.34811955118125454</v>
      </c>
      <c r="T41" s="22">
        <f t="shared" si="20"/>
        <v>0.72600440979714753</v>
      </c>
      <c r="U41" s="22"/>
      <c r="V41" s="19"/>
    </row>
    <row r="42" spans="1:24">
      <c r="C42" s="17"/>
      <c r="D42" s="13"/>
      <c r="E42" s="13"/>
      <c r="F42" s="13"/>
      <c r="G42" s="13"/>
      <c r="H42" s="13"/>
      <c r="I42" s="72">
        <f t="shared" si="11"/>
        <v>40.055426097726567</v>
      </c>
      <c r="J42" s="13">
        <f t="shared" si="21"/>
        <v>2</v>
      </c>
      <c r="K42" s="13">
        <f t="shared" si="12"/>
        <v>9.6947584092446633</v>
      </c>
      <c r="L42" s="13">
        <f t="shared" si="15"/>
        <v>0.43861105034978198</v>
      </c>
      <c r="M42" s="13">
        <f t="shared" si="13"/>
        <v>4.5242081528461209E-2</v>
      </c>
      <c r="N42" s="13">
        <f t="shared" si="14"/>
        <v>1.8716410740525897</v>
      </c>
      <c r="O42" s="13">
        <f t="shared" si="14"/>
        <v>0.19305701029824968</v>
      </c>
      <c r="P42" s="13">
        <f t="shared" si="16"/>
        <v>0.86011224357228611</v>
      </c>
      <c r="Q42" s="13">
        <f t="shared" si="17"/>
        <v>2.3125770555909937</v>
      </c>
      <c r="R42" s="21">
        <f t="shared" si="18"/>
        <v>0.95467316906771027</v>
      </c>
      <c r="S42" s="13">
        <f t="shared" si="19"/>
        <v>0.39195351913138832</v>
      </c>
      <c r="T42" s="22">
        <f t="shared" si="20"/>
        <v>0.82112608132509268</v>
      </c>
      <c r="U42" s="22"/>
      <c r="V42" s="19"/>
    </row>
    <row r="43" spans="1:24">
      <c r="C43" s="17"/>
      <c r="D43" s="13"/>
      <c r="E43" s="13"/>
      <c r="F43" s="13"/>
      <c r="G43" s="13"/>
      <c r="H43" s="13"/>
      <c r="I43" s="72">
        <f t="shared" si="11"/>
        <v>39.515433731487882</v>
      </c>
      <c r="J43" s="13">
        <f t="shared" si="21"/>
        <v>2.5</v>
      </c>
      <c r="K43" s="13">
        <f t="shared" si="12"/>
        <v>9.5639255645706776</v>
      </c>
      <c r="L43" s="13">
        <f t="shared" si="15"/>
        <v>0.45578405947050171</v>
      </c>
      <c r="M43" s="13">
        <f t="shared" si="13"/>
        <v>4.7656587913956827E-2</v>
      </c>
      <c r="N43" s="13">
        <f t="shared" si="14"/>
        <v>1.9449217385725248</v>
      </c>
      <c r="O43" s="13">
        <f t="shared" si="14"/>
        <v>0.20336019194643656</v>
      </c>
      <c r="P43" s="13">
        <f t="shared" si="16"/>
        <v>0.9682283397541579</v>
      </c>
      <c r="Q43" s="13">
        <f t="shared" si="17"/>
        <v>2.3154219841607508</v>
      </c>
      <c r="R43" s="21">
        <f t="shared" si="18"/>
        <v>0.95408649161187831</v>
      </c>
      <c r="S43" s="13">
        <f t="shared" si="19"/>
        <v>0.44067994687621048</v>
      </c>
      <c r="T43" s="22">
        <f t="shared" si="20"/>
        <v>0.92377357975523822</v>
      </c>
      <c r="U43" s="22"/>
      <c r="V43" s="19"/>
    </row>
    <row r="44" spans="1:24">
      <c r="C44" s="17"/>
      <c r="D44" s="13"/>
      <c r="E44" s="13"/>
      <c r="F44" s="13"/>
      <c r="G44" s="13"/>
      <c r="H44" s="13"/>
      <c r="I44" s="72">
        <f t="shared" si="11"/>
        <v>38.972802144012135</v>
      </c>
      <c r="J44" s="13">
        <f t="shared" si="21"/>
        <v>3</v>
      </c>
      <c r="K44" s="13">
        <f t="shared" si="12"/>
        <v>9.4282516459388042</v>
      </c>
      <c r="L44" s="13">
        <f t="shared" si="15"/>
        <v>0.47295706859122139</v>
      </c>
      <c r="M44" s="13">
        <f t="shared" si="13"/>
        <v>5.0163814708419081E-2</v>
      </c>
      <c r="N44" s="13">
        <f t="shared" si="14"/>
        <v>2.0182024030924599</v>
      </c>
      <c r="O44" s="13">
        <f t="shared" si="14"/>
        <v>0.2140590301237659</v>
      </c>
      <c r="P44" s="13">
        <f t="shared" si="16"/>
        <v>1.0786178293615523</v>
      </c>
      <c r="Q44" s="13">
        <f t="shared" si="17"/>
        <v>2.298884841913476</v>
      </c>
      <c r="R44" s="21">
        <f t="shared" si="18"/>
        <v>0.95751197657521403</v>
      </c>
      <c r="S44" s="13">
        <f t="shared" si="19"/>
        <v>0.49445415286369915</v>
      </c>
      <c r="T44" s="22">
        <f t="shared" si="20"/>
        <v>1.0327894897612468</v>
      </c>
      <c r="U44" s="22"/>
      <c r="V44" s="19"/>
    </row>
    <row r="45" spans="1:24">
      <c r="C45" s="17"/>
      <c r="D45" s="13"/>
      <c r="E45" s="13"/>
      <c r="F45" s="13"/>
      <c r="G45" s="13"/>
      <c r="H45" s="13"/>
      <c r="I45" s="72">
        <f t="shared" si="11"/>
        <v>38.427812558555772</v>
      </c>
      <c r="J45" s="13">
        <f t="shared" si="21"/>
        <v>3.5</v>
      </c>
      <c r="K45" s="13">
        <f t="shared" si="12"/>
        <v>9.289142016272411</v>
      </c>
      <c r="L45" s="13">
        <f t="shared" si="15"/>
        <v>0.49013007771194111</v>
      </c>
      <c r="M45" s="13">
        <f t="shared" si="13"/>
        <v>5.2763761911847992E-2</v>
      </c>
      <c r="N45" s="13">
        <f t="shared" si="14"/>
        <v>2.091483067612395</v>
      </c>
      <c r="O45" s="13">
        <f t="shared" si="14"/>
        <v>0.22515352483023773</v>
      </c>
      <c r="P45" s="13">
        <f t="shared" si="16"/>
        <v>1.18818726556401</v>
      </c>
      <c r="Q45" s="13">
        <f t="shared" si="17"/>
        <v>2.261887724382452</v>
      </c>
      <c r="R45" s="21">
        <f t="shared" si="18"/>
        <v>0.96531110279642407</v>
      </c>
      <c r="S45" s="13">
        <f t="shared" si="19"/>
        <v>0.55359161137440283</v>
      </c>
      <c r="T45" s="22">
        <f t="shared" si="20"/>
        <v>1.1469703596502621</v>
      </c>
      <c r="U45" s="22"/>
      <c r="V45" s="19"/>
    </row>
    <row r="46" spans="1:24">
      <c r="C46" s="17"/>
      <c r="D46" s="13"/>
      <c r="E46" s="13"/>
      <c r="F46" s="13"/>
      <c r="G46" s="13"/>
      <c r="H46" s="13"/>
      <c r="I46" s="72">
        <f t="shared" si="11"/>
        <v>37.880708322285422</v>
      </c>
      <c r="J46" s="13">
        <f t="shared" si="21"/>
        <v>4</v>
      </c>
      <c r="K46" s="13">
        <f t="shared" si="12"/>
        <v>9.1477776550848144</v>
      </c>
      <c r="L46" s="13">
        <f t="shared" si="15"/>
        <v>0.50730308683266079</v>
      </c>
      <c r="M46" s="13">
        <f t="shared" si="13"/>
        <v>5.5456429524243539E-2</v>
      </c>
      <c r="N46" s="13">
        <f t="shared" si="14"/>
        <v>2.1647637321323301</v>
      </c>
      <c r="O46" s="13">
        <f t="shared" si="14"/>
        <v>0.23664367606585202</v>
      </c>
      <c r="P46" s="13">
        <f t="shared" si="16"/>
        <v>1.2935665716808777</v>
      </c>
      <c r="Q46" s="13">
        <f t="shared" si="17"/>
        <v>2.2037582248645804</v>
      </c>
      <c r="R46" s="21">
        <f t="shared" si="18"/>
        <v>0.97795945555569175</v>
      </c>
      <c r="S46" s="13">
        <f t="shared" si="19"/>
        <v>0.6185865723318299</v>
      </c>
      <c r="T46" s="22">
        <f t="shared" si="20"/>
        <v>1.2650556601660738</v>
      </c>
      <c r="U46" s="22"/>
      <c r="V46" s="19"/>
    </row>
    <row r="47" spans="1:24">
      <c r="C47" s="17"/>
      <c r="D47" s="18"/>
      <c r="E47" s="13"/>
      <c r="F47" s="13"/>
      <c r="G47" s="13"/>
      <c r="H47" s="13"/>
      <c r="I47" s="72">
        <f t="shared" si="11"/>
        <v>37.331701095644668</v>
      </c>
      <c r="J47" s="13">
        <f t="shared" si="21"/>
        <v>4.5</v>
      </c>
      <c r="K47" s="13">
        <f t="shared" si="12"/>
        <v>9.0051464404024504</v>
      </c>
      <c r="L47" s="13">
        <f t="shared" si="15"/>
        <v>0.52447609595338052</v>
      </c>
      <c r="M47" s="13">
        <f t="shared" si="13"/>
        <v>5.8241817545605735E-2</v>
      </c>
      <c r="N47" s="13">
        <f t="shared" si="14"/>
        <v>2.2380443966522652</v>
      </c>
      <c r="O47" s="13">
        <f t="shared" si="14"/>
        <v>0.2485294838306088</v>
      </c>
      <c r="P47" s="13">
        <f t="shared" si="16"/>
        <v>1.3911681173122801</v>
      </c>
      <c r="Q47" s="13">
        <f t="shared" si="17"/>
        <v>2.1243026837724788</v>
      </c>
      <c r="R47" s="21">
        <f t="shared" si="18"/>
        <v>0.99608092700916717</v>
      </c>
      <c r="S47" s="13">
        <f t="shared" si="19"/>
        <v>0.69014265283001808</v>
      </c>
      <c r="T47" s="22">
        <f t="shared" si="20"/>
        <v>1.3857160279180138</v>
      </c>
      <c r="U47" s="22"/>
      <c r="V47" s="19"/>
    </row>
    <row r="48" spans="1:24">
      <c r="C48" s="17"/>
      <c r="D48" s="22"/>
      <c r="E48" s="13"/>
      <c r="F48" s="13"/>
      <c r="G48" s="13"/>
      <c r="H48" s="13"/>
      <c r="I48" s="72">
        <f t="shared" si="11"/>
        <v>36.780975866628609</v>
      </c>
      <c r="J48" s="13">
        <f t="shared" si="21"/>
        <v>5</v>
      </c>
      <c r="K48" s="13">
        <f t="shared" si="12"/>
        <v>8.8620706983082673</v>
      </c>
      <c r="L48" s="13">
        <f t="shared" si="15"/>
        <v>0.54164910507410025</v>
      </c>
      <c r="M48" s="13">
        <f t="shared" si="13"/>
        <v>6.1119925975934589E-2</v>
      </c>
      <c r="N48" s="13">
        <f t="shared" si="14"/>
        <v>2.3113250611722007</v>
      </c>
      <c r="O48" s="13">
        <f t="shared" si="14"/>
        <v>0.26081094812450806</v>
      </c>
      <c r="P48" s="13">
        <f t="shared" si="16"/>
        <v>1.4772597290410632</v>
      </c>
      <c r="Q48" s="13">
        <f t="shared" si="17"/>
        <v>2.0238678492406215</v>
      </c>
      <c r="R48" s="21">
        <f t="shared" si="18"/>
        <v>1.0204970356542289</v>
      </c>
      <c r="S48" s="13">
        <f t="shared" si="19"/>
        <v>0.76921962929257115</v>
      </c>
      <c r="T48" s="22">
        <f t="shared" si="20"/>
        <v>1.5075391743777744</v>
      </c>
      <c r="U48" s="22"/>
      <c r="V48" s="19"/>
    </row>
    <row r="49" spans="3:24">
      <c r="C49" s="17"/>
      <c r="D49" s="18"/>
      <c r="E49" s="13"/>
      <c r="F49" s="13"/>
      <c r="G49" s="13"/>
      <c r="H49" s="13"/>
      <c r="I49" s="72">
        <f t="shared" si="11"/>
        <v>36.228695042200933</v>
      </c>
      <c r="J49" s="13">
        <f t="shared" si="21"/>
        <v>5.5</v>
      </c>
      <c r="K49" s="13">
        <f t="shared" si="12"/>
        <v>8.7192312807966097</v>
      </c>
      <c r="L49" s="13">
        <f t="shared" si="15"/>
        <v>0.55882211419481997</v>
      </c>
      <c r="M49" s="13">
        <f t="shared" si="13"/>
        <v>6.4090754815230078E-2</v>
      </c>
      <c r="N49" s="13">
        <f t="shared" si="14"/>
        <v>2.3846057256921358</v>
      </c>
      <c r="O49" s="13">
        <f t="shared" si="14"/>
        <v>0.27348806894754979</v>
      </c>
      <c r="P49" s="13">
        <f t="shared" si="16"/>
        <v>1.5480500640698935</v>
      </c>
      <c r="Q49" s="13">
        <f t="shared" si="17"/>
        <v>1.9033889617903148</v>
      </c>
      <c r="R49" s="21">
        <f t="shared" si="18"/>
        <v>1.0522987390226444</v>
      </c>
      <c r="S49" s="13">
        <f t="shared" si="19"/>
        <v>0.85710317916829881</v>
      </c>
      <c r="T49" s="22">
        <f t="shared" si="20"/>
        <v>1.6290111303646728</v>
      </c>
      <c r="U49" s="22"/>
      <c r="V49" s="19"/>
    </row>
    <row r="50" spans="3:24">
      <c r="C50" s="17"/>
      <c r="D50" s="18"/>
      <c r="E50" s="13"/>
      <c r="F50" s="13"/>
      <c r="G50" s="13"/>
      <c r="H50" s="13"/>
      <c r="I50" s="72">
        <f t="shared" si="11"/>
        <v>35.675001809065876</v>
      </c>
      <c r="J50" s="13">
        <f t="shared" si="21"/>
        <v>6</v>
      </c>
      <c r="K50" s="13">
        <f t="shared" si="12"/>
        <v>8.5771884817830149</v>
      </c>
      <c r="L50" s="13">
        <f t="shared" si="15"/>
        <v>0.57599512331553959</v>
      </c>
      <c r="M50" s="13">
        <f t="shared" si="13"/>
        <v>6.7154304063492196E-2</v>
      </c>
      <c r="N50" s="13">
        <f t="shared" si="14"/>
        <v>2.4578863902120704</v>
      </c>
      <c r="O50" s="13">
        <f t="shared" si="14"/>
        <v>0.28656084629973388</v>
      </c>
      <c r="P50" s="13">
        <f t="shared" si="16"/>
        <v>1.5997842813824876</v>
      </c>
      <c r="Q50" s="13">
        <f t="shared" si="17"/>
        <v>1.764422368038244</v>
      </c>
      <c r="R50" s="21">
        <f t="shared" si="18"/>
        <v>1.0929531492162174</v>
      </c>
      <c r="S50" s="13">
        <f t="shared" si="19"/>
        <v>0.95550842613623366</v>
      </c>
      <c r="T50" s="22">
        <f t="shared" si="20"/>
        <v>1.7484892684035931</v>
      </c>
      <c r="U50" s="22"/>
      <c r="V50" s="19"/>
      <c r="X50" s="5">
        <v>2.3049902301526846</v>
      </c>
    </row>
    <row r="51" spans="3:24">
      <c r="C51" s="17"/>
      <c r="D51" s="18"/>
      <c r="E51" s="13"/>
      <c r="F51" s="13"/>
      <c r="G51" s="13"/>
      <c r="H51" s="13"/>
      <c r="I51" s="72">
        <f t="shared" si="11"/>
        <v>35.120022911585906</v>
      </c>
      <c r="J51" s="13">
        <f t="shared" si="21"/>
        <v>6.5</v>
      </c>
      <c r="K51" s="13">
        <f t="shared" si="12"/>
        <v>8.4364001180301678</v>
      </c>
      <c r="L51" s="13">
        <f t="shared" si="15"/>
        <v>0.59316813243625943</v>
      </c>
      <c r="M51" s="13">
        <f t="shared" si="13"/>
        <v>7.0310573720720998E-2</v>
      </c>
      <c r="N51" s="13">
        <f t="shared" si="14"/>
        <v>2.531167054732006</v>
      </c>
      <c r="O51" s="13">
        <f t="shared" si="14"/>
        <v>0.30002928018106062</v>
      </c>
      <c r="P51" s="13">
        <f t="shared" si="16"/>
        <v>1.6288475136168385</v>
      </c>
      <c r="Q51" s="13">
        <f t="shared" si="17"/>
        <v>1.6091609937591511</v>
      </c>
      <c r="R51" s="21">
        <f t="shared" si="18"/>
        <v>1.1444664736518539</v>
      </c>
      <c r="S51" s="13">
        <f t="shared" si="19"/>
        <v>1.0667350947356342</v>
      </c>
      <c r="T51" s="22">
        <f t="shared" si="20"/>
        <v>1.8641613700256534</v>
      </c>
      <c r="U51" s="22"/>
      <c r="V51" s="19"/>
    </row>
    <row r="52" spans="3:24">
      <c r="C52" s="17"/>
      <c r="D52" s="18"/>
      <c r="E52" s="13"/>
      <c r="F52" s="13"/>
      <c r="G52" s="13"/>
      <c r="H52" s="13"/>
      <c r="I52" s="72">
        <f t="shared" si="11"/>
        <v>34.563870961437487</v>
      </c>
      <c r="J52" s="13">
        <f t="shared" si="21"/>
        <v>7</v>
      </c>
      <c r="K52" s="13">
        <f t="shared" si="12"/>
        <v>8.2972370978841603</v>
      </c>
      <c r="L52" s="13">
        <f t="shared" si="15"/>
        <v>0.61034114155697905</v>
      </c>
      <c r="M52" s="13">
        <f t="shared" si="13"/>
        <v>7.3559563786916402E-2</v>
      </c>
      <c r="N52" s="13">
        <f t="shared" si="14"/>
        <v>2.6044477192519411</v>
      </c>
      <c r="O52" s="13">
        <f t="shared" si="14"/>
        <v>0.31389337059152966</v>
      </c>
      <c r="P52" s="13">
        <f t="shared" si="16"/>
        <v>1.6318732794834121</v>
      </c>
      <c r="Q52" s="13">
        <f t="shared" si="17"/>
        <v>1.4404313425463104</v>
      </c>
      <c r="R52" s="21">
        <f t="shared" si="18"/>
        <v>1.2096411206238</v>
      </c>
      <c r="S52" s="13">
        <f t="shared" si="19"/>
        <v>1.1939043080797673</v>
      </c>
      <c r="T52" s="22">
        <f t="shared" si="20"/>
        <v>1.9739810225103502</v>
      </c>
      <c r="U52" s="22"/>
      <c r="V52" s="19"/>
    </row>
    <row r="53" spans="3:24">
      <c r="C53" s="17"/>
      <c r="D53" s="18"/>
      <c r="E53" s="13"/>
      <c r="F53" s="13"/>
      <c r="G53" s="13"/>
      <c r="H53" s="13"/>
      <c r="I53" s="72">
        <f t="shared" si="11"/>
        <v>34.006646368557099</v>
      </c>
      <c r="J53" s="13">
        <f t="shared" si="21"/>
        <v>7.5</v>
      </c>
      <c r="K53" s="13">
        <f t="shared" si="12"/>
        <v>8.1599967841773253</v>
      </c>
      <c r="L53" s="13">
        <f t="shared" si="15"/>
        <v>0.62751415067769878</v>
      </c>
      <c r="M53" s="13">
        <f t="shared" si="13"/>
        <v>7.6901274262078462E-2</v>
      </c>
      <c r="N53" s="13">
        <f t="shared" si="14"/>
        <v>2.6777283837718762</v>
      </c>
      <c r="O53" s="13">
        <f t="shared" si="14"/>
        <v>0.32815311753114118</v>
      </c>
      <c r="P53" s="13">
        <f t="shared" si="16"/>
        <v>1.6058536898184381</v>
      </c>
      <c r="Q53" s="13">
        <f t="shared" si="17"/>
        <v>1.2616711121195514</v>
      </c>
      <c r="R53" s="21">
        <f t="shared" si="18"/>
        <v>1.2924975945667894</v>
      </c>
      <c r="S53" s="13">
        <f t="shared" si="19"/>
        <v>1.3413294664253899</v>
      </c>
      <c r="T53" s="22">
        <f t="shared" si="20"/>
        <v>2.0755620313165344</v>
      </c>
      <c r="U53" s="22"/>
      <c r="V53" s="19"/>
    </row>
    <row r="54" spans="3:24">
      <c r="C54" s="17"/>
      <c r="D54" s="18"/>
      <c r="E54" s="13"/>
      <c r="F54" s="13"/>
      <c r="G54" s="13"/>
      <c r="H54" s="13"/>
      <c r="I54" s="72">
        <f t="shared" si="11"/>
        <v>33.448438963881259</v>
      </c>
      <c r="J54" s="13">
        <f t="shared" si="21"/>
        <v>8</v>
      </c>
      <c r="K54" s="13">
        <f t="shared" si="12"/>
        <v>8.0249144340628895</v>
      </c>
      <c r="L54" s="13">
        <f t="shared" si="15"/>
        <v>0.64468715979841851</v>
      </c>
      <c r="M54" s="13">
        <f t="shared" si="13"/>
        <v>8.0335705146207192E-2</v>
      </c>
      <c r="N54" s="13">
        <f t="shared" si="14"/>
        <v>2.7510090482918113</v>
      </c>
      <c r="O54" s="13">
        <f t="shared" si="14"/>
        <v>0.34280852099989534</v>
      </c>
      <c r="P54" s="13">
        <f t="shared" si="16"/>
        <v>1.5482480992897452</v>
      </c>
      <c r="Q54" s="13">
        <f t="shared" si="17"/>
        <v>1.0768870160176198</v>
      </c>
      <c r="R54" s="21">
        <f t="shared" si="18"/>
        <v>1.3990001234725369</v>
      </c>
      <c r="S54" s="13">
        <f t="shared" si="19"/>
        <v>1.5151166315304088</v>
      </c>
      <c r="T54" s="22">
        <f t="shared" si="20"/>
        <v>2.1659992820724741</v>
      </c>
      <c r="U54" s="22"/>
      <c r="V54" s="19"/>
    </row>
    <row r="55" spans="3:24">
      <c r="C55" s="17"/>
      <c r="D55" s="18"/>
      <c r="E55" s="13"/>
      <c r="F55" s="13"/>
      <c r="G55" s="13"/>
      <c r="H55" s="13"/>
      <c r="I55" s="72">
        <f t="shared" si="11"/>
        <v>32.889329369774494</v>
      </c>
      <c r="J55" s="13">
        <f t="shared" si="21"/>
        <v>8.5</v>
      </c>
      <c r="K55" s="13">
        <f t="shared" si="12"/>
        <v>7.8921729716918598</v>
      </c>
      <c r="L55" s="13">
        <f t="shared" si="15"/>
        <v>0.66186016891913824</v>
      </c>
      <c r="M55" s="13">
        <f t="shared" si="13"/>
        <v>8.3862856439302552E-2</v>
      </c>
      <c r="N55" s="13">
        <f t="shared" si="14"/>
        <v>2.8242897128117468</v>
      </c>
      <c r="O55" s="13">
        <f t="shared" si="14"/>
        <v>0.35785958099779186</v>
      </c>
      <c r="P55" s="13">
        <f t="shared" si="16"/>
        <v>1.4570867484221641</v>
      </c>
      <c r="Q55" s="13">
        <f t="shared" si="17"/>
        <v>0.89059294410627665</v>
      </c>
      <c r="R55" s="21">
        <f t="shared" si="18"/>
        <v>1.5383784875641184</v>
      </c>
      <c r="S55" s="13">
        <f t="shared" si="19"/>
        <v>1.7241768480445794</v>
      </c>
      <c r="T55" s="22">
        <f t="shared" si="20"/>
        <v>2.2415509082874081</v>
      </c>
      <c r="U55" s="22"/>
      <c r="V55" s="19"/>
    </row>
    <row r="56" spans="3:24">
      <c r="C56" s="17"/>
      <c r="D56" s="18"/>
      <c r="E56" s="13"/>
      <c r="F56" s="13"/>
      <c r="G56" s="13"/>
      <c r="H56" s="13"/>
      <c r="I56" s="72">
        <f t="shared" si="11"/>
        <v>32.329390162749121</v>
      </c>
      <c r="J56" s="13">
        <f t="shared" si="21"/>
        <v>9</v>
      </c>
      <c r="K56" s="13">
        <f t="shared" si="12"/>
        <v>7.7619113219994551</v>
      </c>
      <c r="L56" s="13">
        <f t="shared" si="15"/>
        <v>0.67903317803985797</v>
      </c>
      <c r="M56" s="13">
        <f t="shared" si="13"/>
        <v>8.7482728141364569E-2</v>
      </c>
      <c r="N56" s="13">
        <f t="shared" si="14"/>
        <v>2.8975703773316819</v>
      </c>
      <c r="O56" s="13">
        <f t="shared" si="14"/>
        <v>0.37330629752483085</v>
      </c>
      <c r="P56" s="13">
        <f t="shared" si="16"/>
        <v>1.3310659330742354</v>
      </c>
      <c r="Q56" s="13">
        <f t="shared" si="17"/>
        <v>0.70772917106883038</v>
      </c>
      <c r="R56" s="21">
        <f t="shared" si="18"/>
        <v>1.7257157980061364</v>
      </c>
      <c r="S56" s="13">
        <f t="shared" si="19"/>
        <v>1.9820204102871029</v>
      </c>
      <c r="T56" s="22">
        <f t="shared" si="20"/>
        <v>2.2970415088939866</v>
      </c>
      <c r="U56" s="22"/>
      <c r="V56" s="19"/>
    </row>
    <row r="57" spans="3:24">
      <c r="C57" s="17"/>
      <c r="D57" s="18"/>
      <c r="E57" s="13"/>
      <c r="F57" s="13"/>
      <c r="G57" s="13"/>
      <c r="H57" s="13"/>
      <c r="I57" s="72">
        <f t="shared" si="11"/>
        <v>31.76868686429254</v>
      </c>
      <c r="J57" s="13">
        <v>9.5</v>
      </c>
      <c r="K57" s="13">
        <f t="shared" si="12"/>
        <v>7.6342315069868656</v>
      </c>
      <c r="L57" s="13">
        <f t="shared" si="15"/>
        <v>0.69620618716057758</v>
      </c>
      <c r="M57" s="13">
        <f t="shared" si="13"/>
        <v>9.11953202523932E-2</v>
      </c>
      <c r="N57" s="13">
        <f t="shared" si="14"/>
        <v>2.9708510418516165</v>
      </c>
      <c r="O57" s="13">
        <f t="shared" si="14"/>
        <v>0.38914867058101227</v>
      </c>
      <c r="P57" s="13">
        <f t="shared" si="16"/>
        <v>1.1696313343088929</v>
      </c>
      <c r="Q57" s="13">
        <f t="shared" si="17"/>
        <v>0.53356390776568918</v>
      </c>
      <c r="R57" s="21">
        <f t="shared" si="18"/>
        <v>1.9875112741695631</v>
      </c>
      <c r="S57" s="13">
        <f t="shared" si="19"/>
        <v>2.3101394711935943</v>
      </c>
      <c r="T57" s="22">
        <f t="shared" si="20"/>
        <v>2.324655463560914</v>
      </c>
      <c r="U57" s="22"/>
      <c r="V57" s="19"/>
    </row>
    <row r="58" spans="3:24">
      <c r="C58" s="17"/>
      <c r="D58" s="18"/>
      <c r="E58" s="13"/>
      <c r="F58" s="13"/>
      <c r="G58" s="13"/>
      <c r="H58" s="13"/>
      <c r="I58" s="72">
        <f t="shared" ref="I58" si="22">0.5*ATAN(K58)*180/PI()-J58</f>
        <v>30.926327479374343</v>
      </c>
      <c r="J58" s="13">
        <v>10.25</v>
      </c>
      <c r="K58" s="13">
        <f t="shared" ref="K58" si="23">L58/M58</f>
        <v>7.4477012115360886</v>
      </c>
      <c r="L58" s="13">
        <f t="shared" ref="L58" si="24">$H$38*J58+$G$38</f>
        <v>0.72196570084165723</v>
      </c>
      <c r="M58" s="13">
        <f t="shared" ref="M58" si="25">0.015+0.1572*(L58^2)</f>
        <v>9.6938059185748646E-2</v>
      </c>
      <c r="N58" s="13">
        <f t="shared" ref="N58" si="26">$N$4*L58</f>
        <v>3.0807720386315198</v>
      </c>
      <c r="O58" s="13">
        <f t="shared" ref="O58" si="27">$N$4*M58</f>
        <v>0.4136540861574266</v>
      </c>
      <c r="P58" s="13">
        <f t="shared" si="16"/>
        <v>0.86189117142761851</v>
      </c>
      <c r="Q58" s="13">
        <f t="shared" ref="Q58" si="28">P58*TAN(I58+J58)</f>
        <v>0.3006446606979179</v>
      </c>
      <c r="R58" s="21">
        <f t="shared" si="18"/>
        <v>2.6477445055471609</v>
      </c>
      <c r="S58" s="13">
        <f t="shared" ref="S58" si="29">0.5*P58*R58^2</f>
        <v>3.0211659925017278</v>
      </c>
      <c r="T58" s="22">
        <f t="shared" ref="T58" si="30">R58*P58</f>
        <v>2.282067613527083</v>
      </c>
      <c r="U58" s="22"/>
      <c r="V58" s="19"/>
    </row>
    <row r="59" spans="3:24" ht="15" thickBot="1">
      <c r="C59" s="23"/>
      <c r="D59" s="24"/>
      <c r="E59" s="25"/>
      <c r="F59" s="25"/>
      <c r="G59" s="25"/>
      <c r="H59" s="25"/>
      <c r="I59" s="75"/>
      <c r="J59" s="25"/>
      <c r="K59" s="25"/>
      <c r="L59" s="25"/>
      <c r="M59" s="25"/>
      <c r="N59" s="25"/>
      <c r="O59" s="25"/>
      <c r="P59" s="25"/>
      <c r="Q59" s="25"/>
      <c r="R59" s="26"/>
      <c r="S59" s="25"/>
      <c r="T59" s="27"/>
      <c r="U59" s="27"/>
      <c r="V59" s="28"/>
    </row>
    <row r="61" spans="3:24" ht="15" thickBot="1"/>
    <row r="62" spans="3:24" ht="17" thickBot="1">
      <c r="C62" s="42" t="s">
        <v>36</v>
      </c>
      <c r="D62" s="43" t="s">
        <v>37</v>
      </c>
      <c r="E62" s="35" t="s">
        <v>24</v>
      </c>
      <c r="F62" s="36" t="s">
        <v>29</v>
      </c>
      <c r="G62" s="36" t="s">
        <v>30</v>
      </c>
      <c r="H62" s="97" t="s">
        <v>56</v>
      </c>
      <c r="I62" s="36" t="s">
        <v>77</v>
      </c>
      <c r="J62" s="36" t="s">
        <v>80</v>
      </c>
      <c r="K62" s="36" t="s">
        <v>81</v>
      </c>
      <c r="L62" s="110" t="s">
        <v>92</v>
      </c>
      <c r="M62" s="36" t="s">
        <v>89</v>
      </c>
      <c r="N62" s="36" t="s">
        <v>90</v>
      </c>
      <c r="O62" s="38" t="s">
        <v>91</v>
      </c>
      <c r="P62" s="15"/>
      <c r="Q62" s="15"/>
      <c r="R62" s="15"/>
      <c r="S62" s="15"/>
      <c r="T62" s="40"/>
      <c r="U62" s="40"/>
      <c r="V62" s="16"/>
    </row>
    <row r="63" spans="3:24" ht="16" thickTop="1" thickBot="1">
      <c r="C63" s="44">
        <v>12</v>
      </c>
      <c r="D63" s="45">
        <f>MAX(T66:T87)</f>
        <v>2.3131048101715965</v>
      </c>
      <c r="E63" s="25">
        <f>$M$4-H63</f>
        <v>1.0466486129138923</v>
      </c>
      <c r="F63" s="25">
        <f>MAX(N66:N88)</f>
        <v>3.2217492364195497</v>
      </c>
      <c r="G63" s="25">
        <f>F63*$L$4</f>
        <v>0.57991486255551883</v>
      </c>
      <c r="H63" s="75">
        <f>(-N63+SQRT(N63^2-4*$P$4*O63))/(2*$P$4)</f>
        <v>0.17255138708610765</v>
      </c>
      <c r="I63" s="25">
        <f>$H$4*SBT!$C$23</f>
        <v>4.4225409836065571E-2</v>
      </c>
      <c r="J63" s="25">
        <f>I63+SBT!$B$23</f>
        <v>0.19422540983606557</v>
      </c>
      <c r="K63" s="25">
        <f>SBT!$B$12*H63</f>
        <v>0.22431680321193995</v>
      </c>
      <c r="L63" s="25">
        <f>(F63*$L$4-(SBT!$F$23*K63+0.5*SBT!$E$23*K63^2)*9.81)/(J63*9.81)</f>
        <v>9.7027228337086643E-2</v>
      </c>
      <c r="M63" s="79">
        <f>J63+SBT!$F$23+2*SBT!$G$23+H63*SBT!$D$23+K63*SBT!$E$23</f>
        <v>0.68518330552662898</v>
      </c>
      <c r="N63" s="25">
        <f>(SBT!$G$23+(SBT!$F$23+J63)*0.5)*9.81</f>
        <v>3.1869031352459021</v>
      </c>
      <c r="O63" s="37">
        <f>-F63*$L$4</f>
        <v>-0.57991486255551883</v>
      </c>
      <c r="P63" s="13"/>
      <c r="Q63" s="13"/>
      <c r="R63" s="13"/>
      <c r="S63" s="13"/>
      <c r="T63" s="13"/>
      <c r="U63" s="13"/>
      <c r="V63" s="19"/>
    </row>
    <row r="64" spans="3:24">
      <c r="C64" s="41"/>
      <c r="D64" s="13"/>
      <c r="E64" s="13"/>
      <c r="F64" s="13"/>
      <c r="G64" s="13"/>
      <c r="H64" s="13"/>
      <c r="I64" s="76"/>
      <c r="J64" s="18"/>
      <c r="K64" s="18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9"/>
    </row>
    <row r="65" spans="3:22" ht="17" thickBot="1">
      <c r="C65" s="47" t="s">
        <v>40</v>
      </c>
      <c r="D65" s="48" t="s">
        <v>42</v>
      </c>
      <c r="E65" s="30" t="s">
        <v>35</v>
      </c>
      <c r="F65" s="29" t="s">
        <v>34</v>
      </c>
      <c r="G65" s="29" t="s">
        <v>41</v>
      </c>
      <c r="H65" s="29" t="s">
        <v>7</v>
      </c>
      <c r="I65" s="70" t="s">
        <v>16</v>
      </c>
      <c r="J65" s="71" t="s">
        <v>17</v>
      </c>
      <c r="K65" s="29" t="s">
        <v>18</v>
      </c>
      <c r="L65" s="46" t="s">
        <v>39</v>
      </c>
      <c r="M65" s="31" t="s">
        <v>10</v>
      </c>
      <c r="N65" s="31" t="s">
        <v>13</v>
      </c>
      <c r="O65" s="31" t="s">
        <v>14</v>
      </c>
      <c r="P65" s="31" t="s">
        <v>8</v>
      </c>
      <c r="Q65" s="31" t="s">
        <v>9</v>
      </c>
      <c r="R65" s="31" t="s">
        <v>19</v>
      </c>
      <c r="S65" s="31" t="s">
        <v>25</v>
      </c>
      <c r="T65" s="32" t="s">
        <v>27</v>
      </c>
      <c r="U65" s="32"/>
      <c r="V65" s="33"/>
    </row>
    <row r="66" spans="3:22" ht="15" thickTop="1">
      <c r="C66" s="50">
        <v>2.874193343</v>
      </c>
      <c r="D66" s="51">
        <v>0.9718</v>
      </c>
      <c r="E66" s="7">
        <f>$K$4/(2+SQRT(4+$K$4^2))</f>
        <v>0.53518375848799637</v>
      </c>
      <c r="F66" s="7">
        <f>C66*E66</f>
        <v>1.5382215959279188</v>
      </c>
      <c r="G66" s="12">
        <f>D66*E66</f>
        <v>0.52009157649863491</v>
      </c>
      <c r="H66" s="14">
        <f>F66*PI()/180</f>
        <v>2.6847031474223983E-2</v>
      </c>
      <c r="I66" s="72">
        <f t="shared" ref="I66:I82" si="31">0.5*ATAN(K66)*180/PI()-J66</f>
        <v>41.844383613414529</v>
      </c>
      <c r="J66" s="13">
        <v>0</v>
      </c>
      <c r="K66" s="13">
        <f t="shared" ref="K66:K82" si="32">L66/M66</f>
        <v>9.0416346063685111</v>
      </c>
      <c r="L66" s="13">
        <f>$H$66*J66+$G$66</f>
        <v>0.52009157649863491</v>
      </c>
      <c r="M66" s="13">
        <f t="shared" ref="M66:M82" si="33">0.015+0.1572*(L66^2)</f>
        <v>5.7521852976928127E-2</v>
      </c>
      <c r="N66" s="13">
        <f t="shared" ref="N66:O82" si="34">$N$4*L66</f>
        <v>2.2193347752349748</v>
      </c>
      <c r="O66" s="13">
        <f t="shared" si="34"/>
        <v>0.24545725102314769</v>
      </c>
      <c r="P66" s="13">
        <f>((N66*COS(I66+J66)+O66*SIN(I66+J66))*SIN(J66+I66)-O66)/$M$63</f>
        <v>1.3642433462529595</v>
      </c>
      <c r="Q66" s="13">
        <f t="shared" ref="Q66:Q82" si="35">P66*TAN(I66+J66)</f>
        <v>2.1419756883581296</v>
      </c>
      <c r="R66" s="21">
        <f>IF(ISERROR(SQRT(2*$E$63/Q66)),0,SQRT(2*$E$63/Q66))</f>
        <v>0.98857171511781494</v>
      </c>
      <c r="S66" s="13">
        <f t="shared" ref="S66:S82" si="36">0.5*P66*R66^2</f>
        <v>0.6666198004923064</v>
      </c>
      <c r="T66" s="22">
        <f t="shared" ref="T66:T82" si="37">R66*P66</f>
        <v>1.3486523846433554</v>
      </c>
      <c r="U66" s="22"/>
      <c r="V66" s="19"/>
    </row>
    <row r="67" spans="3:22">
      <c r="C67" s="17"/>
      <c r="D67" s="18"/>
      <c r="E67" s="13"/>
      <c r="F67" s="13"/>
      <c r="G67" s="13"/>
      <c r="H67" s="13"/>
      <c r="I67" s="72">
        <f t="shared" si="31"/>
        <v>41.305205290851504</v>
      </c>
      <c r="J67" s="13">
        <f>J66+0.5</f>
        <v>0.5</v>
      </c>
      <c r="K67" s="13">
        <f t="shared" si="32"/>
        <v>8.9298478528307239</v>
      </c>
      <c r="L67" s="13">
        <f t="shared" ref="L67:L82" si="38">$H$66*J67+$G$66</f>
        <v>0.53351509223574689</v>
      </c>
      <c r="M67" s="13">
        <f t="shared" si="33"/>
        <v>5.9745149192729517E-2</v>
      </c>
      <c r="N67" s="13">
        <f t="shared" si="34"/>
        <v>2.2766156015883792</v>
      </c>
      <c r="O67" s="13">
        <f t="shared" si="34"/>
        <v>0.2549445006352154</v>
      </c>
      <c r="P67" s="13">
        <f t="shared" ref="P67:P84" si="39">((N67*COS(I67+J67)+O67*SIN(I67+J67))*SIN(J67+I67)-O67)/$M$63</f>
        <v>1.4350544850388582</v>
      </c>
      <c r="Q67" s="13">
        <f t="shared" si="35"/>
        <v>2.0695343465460248</v>
      </c>
      <c r="R67" s="21">
        <f t="shared" ref="R67:R84" si="40">IF(ISERROR(SQRT(2*$E$63/Q67)),0,SQRT(2*$E$63/Q67))</f>
        <v>1.0057247311238933</v>
      </c>
      <c r="S67" s="13">
        <f t="shared" si="36"/>
        <v>0.72576605878929179</v>
      </c>
      <c r="T67" s="22">
        <f t="shared" si="37"/>
        <v>1.4432697861138428</v>
      </c>
      <c r="U67" s="22"/>
      <c r="V67" s="19"/>
    </row>
    <row r="68" spans="3:22">
      <c r="C68" s="20"/>
      <c r="D68" s="11"/>
      <c r="E68" s="13"/>
      <c r="F68" s="13"/>
      <c r="G68" s="13"/>
      <c r="H68" s="13"/>
      <c r="I68" s="72">
        <f t="shared" si="31"/>
        <v>40.765031491671756</v>
      </c>
      <c r="J68" s="13">
        <f t="shared" ref="J68:J83" si="41">J67+0.5</f>
        <v>1</v>
      </c>
      <c r="K68" s="13">
        <f t="shared" si="32"/>
        <v>8.8180209464322452</v>
      </c>
      <c r="L68" s="13">
        <f t="shared" si="38"/>
        <v>0.54693860797285887</v>
      </c>
      <c r="M68" s="13">
        <f t="shared" si="33"/>
        <v>6.2025097388110566E-2</v>
      </c>
      <c r="N68" s="13">
        <f t="shared" si="34"/>
        <v>2.3338964279417831</v>
      </c>
      <c r="O68" s="13">
        <f t="shared" si="34"/>
        <v>0.26467349557454539</v>
      </c>
      <c r="P68" s="13">
        <f t="shared" si="39"/>
        <v>1.4976327362577821</v>
      </c>
      <c r="Q68" s="13">
        <f t="shared" si="35"/>
        <v>1.9845442112714531</v>
      </c>
      <c r="R68" s="21">
        <f t="shared" si="40"/>
        <v>1.027034564100602</v>
      </c>
      <c r="S68" s="13">
        <f t="shared" si="36"/>
        <v>0.7898515020002429</v>
      </c>
      <c r="T68" s="22">
        <f t="shared" si="37"/>
        <v>1.5381205844653032</v>
      </c>
      <c r="U68" s="22"/>
      <c r="V68" s="19"/>
    </row>
    <row r="69" spans="3:22">
      <c r="C69" s="17"/>
      <c r="D69" s="18"/>
      <c r="E69" s="13"/>
      <c r="F69" s="13"/>
      <c r="G69" s="13"/>
      <c r="H69" s="13"/>
      <c r="I69" s="72">
        <f t="shared" si="31"/>
        <v>40.223935701693307</v>
      </c>
      <c r="J69" s="13">
        <f t="shared" si="41"/>
        <v>1.5</v>
      </c>
      <c r="K69" s="13">
        <f t="shared" si="32"/>
        <v>8.7064534486655454</v>
      </c>
      <c r="L69" s="13">
        <f t="shared" si="38"/>
        <v>0.56036212370997085</v>
      </c>
      <c r="M69" s="13">
        <f t="shared" si="33"/>
        <v>6.4361697563071293E-2</v>
      </c>
      <c r="N69" s="13">
        <f t="shared" si="34"/>
        <v>2.3911772542951875</v>
      </c>
      <c r="O69" s="13">
        <f t="shared" si="34"/>
        <v>0.27464423584113784</v>
      </c>
      <c r="P69" s="13">
        <f t="shared" si="39"/>
        <v>1.5501704448966767</v>
      </c>
      <c r="Q69" s="13">
        <f t="shared" si="35"/>
        <v>1.8875724335368727</v>
      </c>
      <c r="R69" s="21">
        <f t="shared" si="40"/>
        <v>1.0530855069465783</v>
      </c>
      <c r="S69" s="13">
        <f t="shared" si="36"/>
        <v>0.85956105159422136</v>
      </c>
      <c r="T69" s="22">
        <f t="shared" si="37"/>
        <v>1.6324620288176195</v>
      </c>
      <c r="U69" s="22"/>
      <c r="V69" s="19"/>
    </row>
    <row r="70" spans="3:22">
      <c r="C70" s="17"/>
      <c r="D70" s="13"/>
      <c r="E70" s="13"/>
      <c r="F70" s="13"/>
      <c r="G70" s="13"/>
      <c r="H70" s="13"/>
      <c r="I70" s="72">
        <f t="shared" si="31"/>
        <v>39.681984584952552</v>
      </c>
      <c r="J70" s="13">
        <f t="shared" si="41"/>
        <v>2</v>
      </c>
      <c r="K70" s="13">
        <f t="shared" si="32"/>
        <v>8.5954021667954823</v>
      </c>
      <c r="L70" s="13">
        <f t="shared" si="38"/>
        <v>0.57378563944708283</v>
      </c>
      <c r="M70" s="13">
        <f t="shared" si="33"/>
        <v>6.6754949717611672E-2</v>
      </c>
      <c r="N70" s="13">
        <f t="shared" si="34"/>
        <v>2.4484580806485918</v>
      </c>
      <c r="O70" s="13">
        <f t="shared" si="34"/>
        <v>0.28485672143499252</v>
      </c>
      <c r="P70" s="13">
        <f t="shared" si="39"/>
        <v>1.5908849939314818</v>
      </c>
      <c r="Q70" s="13">
        <f t="shared" si="35"/>
        <v>1.7794204422063384</v>
      </c>
      <c r="R70" s="21">
        <f t="shared" si="40"/>
        <v>1.0846163857099409</v>
      </c>
      <c r="S70" s="13">
        <f t="shared" si="36"/>
        <v>0.93575275000175007</v>
      </c>
      <c r="T70" s="22">
        <f t="shared" si="37"/>
        <v>1.725499932198145</v>
      </c>
      <c r="U70" s="22"/>
      <c r="V70" s="19"/>
    </row>
    <row r="71" spans="3:22">
      <c r="C71" s="17"/>
      <c r="D71" s="13"/>
      <c r="E71" s="13"/>
      <c r="F71" s="13"/>
      <c r="G71" s="13"/>
      <c r="H71" s="13"/>
      <c r="I71" s="72">
        <f t="shared" si="31"/>
        <v>39.139238762200499</v>
      </c>
      <c r="J71" s="13">
        <f t="shared" si="41"/>
        <v>2.5</v>
      </c>
      <c r="K71" s="13">
        <f t="shared" si="32"/>
        <v>8.485086269270413</v>
      </c>
      <c r="L71" s="13">
        <f t="shared" si="38"/>
        <v>0.58720915518419492</v>
      </c>
      <c r="M71" s="13">
        <f t="shared" si="33"/>
        <v>6.9204853851731779E-2</v>
      </c>
      <c r="N71" s="13">
        <f t="shared" si="34"/>
        <v>2.5057389070019966</v>
      </c>
      <c r="O71" s="13">
        <f t="shared" si="34"/>
        <v>0.29531095235610982</v>
      </c>
      <c r="P71" s="13">
        <f t="shared" si="39"/>
        <v>1.618049357886943</v>
      </c>
      <c r="Q71" s="13">
        <f t="shared" si="35"/>
        <v>1.6611274370251656</v>
      </c>
      <c r="R71" s="21">
        <f t="shared" si="40"/>
        <v>1.1225713993460114</v>
      </c>
      <c r="S71" s="13">
        <f t="shared" si="36"/>
        <v>1.0195058358023656</v>
      </c>
      <c r="T71" s="22">
        <f t="shared" si="37"/>
        <v>1.8163759318940609</v>
      </c>
      <c r="U71" s="22"/>
      <c r="V71" s="19"/>
    </row>
    <row r="72" spans="3:22">
      <c r="C72" s="17"/>
      <c r="D72" s="13"/>
      <c r="E72" s="13"/>
      <c r="F72" s="13"/>
      <c r="G72" s="13"/>
      <c r="H72" s="13"/>
      <c r="I72" s="72">
        <f t="shared" si="31"/>
        <v>38.595753485166689</v>
      </c>
      <c r="J72" s="13">
        <f t="shared" si="41"/>
        <v>3</v>
      </c>
      <c r="K72" s="13">
        <f t="shared" si="32"/>
        <v>8.3756918349652043</v>
      </c>
      <c r="L72" s="13">
        <f t="shared" si="38"/>
        <v>0.6006326709213069</v>
      </c>
      <c r="M72" s="13">
        <f t="shared" si="33"/>
        <v>7.1711409965431488E-2</v>
      </c>
      <c r="N72" s="13">
        <f t="shared" si="34"/>
        <v>2.5630197333554006</v>
      </c>
      <c r="O72" s="13">
        <f t="shared" si="34"/>
        <v>0.30600692860448925</v>
      </c>
      <c r="P72" s="13">
        <f t="shared" si="39"/>
        <v>1.6300237252609568</v>
      </c>
      <c r="Q72" s="13">
        <f t="shared" si="35"/>
        <v>1.5339696443769539</v>
      </c>
      <c r="R72" s="21">
        <f t="shared" si="40"/>
        <v>1.16817273651561</v>
      </c>
      <c r="S72" s="13">
        <f t="shared" si="36"/>
        <v>1.1121876350780462</v>
      </c>
      <c r="T72" s="22">
        <f t="shared" si="37"/>
        <v>1.9041492757234608</v>
      </c>
      <c r="U72" s="22"/>
      <c r="V72" s="19"/>
    </row>
    <row r="73" spans="3:22">
      <c r="C73" s="17"/>
      <c r="D73" s="13"/>
      <c r="E73" s="13"/>
      <c r="F73" s="13"/>
      <c r="G73" s="13"/>
      <c r="H73" s="13"/>
      <c r="I73" s="72">
        <f t="shared" si="31"/>
        <v>38.051579222513347</v>
      </c>
      <c r="J73" s="13">
        <f t="shared" si="41"/>
        <v>3.5</v>
      </c>
      <c r="K73" s="13">
        <f t="shared" si="32"/>
        <v>8.2673758910888502</v>
      </c>
      <c r="L73" s="13">
        <f t="shared" si="38"/>
        <v>0.61405618665841888</v>
      </c>
      <c r="M73" s="13">
        <f t="shared" si="33"/>
        <v>7.4274618058710884E-2</v>
      </c>
      <c r="N73" s="13">
        <f t="shared" si="34"/>
        <v>2.6203005597088049</v>
      </c>
      <c r="O73" s="13">
        <f t="shared" si="34"/>
        <v>0.31694465018013107</v>
      </c>
      <c r="P73" s="13">
        <f t="shared" si="39"/>
        <v>1.6252876290703082</v>
      </c>
      <c r="Q73" s="13">
        <f t="shared" si="35"/>
        <v>1.3994551712195988</v>
      </c>
      <c r="R73" s="21">
        <f t="shared" si="40"/>
        <v>1.2230267423992895</v>
      </c>
      <c r="S73" s="13">
        <f t="shared" si="36"/>
        <v>1.2155480772349898</v>
      </c>
      <c r="T73" s="22">
        <f t="shared" si="37"/>
        <v>1.9877702344437238</v>
      </c>
      <c r="U73" s="22"/>
      <c r="V73" s="19"/>
    </row>
    <row r="74" spans="3:22">
      <c r="C74" s="17"/>
      <c r="D74" s="13"/>
      <c r="E74" s="13"/>
      <c r="F74" s="13"/>
      <c r="G74" s="13"/>
      <c r="H74" s="13"/>
      <c r="I74" s="72">
        <f t="shared" si="31"/>
        <v>37.506762170682343</v>
      </c>
      <c r="J74" s="13">
        <f t="shared" si="41"/>
        <v>4</v>
      </c>
      <c r="K74" s="13">
        <f t="shared" si="32"/>
        <v>8.1602699913234922</v>
      </c>
      <c r="L74" s="13">
        <f t="shared" si="38"/>
        <v>0.62747970239553086</v>
      </c>
      <c r="M74" s="13">
        <f t="shared" si="33"/>
        <v>7.6894478131569965E-2</v>
      </c>
      <c r="N74" s="13">
        <f t="shared" si="34"/>
        <v>2.6775813860622093</v>
      </c>
      <c r="O74" s="13">
        <f t="shared" si="34"/>
        <v>0.32812411708303535</v>
      </c>
      <c r="P74" s="13">
        <f t="shared" si="39"/>
        <v>1.6024719950607558</v>
      </c>
      <c r="Q74" s="13">
        <f t="shared" si="35"/>
        <v>1.2593143608365949</v>
      </c>
      <c r="R74" s="21">
        <f t="shared" si="40"/>
        <v>1.2892833405440867</v>
      </c>
      <c r="S74" s="13">
        <f t="shared" si="36"/>
        <v>1.331855764552287</v>
      </c>
      <c r="T74" s="22">
        <f t="shared" si="37"/>
        <v>2.0660404469202782</v>
      </c>
      <c r="U74" s="22"/>
      <c r="V74" s="19"/>
    </row>
    <row r="75" spans="3:22">
      <c r="C75" s="17"/>
      <c r="D75" s="18"/>
      <c r="E75" s="13"/>
      <c r="F75" s="13"/>
      <c r="G75" s="13"/>
      <c r="H75" s="13"/>
      <c r="I75" s="72">
        <f t="shared" si="31"/>
        <v>36.96134470062929</v>
      </c>
      <c r="J75" s="13">
        <f t="shared" si="41"/>
        <v>4.5</v>
      </c>
      <c r="K75" s="13">
        <f t="shared" si="32"/>
        <v>8.0544833820786668</v>
      </c>
      <c r="L75" s="13">
        <f t="shared" si="38"/>
        <v>0.64090321813264284</v>
      </c>
      <c r="M75" s="13">
        <f t="shared" si="33"/>
        <v>7.9570990184008705E-2</v>
      </c>
      <c r="N75" s="13">
        <f t="shared" si="34"/>
        <v>2.7348622124156132</v>
      </c>
      <c r="O75" s="13">
        <f t="shared" si="34"/>
        <v>0.33954532931320192</v>
      </c>
      <c r="P75" s="13">
        <f t="shared" si="39"/>
        <v>1.5603904974352327</v>
      </c>
      <c r="Q75" s="13">
        <f t="shared" si="35"/>
        <v>1.1154856281870449</v>
      </c>
      <c r="R75" s="21">
        <f t="shared" si="40"/>
        <v>1.3698829467949416</v>
      </c>
      <c r="S75" s="13">
        <f t="shared" si="36"/>
        <v>1.4640982442767541</v>
      </c>
      <c r="T75" s="22">
        <f t="shared" si="37"/>
        <v>2.1375523327774015</v>
      </c>
      <c r="U75" s="22"/>
      <c r="V75" s="19"/>
    </row>
    <row r="76" spans="3:22">
      <c r="C76" s="17"/>
      <c r="D76" s="22"/>
      <c r="E76" s="13"/>
      <c r="F76" s="13"/>
      <c r="G76" s="13"/>
      <c r="H76" s="13"/>
      <c r="I76" s="72">
        <f t="shared" si="31"/>
        <v>36.415365749637928</v>
      </c>
      <c r="J76" s="13">
        <f t="shared" si="41"/>
        <v>5</v>
      </c>
      <c r="K76" s="13">
        <f t="shared" si="32"/>
        <v>7.9501058008848071</v>
      </c>
      <c r="L76" s="13">
        <f t="shared" si="38"/>
        <v>0.65432673386975482</v>
      </c>
      <c r="M76" s="13">
        <f t="shared" si="33"/>
        <v>8.2304154216027103E-2</v>
      </c>
      <c r="N76" s="13">
        <f t="shared" si="34"/>
        <v>2.7921430387690176</v>
      </c>
      <c r="O76" s="13">
        <f t="shared" si="34"/>
        <v>0.35120828687063083</v>
      </c>
      <c r="P76" s="13">
        <f t="shared" si="39"/>
        <v>1.4980696028819374</v>
      </c>
      <c r="Q76" s="13">
        <f t="shared" si="35"/>
        <v>0.97009683104573707</v>
      </c>
      <c r="R76" s="21">
        <f t="shared" si="40"/>
        <v>1.4689530185454645</v>
      </c>
      <c r="S76" s="13">
        <f t="shared" si="36"/>
        <v>1.6162845003984152</v>
      </c>
      <c r="T76" s="22">
        <f t="shared" si="37"/>
        <v>2.2005938651446271</v>
      </c>
      <c r="U76" s="22"/>
      <c r="V76" s="19"/>
    </row>
    <row r="77" spans="3:22">
      <c r="C77" s="17"/>
      <c r="D77" s="18"/>
      <c r="E77" s="13"/>
      <c r="F77" s="13"/>
      <c r="G77" s="13"/>
      <c r="H77" s="13"/>
      <c r="I77" s="72">
        <f t="shared" si="31"/>
        <v>35.868861165931861</v>
      </c>
      <c r="J77" s="13">
        <f t="shared" si="41"/>
        <v>5.5</v>
      </c>
      <c r="K77" s="13">
        <f t="shared" si="32"/>
        <v>7.8472099470813772</v>
      </c>
      <c r="L77" s="13">
        <f t="shared" si="38"/>
        <v>0.6677502496068668</v>
      </c>
      <c r="M77" s="13">
        <f t="shared" si="33"/>
        <v>8.5093970227625174E-2</v>
      </c>
      <c r="N77" s="13">
        <f t="shared" si="34"/>
        <v>2.849423865122422</v>
      </c>
      <c r="O77" s="13">
        <f t="shared" si="34"/>
        <v>0.36311298975532214</v>
      </c>
      <c r="P77" s="13">
        <f t="shared" si="39"/>
        <v>1.4147766856634978</v>
      </c>
      <c r="Q77" s="13">
        <f t="shared" si="35"/>
        <v>0.82544231408838664</v>
      </c>
      <c r="R77" s="21">
        <f t="shared" si="40"/>
        <v>1.5924730264282261</v>
      </c>
      <c r="S77" s="13">
        <f t="shared" si="36"/>
        <v>1.7939158562133704</v>
      </c>
      <c r="T77" s="22">
        <f t="shared" si="37"/>
        <v>2.2529937103386453</v>
      </c>
      <c r="U77" s="22"/>
      <c r="V77" s="19"/>
    </row>
    <row r="78" spans="3:22">
      <c r="C78" s="17"/>
      <c r="D78" s="18"/>
      <c r="E78" s="13"/>
      <c r="F78" s="13"/>
      <c r="G78" s="13"/>
      <c r="H78" s="13"/>
      <c r="I78" s="72">
        <f t="shared" si="31"/>
        <v>35.321864012585905</v>
      </c>
      <c r="J78" s="13">
        <f t="shared" si="41"/>
        <v>6</v>
      </c>
      <c r="K78" s="13">
        <f t="shared" si="32"/>
        <v>7.7458536611924016</v>
      </c>
      <c r="L78" s="13">
        <f t="shared" si="38"/>
        <v>0.68117376534397878</v>
      </c>
      <c r="M78" s="13">
        <f t="shared" si="33"/>
        <v>8.7940438218802916E-2</v>
      </c>
      <c r="N78" s="13">
        <f t="shared" si="34"/>
        <v>2.9067046914758263</v>
      </c>
      <c r="O78" s="13">
        <f t="shared" si="34"/>
        <v>0.37525943796727579</v>
      </c>
      <c r="P78" s="13">
        <f t="shared" si="39"/>
        <v>1.3100456098115119</v>
      </c>
      <c r="Q78" s="13">
        <f t="shared" si="35"/>
        <v>0.6839558448908396</v>
      </c>
      <c r="R78" s="21">
        <f t="shared" si="40"/>
        <v>1.7494495231920595</v>
      </c>
      <c r="S78" s="13">
        <f t="shared" si="36"/>
        <v>2.0047455264922722</v>
      </c>
      <c r="T78" s="22">
        <f t="shared" si="37"/>
        <v>2.2918586674446004</v>
      </c>
      <c r="U78" s="22"/>
      <c r="V78" s="19"/>
    </row>
    <row r="79" spans="3:22">
      <c r="C79" s="17"/>
      <c r="D79" s="18"/>
      <c r="E79" s="13"/>
      <c r="F79" s="13"/>
      <c r="G79" s="13"/>
      <c r="H79" s="13"/>
      <c r="I79" s="72">
        <f t="shared" si="31"/>
        <v>34.77440483623586</v>
      </c>
      <c r="J79" s="13">
        <f t="shared" si="41"/>
        <v>6.5</v>
      </c>
      <c r="K79" s="13">
        <f t="shared" si="32"/>
        <v>7.646081845800194</v>
      </c>
      <c r="L79" s="13">
        <f t="shared" si="38"/>
        <v>0.69459728108109076</v>
      </c>
      <c r="M79" s="13">
        <f t="shared" si="33"/>
        <v>9.0843558189560331E-2</v>
      </c>
      <c r="N79" s="13">
        <f t="shared" si="34"/>
        <v>2.9639855178292303</v>
      </c>
      <c r="O79" s="13">
        <f t="shared" si="34"/>
        <v>0.38764763150649184</v>
      </c>
      <c r="P79" s="13">
        <f t="shared" si="39"/>
        <v>1.1836991991132955</v>
      </c>
      <c r="Q79" s="13">
        <f t="shared" si="35"/>
        <v>0.54817974177819206</v>
      </c>
      <c r="R79" s="21">
        <f t="shared" si="40"/>
        <v>1.9541322760920465</v>
      </c>
      <c r="S79" s="13">
        <f t="shared" si="36"/>
        <v>2.2600563837700416</v>
      </c>
      <c r="T79" s="22">
        <f t="shared" si="37"/>
        <v>2.3131048101715965</v>
      </c>
      <c r="U79" s="22"/>
      <c r="V79" s="19"/>
    </row>
    <row r="80" spans="3:22">
      <c r="C80" s="17"/>
      <c r="D80" s="18"/>
      <c r="E80" s="13"/>
      <c r="F80" s="13"/>
      <c r="G80" s="13"/>
      <c r="H80" s="13"/>
      <c r="I80" s="72">
        <f t="shared" si="31"/>
        <v>34.226511905252259</v>
      </c>
      <c r="J80" s="13">
        <f t="shared" si="41"/>
        <v>7</v>
      </c>
      <c r="K80" s="13">
        <f t="shared" si="32"/>
        <v>7.5479281573720991</v>
      </c>
      <c r="L80" s="13">
        <f t="shared" si="38"/>
        <v>0.70802079681820285</v>
      </c>
      <c r="M80" s="13">
        <f t="shared" si="33"/>
        <v>9.3803330139897445E-2</v>
      </c>
      <c r="N80" s="13">
        <f t="shared" si="34"/>
        <v>3.0212663441826351</v>
      </c>
      <c r="O80" s="13">
        <f t="shared" si="34"/>
        <v>0.40027757037297035</v>
      </c>
      <c r="P80" s="13">
        <f t="shared" si="39"/>
        <v>1.0358680514237881</v>
      </c>
      <c r="Q80" s="13">
        <f t="shared" si="35"/>
        <v>0.42073057190563995</v>
      </c>
      <c r="R80" s="21">
        <f t="shared" si="40"/>
        <v>2.2305574512511903</v>
      </c>
      <c r="S80" s="13">
        <f t="shared" si="36"/>
        <v>2.5769219818608344</v>
      </c>
      <c r="T80" s="22">
        <f t="shared" si="37"/>
        <v>2.3105632006163819</v>
      </c>
      <c r="U80" s="22"/>
      <c r="V80" s="19"/>
    </row>
    <row r="81" spans="3:22">
      <c r="C81" s="17"/>
      <c r="D81" s="18"/>
      <c r="E81" s="13"/>
      <c r="F81" s="13"/>
      <c r="G81" s="13"/>
      <c r="H81" s="13"/>
      <c r="I81" s="72">
        <f t="shared" si="31"/>
        <v>33.678211421350717</v>
      </c>
      <c r="J81" s="13">
        <f t="shared" si="41"/>
        <v>7.5</v>
      </c>
      <c r="K81" s="13">
        <f t="shared" si="32"/>
        <v>7.4514164953889503</v>
      </c>
      <c r="L81" s="13">
        <f t="shared" si="38"/>
        <v>0.72144431255531483</v>
      </c>
      <c r="M81" s="13">
        <f t="shared" si="33"/>
        <v>9.6819754069814176E-2</v>
      </c>
      <c r="N81" s="13">
        <f t="shared" si="34"/>
        <v>3.0785471705360394</v>
      </c>
      <c r="O81" s="13">
        <f t="shared" si="34"/>
        <v>0.41314925456671103</v>
      </c>
      <c r="P81" s="13">
        <f t="shared" si="39"/>
        <v>0.86700520052592922</v>
      </c>
      <c r="Q81" s="13">
        <f t="shared" si="35"/>
        <v>0.30426187226105983</v>
      </c>
      <c r="R81" s="21">
        <f t="shared" si="40"/>
        <v>2.6229600881596875</v>
      </c>
      <c r="S81" s="13">
        <f t="shared" si="36"/>
        <v>2.982463046638304</v>
      </c>
      <c r="T81" s="22">
        <f t="shared" si="37"/>
        <v>2.2741200372063988</v>
      </c>
      <c r="U81" s="22"/>
      <c r="V81" s="19"/>
    </row>
    <row r="82" spans="3:22">
      <c r="C82" s="17"/>
      <c r="D82" s="18"/>
      <c r="E82" s="13"/>
      <c r="F82" s="13"/>
      <c r="G82" s="13"/>
      <c r="H82" s="13"/>
      <c r="I82" s="72">
        <f t="shared" si="31"/>
        <v>33.129527708031048</v>
      </c>
      <c r="J82" s="13">
        <f t="shared" si="41"/>
        <v>8</v>
      </c>
      <c r="K82" s="13">
        <f t="shared" si="32"/>
        <v>7.3565623122763641</v>
      </c>
      <c r="L82" s="13">
        <f t="shared" si="38"/>
        <v>0.73486782829242681</v>
      </c>
      <c r="M82" s="13">
        <f t="shared" si="33"/>
        <v>9.9892829979310593E-2</v>
      </c>
      <c r="N82" s="13">
        <f t="shared" si="34"/>
        <v>3.1358279968894434</v>
      </c>
      <c r="O82" s="13">
        <f t="shared" si="34"/>
        <v>0.42626268408771417</v>
      </c>
      <c r="P82" s="13">
        <f t="shared" si="39"/>
        <v>0.67789618571882337</v>
      </c>
      <c r="Q82" s="13">
        <f t="shared" si="35"/>
        <v>0.20142441489106128</v>
      </c>
      <c r="R82" s="21">
        <f t="shared" si="40"/>
        <v>3.2237354393192716</v>
      </c>
      <c r="S82" s="13">
        <f t="shared" si="36"/>
        <v>3.5225079485322683</v>
      </c>
      <c r="T82" s="22">
        <f t="shared" si="37"/>
        <v>2.1853579580811298</v>
      </c>
      <c r="U82" s="22"/>
      <c r="V82" s="19"/>
    </row>
    <row r="83" spans="3:22">
      <c r="C83" s="17"/>
      <c r="D83" s="18"/>
      <c r="E83" s="13"/>
      <c r="F83" s="13"/>
      <c r="G83" s="13"/>
      <c r="H83" s="13"/>
      <c r="I83" s="72">
        <f t="shared" ref="I83:I84" si="42">0.5*ATAN(K83)*180/PI()-J83</f>
        <v>32.580483378751936</v>
      </c>
      <c r="J83" s="13">
        <f t="shared" si="41"/>
        <v>8.5</v>
      </c>
      <c r="K83" s="13">
        <f t="shared" ref="K83:K84" si="43">L83/M83</f>
        <v>7.2633737650495487</v>
      </c>
      <c r="L83" s="13">
        <f t="shared" ref="L83:L84" si="44">$H$66*J83+$G$66</f>
        <v>0.74829134402953879</v>
      </c>
      <c r="M83" s="13">
        <f t="shared" ref="M83:M84" si="45">0.015+0.1572*(L83^2)</f>
        <v>0.10302255786838668</v>
      </c>
      <c r="N83" s="13">
        <f t="shared" ref="N83:N84" si="46">$N$4*L83</f>
        <v>3.1931088232428477</v>
      </c>
      <c r="O83" s="13">
        <f t="shared" ref="O83:O84" si="47">$N$4*M83</f>
        <v>0.43961785893597966</v>
      </c>
      <c r="P83" s="13">
        <f t="shared" si="39"/>
        <v>0.46966415576890347</v>
      </c>
      <c r="Q83" s="13">
        <f t="shared" ref="Q83:Q84" si="48">P83*TAN(I83+J83)</f>
        <v>0.11482459911983123</v>
      </c>
      <c r="R83" s="21">
        <f t="shared" si="40"/>
        <v>4.2697060812019521</v>
      </c>
      <c r="S83" s="13">
        <f t="shared" ref="S83:S84" si="49">0.5*P83*R83^2</f>
        <v>4.2810803690060348</v>
      </c>
      <c r="T83" s="22">
        <f t="shared" ref="T83:T84" si="50">R83*P83</f>
        <v>2.0053279020090682</v>
      </c>
      <c r="U83" s="22"/>
      <c r="V83" s="19"/>
    </row>
    <row r="84" spans="3:22">
      <c r="C84" s="17"/>
      <c r="D84" s="18"/>
      <c r="E84" s="13"/>
      <c r="F84" s="13"/>
      <c r="G84" s="13"/>
      <c r="H84" s="13"/>
      <c r="I84" s="72">
        <f t="shared" si="42"/>
        <v>32.305832619587058</v>
      </c>
      <c r="J84" s="13">
        <v>8.75</v>
      </c>
      <c r="K84" s="13">
        <f t="shared" si="43"/>
        <v>7.2174049107447606</v>
      </c>
      <c r="L84" s="13">
        <f t="shared" si="44"/>
        <v>0.75500310189809472</v>
      </c>
      <c r="M84" s="13">
        <f t="shared" si="45"/>
        <v>0.10460866630526709</v>
      </c>
      <c r="N84" s="13">
        <f t="shared" si="46"/>
        <v>3.2217492364195497</v>
      </c>
      <c r="O84" s="13">
        <f t="shared" si="47"/>
        <v>0.4463861008578357</v>
      </c>
      <c r="P84" s="13">
        <f t="shared" si="39"/>
        <v>0.35882038149854389</v>
      </c>
      <c r="Q84" s="13">
        <f t="shared" si="48"/>
        <v>7.8405644099038857E-2</v>
      </c>
      <c r="R84" s="21">
        <f t="shared" si="40"/>
        <v>5.1670395468259427</v>
      </c>
      <c r="S84" s="13">
        <f t="shared" si="49"/>
        <v>4.7899466791739354</v>
      </c>
      <c r="T84" s="22">
        <f t="shared" si="50"/>
        <v>1.854039101410148</v>
      </c>
      <c r="U84" s="22"/>
      <c r="V84" s="19"/>
    </row>
    <row r="85" spans="3:22">
      <c r="C85" s="17"/>
      <c r="D85" s="18"/>
      <c r="E85" s="13"/>
      <c r="F85" s="13"/>
      <c r="G85" s="13"/>
      <c r="H85" s="13"/>
      <c r="I85" s="72"/>
      <c r="J85" s="13"/>
      <c r="K85" s="13"/>
      <c r="L85" s="13"/>
      <c r="M85" s="13"/>
      <c r="N85" s="13"/>
      <c r="O85" s="13"/>
      <c r="P85" s="13"/>
      <c r="Q85" s="13"/>
      <c r="R85" s="21"/>
      <c r="S85" s="13"/>
      <c r="T85" s="22"/>
      <c r="U85" s="22"/>
      <c r="V85" s="19"/>
    </row>
    <row r="86" spans="3:22">
      <c r="C86" s="17"/>
      <c r="D86" s="18"/>
      <c r="E86" s="13"/>
      <c r="F86" s="13"/>
      <c r="G86" s="13"/>
      <c r="H86" s="13"/>
      <c r="I86" s="72"/>
      <c r="J86" s="13"/>
      <c r="K86" s="13"/>
      <c r="L86" s="13"/>
      <c r="M86" s="13"/>
      <c r="N86" s="13"/>
      <c r="O86" s="13"/>
      <c r="P86" s="13"/>
      <c r="Q86" s="13"/>
      <c r="R86" s="21"/>
      <c r="S86" s="13"/>
      <c r="T86" s="22"/>
      <c r="U86" s="22"/>
      <c r="V86" s="19"/>
    </row>
    <row r="87" spans="3:22" ht="15" thickBot="1">
      <c r="C87" s="23"/>
      <c r="D87" s="24"/>
      <c r="E87" s="25"/>
      <c r="F87" s="25"/>
      <c r="G87" s="25"/>
      <c r="H87" s="25"/>
      <c r="I87" s="75"/>
      <c r="J87" s="25"/>
      <c r="K87" s="25"/>
      <c r="L87" s="25"/>
      <c r="M87" s="25"/>
      <c r="N87" s="25"/>
      <c r="O87" s="25"/>
      <c r="P87" s="25"/>
      <c r="Q87" s="25"/>
      <c r="R87" s="26"/>
      <c r="S87" s="25"/>
      <c r="T87" s="27"/>
      <c r="U87" s="27"/>
      <c r="V87" s="28"/>
    </row>
    <row r="89" spans="3:22" ht="15" thickBot="1"/>
    <row r="90" spans="3:22" ht="17" thickBot="1">
      <c r="C90" s="42" t="s">
        <v>36</v>
      </c>
      <c r="D90" s="43" t="s">
        <v>37</v>
      </c>
      <c r="E90" s="35" t="s">
        <v>24</v>
      </c>
      <c r="F90" s="36" t="s">
        <v>29</v>
      </c>
      <c r="G90" s="36" t="s">
        <v>30</v>
      </c>
      <c r="H90" s="97" t="s">
        <v>56</v>
      </c>
      <c r="I90" s="36" t="s">
        <v>77</v>
      </c>
      <c r="J90" s="36" t="s">
        <v>80</v>
      </c>
      <c r="K90" s="36" t="s">
        <v>81</v>
      </c>
      <c r="L90" s="110" t="s">
        <v>92</v>
      </c>
      <c r="M90" s="36" t="s">
        <v>89</v>
      </c>
      <c r="N90" s="36" t="s">
        <v>90</v>
      </c>
      <c r="O90" s="38" t="s">
        <v>91</v>
      </c>
      <c r="P90" s="15"/>
      <c r="Q90" s="15"/>
      <c r="R90" s="15"/>
      <c r="S90" s="15"/>
      <c r="T90" s="40"/>
      <c r="U90" s="40"/>
      <c r="V90" s="16"/>
    </row>
    <row r="91" spans="3:22" ht="16" thickTop="1" thickBot="1">
      <c r="C91" s="44">
        <v>16</v>
      </c>
      <c r="D91" s="45">
        <f>MAX(T94:T115)</f>
        <v>2.2834292907243725</v>
      </c>
      <c r="E91" s="25">
        <f>$M$4-H91</f>
        <v>1.0277134475546637</v>
      </c>
      <c r="F91" s="25">
        <f>MAX(N94:N116)</f>
        <v>3.5955957316862537</v>
      </c>
      <c r="G91" s="25">
        <f>F91*$L$4</f>
        <v>0.64720723170352557</v>
      </c>
      <c r="H91" s="75">
        <f>(-N91+SQRT(N91^2-4*$P$4*O91))/(2*$P$4)</f>
        <v>0.19148655244533638</v>
      </c>
      <c r="I91" s="25">
        <f>$H$4*SBT!$C$23</f>
        <v>4.4225409836065571E-2</v>
      </c>
      <c r="J91" s="25">
        <f>I91+SBT!$B$23</f>
        <v>0.19422540983606557</v>
      </c>
      <c r="K91" s="25">
        <f>SBT!$B$12*H91</f>
        <v>0.2489325181789373</v>
      </c>
      <c r="L91" s="25">
        <f>(F91*$L$4-(SBT!$F$23*K91+0.5*SBT!$E$23*K91^2)*9.81)/(J91*9.81)</f>
        <v>0.10818335272345403</v>
      </c>
      <c r="M91" s="79">
        <f>J91+SBT!$F$23+2*SBT!$G$23+H91*SBT!$D$23+K91*SBT!$E$23</f>
        <v>0.68907432680167691</v>
      </c>
      <c r="N91" s="25">
        <f>(SBT!$G$23+(SBT!$F$23+J91)*0.5)*9.81</f>
        <v>3.1869031352459021</v>
      </c>
      <c r="O91" s="37">
        <f>-F91*$L$4</f>
        <v>-0.64720723170352557</v>
      </c>
      <c r="P91" s="13"/>
      <c r="Q91" s="13"/>
      <c r="R91" s="13"/>
      <c r="S91" s="13"/>
      <c r="T91" s="13"/>
      <c r="U91" s="13"/>
      <c r="V91" s="19"/>
    </row>
    <row r="92" spans="3:22">
      <c r="C92" s="41"/>
      <c r="D92" s="13"/>
      <c r="E92" s="13"/>
      <c r="F92" s="13"/>
      <c r="G92" s="13"/>
      <c r="H92" s="13"/>
      <c r="I92" s="76"/>
      <c r="J92" s="18"/>
      <c r="K92" s="18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9"/>
    </row>
    <row r="93" spans="3:22" ht="17" thickBot="1">
      <c r="C93" s="47" t="s">
        <v>40</v>
      </c>
      <c r="D93" s="48" t="s">
        <v>42</v>
      </c>
      <c r="E93" s="30" t="s">
        <v>35</v>
      </c>
      <c r="F93" s="29" t="s">
        <v>34</v>
      </c>
      <c r="G93" s="29" t="s">
        <v>41</v>
      </c>
      <c r="H93" s="29" t="s">
        <v>7</v>
      </c>
      <c r="I93" s="70" t="s">
        <v>16</v>
      </c>
      <c r="J93" s="71" t="s">
        <v>17</v>
      </c>
      <c r="K93" s="29" t="s">
        <v>18</v>
      </c>
      <c r="L93" s="46" t="s">
        <v>39</v>
      </c>
      <c r="M93" s="31" t="s">
        <v>10</v>
      </c>
      <c r="N93" s="31" t="s">
        <v>13</v>
      </c>
      <c r="O93" s="31" t="s">
        <v>14</v>
      </c>
      <c r="P93" s="31" t="s">
        <v>8</v>
      </c>
      <c r="Q93" s="31" t="s">
        <v>9</v>
      </c>
      <c r="R93" s="31" t="s">
        <v>19</v>
      </c>
      <c r="S93" s="31" t="s">
        <v>25</v>
      </c>
      <c r="T93" s="32" t="s">
        <v>27</v>
      </c>
      <c r="U93" s="32"/>
      <c r="V93" s="33"/>
    </row>
    <row r="94" spans="3:22" ht="15" thickTop="1">
      <c r="C94" s="50">
        <v>3.577057366</v>
      </c>
      <c r="D94" s="51">
        <v>1.1062000000000001</v>
      </c>
      <c r="E94" s="7">
        <f>$K$4/(2+SQRT(4+$K$4^2))</f>
        <v>0.53518375848799637</v>
      </c>
      <c r="F94" s="7">
        <f>C94*E94</f>
        <v>1.9143830054630524</v>
      </c>
      <c r="G94" s="12">
        <f>D94*E94</f>
        <v>0.59202027363942167</v>
      </c>
      <c r="H94" s="14">
        <f>F94*PI()/180</f>
        <v>3.3412286589554856E-2</v>
      </c>
      <c r="I94" s="72">
        <f t="shared" ref="I94:I109" si="51">0.5*ATAN(K94)*180/PI()-J94</f>
        <v>41.623735511785021</v>
      </c>
      <c r="J94" s="13">
        <v>0</v>
      </c>
      <c r="K94" s="13">
        <f t="shared" ref="K94:K109" si="52">L94/M94</f>
        <v>8.4457635371585926</v>
      </c>
      <c r="L94" s="13">
        <f>$H$94*J94+$G$94</f>
        <v>0.59202027363942167</v>
      </c>
      <c r="M94" s="13">
        <f t="shared" ref="M94:M109" si="53">0.015+0.1572*(L94^2)</f>
        <v>7.0096714291695048E-2</v>
      </c>
      <c r="N94" s="13">
        <f t="shared" ref="N94:O109" si="54">$N$4*L94</f>
        <v>2.5262689116741401</v>
      </c>
      <c r="O94" s="13">
        <f t="shared" si="54"/>
        <v>0.29911669922552109</v>
      </c>
      <c r="P94" s="13">
        <f>((N94*COS(I94+J94)+O94*SIN(I94+J94))*SIN(J94+I94)-O94)/$M$91</f>
        <v>1.614998348303865</v>
      </c>
      <c r="Q94" s="13">
        <f t="shared" ref="Q94:Q109" si="55">P94*TAN(I94+J94)</f>
        <v>1.6073705091589769</v>
      </c>
      <c r="R94" s="21">
        <f>IF(ISERROR(SQRT(2*$E$91/Q94)),0,SQRT(2*$E$91/Q94))</f>
        <v>1.13081879848445</v>
      </c>
      <c r="S94" s="13">
        <f t="shared" ref="S94:S109" si="56">0.5*P94*R94^2</f>
        <v>1.0325905016130255</v>
      </c>
      <c r="T94" s="22">
        <f t="shared" ref="T94:T109" si="57">R94*P94</f>
        <v>1.8262704917833479</v>
      </c>
      <c r="U94" s="22"/>
      <c r="V94" s="19"/>
    </row>
    <row r="95" spans="3:22">
      <c r="C95" s="17"/>
      <c r="D95" s="18"/>
      <c r="E95" s="13"/>
      <c r="F95" s="13"/>
      <c r="G95" s="13"/>
      <c r="H95" s="13"/>
      <c r="I95" s="72">
        <f t="shared" si="51"/>
        <v>41.069197918316945</v>
      </c>
      <c r="J95" s="13">
        <f>J94+0.5</f>
        <v>0.5</v>
      </c>
      <c r="K95" s="13">
        <f t="shared" si="52"/>
        <v>8.3102443964269508</v>
      </c>
      <c r="L95" s="13">
        <f t="shared" ref="L95:L109" si="58">$H$94*J95+$G$94</f>
        <v>0.60872641693419904</v>
      </c>
      <c r="M95" s="13">
        <f t="shared" si="53"/>
        <v>7.3250122125881806E-2</v>
      </c>
      <c r="N95" s="13">
        <f t="shared" si="54"/>
        <v>2.597557366341614</v>
      </c>
      <c r="O95" s="13">
        <f t="shared" si="54"/>
        <v>0.31257292113556284</v>
      </c>
      <c r="P95" s="13">
        <f t="shared" ref="P95:P109" si="59">((N95*COS(I95+J95)+O95*SIN(I95+J95))*SIN(J95+I95)-O95)/$M$91</f>
        <v>1.6200596457186376</v>
      </c>
      <c r="Q95" s="13">
        <f t="shared" si="55"/>
        <v>1.4454302046617551</v>
      </c>
      <c r="R95" s="21">
        <f t="shared" ref="R95:R109" si="60">IF(ISERROR(SQRT(2*$E$91/Q95)),0,SQRT(2*$E$91/Q95))</f>
        <v>1.192483708722522</v>
      </c>
      <c r="S95" s="13">
        <f t="shared" si="56"/>
        <v>1.1518764990353196</v>
      </c>
      <c r="T95" s="22">
        <f t="shared" si="57"/>
        <v>1.931894734678256</v>
      </c>
      <c r="U95" s="22"/>
      <c r="V95" s="19"/>
    </row>
    <row r="96" spans="3:22">
      <c r="C96" s="20"/>
      <c r="D96" s="11"/>
      <c r="E96" s="13"/>
      <c r="F96" s="13"/>
      <c r="G96" s="13"/>
      <c r="H96" s="13"/>
      <c r="I96" s="72">
        <f t="shared" si="51"/>
        <v>40.513636769853122</v>
      </c>
      <c r="J96" s="13">
        <f t="shared" ref="J96:J108" si="61">J95+0.5</f>
        <v>1</v>
      </c>
      <c r="K96" s="13">
        <f t="shared" si="52"/>
        <v>8.1765213065220426</v>
      </c>
      <c r="L96" s="13">
        <f t="shared" si="58"/>
        <v>0.62543256022897653</v>
      </c>
      <c r="M96" s="13">
        <f t="shared" si="53"/>
        <v>7.6491277498426768E-2</v>
      </c>
      <c r="N96" s="13">
        <f t="shared" si="54"/>
        <v>2.6688458210090884</v>
      </c>
      <c r="O96" s="13">
        <f t="shared" si="54"/>
        <v>0.32640357934128672</v>
      </c>
      <c r="P96" s="13">
        <f t="shared" si="59"/>
        <v>1.5980940801370054</v>
      </c>
      <c r="Q96" s="13">
        <f t="shared" si="55"/>
        <v>1.2737418137614693</v>
      </c>
      <c r="R96" s="21">
        <f t="shared" si="60"/>
        <v>1.2703117480885737</v>
      </c>
      <c r="S96" s="13">
        <f t="shared" si="56"/>
        <v>1.2894157661074208</v>
      </c>
      <c r="T96" s="22">
        <f t="shared" si="57"/>
        <v>2.0300776845488406</v>
      </c>
      <c r="U96" s="22"/>
      <c r="V96" s="19"/>
    </row>
    <row r="97" spans="3:22">
      <c r="C97" s="17"/>
      <c r="D97" s="18"/>
      <c r="E97" s="13"/>
      <c r="F97" s="13"/>
      <c r="G97" s="13"/>
      <c r="H97" s="13"/>
      <c r="I97" s="72">
        <f t="shared" si="51"/>
        <v>39.957135743513341</v>
      </c>
      <c r="J97" s="13">
        <f t="shared" si="61"/>
        <v>1.5</v>
      </c>
      <c r="K97" s="13">
        <f t="shared" si="52"/>
        <v>8.0448164891481042</v>
      </c>
      <c r="L97" s="13">
        <f t="shared" si="58"/>
        <v>0.64213870352375391</v>
      </c>
      <c r="M97" s="13">
        <f t="shared" si="53"/>
        <v>7.9820180409329936E-2</v>
      </c>
      <c r="N97" s="13">
        <f t="shared" si="54"/>
        <v>2.7401342756765628</v>
      </c>
      <c r="O97" s="13">
        <f t="shared" si="54"/>
        <v>0.34060867384269267</v>
      </c>
      <c r="P97" s="13">
        <f t="shared" si="59"/>
        <v>1.5467296313411931</v>
      </c>
      <c r="Q97" s="13">
        <f t="shared" si="55"/>
        <v>1.0959121564871548</v>
      </c>
      <c r="R97" s="21">
        <f t="shared" si="60"/>
        <v>1.3695034961020971</v>
      </c>
      <c r="S97" s="13">
        <f t="shared" si="56"/>
        <v>1.4504765116904177</v>
      </c>
      <c r="T97" s="22">
        <f t="shared" si="57"/>
        <v>2.118251637646472</v>
      </c>
      <c r="U97" s="22"/>
      <c r="V97" s="19"/>
    </row>
    <row r="98" spans="3:22">
      <c r="C98" s="17"/>
      <c r="D98" s="13"/>
      <c r="E98" s="13"/>
      <c r="F98" s="13"/>
      <c r="G98" s="13"/>
      <c r="H98" s="13"/>
      <c r="I98" s="72">
        <f t="shared" si="51"/>
        <v>39.39977013266617</v>
      </c>
      <c r="J98" s="13">
        <f t="shared" si="61"/>
        <v>2</v>
      </c>
      <c r="K98" s="13">
        <f t="shared" si="52"/>
        <v>7.9153043192841412</v>
      </c>
      <c r="L98" s="13">
        <f t="shared" si="58"/>
        <v>0.65884484681853139</v>
      </c>
      <c r="M98" s="13">
        <f t="shared" si="53"/>
        <v>8.3236830858591321E-2</v>
      </c>
      <c r="N98" s="13">
        <f t="shared" si="54"/>
        <v>2.8114227303440371</v>
      </c>
      <c r="O98" s="13">
        <f t="shared" si="54"/>
        <v>0.35518820463978085</v>
      </c>
      <c r="P98" s="13">
        <f t="shared" si="59"/>
        <v>1.4640908270927699</v>
      </c>
      <c r="Q98" s="13">
        <f t="shared" si="55"/>
        <v>0.9160064732575125</v>
      </c>
      <c r="R98" s="21">
        <f t="shared" si="60"/>
        <v>1.4979652756304302</v>
      </c>
      <c r="S98" s="13">
        <f t="shared" si="56"/>
        <v>1.6426366792952456</v>
      </c>
      <c r="T98" s="22">
        <f t="shared" si="57"/>
        <v>2.1931572193540059</v>
      </c>
      <c r="U98" s="22"/>
      <c r="V98" s="19"/>
    </row>
    <row r="99" spans="3:22">
      <c r="C99" s="17"/>
      <c r="D99" s="13"/>
      <c r="E99" s="13"/>
      <c r="F99" s="13"/>
      <c r="G99" s="13"/>
      <c r="H99" s="13"/>
      <c r="I99" s="72">
        <f t="shared" si="51"/>
        <v>38.84160788203198</v>
      </c>
      <c r="J99" s="13">
        <f t="shared" si="61"/>
        <v>2.5</v>
      </c>
      <c r="K99" s="13">
        <f t="shared" si="52"/>
        <v>7.7881187423691758</v>
      </c>
      <c r="L99" s="13">
        <f t="shared" si="58"/>
        <v>0.67555099011330877</v>
      </c>
      <c r="M99" s="13">
        <f t="shared" si="53"/>
        <v>8.6741228846210883E-2</v>
      </c>
      <c r="N99" s="13">
        <f t="shared" si="54"/>
        <v>2.882711185011511</v>
      </c>
      <c r="O99" s="13">
        <f t="shared" si="54"/>
        <v>0.3701421717325511</v>
      </c>
      <c r="P99" s="13">
        <f t="shared" si="59"/>
        <v>1.3488822073009379</v>
      </c>
      <c r="Q99" s="13">
        <f t="shared" si="55"/>
        <v>0.73848072547371979</v>
      </c>
      <c r="R99" s="21">
        <f t="shared" si="60"/>
        <v>1.668327986279762</v>
      </c>
      <c r="S99" s="13">
        <f t="shared" si="56"/>
        <v>1.877184245697316</v>
      </c>
      <c r="T99" s="22">
        <f t="shared" si="57"/>
        <v>2.2503779366349743</v>
      </c>
      <c r="U99" s="22"/>
      <c r="V99" s="19"/>
    </row>
    <row r="100" spans="3:22">
      <c r="C100" s="17"/>
      <c r="D100" s="13"/>
      <c r="E100" s="13"/>
      <c r="F100" s="13"/>
      <c r="G100" s="13"/>
      <c r="H100" s="13"/>
      <c r="I100" s="72">
        <f t="shared" si="51"/>
        <v>38.282710473072832</v>
      </c>
      <c r="J100" s="13">
        <f t="shared" si="61"/>
        <v>3</v>
      </c>
      <c r="K100" s="13">
        <f t="shared" si="52"/>
        <v>7.6633596189584425</v>
      </c>
      <c r="L100" s="13">
        <f t="shared" si="58"/>
        <v>0.69225713340808626</v>
      </c>
      <c r="M100" s="13">
        <f t="shared" si="53"/>
        <v>9.0333374372188691E-2</v>
      </c>
      <c r="N100" s="13">
        <f t="shared" si="54"/>
        <v>2.9539996396789854</v>
      </c>
      <c r="O100" s="13">
        <f t="shared" si="54"/>
        <v>0.38547057512100358</v>
      </c>
      <c r="P100" s="13">
        <f t="shared" si="59"/>
        <v>1.2004622410272787</v>
      </c>
      <c r="Q100" s="13">
        <f t="shared" si="55"/>
        <v>0.56809884782771358</v>
      </c>
      <c r="R100" s="21">
        <f t="shared" si="60"/>
        <v>1.9021250420757592</v>
      </c>
      <c r="S100" s="13">
        <f t="shared" si="56"/>
        <v>2.171684017848059</v>
      </c>
      <c r="T100" s="22">
        <f t="shared" si="57"/>
        <v>2.2834292907243725</v>
      </c>
      <c r="U100" s="22"/>
      <c r="V100" s="19"/>
    </row>
    <row r="101" spans="3:22">
      <c r="C101" s="17"/>
      <c r="D101" s="13"/>
      <c r="E101" s="13"/>
      <c r="F101" s="13"/>
      <c r="G101" s="13"/>
      <c r="H101" s="13"/>
      <c r="I101" s="72">
        <f t="shared" si="51"/>
        <v>37.723133684332112</v>
      </c>
      <c r="J101" s="13">
        <f t="shared" si="61"/>
        <v>3.5</v>
      </c>
      <c r="K101" s="13">
        <f t="shared" si="52"/>
        <v>7.5410981453392987</v>
      </c>
      <c r="L101" s="13">
        <f t="shared" si="58"/>
        <v>0.70896327670286363</v>
      </c>
      <c r="M101" s="13">
        <f t="shared" si="53"/>
        <v>9.4013267436524661E-2</v>
      </c>
      <c r="N101" s="13">
        <f t="shared" si="54"/>
        <v>3.0252880943464597</v>
      </c>
      <c r="O101" s="13">
        <f t="shared" si="54"/>
        <v>0.40117341480513802</v>
      </c>
      <c r="P101" s="13">
        <f t="shared" si="59"/>
        <v>1.0189050716295742</v>
      </c>
      <c r="Q101" s="13">
        <f t="shared" si="55"/>
        <v>0.40983640798645365</v>
      </c>
      <c r="R101" s="21">
        <f t="shared" si="60"/>
        <v>2.2394725794037638</v>
      </c>
      <c r="S101" s="13">
        <f t="shared" si="56"/>
        <v>2.5550254284142868</v>
      </c>
      <c r="T101" s="22">
        <f t="shared" si="57"/>
        <v>2.2818099689298594</v>
      </c>
      <c r="U101" s="22"/>
      <c r="V101" s="19"/>
    </row>
    <row r="102" spans="3:22">
      <c r="C102" s="17"/>
      <c r="D102" s="13"/>
      <c r="E102" s="13"/>
      <c r="F102" s="13"/>
      <c r="G102" s="13"/>
      <c r="H102" s="13"/>
      <c r="I102" s="72">
        <f t="shared" si="51"/>
        <v>37.162928246851322</v>
      </c>
      <c r="J102" s="13">
        <f t="shared" si="61"/>
        <v>4</v>
      </c>
      <c r="K102" s="13">
        <f t="shared" si="52"/>
        <v>7.4213814797729531</v>
      </c>
      <c r="L102" s="13">
        <f t="shared" si="58"/>
        <v>0.72566941999764112</v>
      </c>
      <c r="M102" s="13">
        <f t="shared" si="53"/>
        <v>9.7780908039218864E-2</v>
      </c>
      <c r="N102" s="13">
        <f t="shared" si="54"/>
        <v>3.0965765490139341</v>
      </c>
      <c r="O102" s="13">
        <f t="shared" si="54"/>
        <v>0.41725069078495475</v>
      </c>
      <c r="P102" s="13">
        <f t="shared" si="59"/>
        <v>0.80504769122092257</v>
      </c>
      <c r="Q102" s="13">
        <f t="shared" si="55"/>
        <v>0.26877256963059071</v>
      </c>
      <c r="R102" s="21">
        <f t="shared" si="60"/>
        <v>2.7654037392678879</v>
      </c>
      <c r="S102" s="13">
        <f t="shared" si="56"/>
        <v>3.0782841393663181</v>
      </c>
      <c r="T102" s="22">
        <f t="shared" si="57"/>
        <v>2.2262818955913191</v>
      </c>
      <c r="U102" s="22"/>
      <c r="V102" s="19"/>
    </row>
    <row r="103" spans="3:22">
      <c r="C103" s="17"/>
      <c r="D103" s="18"/>
      <c r="E103" s="13"/>
      <c r="F103" s="13"/>
      <c r="G103" s="13"/>
      <c r="H103" s="13"/>
      <c r="I103" s="72">
        <f t="shared" si="51"/>
        <v>36.602140411172599</v>
      </c>
      <c r="J103" s="13">
        <f t="shared" si="61"/>
        <v>4.5</v>
      </c>
      <c r="K103" s="13">
        <f t="shared" si="52"/>
        <v>7.3042366870165614</v>
      </c>
      <c r="L103" s="13">
        <f t="shared" si="58"/>
        <v>0.74237556329241849</v>
      </c>
      <c r="M103" s="13">
        <f t="shared" si="53"/>
        <v>0.10163629618027126</v>
      </c>
      <c r="N103" s="13">
        <f t="shared" si="54"/>
        <v>3.167865003681408</v>
      </c>
      <c r="O103" s="13">
        <f t="shared" si="54"/>
        <v>0.43370240306045349</v>
      </c>
      <c r="P103" s="13">
        <f t="shared" si="59"/>
        <v>0.56052044672142043</v>
      </c>
      <c r="Q103" s="13">
        <f t="shared" si="55"/>
        <v>0.14997266062378681</v>
      </c>
      <c r="R103" s="21">
        <f t="shared" si="60"/>
        <v>3.7020729244243444</v>
      </c>
      <c r="S103" s="13">
        <f t="shared" si="56"/>
        <v>3.8410627532308008</v>
      </c>
      <c r="T103" s="22">
        <f t="shared" si="57"/>
        <v>2.0750875693936091</v>
      </c>
      <c r="U103" s="22"/>
      <c r="V103" s="19"/>
    </row>
    <row r="104" spans="3:22">
      <c r="C104" s="17"/>
      <c r="D104" s="22"/>
      <c r="E104" s="13"/>
      <c r="F104" s="13"/>
      <c r="G104" s="13"/>
      <c r="H104" s="13"/>
      <c r="I104" s="72">
        <f t="shared" si="51"/>
        <v>36.040812439532722</v>
      </c>
      <c r="J104" s="13">
        <f t="shared" si="61"/>
        <v>5</v>
      </c>
      <c r="K104" s="13">
        <f t="shared" si="52"/>
        <v>7.1896740986069867</v>
      </c>
      <c r="L104" s="13">
        <f t="shared" si="58"/>
        <v>0.75908170658719598</v>
      </c>
      <c r="M104" s="13">
        <f t="shared" si="53"/>
        <v>0.10557943185968187</v>
      </c>
      <c r="N104" s="13">
        <f t="shared" si="54"/>
        <v>3.2391534583488828</v>
      </c>
      <c r="O104" s="13">
        <f t="shared" si="54"/>
        <v>0.45052855163163447</v>
      </c>
      <c r="P104" s="13">
        <f t="shared" si="59"/>
        <v>0.28775915000647601</v>
      </c>
      <c r="Q104" s="13">
        <f t="shared" si="55"/>
        <v>5.8364006131859374E-2</v>
      </c>
      <c r="R104" s="21">
        <f t="shared" si="60"/>
        <v>5.9344226048619984</v>
      </c>
      <c r="S104" s="13">
        <f t="shared" si="56"/>
        <v>5.0670604661786873</v>
      </c>
      <c r="T104" s="22">
        <f t="shared" si="57"/>
        <v>1.7076844045543058</v>
      </c>
      <c r="U104" s="22"/>
      <c r="V104" s="19"/>
    </row>
    <row r="105" spans="3:22">
      <c r="C105" s="17"/>
      <c r="D105" s="18"/>
      <c r="E105" s="13"/>
      <c r="F105" s="13"/>
      <c r="G105" s="13"/>
      <c r="H105" s="13"/>
      <c r="I105" s="72">
        <f t="shared" si="51"/>
        <v>35.478983034513242</v>
      </c>
      <c r="J105" s="13">
        <f t="shared" si="61"/>
        <v>5.5</v>
      </c>
      <c r="K105" s="13">
        <f t="shared" si="52"/>
        <v>7.0776901729896649</v>
      </c>
      <c r="L105" s="13">
        <f t="shared" si="58"/>
        <v>0.77578784988197336</v>
      </c>
      <c r="M105" s="13">
        <f t="shared" si="53"/>
        <v>0.10961031507745064</v>
      </c>
      <c r="N105" s="13">
        <f t="shared" si="54"/>
        <v>3.3104419130163567</v>
      </c>
      <c r="O105" s="13">
        <f t="shared" si="54"/>
        <v>0.46772913649849734</v>
      </c>
      <c r="P105" s="13">
        <f t="shared" si="59"/>
        <v>-1.0002504232371961E-2</v>
      </c>
      <c r="Q105" s="13">
        <f t="shared" si="55"/>
        <v>-1.392015209984395E-3</v>
      </c>
      <c r="R105" s="21">
        <f t="shared" si="60"/>
        <v>0</v>
      </c>
      <c r="S105" s="13">
        <f t="shared" si="56"/>
        <v>0</v>
      </c>
      <c r="T105" s="22">
        <f t="shared" si="57"/>
        <v>0</v>
      </c>
      <c r="U105" s="22"/>
      <c r="V105" s="19"/>
    </row>
    <row r="106" spans="3:22">
      <c r="C106" s="17"/>
      <c r="D106" s="18"/>
      <c r="E106" s="13"/>
      <c r="F106" s="13"/>
      <c r="G106" s="13"/>
      <c r="H106" s="13"/>
      <c r="I106" s="72">
        <f t="shared" si="51"/>
        <v>34.916687713513909</v>
      </c>
      <c r="J106" s="13">
        <f t="shared" si="61"/>
        <v>6</v>
      </c>
      <c r="K106" s="13">
        <f t="shared" si="52"/>
        <v>6.9682699278372509</v>
      </c>
      <c r="L106" s="13">
        <f t="shared" si="58"/>
        <v>0.79249399317675073</v>
      </c>
      <c r="M106" s="13">
        <f t="shared" si="53"/>
        <v>0.11372894583357765</v>
      </c>
      <c r="N106" s="13">
        <f t="shared" si="54"/>
        <v>3.3817303676838306</v>
      </c>
      <c r="O106" s="13">
        <f t="shared" si="54"/>
        <v>0.48530415766104251</v>
      </c>
      <c r="P106" s="13">
        <f t="shared" si="59"/>
        <v>-0.3287610274769901</v>
      </c>
      <c r="Q106" s="13">
        <f t="shared" si="55"/>
        <v>-2.5028505927178812E-2</v>
      </c>
      <c r="R106" s="21">
        <f t="shared" si="60"/>
        <v>0</v>
      </c>
      <c r="S106" s="13">
        <f t="shared" si="56"/>
        <v>0</v>
      </c>
      <c r="T106" s="22">
        <f t="shared" si="57"/>
        <v>0</v>
      </c>
      <c r="U106" s="22"/>
      <c r="V106" s="19"/>
    </row>
    <row r="107" spans="3:22">
      <c r="C107" s="17"/>
      <c r="D107" s="18"/>
      <c r="E107" s="13"/>
      <c r="F107" s="13"/>
      <c r="G107" s="13"/>
      <c r="H107" s="13"/>
      <c r="I107" s="72">
        <f t="shared" si="51"/>
        <v>34.353959136871389</v>
      </c>
      <c r="J107" s="13">
        <f t="shared" si="61"/>
        <v>6.5</v>
      </c>
      <c r="K107" s="13">
        <f t="shared" si="52"/>
        <v>6.8613890066799579</v>
      </c>
      <c r="L107" s="13">
        <f t="shared" si="58"/>
        <v>0.80920013647152822</v>
      </c>
      <c r="M107" s="13">
        <f t="shared" si="53"/>
        <v>0.11793532412806287</v>
      </c>
      <c r="N107" s="13">
        <f t="shared" si="54"/>
        <v>3.453018822351305</v>
      </c>
      <c r="O107" s="13">
        <f t="shared" si="54"/>
        <v>0.50325361511926991</v>
      </c>
      <c r="P107" s="13">
        <f t="shared" si="59"/>
        <v>-0.66379202711506669</v>
      </c>
      <c r="Q107" s="13">
        <f t="shared" si="55"/>
        <v>-8.7988397719299359E-3</v>
      </c>
      <c r="R107" s="21">
        <f t="shared" si="60"/>
        <v>0</v>
      </c>
      <c r="S107" s="13">
        <f t="shared" si="56"/>
        <v>0</v>
      </c>
      <c r="T107" s="22">
        <f t="shared" si="57"/>
        <v>0</v>
      </c>
      <c r="U107" s="22"/>
      <c r="V107" s="19"/>
    </row>
    <row r="108" spans="3:22">
      <c r="C108" s="17"/>
      <c r="D108" s="18"/>
      <c r="E108" s="13"/>
      <c r="F108" s="13"/>
      <c r="G108" s="13"/>
      <c r="H108" s="13"/>
      <c r="I108" s="72">
        <f t="shared" si="51"/>
        <v>33.790827396180561</v>
      </c>
      <c r="J108" s="13">
        <f t="shared" si="61"/>
        <v>7</v>
      </c>
      <c r="K108" s="13">
        <f t="shared" si="52"/>
        <v>6.7570154331093075</v>
      </c>
      <c r="L108" s="13">
        <f t="shared" si="58"/>
        <v>0.82590627976630571</v>
      </c>
      <c r="M108" s="13">
        <f t="shared" si="53"/>
        <v>0.1222294499609063</v>
      </c>
      <c r="N108" s="13">
        <f t="shared" si="54"/>
        <v>3.5243072770187798</v>
      </c>
      <c r="O108" s="13">
        <f t="shared" si="54"/>
        <v>0.52157750887317933</v>
      </c>
      <c r="P108" s="13">
        <f t="shared" si="59"/>
        <v>-1.009719644522959</v>
      </c>
      <c r="Q108" s="13">
        <f t="shared" si="55"/>
        <v>5.0403691950988427E-2</v>
      </c>
      <c r="R108" s="21">
        <f t="shared" si="60"/>
        <v>6.3858666177370358</v>
      </c>
      <c r="S108" s="13">
        <f t="shared" si="56"/>
        <v>-20.587826343066325</v>
      </c>
      <c r="T108" s="22">
        <f t="shared" si="57"/>
        <v>-6.4479349712324705</v>
      </c>
      <c r="U108" s="22"/>
      <c r="V108" s="19"/>
    </row>
    <row r="109" spans="3:22">
      <c r="C109" s="17"/>
      <c r="D109" s="18"/>
      <c r="E109" s="13"/>
      <c r="F109" s="13"/>
      <c r="G109" s="13"/>
      <c r="H109" s="13"/>
      <c r="I109" s="72">
        <f t="shared" si="51"/>
        <v>33.227320268336712</v>
      </c>
      <c r="J109" s="13">
        <v>7.5</v>
      </c>
      <c r="K109" s="13">
        <f t="shared" si="52"/>
        <v>6.6551110981666941</v>
      </c>
      <c r="L109" s="13">
        <f t="shared" si="58"/>
        <v>0.84261242306108308</v>
      </c>
      <c r="M109" s="13">
        <f t="shared" si="53"/>
        <v>0.12661132333210792</v>
      </c>
      <c r="N109" s="13">
        <f t="shared" si="54"/>
        <v>3.5955957316862537</v>
      </c>
      <c r="O109" s="13">
        <f t="shared" si="54"/>
        <v>0.54027583892277087</v>
      </c>
      <c r="P109" s="13">
        <f t="shared" si="59"/>
        <v>-1.3606057314568458</v>
      </c>
      <c r="Q109" s="13">
        <f t="shared" si="55"/>
        <v>0.15493575114315306</v>
      </c>
      <c r="R109" s="21">
        <f t="shared" si="60"/>
        <v>3.6422956611093014</v>
      </c>
      <c r="S109" s="13">
        <f t="shared" si="56"/>
        <v>-9.02511393736477</v>
      </c>
      <c r="T109" s="22">
        <f t="shared" si="57"/>
        <v>-4.9557283521657167</v>
      </c>
      <c r="U109" s="22"/>
      <c r="V109" s="19"/>
    </row>
    <row r="110" spans="3:22">
      <c r="C110" s="17"/>
      <c r="D110" s="18"/>
      <c r="E110" s="13"/>
      <c r="F110" s="13"/>
      <c r="G110" s="13"/>
      <c r="H110" s="13"/>
      <c r="I110" s="72"/>
      <c r="J110" s="13"/>
      <c r="K110" s="13"/>
      <c r="L110" s="13"/>
      <c r="M110" s="13"/>
      <c r="N110" s="13"/>
      <c r="O110" s="13"/>
      <c r="P110" s="13"/>
      <c r="Q110" s="13"/>
      <c r="R110" s="21"/>
      <c r="S110" s="13"/>
      <c r="T110" s="22"/>
      <c r="U110" s="22"/>
      <c r="V110" s="19"/>
    </row>
    <row r="111" spans="3:22">
      <c r="C111" s="17"/>
      <c r="D111" s="18"/>
      <c r="E111" s="13"/>
      <c r="F111" s="13"/>
      <c r="G111" s="13"/>
      <c r="H111" s="13"/>
      <c r="I111" s="72"/>
      <c r="J111" s="13"/>
      <c r="K111" s="13"/>
      <c r="L111" s="13"/>
      <c r="M111" s="13"/>
      <c r="N111" s="13"/>
      <c r="O111" s="13"/>
      <c r="P111" s="13"/>
      <c r="Q111" s="13"/>
      <c r="R111" s="21"/>
      <c r="S111" s="13"/>
      <c r="T111" s="22"/>
      <c r="U111" s="22"/>
      <c r="V111" s="19"/>
    </row>
    <row r="112" spans="3:22">
      <c r="C112" s="17"/>
      <c r="D112" s="18"/>
      <c r="E112" s="13"/>
      <c r="F112" s="13"/>
      <c r="G112" s="13"/>
      <c r="H112" s="13"/>
      <c r="I112" s="72"/>
      <c r="J112" s="13"/>
      <c r="K112" s="13"/>
      <c r="L112" s="13"/>
      <c r="M112" s="13"/>
      <c r="N112" s="13"/>
      <c r="O112" s="13"/>
      <c r="P112" s="13"/>
      <c r="Q112" s="13"/>
      <c r="R112" s="21"/>
      <c r="S112" s="13"/>
      <c r="T112" s="22"/>
      <c r="U112" s="22"/>
      <c r="V112" s="19"/>
    </row>
    <row r="113" spans="3:22">
      <c r="C113" s="17"/>
      <c r="D113" s="18"/>
      <c r="E113" s="13"/>
      <c r="F113" s="13"/>
      <c r="G113" s="13"/>
      <c r="H113" s="13"/>
      <c r="I113" s="72"/>
      <c r="J113" s="13"/>
      <c r="K113" s="13"/>
      <c r="L113" s="13"/>
      <c r="M113" s="13"/>
      <c r="N113" s="13"/>
      <c r="O113" s="13"/>
      <c r="P113" s="13"/>
      <c r="Q113" s="13"/>
      <c r="R113" s="21"/>
      <c r="S113" s="13"/>
      <c r="T113" s="22"/>
      <c r="U113" s="22"/>
      <c r="V113" s="19"/>
    </row>
    <row r="114" spans="3:22">
      <c r="C114" s="17"/>
      <c r="D114" s="18"/>
      <c r="E114" s="13"/>
      <c r="F114" s="13"/>
      <c r="G114" s="13"/>
      <c r="H114" s="13"/>
      <c r="I114" s="72"/>
      <c r="J114" s="13"/>
      <c r="K114" s="13"/>
      <c r="L114" s="13"/>
      <c r="M114" s="13"/>
      <c r="N114" s="13"/>
      <c r="O114" s="13"/>
      <c r="P114" s="13"/>
      <c r="Q114" s="13"/>
      <c r="R114" s="21"/>
      <c r="S114" s="13"/>
      <c r="T114" s="22"/>
      <c r="U114" s="22"/>
      <c r="V114" s="19"/>
    </row>
    <row r="115" spans="3:22" ht="15" thickBot="1">
      <c r="C115" s="23"/>
      <c r="D115" s="24"/>
      <c r="E115" s="25"/>
      <c r="F115" s="25"/>
      <c r="G115" s="25"/>
      <c r="H115" s="25"/>
      <c r="I115" s="75"/>
      <c r="J115" s="25"/>
      <c r="K115" s="25"/>
      <c r="L115" s="25"/>
      <c r="M115" s="25"/>
      <c r="N115" s="25"/>
      <c r="O115" s="25"/>
      <c r="P115" s="25"/>
      <c r="Q115" s="25"/>
      <c r="R115" s="26"/>
      <c r="S115" s="25"/>
      <c r="T115" s="27"/>
      <c r="U115" s="27"/>
      <c r="V115" s="28"/>
    </row>
    <row r="117" spans="3:22" ht="15" thickBot="1"/>
    <row r="118" spans="3:22" ht="17" thickBot="1">
      <c r="C118" s="42" t="s">
        <v>36</v>
      </c>
      <c r="D118" s="43" t="s">
        <v>37</v>
      </c>
      <c r="E118" s="35" t="s">
        <v>24</v>
      </c>
      <c r="F118" s="36" t="s">
        <v>29</v>
      </c>
      <c r="G118" s="36" t="s">
        <v>30</v>
      </c>
      <c r="H118" s="97" t="s">
        <v>56</v>
      </c>
      <c r="I118" s="36" t="s">
        <v>77</v>
      </c>
      <c r="J118" s="36" t="s">
        <v>80</v>
      </c>
      <c r="K118" s="36" t="s">
        <v>81</v>
      </c>
      <c r="L118" s="110" t="s">
        <v>92</v>
      </c>
      <c r="M118" s="36" t="s">
        <v>89</v>
      </c>
      <c r="N118" s="36" t="s">
        <v>90</v>
      </c>
      <c r="O118" s="38" t="s">
        <v>91</v>
      </c>
      <c r="P118" s="15"/>
      <c r="Q118" s="15"/>
      <c r="R118" s="15"/>
      <c r="S118" s="15"/>
      <c r="T118" s="40"/>
      <c r="U118" s="40"/>
      <c r="V118" s="16"/>
    </row>
    <row r="119" spans="3:22" ht="16" thickTop="1" thickBot="1">
      <c r="C119" s="44">
        <v>20</v>
      </c>
      <c r="D119" s="45">
        <f>MAX(T122:T143)</f>
        <v>2.2838602312191467</v>
      </c>
      <c r="E119" s="25">
        <f>$M$4-H119</f>
        <v>1.0257926205140573</v>
      </c>
      <c r="F119" s="25">
        <f>MAX(N122:N144)</f>
        <v>3.6337439125134998</v>
      </c>
      <c r="G119" s="25">
        <f>F119*$L$4</f>
        <v>0.65407390425242984</v>
      </c>
      <c r="H119" s="75">
        <f>(-N119+SQRT(N119^2-4*$P$4*O119))/(2*$P$4)</f>
        <v>0.1934073794859428</v>
      </c>
      <c r="I119" s="25">
        <f>$H$4*SBT!$C$23</f>
        <v>4.4225409836065571E-2</v>
      </c>
      <c r="J119" s="25">
        <f>I119+SBT!$B$23</f>
        <v>0.19422540983606557</v>
      </c>
      <c r="K119" s="25">
        <f>SBT!$B$12*H119</f>
        <v>0.25142959333172565</v>
      </c>
      <c r="L119" s="25">
        <f>(F119*$L$4-(SBT!$F$23*K119+0.5*SBT!$E$23*K119^2)*9.81)/(J119*9.81)</f>
        <v>0.10932067638619139</v>
      </c>
      <c r="M119" s="79">
        <f>J119+SBT!$F$23+2*SBT!$G$23+H119*SBT!$D$23+K119*SBT!$E$23</f>
        <v>0.68946904101403761</v>
      </c>
      <c r="N119" s="25">
        <f>(SBT!$G$23+(SBT!$F$23+J119)*0.5)*9.81</f>
        <v>3.1869031352459021</v>
      </c>
      <c r="O119" s="37">
        <f>-F119*$L$4</f>
        <v>-0.65407390425242984</v>
      </c>
      <c r="P119" s="13"/>
      <c r="Q119" s="13"/>
      <c r="R119" s="13"/>
      <c r="S119" s="13"/>
      <c r="T119" s="13"/>
      <c r="U119" s="13"/>
      <c r="V119" s="19"/>
    </row>
    <row r="120" spans="3:22">
      <c r="C120" s="41"/>
      <c r="D120" s="13"/>
      <c r="E120" s="13"/>
      <c r="F120" s="13"/>
      <c r="G120" s="13"/>
      <c r="H120" s="13"/>
      <c r="I120" s="76"/>
      <c r="J120" s="18"/>
      <c r="K120" s="18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9"/>
    </row>
    <row r="121" spans="3:22" ht="17" thickBot="1">
      <c r="C121" s="47" t="s">
        <v>40</v>
      </c>
      <c r="D121" s="48" t="s">
        <v>42</v>
      </c>
      <c r="E121" s="30" t="s">
        <v>35</v>
      </c>
      <c r="F121" s="29" t="s">
        <v>34</v>
      </c>
      <c r="G121" s="29" t="s">
        <v>41</v>
      </c>
      <c r="H121" s="29" t="s">
        <v>7</v>
      </c>
      <c r="I121" s="70" t="s">
        <v>16</v>
      </c>
      <c r="J121" s="71" t="s">
        <v>17</v>
      </c>
      <c r="K121" s="29" t="s">
        <v>18</v>
      </c>
      <c r="L121" s="46" t="s">
        <v>39</v>
      </c>
      <c r="M121" s="31" t="s">
        <v>10</v>
      </c>
      <c r="N121" s="31" t="s">
        <v>13</v>
      </c>
      <c r="O121" s="31" t="s">
        <v>14</v>
      </c>
      <c r="P121" s="31" t="s">
        <v>8</v>
      </c>
      <c r="Q121" s="31" t="s">
        <v>9</v>
      </c>
      <c r="R121" s="31" t="s">
        <v>19</v>
      </c>
      <c r="S121" s="31" t="s">
        <v>25</v>
      </c>
      <c r="T121" s="32" t="s">
        <v>27</v>
      </c>
      <c r="U121" s="32"/>
      <c r="V121" s="33"/>
    </row>
    <row r="122" spans="3:22" ht="15" thickTop="1">
      <c r="C122" s="50">
        <v>3.697542205</v>
      </c>
      <c r="D122" s="51">
        <v>1.1394</v>
      </c>
      <c r="E122" s="7">
        <f>$K$4/(2+SQRT(4+$K$4^2))</f>
        <v>0.53518375848799637</v>
      </c>
      <c r="F122" s="7">
        <f>C122*E122</f>
        <v>1.9788645344398936</v>
      </c>
      <c r="G122" s="12">
        <f>D122*E122</f>
        <v>0.60978837442122302</v>
      </c>
      <c r="H122" s="14">
        <f>F122*PI()/180</f>
        <v>3.4537701576920862E-2</v>
      </c>
      <c r="I122" s="72">
        <f t="shared" ref="I122:I134" si="62">0.5*ATAN(K122)*180/PI()-J122</f>
        <v>41.565695604128997</v>
      </c>
      <c r="J122" s="13">
        <v>0</v>
      </c>
      <c r="K122" s="13">
        <f t="shared" ref="K122:K134" si="63">L122/M122</f>
        <v>8.3016879663793457</v>
      </c>
      <c r="L122" s="13">
        <f>$H$122*J122+$G$122</f>
        <v>0.60978837442122302</v>
      </c>
      <c r="M122" s="13">
        <f t="shared" ref="M122:M134" si="64">0.015+0.1572*(L122^2)</f>
        <v>7.3453540640262452E-2</v>
      </c>
      <c r="N122" s="13">
        <f t="shared" ref="N122:O134" si="65">$N$4*L122</f>
        <v>2.6020889513302428</v>
      </c>
      <c r="O122" s="13">
        <f t="shared" si="65"/>
        <v>0.31344094862012795</v>
      </c>
      <c r="P122" s="13">
        <f>((N122*COS(I122+J122)+O122*SIN(I122+J122))*SIN(J122+I122)-O122)/$M$119</f>
        <v>1.6185679204355128</v>
      </c>
      <c r="Q122" s="13">
        <f t="shared" ref="Q122:Q134" si="66">P122*TAN(I122+J122)</f>
        <v>1.4339497048030359</v>
      </c>
      <c r="R122" s="21">
        <f>IF(ISERROR(SQRT(2*$E$119/Q122)),0,SQRT(2*$E$119/Q122))</f>
        <v>1.1961284593094696</v>
      </c>
      <c r="S122" s="13">
        <f t="shared" ref="S122:S134" si="67">0.5*P122*R122^2</f>
        <v>1.1578614110538767</v>
      </c>
      <c r="T122" s="22">
        <f t="shared" ref="T122:T134" si="68">R122*P122</f>
        <v>1.9360151529582621</v>
      </c>
      <c r="U122" s="22"/>
      <c r="V122" s="19"/>
    </row>
    <row r="123" spans="3:22">
      <c r="C123" s="17"/>
      <c r="D123" s="18"/>
      <c r="E123" s="13"/>
      <c r="F123" s="13"/>
      <c r="G123" s="13"/>
      <c r="H123" s="13"/>
      <c r="I123" s="72">
        <f t="shared" si="62"/>
        <v>41.008182057880965</v>
      </c>
      <c r="J123" s="13">
        <f>J122+0.5</f>
        <v>0.5</v>
      </c>
      <c r="K123" s="13">
        <f t="shared" si="63"/>
        <v>8.1636213381963394</v>
      </c>
      <c r="L123" s="13">
        <f t="shared" ref="L123:L134" si="69">$H$122*J123+$G$122</f>
        <v>0.62705722520968343</v>
      </c>
      <c r="M123" s="13">
        <f t="shared" si="64"/>
        <v>7.6811160051701355E-2</v>
      </c>
      <c r="N123" s="13">
        <f t="shared" si="65"/>
        <v>2.6757785914147609</v>
      </c>
      <c r="O123" s="13">
        <f t="shared" si="65"/>
        <v>0.32776858217262</v>
      </c>
      <c r="P123" s="13">
        <f t="shared" ref="P123:P136" si="70">((N123*COS(I123+J123)+O123*SIN(I123+J123))*SIN(J123+I123)-O123)/$M$119</f>
        <v>1.5935107958562398</v>
      </c>
      <c r="Q123" s="13">
        <f t="shared" si="66"/>
        <v>1.2559361544954495</v>
      </c>
      <c r="R123" s="21">
        <f t="shared" ref="R123:R136" si="71">IF(ISERROR(SQRT(2*$E$119/Q123)),0,SQRT(2*$E$119/Q123))</f>
        <v>1.2780887195176962</v>
      </c>
      <c r="S123" s="13">
        <f t="shared" si="67"/>
        <v>1.301508527521839</v>
      </c>
      <c r="T123" s="22">
        <f t="shared" si="68"/>
        <v>2.0366481726135266</v>
      </c>
      <c r="U123" s="22"/>
      <c r="V123" s="19"/>
    </row>
    <row r="124" spans="3:22">
      <c r="C124" s="20"/>
      <c r="D124" s="11"/>
      <c r="E124" s="13"/>
      <c r="F124" s="13"/>
      <c r="G124" s="13"/>
      <c r="H124" s="13"/>
      <c r="I124" s="72">
        <f t="shared" si="62"/>
        <v>40.449672399812258</v>
      </c>
      <c r="J124" s="13">
        <f t="shared" ref="J124:J136" si="72">J123+0.5</f>
        <v>1</v>
      </c>
      <c r="K124" s="13">
        <f t="shared" si="63"/>
        <v>8.0277311744343685</v>
      </c>
      <c r="L124" s="13">
        <f t="shared" si="69"/>
        <v>0.64432607599814384</v>
      </c>
      <c r="M124" s="13">
        <f t="shared" si="64"/>
        <v>8.0262537695595271E-2</v>
      </c>
      <c r="N124" s="13">
        <f t="shared" si="65"/>
        <v>2.7494682314992795</v>
      </c>
      <c r="O124" s="13">
        <f t="shared" si="65"/>
        <v>0.34249630085464411</v>
      </c>
      <c r="P124" s="13">
        <f t="shared" si="70"/>
        <v>1.536842491805795</v>
      </c>
      <c r="Q124" s="13">
        <f t="shared" si="66"/>
        <v>1.0717689121271217</v>
      </c>
      <c r="R124" s="21">
        <f t="shared" si="71"/>
        <v>1.383547918192225</v>
      </c>
      <c r="S124" s="13">
        <f t="shared" si="67"/>
        <v>1.4709156695523138</v>
      </c>
      <c r="T124" s="22">
        <f t="shared" si="68"/>
        <v>2.1262952301272593</v>
      </c>
      <c r="U124" s="22"/>
      <c r="V124" s="19"/>
    </row>
    <row r="125" spans="3:22">
      <c r="C125" s="17"/>
      <c r="D125" s="18"/>
      <c r="E125" s="13"/>
      <c r="F125" s="13"/>
      <c r="G125" s="13"/>
      <c r="H125" s="13"/>
      <c r="I125" s="72">
        <f t="shared" si="62"/>
        <v>39.890248819844331</v>
      </c>
      <c r="J125" s="13">
        <f t="shared" si="72"/>
        <v>1.5</v>
      </c>
      <c r="K125" s="13">
        <f t="shared" si="63"/>
        <v>7.8942046544062805</v>
      </c>
      <c r="L125" s="13">
        <f t="shared" si="69"/>
        <v>0.66159492678660436</v>
      </c>
      <c r="M125" s="13">
        <f t="shared" si="64"/>
        <v>8.3807673571944227E-2</v>
      </c>
      <c r="N125" s="13">
        <f t="shared" si="65"/>
        <v>2.8231578715837982</v>
      </c>
      <c r="O125" s="13">
        <f t="shared" si="65"/>
        <v>0.35762410466620037</v>
      </c>
      <c r="P125" s="13">
        <f t="shared" si="70"/>
        <v>1.4465620984726757</v>
      </c>
      <c r="Q125" s="13">
        <f t="shared" si="66"/>
        <v>0.88598807360409138</v>
      </c>
      <c r="R125" s="21">
        <f t="shared" si="71"/>
        <v>1.5217063227881866</v>
      </c>
      <c r="S125" s="13">
        <f t="shared" si="67"/>
        <v>1.6748224608626916</v>
      </c>
      <c r="T125" s="22">
        <f t="shared" si="68"/>
        <v>2.2012426915516179</v>
      </c>
      <c r="U125" s="22"/>
      <c r="V125" s="19"/>
    </row>
    <row r="126" spans="3:22">
      <c r="C126" s="17"/>
      <c r="D126" s="13"/>
      <c r="E126" s="13"/>
      <c r="F126" s="13"/>
      <c r="G126" s="13"/>
      <c r="H126" s="13"/>
      <c r="I126" s="72">
        <f t="shared" si="62"/>
        <v>39.32998525752123</v>
      </c>
      <c r="J126" s="13">
        <f t="shared" si="72"/>
        <v>2</v>
      </c>
      <c r="K126" s="13">
        <f t="shared" si="63"/>
        <v>7.7631837998888136</v>
      </c>
      <c r="L126" s="13">
        <f t="shared" si="69"/>
        <v>0.67886377757506478</v>
      </c>
      <c r="M126" s="13">
        <f t="shared" si="64"/>
        <v>8.7446567680748155E-2</v>
      </c>
      <c r="N126" s="13">
        <f t="shared" si="65"/>
        <v>2.8968475116683163</v>
      </c>
      <c r="O126" s="13">
        <f t="shared" si="65"/>
        <v>0.37315199360728851</v>
      </c>
      <c r="P126" s="13">
        <f t="shared" si="70"/>
        <v>1.3213421221714168</v>
      </c>
      <c r="Q126" s="13">
        <f t="shared" si="66"/>
        <v>0.70356795209761425</v>
      </c>
      <c r="R126" s="21">
        <f t="shared" si="71"/>
        <v>1.707622067836944</v>
      </c>
      <c r="S126" s="13">
        <f t="shared" si="67"/>
        <v>1.9264990596242639</v>
      </c>
      <c r="T126" s="22">
        <f t="shared" si="68"/>
        <v>2.2563529669824107</v>
      </c>
      <c r="U126" s="22"/>
      <c r="V126" s="19"/>
    </row>
    <row r="127" spans="3:22">
      <c r="C127" s="17"/>
      <c r="D127" s="13"/>
      <c r="E127" s="13"/>
      <c r="F127" s="13"/>
      <c r="G127" s="13"/>
      <c r="H127" s="13"/>
      <c r="I127" s="72">
        <f t="shared" si="62"/>
        <v>38.768948423803145</v>
      </c>
      <c r="J127" s="13">
        <f t="shared" si="72"/>
        <v>2.5</v>
      </c>
      <c r="K127" s="13">
        <f t="shared" si="63"/>
        <v>7.6347727935762766</v>
      </c>
      <c r="L127" s="13">
        <f t="shared" si="69"/>
        <v>0.69613262836352519</v>
      </c>
      <c r="M127" s="13">
        <f t="shared" si="64"/>
        <v>9.117922002200711E-2</v>
      </c>
      <c r="N127" s="13">
        <f t="shared" si="65"/>
        <v>2.9705371517528345</v>
      </c>
      <c r="O127" s="13">
        <f t="shared" si="65"/>
        <v>0.3890799676779087</v>
      </c>
      <c r="P127" s="13">
        <f t="shared" si="70"/>
        <v>1.1606136925736952</v>
      </c>
      <c r="Q127" s="13">
        <f t="shared" si="66"/>
        <v>0.52981701506028633</v>
      </c>
      <c r="R127" s="21">
        <f t="shared" si="71"/>
        <v>1.9678039694281213</v>
      </c>
      <c r="S127" s="13">
        <f t="shared" si="67"/>
        <v>2.247094614306032</v>
      </c>
      <c r="T127" s="22">
        <f t="shared" si="68"/>
        <v>2.2838602312191467</v>
      </c>
      <c r="U127" s="22"/>
      <c r="V127" s="19"/>
    </row>
    <row r="128" spans="3:22">
      <c r="C128" s="17"/>
      <c r="D128" s="13"/>
      <c r="E128" s="13"/>
      <c r="F128" s="13"/>
      <c r="G128" s="13"/>
      <c r="H128" s="13"/>
      <c r="I128" s="72">
        <f t="shared" si="62"/>
        <v>38.207198674609607</v>
      </c>
      <c r="J128" s="13">
        <f t="shared" si="72"/>
        <v>3</v>
      </c>
      <c r="K128" s="13">
        <f t="shared" si="63"/>
        <v>7.5090441974721891</v>
      </c>
      <c r="L128" s="13">
        <f t="shared" si="69"/>
        <v>0.7134014791519856</v>
      </c>
      <c r="M128" s="13">
        <f t="shared" si="64"/>
        <v>9.5005630595721077E-2</v>
      </c>
      <c r="N128" s="13">
        <f t="shared" si="65"/>
        <v>3.0442267918373527</v>
      </c>
      <c r="O128" s="13">
        <f t="shared" si="65"/>
        <v>0.40540802687806099</v>
      </c>
      <c r="P128" s="13">
        <f t="shared" si="70"/>
        <v>0.96463643210896233</v>
      </c>
      <c r="Q128" s="13">
        <f t="shared" si="66"/>
        <v>0.37026160277070586</v>
      </c>
      <c r="R128" s="21">
        <f t="shared" si="71"/>
        <v>2.3539132020954527</v>
      </c>
      <c r="S128" s="13">
        <f t="shared" si="67"/>
        <v>2.6724805546449462</v>
      </c>
      <c r="T128" s="22">
        <f t="shared" si="68"/>
        <v>2.2706704327635405</v>
      </c>
      <c r="U128" s="22"/>
      <c r="V128" s="19"/>
    </row>
    <row r="129" spans="3:22">
      <c r="C129" s="17"/>
      <c r="D129" s="13"/>
      <c r="E129" s="13"/>
      <c r="F129" s="13"/>
      <c r="G129" s="13"/>
      <c r="H129" s="13"/>
      <c r="I129" s="72">
        <f t="shared" si="62"/>
        <v>37.644790760609148</v>
      </c>
      <c r="J129" s="13">
        <f t="shared" si="72"/>
        <v>3.5</v>
      </c>
      <c r="K129" s="13">
        <f t="shared" si="63"/>
        <v>7.3860442307073848</v>
      </c>
      <c r="L129" s="13">
        <f t="shared" si="69"/>
        <v>0.73067032994044601</v>
      </c>
      <c r="M129" s="13">
        <f t="shared" si="64"/>
        <v>9.8925799401890044E-2</v>
      </c>
      <c r="N129" s="13">
        <f t="shared" si="65"/>
        <v>3.1179164319218713</v>
      </c>
      <c r="O129" s="13">
        <f t="shared" si="65"/>
        <v>0.42213617120774516</v>
      </c>
      <c r="P129" s="13">
        <f t="shared" si="70"/>
        <v>0.73455002825974636</v>
      </c>
      <c r="Q129" s="13">
        <f t="shared" si="66"/>
        <v>0.23051591344388592</v>
      </c>
      <c r="R129" s="21">
        <f t="shared" si="71"/>
        <v>2.983282133078752</v>
      </c>
      <c r="S129" s="13">
        <f t="shared" si="67"/>
        <v>3.2687374469297206</v>
      </c>
      <c r="T129" s="22">
        <f t="shared" si="68"/>
        <v>2.1913699751597937</v>
      </c>
      <c r="U129" s="22"/>
      <c r="V129" s="19"/>
    </row>
    <row r="130" spans="3:22">
      <c r="C130" s="17"/>
      <c r="D130" s="13"/>
      <c r="E130" s="13"/>
      <c r="F130" s="13"/>
      <c r="G130" s="13"/>
      <c r="H130" s="13"/>
      <c r="I130" s="72">
        <f t="shared" si="62"/>
        <v>37.08177447323316</v>
      </c>
      <c r="J130" s="13">
        <f t="shared" si="72"/>
        <v>4</v>
      </c>
      <c r="K130" s="13">
        <f t="shared" si="63"/>
        <v>7.2657972445761185</v>
      </c>
      <c r="L130" s="13">
        <f t="shared" si="69"/>
        <v>0.74793918072890642</v>
      </c>
      <c r="M130" s="13">
        <f t="shared" si="64"/>
        <v>0.10293972644051405</v>
      </c>
      <c r="N130" s="13">
        <f t="shared" si="65"/>
        <v>3.1916060720063895</v>
      </c>
      <c r="O130" s="13">
        <f t="shared" si="65"/>
        <v>0.43926440066696154</v>
      </c>
      <c r="P130" s="13">
        <f t="shared" si="70"/>
        <v>0.47240496011024535</v>
      </c>
      <c r="Q130" s="13">
        <f t="shared" si="66"/>
        <v>0.11614125718439838</v>
      </c>
      <c r="R130" s="21">
        <f t="shared" si="71"/>
        <v>4.2029238527154433</v>
      </c>
      <c r="S130" s="13">
        <f t="shared" si="67"/>
        <v>4.172414986053929</v>
      </c>
      <c r="T130" s="22">
        <f t="shared" si="68"/>
        <v>1.9854820749884377</v>
      </c>
      <c r="U130" s="22"/>
      <c r="V130" s="19"/>
    </row>
    <row r="131" spans="3:22">
      <c r="C131" s="17"/>
      <c r="D131" s="18"/>
      <c r="E131" s="13"/>
      <c r="F131" s="13"/>
      <c r="G131" s="13"/>
      <c r="H131" s="13"/>
      <c r="I131" s="72">
        <f t="shared" si="62"/>
        <v>36.518195203289757</v>
      </c>
      <c r="J131" s="13">
        <f t="shared" si="72"/>
        <v>4.5</v>
      </c>
      <c r="K131" s="13">
        <f t="shared" si="63"/>
        <v>7.1483095133489911</v>
      </c>
      <c r="L131" s="13">
        <f t="shared" si="69"/>
        <v>0.76520803151736694</v>
      </c>
      <c r="M131" s="13">
        <f t="shared" si="64"/>
        <v>0.10704741171159307</v>
      </c>
      <c r="N131" s="13">
        <f t="shared" si="65"/>
        <v>3.2652957120909081</v>
      </c>
      <c r="O131" s="13">
        <f t="shared" si="65"/>
        <v>0.45679271525570991</v>
      </c>
      <c r="P131" s="13">
        <f t="shared" si="70"/>
        <v>0.18117033200063579</v>
      </c>
      <c r="Q131" s="13">
        <f t="shared" si="66"/>
        <v>3.2498030404595465E-2</v>
      </c>
      <c r="R131" s="21">
        <f t="shared" si="71"/>
        <v>7.9454090869198852</v>
      </c>
      <c r="S131" s="13">
        <f t="shared" si="67"/>
        <v>5.7185985522388565</v>
      </c>
      <c r="T131" s="22">
        <f t="shared" si="68"/>
        <v>1.439472402158144</v>
      </c>
      <c r="U131" s="22"/>
      <c r="V131" s="19"/>
    </row>
    <row r="132" spans="3:22">
      <c r="C132" s="17"/>
      <c r="D132" s="22"/>
      <c r="E132" s="13"/>
      <c r="F132" s="13"/>
      <c r="G132" s="13"/>
      <c r="H132" s="13"/>
      <c r="I132" s="72">
        <f t="shared" si="62"/>
        <v>35.954094425665417</v>
      </c>
      <c r="J132" s="13">
        <f t="shared" si="72"/>
        <v>5</v>
      </c>
      <c r="K132" s="13">
        <f t="shared" si="63"/>
        <v>7.0335724425452781</v>
      </c>
      <c r="L132" s="13">
        <f t="shared" si="69"/>
        <v>0.78247688230582735</v>
      </c>
      <c r="M132" s="13">
        <f t="shared" si="64"/>
        <v>0.11124885521512708</v>
      </c>
      <c r="N132" s="13">
        <f t="shared" si="65"/>
        <v>3.3389853521754262</v>
      </c>
      <c r="O132" s="13">
        <f t="shared" si="65"/>
        <v>0.47472111497399022</v>
      </c>
      <c r="P132" s="13">
        <f t="shared" si="70"/>
        <v>-0.13528265262340908</v>
      </c>
      <c r="Q132" s="13">
        <f t="shared" si="66"/>
        <v>-1.5405772461672795E-2</v>
      </c>
      <c r="R132" s="21">
        <f t="shared" si="71"/>
        <v>0</v>
      </c>
      <c r="S132" s="13">
        <f t="shared" si="67"/>
        <v>0</v>
      </c>
      <c r="T132" s="22">
        <f t="shared" si="68"/>
        <v>0</v>
      </c>
      <c r="U132" s="22"/>
      <c r="V132" s="19"/>
    </row>
    <row r="133" spans="3:22">
      <c r="C133" s="17"/>
      <c r="D133" s="18"/>
      <c r="E133" s="13"/>
      <c r="F133" s="13"/>
      <c r="G133" s="13"/>
      <c r="H133" s="13"/>
      <c r="I133" s="72">
        <f t="shared" si="62"/>
        <v>35.389510121275215</v>
      </c>
      <c r="J133" s="13">
        <f t="shared" si="72"/>
        <v>5.5</v>
      </c>
      <c r="K133" s="13">
        <f t="shared" si="63"/>
        <v>6.9215652816539128</v>
      </c>
      <c r="L133" s="13">
        <f t="shared" si="69"/>
        <v>0.79974573309428776</v>
      </c>
      <c r="M133" s="13">
        <f t="shared" si="64"/>
        <v>0.11554405695111611</v>
      </c>
      <c r="N133" s="13">
        <f t="shared" si="65"/>
        <v>3.4126749922599444</v>
      </c>
      <c r="O133" s="13">
        <f t="shared" si="65"/>
        <v>0.49304959982180263</v>
      </c>
      <c r="P133" s="13">
        <f t="shared" si="70"/>
        <v>-0.47222239990820808</v>
      </c>
      <c r="Q133" s="13">
        <f t="shared" si="66"/>
        <v>-2.3065425953834238E-2</v>
      </c>
      <c r="R133" s="21">
        <f t="shared" si="71"/>
        <v>0</v>
      </c>
      <c r="S133" s="13">
        <f t="shared" si="67"/>
        <v>0</v>
      </c>
      <c r="T133" s="22">
        <f t="shared" si="68"/>
        <v>0</v>
      </c>
      <c r="U133" s="22"/>
      <c r="V133" s="19"/>
    </row>
    <row r="134" spans="3:22">
      <c r="C134" s="17"/>
      <c r="D134" s="18"/>
      <c r="E134" s="13"/>
      <c r="F134" s="13"/>
      <c r="G134" s="13"/>
      <c r="H134" s="13"/>
      <c r="I134" s="72">
        <f t="shared" si="62"/>
        <v>34.82447714553718</v>
      </c>
      <c r="J134" s="13">
        <f t="shared" si="72"/>
        <v>6</v>
      </c>
      <c r="K134" s="13">
        <f t="shared" si="63"/>
        <v>6.8122574155766058</v>
      </c>
      <c r="L134" s="13">
        <f t="shared" si="69"/>
        <v>0.81701458388274817</v>
      </c>
      <c r="M134" s="13">
        <f t="shared" si="64"/>
        <v>0.11993301691956015</v>
      </c>
      <c r="N134" s="13">
        <f t="shared" si="65"/>
        <v>3.486364632344463</v>
      </c>
      <c r="O134" s="13">
        <f t="shared" si="65"/>
        <v>0.51177816979914703</v>
      </c>
      <c r="P134" s="13">
        <f t="shared" si="70"/>
        <v>-0.82412394859778959</v>
      </c>
      <c r="Q134" s="13">
        <f t="shared" si="66"/>
        <v>1.3374522666564111E-2</v>
      </c>
      <c r="R134" s="21">
        <f t="shared" si="71"/>
        <v>12.38527452931682</v>
      </c>
      <c r="S134" s="13">
        <f t="shared" si="67"/>
        <v>-63.208256917754774</v>
      </c>
      <c r="T134" s="22">
        <f t="shared" si="68"/>
        <v>-10.207001349568207</v>
      </c>
      <c r="U134" s="22"/>
      <c r="V134" s="19"/>
    </row>
    <row r="135" spans="3:22">
      <c r="C135" s="17"/>
      <c r="D135" s="18"/>
      <c r="E135" s="13"/>
      <c r="F135" s="13"/>
      <c r="G135" s="13"/>
      <c r="H135" s="13"/>
      <c r="I135" s="72">
        <f t="shared" ref="I135:I136" si="73">0.5*ATAN(K135)*180/PI()-J135</f>
        <v>34.259027551111949</v>
      </c>
      <c r="J135" s="13">
        <f t="shared" si="72"/>
        <v>6.5</v>
      </c>
      <c r="K135" s="13">
        <f t="shared" ref="K135:K136" si="74">L135/M135</f>
        <v>6.7056102981142693</v>
      </c>
      <c r="L135" s="13">
        <f t="shared" ref="L135:L136" si="75">$H$122*J135+$G$122</f>
        <v>0.83428343467120869</v>
      </c>
      <c r="M135" s="13">
        <f t="shared" ref="M135:M136" si="76">0.015+0.1572*(L135^2)</f>
        <v>0.12441573512045924</v>
      </c>
      <c r="N135" s="13">
        <f t="shared" ref="N135:N136" si="77">$N$4*L135</f>
        <v>3.5600542724289816</v>
      </c>
      <c r="O135" s="13">
        <f t="shared" ref="O135:O136" si="78">$N$4*M135</f>
        <v>0.5309068249060237</v>
      </c>
      <c r="P135" s="13">
        <f t="shared" si="70"/>
        <v>-1.1847607202483124</v>
      </c>
      <c r="Q135" s="13">
        <f t="shared" ref="Q135:Q136" si="79">P135*TAN(I135+J135)</f>
        <v>9.698339555331735E-2</v>
      </c>
      <c r="R135" s="21">
        <f t="shared" si="71"/>
        <v>4.5993460889262652</v>
      </c>
      <c r="S135" s="13">
        <f t="shared" ref="S135:S136" si="80">0.5*P135*R135^2</f>
        <v>-12.531204924017201</v>
      </c>
      <c r="T135" s="22">
        <f t="shared" ref="T135:T136" si="81">R135*P135</f>
        <v>-5.4491245849875405</v>
      </c>
      <c r="U135" s="22"/>
      <c r="V135" s="19"/>
    </row>
    <row r="136" spans="3:22">
      <c r="C136" s="17"/>
      <c r="D136" s="18"/>
      <c r="E136" s="13"/>
      <c r="F136" s="13"/>
      <c r="G136" s="13"/>
      <c r="H136" s="13"/>
      <c r="I136" s="72">
        <f t="shared" si="73"/>
        <v>33.693190871394442</v>
      </c>
      <c r="J136" s="13">
        <f t="shared" si="72"/>
        <v>7</v>
      </c>
      <c r="K136" s="13">
        <f t="shared" si="74"/>
        <v>6.6015790814193176</v>
      </c>
      <c r="L136" s="13">
        <f t="shared" si="75"/>
        <v>0.8515522854596691</v>
      </c>
      <c r="M136" s="13">
        <f t="shared" si="76"/>
        <v>0.1289922115538133</v>
      </c>
      <c r="N136" s="13">
        <f t="shared" si="77"/>
        <v>3.6337439125134998</v>
      </c>
      <c r="O136" s="13">
        <f t="shared" si="78"/>
        <v>0.55043556514243208</v>
      </c>
      <c r="P136" s="13">
        <f t="shared" si="70"/>
        <v>-1.5473196830219611</v>
      </c>
      <c r="Q136" s="13">
        <f t="shared" si="79"/>
        <v>0.22992087365188449</v>
      </c>
      <c r="R136" s="21">
        <f t="shared" si="71"/>
        <v>2.9871400353447908</v>
      </c>
      <c r="S136" s="13">
        <f t="shared" si="80"/>
        <v>-6.9033710911487258</v>
      </c>
      <c r="T136" s="22">
        <f t="shared" si="81"/>
        <v>-4.6220605726319111</v>
      </c>
      <c r="U136" s="22"/>
      <c r="V136" s="19"/>
    </row>
    <row r="137" spans="3:22">
      <c r="C137" s="17"/>
      <c r="D137" s="18"/>
      <c r="E137" s="13"/>
      <c r="F137" s="13"/>
      <c r="G137" s="13"/>
      <c r="H137" s="13"/>
      <c r="I137" s="72"/>
      <c r="J137" s="13"/>
      <c r="K137" s="13"/>
      <c r="L137" s="13"/>
      <c r="M137" s="13"/>
      <c r="N137" s="13"/>
      <c r="O137" s="13"/>
      <c r="P137" s="13"/>
      <c r="Q137" s="13"/>
      <c r="R137" s="21"/>
      <c r="S137" s="13"/>
      <c r="T137" s="22"/>
      <c r="U137" s="22"/>
      <c r="V137" s="19"/>
    </row>
    <row r="138" spans="3:22">
      <c r="C138" s="17"/>
      <c r="D138" s="18"/>
      <c r="E138" s="13"/>
      <c r="F138" s="13"/>
      <c r="G138" s="13"/>
      <c r="H138" s="13"/>
      <c r="I138" s="72"/>
      <c r="J138" s="13"/>
      <c r="K138" s="13"/>
      <c r="L138" s="13"/>
      <c r="M138" s="13"/>
      <c r="N138" s="13"/>
      <c r="O138" s="13"/>
      <c r="P138" s="13"/>
      <c r="Q138" s="13"/>
      <c r="R138" s="21"/>
      <c r="S138" s="13"/>
      <c r="T138" s="22"/>
      <c r="U138" s="22"/>
      <c r="V138" s="19"/>
    </row>
    <row r="139" spans="3:22">
      <c r="C139" s="17"/>
      <c r="D139" s="18"/>
      <c r="E139" s="13"/>
      <c r="F139" s="13"/>
      <c r="G139" s="13"/>
      <c r="H139" s="13"/>
      <c r="I139" s="72"/>
      <c r="J139" s="13"/>
      <c r="K139" s="13"/>
      <c r="L139" s="13"/>
      <c r="M139" s="13"/>
      <c r="N139" s="13"/>
      <c r="O139" s="13"/>
      <c r="P139" s="13"/>
      <c r="Q139" s="13"/>
      <c r="R139" s="21"/>
      <c r="S139" s="13"/>
      <c r="T139" s="22"/>
      <c r="U139" s="22"/>
      <c r="V139" s="19"/>
    </row>
    <row r="140" spans="3:22">
      <c r="C140" s="17"/>
      <c r="D140" s="18"/>
      <c r="E140" s="13"/>
      <c r="F140" s="13"/>
      <c r="G140" s="13"/>
      <c r="H140" s="13"/>
      <c r="I140" s="72"/>
      <c r="J140" s="13"/>
      <c r="K140" s="13"/>
      <c r="L140" s="13"/>
      <c r="M140" s="13"/>
      <c r="N140" s="13"/>
      <c r="O140" s="13"/>
      <c r="P140" s="13"/>
      <c r="Q140" s="13"/>
      <c r="R140" s="21"/>
      <c r="S140" s="13"/>
      <c r="T140" s="22"/>
      <c r="U140" s="22"/>
      <c r="V140" s="19"/>
    </row>
    <row r="141" spans="3:22">
      <c r="C141" s="17"/>
      <c r="D141" s="18"/>
      <c r="E141" s="13"/>
      <c r="F141" s="13"/>
      <c r="G141" s="13"/>
      <c r="H141" s="13"/>
      <c r="I141" s="72"/>
      <c r="J141" s="13"/>
      <c r="K141" s="13"/>
      <c r="L141" s="13"/>
      <c r="M141" s="13"/>
      <c r="N141" s="13"/>
      <c r="O141" s="13"/>
      <c r="P141" s="13"/>
      <c r="Q141" s="13"/>
      <c r="R141" s="21"/>
      <c r="S141" s="13"/>
      <c r="T141" s="22"/>
      <c r="U141" s="22"/>
      <c r="V141" s="19"/>
    </row>
    <row r="142" spans="3:22">
      <c r="C142" s="17"/>
      <c r="D142" s="18"/>
      <c r="E142" s="13"/>
      <c r="F142" s="13"/>
      <c r="G142" s="13"/>
      <c r="H142" s="13"/>
      <c r="I142" s="72"/>
      <c r="J142" s="13"/>
      <c r="K142" s="13"/>
      <c r="L142" s="13"/>
      <c r="M142" s="13"/>
      <c r="N142" s="13"/>
      <c r="O142" s="13"/>
      <c r="P142" s="13"/>
      <c r="Q142" s="13"/>
      <c r="R142" s="21"/>
      <c r="S142" s="13"/>
      <c r="T142" s="22"/>
      <c r="U142" s="22"/>
      <c r="V142" s="19"/>
    </row>
    <row r="143" spans="3:22" ht="15" thickBot="1">
      <c r="C143" s="23"/>
      <c r="D143" s="24"/>
      <c r="E143" s="25"/>
      <c r="F143" s="25"/>
      <c r="G143" s="25"/>
      <c r="H143" s="25"/>
      <c r="I143" s="75"/>
      <c r="J143" s="25"/>
      <c r="K143" s="25"/>
      <c r="L143" s="25"/>
      <c r="M143" s="25"/>
      <c r="N143" s="25"/>
      <c r="O143" s="25"/>
      <c r="P143" s="25"/>
      <c r="Q143" s="25"/>
      <c r="R143" s="26"/>
      <c r="S143" s="25"/>
      <c r="T143" s="27"/>
      <c r="U143" s="27"/>
      <c r="V143" s="28"/>
    </row>
  </sheetData>
  <mergeCells count="2">
    <mergeCell ref="C2:D2"/>
    <mergeCell ref="H2:P2"/>
  </mergeCells>
  <conditionalFormatting sqref="U33">
    <cfRule type="cellIs" dxfId="87" priority="28" operator="greaterThan">
      <formula>0</formula>
    </cfRule>
  </conditionalFormatting>
  <conditionalFormatting sqref="S11:S32">
    <cfRule type="cellIs" dxfId="86" priority="27" operator="greaterThan">
      <formula>0</formula>
    </cfRule>
  </conditionalFormatting>
  <conditionalFormatting sqref="T11:U32">
    <cfRule type="cellIs" dxfId="85" priority="26" operator="greaterThan">
      <formula>0</formula>
    </cfRule>
  </conditionalFormatting>
  <conditionalFormatting sqref="S38:S59">
    <cfRule type="cellIs" dxfId="84" priority="25" operator="greaterThan">
      <formula>0</formula>
    </cfRule>
  </conditionalFormatting>
  <conditionalFormatting sqref="T38:U59">
    <cfRule type="cellIs" dxfId="83" priority="24" operator="greaterThan">
      <formula>0</formula>
    </cfRule>
  </conditionalFormatting>
  <conditionalFormatting sqref="S66:S87">
    <cfRule type="cellIs" dxfId="82" priority="23" operator="greaterThan">
      <formula>0</formula>
    </cfRule>
  </conditionalFormatting>
  <conditionalFormatting sqref="T66:U87">
    <cfRule type="cellIs" dxfId="81" priority="22" operator="greaterThan">
      <formula>0</formula>
    </cfRule>
  </conditionalFormatting>
  <conditionalFormatting sqref="K11:K32">
    <cfRule type="cellIs" dxfId="80" priority="20" operator="equal">
      <formula>"max($K$11:$K$32)"</formula>
    </cfRule>
    <cfRule type="cellIs" dxfId="79" priority="21" operator="equal">
      <formula>"max($K$11:$K$32)"</formula>
    </cfRule>
  </conditionalFormatting>
  <conditionalFormatting sqref="S94:S115">
    <cfRule type="cellIs" dxfId="78" priority="19" operator="greaterThan">
      <formula>0</formula>
    </cfRule>
  </conditionalFormatting>
  <conditionalFormatting sqref="T94:U115">
    <cfRule type="cellIs" dxfId="77" priority="18" operator="greaterThan">
      <formula>0</formula>
    </cfRule>
  </conditionalFormatting>
  <conditionalFormatting sqref="S122:S143">
    <cfRule type="cellIs" dxfId="76" priority="17" operator="greaterThan">
      <formula>0</formula>
    </cfRule>
  </conditionalFormatting>
  <conditionalFormatting sqref="T122:U143">
    <cfRule type="cellIs" dxfId="75" priority="16" operator="greaterThan">
      <formula>0</formula>
    </cfRule>
  </conditionalFormatting>
  <conditionalFormatting sqref="T11:T32">
    <cfRule type="top10" dxfId="74" priority="11" rank="1"/>
    <cfRule type="top10" dxfId="73" priority="15" rank="1"/>
  </conditionalFormatting>
  <conditionalFormatting sqref="T38:T59">
    <cfRule type="top10" dxfId="72" priority="14" rank="1"/>
  </conditionalFormatting>
  <conditionalFormatting sqref="T66:T87">
    <cfRule type="top10" dxfId="71" priority="13" rank="1"/>
  </conditionalFormatting>
  <conditionalFormatting sqref="T94:T115">
    <cfRule type="top10" dxfId="70" priority="12" rank="1"/>
  </conditionalFormatting>
  <conditionalFormatting sqref="T122:T143">
    <cfRule type="top10" dxfId="69" priority="10" rank="1"/>
  </conditionalFormatting>
  <conditionalFormatting sqref="I11:I31">
    <cfRule type="top10" dxfId="68" priority="9" rank="1"/>
  </conditionalFormatting>
  <conditionalFormatting sqref="J11:J31">
    <cfRule type="top10" dxfId="67" priority="8" rank="1"/>
  </conditionalFormatting>
  <conditionalFormatting sqref="K11:K31">
    <cfRule type="top10" dxfId="66" priority="7" rank="1"/>
  </conditionalFormatting>
  <conditionalFormatting sqref="L11:L31">
    <cfRule type="top10" dxfId="65" priority="6" rank="1"/>
  </conditionalFormatting>
  <conditionalFormatting sqref="M11:M31">
    <cfRule type="top10" dxfId="64" priority="5" rank="1"/>
  </conditionalFormatting>
  <conditionalFormatting sqref="N11:N31">
    <cfRule type="top10" dxfId="63" priority="4" rank="1"/>
  </conditionalFormatting>
  <conditionalFormatting sqref="Q11:Q31">
    <cfRule type="top10" dxfId="62" priority="2" rank="1"/>
  </conditionalFormatting>
  <conditionalFormatting sqref="R11:R31">
    <cfRule type="top10" dxfId="61" priority="1" rank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C144"/>
  <sheetViews>
    <sheetView topLeftCell="A4" zoomScale="75" zoomScaleNormal="75" zoomScalePageLayoutView="75" workbookViewId="0">
      <selection activeCell="P11" sqref="P11"/>
    </sheetView>
  </sheetViews>
  <sheetFormatPr baseColWidth="10" defaultColWidth="8.83203125" defaultRowHeight="14" x14ac:dyDescent="0"/>
  <cols>
    <col min="1" max="1" width="5.5" style="5" customWidth="1"/>
    <col min="2" max="2" width="15.5" style="5" bestFit="1" customWidth="1"/>
    <col min="3" max="3" width="13.1640625" style="5" customWidth="1"/>
    <col min="4" max="4" width="12" style="6" customWidth="1"/>
    <col min="5" max="5" width="9.33203125" style="6" bestFit="1" customWidth="1"/>
    <col min="6" max="6" width="9.1640625" style="6" customWidth="1"/>
    <col min="7" max="7" width="13.83203125" style="6" customWidth="1"/>
    <col min="8" max="8" width="13.6640625" style="6" customWidth="1"/>
    <col min="9" max="9" width="16.83203125" style="74" customWidth="1"/>
    <col min="10" max="10" width="8" style="6" bestFit="1" customWidth="1"/>
    <col min="11" max="11" width="8.1640625" style="6" customWidth="1"/>
    <col min="12" max="12" width="14.83203125" style="6" bestFit="1" customWidth="1"/>
    <col min="13" max="13" width="15.5" style="6" bestFit="1" customWidth="1"/>
    <col min="14" max="14" width="16.1640625" style="6" bestFit="1" customWidth="1"/>
    <col min="15" max="15" width="5.5" style="6" bestFit="1" customWidth="1"/>
    <col min="16" max="16" width="8" style="6" bestFit="1" customWidth="1"/>
    <col min="17" max="17" width="5.83203125" style="6" bestFit="1" customWidth="1"/>
    <col min="18" max="18" width="9.83203125" style="6" customWidth="1"/>
    <col min="19" max="19" width="9.1640625" style="6" bestFit="1" customWidth="1"/>
    <col min="20" max="21" width="6.5" style="6" bestFit="1" customWidth="1"/>
    <col min="22" max="22" width="8" style="5" bestFit="1" customWidth="1"/>
    <col min="23" max="23" width="10" style="5" bestFit="1" customWidth="1"/>
    <col min="24" max="24" width="12.6640625" style="5" bestFit="1" customWidth="1"/>
    <col min="25" max="26" width="12" bestFit="1" customWidth="1"/>
    <col min="27" max="28" width="12.6640625" bestFit="1" customWidth="1"/>
  </cols>
  <sheetData>
    <row r="1" spans="3:29" ht="15" thickBot="1"/>
    <row r="2" spans="3:29" ht="15" thickBot="1">
      <c r="C2" s="130" t="s">
        <v>55</v>
      </c>
      <c r="D2" s="131"/>
      <c r="E2" s="11"/>
      <c r="F2" s="13"/>
      <c r="G2" s="13"/>
      <c r="H2" s="132" t="s">
        <v>38</v>
      </c>
      <c r="I2" s="133"/>
      <c r="J2" s="133"/>
      <c r="K2" s="133"/>
      <c r="L2" s="133"/>
      <c r="M2" s="133"/>
      <c r="N2" s="133"/>
      <c r="O2" s="133"/>
      <c r="P2" s="134"/>
      <c r="Q2" s="13"/>
      <c r="R2"/>
      <c r="S2"/>
      <c r="T2"/>
      <c r="U2"/>
      <c r="V2" s="13"/>
      <c r="W2" s="13"/>
      <c r="X2" s="6"/>
      <c r="Y2" s="52"/>
      <c r="Z2" s="52"/>
      <c r="AA2" s="52"/>
      <c r="AB2" s="52"/>
    </row>
    <row r="3" spans="3:29" ht="18" thickBot="1">
      <c r="C3" s="18"/>
      <c r="D3" s="13"/>
      <c r="E3" s="13"/>
      <c r="F3" s="13"/>
      <c r="G3" s="13"/>
      <c r="H3" s="101" t="s">
        <v>4</v>
      </c>
      <c r="I3" s="102" t="s">
        <v>5</v>
      </c>
      <c r="J3" s="103" t="s">
        <v>6</v>
      </c>
      <c r="K3" s="103" t="s">
        <v>31</v>
      </c>
      <c r="L3" s="103" t="s">
        <v>87</v>
      </c>
      <c r="M3" s="103" t="s">
        <v>23</v>
      </c>
      <c r="N3" s="103" t="s">
        <v>26</v>
      </c>
      <c r="O3" s="104" t="s">
        <v>15</v>
      </c>
      <c r="P3" s="66" t="s">
        <v>88</v>
      </c>
      <c r="R3"/>
      <c r="S3"/>
      <c r="T3"/>
      <c r="U3"/>
      <c r="Y3" s="5"/>
      <c r="Z3" s="6"/>
      <c r="AA3" s="52"/>
      <c r="AB3" s="52"/>
      <c r="AC3" s="52"/>
    </row>
    <row r="4" spans="3:29" ht="16" thickTop="1" thickBot="1">
      <c r="C4" s="18"/>
      <c r="D4" s="13"/>
      <c r="E4" s="13"/>
      <c r="F4" s="13"/>
      <c r="G4" s="13"/>
      <c r="H4" s="39">
        <f>SBT!B6</f>
        <v>0.495</v>
      </c>
      <c r="I4" s="75">
        <f>SBT!C9</f>
        <v>0.3</v>
      </c>
      <c r="J4" s="25">
        <f>SBT!D6</f>
        <v>8.1674999999999998E-2</v>
      </c>
      <c r="K4" s="25">
        <f>SBT!E6</f>
        <v>3</v>
      </c>
      <c r="L4" s="25">
        <f>SBT!D9</f>
        <v>0.17999999999999997</v>
      </c>
      <c r="M4" s="25">
        <f>SBT!B16</f>
        <v>1.2192000000000001</v>
      </c>
      <c r="N4" s="25">
        <f>SBT!C16</f>
        <v>4.2671999999999999</v>
      </c>
      <c r="O4" s="25">
        <f>0.5*SBT!$B$26*$J$4*SBT!$C$26^2</f>
        <v>1.81898811084375</v>
      </c>
      <c r="P4" s="37">
        <f>(SBT!$B$12*SBT!$E$23+SBT!$D$23)*0.5*9.81</f>
        <v>1.0079372950819674</v>
      </c>
      <c r="R4"/>
      <c r="S4"/>
      <c r="T4"/>
      <c r="U4"/>
      <c r="X4" s="6"/>
      <c r="Y4" s="5"/>
      <c r="Z4" s="5"/>
    </row>
    <row r="5" spans="3:29">
      <c r="C5" s="18"/>
      <c r="D5" s="13"/>
      <c r="E5" s="13"/>
      <c r="F5" s="13"/>
      <c r="G5" s="13"/>
      <c r="H5" s="13"/>
      <c r="I5" s="72"/>
      <c r="J5" s="13"/>
      <c r="K5" s="13"/>
      <c r="L5" s="13"/>
      <c r="M5" s="13"/>
      <c r="N5" s="13"/>
      <c r="O5" s="13"/>
      <c r="R5"/>
      <c r="S5"/>
      <c r="T5"/>
      <c r="U5"/>
      <c r="X5" s="6"/>
      <c r="Y5" s="5"/>
      <c r="Z5" s="5"/>
    </row>
    <row r="6" spans="3:29" ht="15" thickBot="1">
      <c r="C6" s="18"/>
      <c r="D6" s="13"/>
      <c r="E6" s="13"/>
      <c r="F6" s="34"/>
      <c r="G6" s="13"/>
      <c r="H6" s="13"/>
      <c r="I6" s="72"/>
      <c r="J6" s="13"/>
      <c r="K6" s="13"/>
      <c r="L6" s="13"/>
      <c r="M6" s="13"/>
      <c r="N6" s="13"/>
      <c r="O6" s="13"/>
      <c r="P6" s="13"/>
      <c r="Q6" s="13"/>
      <c r="R6" s="13"/>
      <c r="S6" s="13"/>
      <c r="T6" s="18"/>
      <c r="U6" s="18"/>
      <c r="V6" s="18"/>
      <c r="W6" s="13"/>
      <c r="X6" s="6"/>
      <c r="Y6" s="5"/>
      <c r="Z6" s="5"/>
    </row>
    <row r="7" spans="3:29" ht="17" thickBot="1">
      <c r="C7" s="42" t="s">
        <v>36</v>
      </c>
      <c r="D7" s="43" t="s">
        <v>37</v>
      </c>
      <c r="E7" s="35" t="s">
        <v>24</v>
      </c>
      <c r="F7" s="36" t="s">
        <v>29</v>
      </c>
      <c r="G7" s="36" t="s">
        <v>30</v>
      </c>
      <c r="H7" s="97" t="s">
        <v>56</v>
      </c>
      <c r="I7" s="36" t="s">
        <v>77</v>
      </c>
      <c r="J7" s="36" t="s">
        <v>80</v>
      </c>
      <c r="K7" s="36" t="s">
        <v>81</v>
      </c>
      <c r="L7" s="110" t="s">
        <v>92</v>
      </c>
      <c r="M7" s="36" t="s">
        <v>89</v>
      </c>
      <c r="N7" s="36" t="s">
        <v>90</v>
      </c>
      <c r="O7" s="38" t="s">
        <v>91</v>
      </c>
      <c r="P7" s="15"/>
      <c r="Q7" s="15"/>
      <c r="R7" s="15"/>
      <c r="S7" s="15"/>
      <c r="T7" s="40"/>
      <c r="U7" s="40"/>
      <c r="V7" s="16"/>
      <c r="W7" s="6"/>
      <c r="Y7" s="5"/>
    </row>
    <row r="8" spans="3:29" ht="16" thickTop="1" thickBot="1">
      <c r="C8" s="44">
        <v>4</v>
      </c>
      <c r="D8" s="45">
        <f>MAX(T11:T33)</f>
        <v>2.3273735945273857</v>
      </c>
      <c r="E8" s="25">
        <f>$M$4-H8</f>
        <v>1.0610862260755967</v>
      </c>
      <c r="F8" s="25">
        <f>MAX(N11:N33)</f>
        <v>2.9393982191839454</v>
      </c>
      <c r="G8" s="25">
        <f>F8*$L$4</f>
        <v>0.52909167945311009</v>
      </c>
      <c r="H8" s="75">
        <f>(-N8+SQRT(N8^2-4*$P$4*O8))/(2*$P$4)</f>
        <v>0.15811377392440346</v>
      </c>
      <c r="I8" s="25">
        <f>$H$4*SBT!$C$23</f>
        <v>4.4225409836065571E-2</v>
      </c>
      <c r="J8" s="25">
        <f>I8+SBT!$B$23</f>
        <v>0.19422540983606557</v>
      </c>
      <c r="K8" s="25">
        <f>SBT!$B$12*H8</f>
        <v>0.20554790610172449</v>
      </c>
      <c r="L8" s="25">
        <f>(F8*$L$4-(SBT!$F$23*K8+0.5*SBT!$E$23*K8^2)*9.81)/(J8*9.81)</f>
        <v>8.8588549109827122E-2</v>
      </c>
      <c r="M8" s="79">
        <f>J8+SBT!$F$23+2*SBT!$G$23+H8*SBT!$D$23+K8*SBT!$E$23</f>
        <v>0.68221649436299026</v>
      </c>
      <c r="N8" s="25">
        <f>(SBT!$G$23+(SBT!$F$23+J8)*0.5)*9.81</f>
        <v>3.1869031352459021</v>
      </c>
      <c r="O8" s="37">
        <f>-F8*$L$4</f>
        <v>-0.52909167945311009</v>
      </c>
      <c r="P8" s="13"/>
      <c r="Q8" s="13"/>
      <c r="R8" s="13"/>
      <c r="S8" s="13"/>
      <c r="T8" s="13"/>
      <c r="U8" s="13"/>
      <c r="V8" s="19"/>
      <c r="X8"/>
    </row>
    <row r="9" spans="3:29">
      <c r="C9" s="41"/>
      <c r="D9" s="13"/>
      <c r="E9" s="13"/>
      <c r="F9" s="13"/>
      <c r="G9" s="13"/>
      <c r="H9" s="13"/>
      <c r="I9" s="76"/>
      <c r="J9" s="18"/>
      <c r="K9" s="18"/>
      <c r="L9" s="13"/>
      <c r="M9" s="13"/>
      <c r="N9" s="13"/>
      <c r="O9" s="13"/>
      <c r="P9" s="13"/>
      <c r="Q9" s="13"/>
      <c r="R9" s="13"/>
      <c r="S9" s="13"/>
      <c r="T9" s="13"/>
      <c r="U9" s="13"/>
      <c r="V9" s="19"/>
      <c r="X9"/>
    </row>
    <row r="10" spans="3:29" ht="17" thickBot="1">
      <c r="C10" s="47" t="s">
        <v>40</v>
      </c>
      <c r="D10" s="48" t="s">
        <v>42</v>
      </c>
      <c r="E10" s="30" t="s">
        <v>35</v>
      </c>
      <c r="F10" s="29" t="s">
        <v>34</v>
      </c>
      <c r="G10" s="29" t="s">
        <v>41</v>
      </c>
      <c r="H10" s="29" t="s">
        <v>7</v>
      </c>
      <c r="I10" s="70" t="s">
        <v>16</v>
      </c>
      <c r="J10" s="71" t="s">
        <v>17</v>
      </c>
      <c r="K10" s="29" t="s">
        <v>18</v>
      </c>
      <c r="L10" s="46" t="s">
        <v>39</v>
      </c>
      <c r="M10" s="31" t="s">
        <v>10</v>
      </c>
      <c r="N10" s="31" t="s">
        <v>13</v>
      </c>
      <c r="O10" s="31" t="s">
        <v>14</v>
      </c>
      <c r="P10" s="31" t="s">
        <v>8</v>
      </c>
      <c r="Q10" s="31" t="s">
        <v>9</v>
      </c>
      <c r="R10" s="31" t="s">
        <v>19</v>
      </c>
      <c r="S10" s="31" t="s">
        <v>25</v>
      </c>
      <c r="T10" s="32" t="s">
        <v>27</v>
      </c>
      <c r="U10" s="32"/>
      <c r="V10" s="33"/>
      <c r="X10"/>
    </row>
    <row r="11" spans="3:29" ht="15" thickTop="1">
      <c r="C11" s="49">
        <v>5.2889246060000001</v>
      </c>
      <c r="D11" s="10">
        <v>0.2717</v>
      </c>
      <c r="E11" s="7">
        <f>$K$4/(2+SQRT(4+$K$4^2))</f>
        <v>0.53518375848799637</v>
      </c>
      <c r="F11" s="7">
        <f>C11*E11</f>
        <v>2.8305465489987256</v>
      </c>
      <c r="G11" s="12">
        <f>D11*E11</f>
        <v>0.1454094271811886</v>
      </c>
      <c r="H11" s="14">
        <f>F11*PI()/180</f>
        <v>4.940235691099077E-2</v>
      </c>
      <c r="I11" s="72">
        <f t="shared" ref="I11:I31" si="0">0.5*ATAN(K11)*180/PI()-J11</f>
        <v>41.408854998075036</v>
      </c>
      <c r="J11" s="13">
        <v>0</v>
      </c>
      <c r="K11" s="13">
        <f t="shared" ref="K11:K31" si="1">L11/M11</f>
        <v>7.9355405544905997</v>
      </c>
      <c r="L11" s="13">
        <f>$H$11*J11+$G$11</f>
        <v>0.1454094271811886</v>
      </c>
      <c r="M11" s="13">
        <f t="shared" ref="M11:M31" si="2">0.015+0.1572*(L11^2)</f>
        <v>1.8323821317868971E-2</v>
      </c>
      <c r="N11" s="13">
        <f t="shared" ref="N11:O31" si="3">$N$4*L11</f>
        <v>0.62049110766756799</v>
      </c>
      <c r="O11" s="13">
        <f t="shared" si="3"/>
        <v>7.8191410327610469E-2</v>
      </c>
      <c r="P11" s="13">
        <f>((N11*COS(I11+J11)+O11*SIN(I11+J11))*SIN(J11+I11)-O11)/$M$8</f>
        <v>0.33107554498834774</v>
      </c>
      <c r="Q11" s="13">
        <f t="shared" ref="Q11:Q31" si="4">P11*TAN(I11+J11)</f>
        <v>0.21134614323574955</v>
      </c>
      <c r="R11" s="21">
        <f t="shared" ref="R11:R31" si="5">IF(ISERROR(SQRT(2*$E$8/Q11)),0,SQRT(2*$E$8/Q11))</f>
        <v>3.1687879131014389</v>
      </c>
      <c r="S11" s="13">
        <f t="shared" ref="S11:S31" si="6">0.5*P11*R11^2</f>
        <v>1.6622006685295616</v>
      </c>
      <c r="T11" s="22">
        <f t="shared" ref="T11:T31" si="7">R11*P11</f>
        <v>1.0491081852825479</v>
      </c>
      <c r="U11" s="22"/>
      <c r="V11" s="19"/>
      <c r="X11"/>
    </row>
    <row r="12" spans="3:29">
      <c r="C12" s="17"/>
      <c r="D12" s="18"/>
      <c r="E12" s="13"/>
      <c r="F12" s="13"/>
      <c r="G12" s="13"/>
      <c r="H12" s="13"/>
      <c r="I12" s="72">
        <f t="shared" si="0"/>
        <v>41.222183222075302</v>
      </c>
      <c r="J12" s="13">
        <f>J11+0.5</f>
        <v>0.5</v>
      </c>
      <c r="K12" s="13">
        <f t="shared" si="1"/>
        <v>8.7017577145227829</v>
      </c>
      <c r="L12" s="13">
        <f t="shared" ref="L12:L31" si="8">$H$11*J12+$G$11</f>
        <v>0.17011060563668398</v>
      </c>
      <c r="M12" s="13">
        <f t="shared" si="2"/>
        <v>1.9548993573192484E-2</v>
      </c>
      <c r="N12" s="13">
        <f t="shared" si="3"/>
        <v>0.72589597637285785</v>
      </c>
      <c r="O12" s="13">
        <f t="shared" si="3"/>
        <v>8.3419465375526969E-2</v>
      </c>
      <c r="P12" s="13">
        <f t="shared" ref="P12:P33" si="9">((N12*COS(I12+J12)+O12*SIN(I12+J12))*SIN(J12+I12)-O12)/$M$8</f>
        <v>0.47275830520523698</v>
      </c>
      <c r="Q12" s="13">
        <f t="shared" si="4"/>
        <v>0.57360388105938531</v>
      </c>
      <c r="R12" s="21">
        <f t="shared" si="5"/>
        <v>1.9234650337153643</v>
      </c>
      <c r="S12" s="13">
        <f t="shared" si="6"/>
        <v>0.8745361432869827</v>
      </c>
      <c r="T12" s="22">
        <f t="shared" si="7"/>
        <v>0.90933406946080964</v>
      </c>
      <c r="U12" s="22"/>
      <c r="V12" s="19"/>
      <c r="X12"/>
    </row>
    <row r="13" spans="3:29">
      <c r="C13" s="20"/>
      <c r="D13" s="11"/>
      <c r="E13" s="13"/>
      <c r="F13" s="13"/>
      <c r="G13" s="13"/>
      <c r="H13" s="13"/>
      <c r="I13" s="72">
        <f t="shared" si="0"/>
        <v>40.928683697130602</v>
      </c>
      <c r="J13" s="13">
        <f t="shared" ref="J13:J33" si="10">J12+0.5</f>
        <v>1</v>
      </c>
      <c r="K13" s="13">
        <f t="shared" si="1"/>
        <v>9.2917970658573399</v>
      </c>
      <c r="L13" s="13">
        <f t="shared" si="8"/>
        <v>0.19481178409217936</v>
      </c>
      <c r="M13" s="13">
        <f t="shared" si="2"/>
        <v>2.0965996427969168E-2</v>
      </c>
      <c r="N13" s="13">
        <f t="shared" si="3"/>
        <v>0.83130084507814772</v>
      </c>
      <c r="O13" s="13">
        <f t="shared" si="3"/>
        <v>8.9466099957430031E-2</v>
      </c>
      <c r="P13" s="13">
        <f t="shared" si="9"/>
        <v>0.47279771529205383</v>
      </c>
      <c r="Q13" s="13">
        <f t="shared" si="4"/>
        <v>0.9019470025600993</v>
      </c>
      <c r="R13" s="21">
        <f t="shared" si="5"/>
        <v>1.5339098155755202</v>
      </c>
      <c r="S13" s="13">
        <f t="shared" si="6"/>
        <v>0.55621798397515221</v>
      </c>
      <c r="T13" s="22">
        <f t="shared" si="7"/>
        <v>0.72522905626816159</v>
      </c>
      <c r="U13" s="22"/>
      <c r="V13" s="19"/>
      <c r="X13"/>
    </row>
    <row r="14" spans="3:29">
      <c r="C14" s="17"/>
      <c r="D14" s="18"/>
      <c r="E14" s="13"/>
      <c r="F14" s="13"/>
      <c r="G14" s="13"/>
      <c r="H14" s="13"/>
      <c r="I14" s="72">
        <f t="shared" si="0"/>
        <v>40.564156740255036</v>
      </c>
      <c r="J14" s="13">
        <f t="shared" si="10"/>
        <v>1.5</v>
      </c>
      <c r="K14" s="13">
        <f t="shared" si="1"/>
        <v>9.7237925465284594</v>
      </c>
      <c r="L14" s="13">
        <f t="shared" si="8"/>
        <v>0.21951296254767477</v>
      </c>
      <c r="M14" s="13">
        <f t="shared" si="2"/>
        <v>2.257482988219902E-2</v>
      </c>
      <c r="N14" s="13">
        <f t="shared" si="3"/>
        <v>0.93670571378343781</v>
      </c>
      <c r="O14" s="13">
        <f t="shared" si="3"/>
        <v>9.6331314073319657E-2</v>
      </c>
      <c r="P14" s="13">
        <f t="shared" si="9"/>
        <v>0.42310899227208626</v>
      </c>
      <c r="Q14" s="13">
        <f t="shared" si="4"/>
        <v>1.1687396457562653</v>
      </c>
      <c r="R14" s="21">
        <f t="shared" si="5"/>
        <v>1.3475082976865593</v>
      </c>
      <c r="S14" s="13">
        <f t="shared" si="6"/>
        <v>0.38413612942695025</v>
      </c>
      <c r="T14" s="22">
        <f t="shared" si="7"/>
        <v>0.57014287791243456</v>
      </c>
      <c r="U14" s="22"/>
      <c r="V14" s="19"/>
      <c r="X14"/>
    </row>
    <row r="15" spans="3:29">
      <c r="C15" s="17"/>
      <c r="D15" s="13"/>
      <c r="E15" s="13"/>
      <c r="F15" s="13"/>
      <c r="G15" s="13"/>
      <c r="H15" s="13"/>
      <c r="I15" s="72">
        <f t="shared" si="0"/>
        <v>40.150036927205633</v>
      </c>
      <c r="J15" s="13">
        <f t="shared" si="10"/>
        <v>2</v>
      </c>
      <c r="K15" s="13">
        <f t="shared" si="1"/>
        <v>10.018838660072188</v>
      </c>
      <c r="L15" s="13">
        <f t="shared" si="8"/>
        <v>0.24421414100317013</v>
      </c>
      <c r="M15" s="13">
        <f t="shared" si="2"/>
        <v>2.4375493935882037E-2</v>
      </c>
      <c r="N15" s="13">
        <f t="shared" si="3"/>
        <v>1.0421105824887276</v>
      </c>
      <c r="O15" s="13">
        <f t="shared" si="3"/>
        <v>0.10401510772319582</v>
      </c>
      <c r="P15" s="13">
        <f t="shared" si="9"/>
        <v>0.37125246433052195</v>
      </c>
      <c r="Q15" s="13">
        <f t="shared" si="4"/>
        <v>1.3873947288232349</v>
      </c>
      <c r="R15" s="21">
        <f t="shared" si="5"/>
        <v>1.2367739132143944</v>
      </c>
      <c r="S15" s="13">
        <f t="shared" si="6"/>
        <v>0.28393568759761983</v>
      </c>
      <c r="T15" s="22">
        <f t="shared" si="7"/>
        <v>0.459155363100547</v>
      </c>
      <c r="U15" s="22"/>
      <c r="V15" s="19"/>
      <c r="X15"/>
    </row>
    <row r="16" spans="3:29">
      <c r="C16" s="17"/>
      <c r="D16" s="13"/>
      <c r="E16" s="13"/>
      <c r="F16" s="13"/>
      <c r="G16" s="13"/>
      <c r="H16" s="13"/>
      <c r="I16" s="72">
        <f t="shared" si="0"/>
        <v>39.699935531369377</v>
      </c>
      <c r="J16" s="13">
        <f t="shared" si="10"/>
        <v>2.5</v>
      </c>
      <c r="K16" s="13">
        <f t="shared" si="1"/>
        <v>10.198552633273808</v>
      </c>
      <c r="L16" s="13">
        <f t="shared" si="8"/>
        <v>0.26891531945866554</v>
      </c>
      <c r="M16" s="13">
        <f t="shared" si="2"/>
        <v>2.6367988589018225E-2</v>
      </c>
      <c r="N16" s="13">
        <f t="shared" si="3"/>
        <v>1.1475154511940175</v>
      </c>
      <c r="O16" s="13">
        <f t="shared" si="3"/>
        <v>0.11251748090705857</v>
      </c>
      <c r="P16" s="13">
        <f t="shared" si="9"/>
        <v>0.33806434785415079</v>
      </c>
      <c r="Q16" s="13">
        <f t="shared" si="4"/>
        <v>1.5740073591537471</v>
      </c>
      <c r="R16" s="21">
        <f t="shared" si="5"/>
        <v>1.1611463385924992</v>
      </c>
      <c r="S16" s="13">
        <f t="shared" si="6"/>
        <v>0.22789945736221287</v>
      </c>
      <c r="T16" s="22">
        <f t="shared" si="7"/>
        <v>0.39254217971950817</v>
      </c>
      <c r="U16" s="22"/>
      <c r="V16" s="19"/>
      <c r="X16"/>
    </row>
    <row r="17" spans="3:24">
      <c r="C17" s="17"/>
      <c r="D17" s="13"/>
      <c r="E17" s="13"/>
      <c r="F17" s="13"/>
      <c r="G17" s="13"/>
      <c r="H17" s="13"/>
      <c r="I17" s="72">
        <f t="shared" si="0"/>
        <v>39.222908896322309</v>
      </c>
      <c r="J17" s="13">
        <f t="shared" si="10"/>
        <v>3</v>
      </c>
      <c r="K17" s="13">
        <f t="shared" si="1"/>
        <v>10.283457219718954</v>
      </c>
      <c r="L17" s="13">
        <f t="shared" si="8"/>
        <v>0.29361649791416089</v>
      </c>
      <c r="M17" s="13">
        <f t="shared" si="2"/>
        <v>2.8552313841607578E-2</v>
      </c>
      <c r="N17" s="13">
        <f t="shared" si="3"/>
        <v>1.2529203198993073</v>
      </c>
      <c r="O17" s="13">
        <f t="shared" si="3"/>
        <v>0.12183843362490786</v>
      </c>
      <c r="P17" s="13">
        <f t="shared" si="9"/>
        <v>0.33192592291883566</v>
      </c>
      <c r="Q17" s="13">
        <f t="shared" si="4"/>
        <v>1.7391060775143203</v>
      </c>
      <c r="R17" s="21">
        <f t="shared" si="5"/>
        <v>1.1046566210092577</v>
      </c>
      <c r="S17" s="13">
        <f t="shared" si="6"/>
        <v>0.20251900067533779</v>
      </c>
      <c r="T17" s="22">
        <f t="shared" si="7"/>
        <v>0.36666416843690031</v>
      </c>
      <c r="U17" s="22"/>
      <c r="V17" s="19"/>
      <c r="X17"/>
    </row>
    <row r="18" spans="3:24">
      <c r="C18" s="17"/>
      <c r="D18" s="13"/>
      <c r="E18" s="13"/>
      <c r="F18" s="13"/>
      <c r="G18" s="13"/>
      <c r="H18" s="13"/>
      <c r="I18" s="72">
        <f t="shared" si="0"/>
        <v>38.725215766372202</v>
      </c>
      <c r="J18" s="13">
        <f t="shared" si="10"/>
        <v>3.5</v>
      </c>
      <c r="K18" s="13">
        <f t="shared" si="1"/>
        <v>10.292060341899484</v>
      </c>
      <c r="L18" s="13">
        <f t="shared" si="8"/>
        <v>0.3183176763696563</v>
      </c>
      <c r="M18" s="13">
        <f t="shared" si="2"/>
        <v>3.0928469693650103E-2</v>
      </c>
      <c r="N18" s="13">
        <f t="shared" si="3"/>
        <v>1.3583251886045973</v>
      </c>
      <c r="O18" s="13">
        <f t="shared" si="3"/>
        <v>0.13197796587674371</v>
      </c>
      <c r="P18" s="13">
        <f t="shared" si="9"/>
        <v>0.35574496161255009</v>
      </c>
      <c r="Q18" s="13">
        <f t="shared" si="4"/>
        <v>1.8875393465475478</v>
      </c>
      <c r="R18" s="21">
        <f t="shared" si="5"/>
        <v>1.0603331263567453</v>
      </c>
      <c r="S18" s="13">
        <f t="shared" si="6"/>
        <v>0.19998315767737562</v>
      </c>
      <c r="T18" s="22">
        <f t="shared" si="7"/>
        <v>0.37720816733229556</v>
      </c>
      <c r="U18" s="22"/>
      <c r="V18" s="19"/>
      <c r="X18"/>
    </row>
    <row r="19" spans="3:24">
      <c r="C19" s="17"/>
      <c r="D19" s="13"/>
      <c r="E19" s="13"/>
      <c r="F19" s="13"/>
      <c r="G19" s="13"/>
      <c r="H19" s="13"/>
      <c r="I19" s="72">
        <f t="shared" si="0"/>
        <v>38.211319792858227</v>
      </c>
      <c r="J19" s="13">
        <f t="shared" si="10"/>
        <v>4</v>
      </c>
      <c r="K19" s="13">
        <f t="shared" si="1"/>
        <v>10.240452104509002</v>
      </c>
      <c r="L19" s="13">
        <f t="shared" si="8"/>
        <v>0.34301885482515171</v>
      </c>
      <c r="M19" s="13">
        <f t="shared" si="2"/>
        <v>3.3496456145145792E-2</v>
      </c>
      <c r="N19" s="13">
        <f t="shared" si="3"/>
        <v>1.4637300573098873</v>
      </c>
      <c r="O19" s="13">
        <f t="shared" si="3"/>
        <v>0.14293607766256611</v>
      </c>
      <c r="P19" s="13">
        <f t="shared" si="9"/>
        <v>0.40983179941797537</v>
      </c>
      <c r="Q19" s="13">
        <f t="shared" si="4"/>
        <v>2.0198856843869648</v>
      </c>
      <c r="R19" s="21">
        <f t="shared" si="5"/>
        <v>1.0250072582918821</v>
      </c>
      <c r="S19" s="13">
        <f t="shared" si="6"/>
        <v>0.21529281618834406</v>
      </c>
      <c r="T19" s="22">
        <f t="shared" si="7"/>
        <v>0.4200805690822475</v>
      </c>
      <c r="U19" s="22"/>
      <c r="V19" s="19"/>
      <c r="X19"/>
    </row>
    <row r="20" spans="3:24">
      <c r="C20" s="17"/>
      <c r="D20" s="18"/>
      <c r="E20" s="13"/>
      <c r="F20" s="13"/>
      <c r="G20" s="13"/>
      <c r="H20" s="13"/>
      <c r="I20" s="72">
        <f t="shared" si="0"/>
        <v>37.684490002182066</v>
      </c>
      <c r="J20" s="13">
        <f t="shared" si="10"/>
        <v>4.5</v>
      </c>
      <c r="K20" s="13">
        <f t="shared" si="1"/>
        <v>10.142245765079243</v>
      </c>
      <c r="L20" s="13">
        <f t="shared" si="8"/>
        <v>0.36772003328064706</v>
      </c>
      <c r="M20" s="13">
        <f t="shared" si="2"/>
        <v>3.6256273196094653E-2</v>
      </c>
      <c r="N20" s="13">
        <f t="shared" si="3"/>
        <v>1.569134926015177</v>
      </c>
      <c r="O20" s="13">
        <f t="shared" si="3"/>
        <v>0.1547127689823751</v>
      </c>
      <c r="P20" s="13">
        <f t="shared" si="9"/>
        <v>0.49289520824451932</v>
      </c>
      <c r="Q20" s="13">
        <f t="shared" si="4"/>
        <v>2.1338147381992427</v>
      </c>
      <c r="R20" s="21">
        <f t="shared" si="5"/>
        <v>0.99726822351276911</v>
      </c>
      <c r="S20" s="13">
        <f t="shared" si="6"/>
        <v>0.24510296372228321</v>
      </c>
      <c r="T20" s="22">
        <f t="shared" si="7"/>
        <v>0.49154872870396815</v>
      </c>
      <c r="U20" s="22"/>
      <c r="V20" s="19"/>
      <c r="X20"/>
    </row>
    <row r="21" spans="3:24">
      <c r="C21" s="17"/>
      <c r="D21" s="22"/>
      <c r="E21" s="13"/>
      <c r="F21" s="13"/>
      <c r="G21" s="13"/>
      <c r="H21" s="13"/>
      <c r="I21" s="72">
        <f t="shared" si="0"/>
        <v>37.147175455888053</v>
      </c>
      <c r="J21" s="13">
        <f t="shared" si="10"/>
        <v>5</v>
      </c>
      <c r="K21" s="13">
        <f t="shared" si="1"/>
        <v>10.00872281069212</v>
      </c>
      <c r="L21" s="13">
        <f t="shared" si="8"/>
        <v>0.39242121173614242</v>
      </c>
      <c r="M21" s="13">
        <f t="shared" si="2"/>
        <v>3.9207920846496679E-2</v>
      </c>
      <c r="N21" s="13">
        <f t="shared" si="3"/>
        <v>1.6745397947204668</v>
      </c>
      <c r="O21" s="13">
        <f t="shared" si="3"/>
        <v>0.16730803983617062</v>
      </c>
      <c r="P21" s="13">
        <f t="shared" si="9"/>
        <v>0.60226190579983685</v>
      </c>
      <c r="Q21" s="13">
        <f t="shared" si="4"/>
        <v>2.2251737806080514</v>
      </c>
      <c r="R21" s="21">
        <f t="shared" si="5"/>
        <v>0.97658122215100984</v>
      </c>
      <c r="S21" s="13">
        <f t="shared" si="6"/>
        <v>0.28719186712671857</v>
      </c>
      <c r="T21" s="22">
        <f t="shared" si="7"/>
        <v>0.588157668021001</v>
      </c>
      <c r="U21" s="22"/>
      <c r="V21" s="19"/>
      <c r="X21"/>
    </row>
    <row r="22" spans="3:24">
      <c r="C22" s="17"/>
      <c r="D22" s="18"/>
      <c r="E22" s="13"/>
      <c r="F22" s="13"/>
      <c r="G22" s="13"/>
      <c r="H22" s="13"/>
      <c r="I22" s="72">
        <f t="shared" si="0"/>
        <v>36.601247287534349</v>
      </c>
      <c r="J22" s="13">
        <f t="shared" si="10"/>
        <v>5.5</v>
      </c>
      <c r="K22" s="13">
        <f t="shared" si="1"/>
        <v>9.8490817090283205</v>
      </c>
      <c r="L22" s="13">
        <f t="shared" si="8"/>
        <v>0.41712239019163783</v>
      </c>
      <c r="M22" s="13">
        <f t="shared" si="2"/>
        <v>4.2351399096351876E-2</v>
      </c>
      <c r="N22" s="13">
        <f t="shared" si="3"/>
        <v>1.779944663425757</v>
      </c>
      <c r="O22" s="13">
        <f t="shared" si="3"/>
        <v>0.18072189022395271</v>
      </c>
      <c r="P22" s="13">
        <f t="shared" si="9"/>
        <v>0.7338252453977564</v>
      </c>
      <c r="Q22" s="13">
        <f t="shared" si="4"/>
        <v>2.2888616426244162</v>
      </c>
      <c r="R22" s="21">
        <f t="shared" si="5"/>
        <v>0.96289862323045794</v>
      </c>
      <c r="S22" s="13">
        <f t="shared" si="6"/>
        <v>0.34019175547251479</v>
      </c>
      <c r="T22" s="22">
        <f t="shared" si="7"/>
        <v>0.70659931848525259</v>
      </c>
      <c r="U22" s="22"/>
      <c r="V22" s="19"/>
      <c r="X22"/>
    </row>
    <row r="23" spans="3:24">
      <c r="C23" s="17"/>
      <c r="D23" s="18"/>
      <c r="E23" s="13"/>
      <c r="F23" s="13"/>
      <c r="G23" s="13"/>
      <c r="H23" s="13"/>
      <c r="I23" s="72">
        <f t="shared" si="0"/>
        <v>36.048159815645157</v>
      </c>
      <c r="J23" s="13">
        <f t="shared" si="10"/>
        <v>6</v>
      </c>
      <c r="K23" s="13">
        <f t="shared" si="1"/>
        <v>9.670724561127015</v>
      </c>
      <c r="L23" s="13">
        <f t="shared" si="8"/>
        <v>0.44182356864713324</v>
      </c>
      <c r="M23" s="13">
        <f t="shared" si="2"/>
        <v>4.5686707945660238E-2</v>
      </c>
      <c r="N23" s="13">
        <f t="shared" si="3"/>
        <v>1.8853495321310469</v>
      </c>
      <c r="O23" s="13">
        <f t="shared" si="3"/>
        <v>0.19495432014572137</v>
      </c>
      <c r="P23" s="13">
        <f t="shared" si="9"/>
        <v>0.88195256590048954</v>
      </c>
      <c r="Q23" s="13">
        <f t="shared" si="4"/>
        <v>2.3195725182488096</v>
      </c>
      <c r="R23" s="21">
        <f t="shared" si="5"/>
        <v>0.95650304954409848</v>
      </c>
      <c r="S23" s="13">
        <f t="shared" si="6"/>
        <v>0.40344835626676345</v>
      </c>
      <c r="T23" s="22">
        <f t="shared" si="7"/>
        <v>0.8435903188370607</v>
      </c>
      <c r="U23" s="22"/>
      <c r="V23" s="19"/>
      <c r="X23"/>
    </row>
    <row r="24" spans="3:24">
      <c r="C24" s="17"/>
      <c r="D24" s="18"/>
      <c r="E24" s="13"/>
      <c r="F24" s="13"/>
      <c r="G24" s="13"/>
      <c r="H24" s="13"/>
      <c r="I24" s="72">
        <f t="shared" si="0"/>
        <v>35.489060622120228</v>
      </c>
      <c r="J24" s="13">
        <f t="shared" si="10"/>
        <v>6.5</v>
      </c>
      <c r="K24" s="13">
        <f t="shared" si="1"/>
        <v>9.4795422793038462</v>
      </c>
      <c r="L24" s="13">
        <f t="shared" si="8"/>
        <v>0.46652474710262859</v>
      </c>
      <c r="M24" s="13">
        <f t="shared" si="2"/>
        <v>4.9213847394421771E-2</v>
      </c>
      <c r="N24" s="13">
        <f t="shared" si="3"/>
        <v>1.9907544008363367</v>
      </c>
      <c r="O24" s="13">
        <f t="shared" si="3"/>
        <v>0.21000532960147658</v>
      </c>
      <c r="P24" s="13">
        <f t="shared" si="9"/>
        <v>1.0394569169287255</v>
      </c>
      <c r="Q24" s="13">
        <f t="shared" si="4"/>
        <v>2.312460358368384</v>
      </c>
      <c r="R24" s="21">
        <f t="shared" si="5"/>
        <v>0.95797282176633747</v>
      </c>
      <c r="S24" s="13">
        <f t="shared" si="6"/>
        <v>0.47696100526034252</v>
      </c>
      <c r="T24" s="22">
        <f t="shared" si="7"/>
        <v>0.99577147581474867</v>
      </c>
      <c r="U24" s="22"/>
      <c r="V24" s="19"/>
      <c r="X24"/>
    </row>
    <row r="25" spans="3:24">
      <c r="C25" s="17"/>
      <c r="D25" s="18"/>
      <c r="E25" s="13"/>
      <c r="F25" s="13"/>
      <c r="G25" s="13"/>
      <c r="H25" s="13"/>
      <c r="I25" s="72">
        <f t="shared" si="0"/>
        <v>34.924867504811907</v>
      </c>
      <c r="J25" s="13">
        <f t="shared" si="10"/>
        <v>7</v>
      </c>
      <c r="K25" s="13">
        <f t="shared" si="1"/>
        <v>9.2801771999094456</v>
      </c>
      <c r="L25" s="13">
        <f t="shared" si="8"/>
        <v>0.491225925558124</v>
      </c>
      <c r="M25" s="13">
        <f t="shared" si="2"/>
        <v>5.2932817442636476E-2</v>
      </c>
      <c r="N25" s="13">
        <f t="shared" si="3"/>
        <v>2.0961592695416265</v>
      </c>
      <c r="O25" s="13">
        <f t="shared" si="3"/>
        <v>0.22587491859121836</v>
      </c>
      <c r="P25" s="13">
        <f t="shared" si="9"/>
        <v>1.1976815180156803</v>
      </c>
      <c r="Q25" s="13">
        <f t="shared" si="4"/>
        <v>2.2637428248058495</v>
      </c>
      <c r="R25" s="21">
        <f t="shared" si="5"/>
        <v>0.96822611654196233</v>
      </c>
      <c r="S25" s="13">
        <f t="shared" si="6"/>
        <v>0.56139034349042893</v>
      </c>
      <c r="T25" s="22">
        <f t="shared" si="7"/>
        <v>1.1596265250424045</v>
      </c>
      <c r="U25" s="22"/>
      <c r="V25" s="19"/>
      <c r="X25"/>
    </row>
    <row r="26" spans="3:24">
      <c r="C26" s="17"/>
      <c r="D26" s="18"/>
      <c r="E26" s="13"/>
      <c r="F26" s="13"/>
      <c r="G26" s="13"/>
      <c r="H26" s="13"/>
      <c r="I26" s="72">
        <f t="shared" si="0"/>
        <v>34.356323375603438</v>
      </c>
      <c r="J26" s="13">
        <f t="shared" si="10"/>
        <v>7.5</v>
      </c>
      <c r="K26" s="13">
        <f t="shared" si="1"/>
        <v>9.076253787962516</v>
      </c>
      <c r="L26" s="13">
        <f t="shared" si="8"/>
        <v>0.5159271040136193</v>
      </c>
      <c r="M26" s="13">
        <f t="shared" si="2"/>
        <v>5.6843618090304332E-2</v>
      </c>
      <c r="N26" s="13">
        <f t="shared" si="3"/>
        <v>2.201564138246916</v>
      </c>
      <c r="O26" s="13">
        <f t="shared" si="3"/>
        <v>0.24256308711494665</v>
      </c>
      <c r="P26" s="13">
        <f t="shared" si="9"/>
        <v>1.3467159559878579</v>
      </c>
      <c r="Q26" s="13">
        <f t="shared" si="4"/>
        <v>2.1712413980526235</v>
      </c>
      <c r="R26" s="21">
        <f t="shared" si="5"/>
        <v>0.98863568167834293</v>
      </c>
      <c r="S26" s="13">
        <f t="shared" si="6"/>
        <v>0.65814043183618032</v>
      </c>
      <c r="T26" s="22">
        <f t="shared" si="7"/>
        <v>1.331411447175157</v>
      </c>
      <c r="U26" s="22"/>
      <c r="V26" s="19"/>
      <c r="X26"/>
    </row>
    <row r="27" spans="3:24">
      <c r="C27" s="17"/>
      <c r="D27" s="18"/>
      <c r="E27" s="13"/>
      <c r="F27" s="13"/>
      <c r="G27" s="13"/>
      <c r="H27" s="13"/>
      <c r="I27" s="72">
        <f t="shared" si="0"/>
        <v>33.784036140199397</v>
      </c>
      <c r="J27" s="13">
        <f t="shared" si="10"/>
        <v>8</v>
      </c>
      <c r="K27" s="13">
        <f t="shared" si="1"/>
        <v>8.8705751107989865</v>
      </c>
      <c r="L27" s="13">
        <f t="shared" si="8"/>
        <v>0.54062828246911476</v>
      </c>
      <c r="M27" s="13">
        <f t="shared" si="2"/>
        <v>6.094624933742538E-2</v>
      </c>
      <c r="N27" s="13">
        <f t="shared" si="3"/>
        <v>2.3069690069522064</v>
      </c>
      <c r="O27" s="13">
        <f t="shared" si="3"/>
        <v>0.26006983517266158</v>
      </c>
      <c r="P27" s="13">
        <f t="shared" si="9"/>
        <v>1.4757454204631548</v>
      </c>
      <c r="Q27" s="13">
        <f t="shared" si="4"/>
        <v>2.0348407642728645</v>
      </c>
      <c r="R27" s="21">
        <f t="shared" si="5"/>
        <v>1.0212336621082687</v>
      </c>
      <c r="S27" s="13">
        <f t="shared" si="6"/>
        <v>0.76954087334059962</v>
      </c>
      <c r="T27" s="22">
        <f t="shared" si="7"/>
        <v>1.5070809000790943</v>
      </c>
      <c r="U27" s="22"/>
      <c r="V27" s="19"/>
      <c r="X27"/>
    </row>
    <row r="28" spans="3:24">
      <c r="C28" s="17"/>
      <c r="D28" s="18"/>
      <c r="E28" s="13"/>
      <c r="F28" s="13"/>
      <c r="G28" s="13"/>
      <c r="H28" s="13"/>
      <c r="I28" s="72">
        <f t="shared" si="0"/>
        <v>33.208508142747313</v>
      </c>
      <c r="J28" s="13">
        <f t="shared" si="10"/>
        <v>8.5</v>
      </c>
      <c r="K28" s="13">
        <f t="shared" si="1"/>
        <v>8.6652866080843438</v>
      </c>
      <c r="L28" s="13">
        <f t="shared" si="8"/>
        <v>0.56532946092461023</v>
      </c>
      <c r="M28" s="13">
        <f t="shared" si="2"/>
        <v>6.52407111839996E-2</v>
      </c>
      <c r="N28" s="13">
        <f t="shared" si="3"/>
        <v>2.4123738756574968</v>
      </c>
      <c r="O28" s="13">
        <f t="shared" si="3"/>
        <v>0.2783951627643631</v>
      </c>
      <c r="P28" s="13">
        <f t="shared" si="9"/>
        <v>1.5735215493210668</v>
      </c>
      <c r="Q28" s="13">
        <f t="shared" si="4"/>
        <v>1.8568440923430967</v>
      </c>
      <c r="R28" s="21">
        <f t="shared" si="5"/>
        <v>1.0690613192664822</v>
      </c>
      <c r="S28" s="13">
        <f t="shared" si="6"/>
        <v>0.89918267737322266</v>
      </c>
      <c r="T28" s="22">
        <f t="shared" si="7"/>
        <v>1.6821910234114186</v>
      </c>
      <c r="U28" s="22"/>
      <c r="V28" s="19"/>
      <c r="X28"/>
    </row>
    <row r="29" spans="3:24">
      <c r="C29" s="17"/>
      <c r="D29" s="18"/>
      <c r="E29" s="13"/>
      <c r="F29" s="13"/>
      <c r="G29" s="13"/>
      <c r="H29" s="13"/>
      <c r="I29" s="72">
        <f t="shared" si="0"/>
        <v>32.630158227084308</v>
      </c>
      <c r="J29" s="13">
        <f t="shared" si="10"/>
        <v>9</v>
      </c>
      <c r="K29" s="13">
        <f t="shared" si="1"/>
        <v>8.462010536274029</v>
      </c>
      <c r="L29" s="13">
        <f t="shared" si="8"/>
        <v>0.59003063938010558</v>
      </c>
      <c r="M29" s="13">
        <f t="shared" si="2"/>
        <v>6.9727003630026957E-2</v>
      </c>
      <c r="N29" s="13">
        <f t="shared" si="3"/>
        <v>2.5177787443627864</v>
      </c>
      <c r="O29" s="13">
        <f t="shared" si="3"/>
        <v>0.29753906989005102</v>
      </c>
      <c r="P29" s="13">
        <f t="shared" si="9"/>
        <v>1.6289332075308351</v>
      </c>
      <c r="Q29" s="13">
        <f t="shared" si="4"/>
        <v>1.6421995785079628</v>
      </c>
      <c r="R29" s="21">
        <f t="shared" si="5"/>
        <v>1.136782470874931</v>
      </c>
      <c r="S29" s="13">
        <f t="shared" si="6"/>
        <v>1.0525143303705513</v>
      </c>
      <c r="T29" s="22">
        <f t="shared" si="7"/>
        <v>1.8517427165471296</v>
      </c>
      <c r="U29" s="22"/>
      <c r="V29" s="19"/>
      <c r="X29"/>
    </row>
    <row r="30" spans="3:24">
      <c r="C30" s="17"/>
      <c r="D30" s="18"/>
      <c r="E30" s="13"/>
      <c r="F30" s="13"/>
      <c r="G30" s="13"/>
      <c r="H30" s="13"/>
      <c r="I30" s="72">
        <f t="shared" si="0"/>
        <v>32.049338487498247</v>
      </c>
      <c r="J30" s="13">
        <f t="shared" si="10"/>
        <v>9.5</v>
      </c>
      <c r="K30" s="13">
        <f t="shared" si="1"/>
        <v>8.2619551273199683</v>
      </c>
      <c r="L30" s="13">
        <f t="shared" si="8"/>
        <v>0.61473181783560094</v>
      </c>
      <c r="M30" s="13">
        <f t="shared" si="2"/>
        <v>7.4405126675507499E-2</v>
      </c>
      <c r="N30" s="13">
        <f t="shared" si="3"/>
        <v>2.6231836130680763</v>
      </c>
      <c r="O30" s="13">
        <f t="shared" si="3"/>
        <v>0.31750155654972562</v>
      </c>
      <c r="P30" s="13">
        <f t="shared" si="9"/>
        <v>1.6316470405293488</v>
      </c>
      <c r="Q30" s="13">
        <f t="shared" si="4"/>
        <v>1.39857645339304</v>
      </c>
      <c r="R30" s="21">
        <f t="shared" si="5"/>
        <v>1.231819940988631</v>
      </c>
      <c r="S30" s="13">
        <f t="shared" si="6"/>
        <v>1.2379145926005037</v>
      </c>
      <c r="T30" s="22">
        <f t="shared" si="7"/>
        <v>2.009895361179137</v>
      </c>
      <c r="U30" s="22"/>
      <c r="V30" s="19"/>
      <c r="X30"/>
    </row>
    <row r="31" spans="3:24">
      <c r="C31" s="17"/>
      <c r="D31" s="18"/>
      <c r="E31" s="13"/>
      <c r="F31" s="13"/>
      <c r="G31" s="13"/>
      <c r="H31" s="13"/>
      <c r="I31" s="72">
        <f t="shared" si="0"/>
        <v>31.466347142553786</v>
      </c>
      <c r="J31" s="13">
        <f t="shared" si="10"/>
        <v>10</v>
      </c>
      <c r="K31" s="13">
        <f t="shared" si="1"/>
        <v>8.0660025030112461</v>
      </c>
      <c r="L31" s="13">
        <f t="shared" si="8"/>
        <v>0.63943299629109629</v>
      </c>
      <c r="M31" s="13">
        <f t="shared" si="2"/>
        <v>7.9275080320441199E-2</v>
      </c>
      <c r="N31" s="13">
        <f t="shared" si="3"/>
        <v>2.7285884817733659</v>
      </c>
      <c r="O31" s="13">
        <f t="shared" si="3"/>
        <v>0.33828262274338666</v>
      </c>
      <c r="P31" s="13">
        <f t="shared" si="9"/>
        <v>1.5727809473862062</v>
      </c>
      <c r="Q31" s="13">
        <f t="shared" si="4"/>
        <v>1.1362745679831023</v>
      </c>
      <c r="R31" s="21">
        <f t="shared" si="5"/>
        <v>1.3666228979733486</v>
      </c>
      <c r="S31" s="13">
        <f t="shared" si="6"/>
        <v>1.4687085735517835</v>
      </c>
      <c r="T31" s="22">
        <f t="shared" si="7"/>
        <v>2.1493984561942057</v>
      </c>
      <c r="U31" s="22"/>
      <c r="V31" s="19"/>
      <c r="X31"/>
    </row>
    <row r="32" spans="3:24">
      <c r="C32" s="17"/>
      <c r="D32" s="18"/>
      <c r="E32" s="13"/>
      <c r="F32" s="13"/>
      <c r="G32" s="13"/>
      <c r="H32" s="13"/>
      <c r="I32" s="72">
        <f t="shared" ref="I32:I33" si="11">0.5*ATAN(K32)*180/PI()-J32</f>
        <v>30.8814385397636</v>
      </c>
      <c r="J32" s="13">
        <f t="shared" si="10"/>
        <v>10.5</v>
      </c>
      <c r="K32" s="13">
        <f t="shared" ref="K32:K33" si="12">L32/M32</f>
        <v>7.8747790562700484</v>
      </c>
      <c r="L32" s="13">
        <f t="shared" ref="L32:L33" si="13">$H$11*J32+$G$11</f>
        <v>0.66413417474659164</v>
      </c>
      <c r="M32" s="13">
        <f t="shared" ref="M32:M33" si="14">0.015+0.1572*(L32^2)</f>
        <v>8.4336864564828071E-2</v>
      </c>
      <c r="N32" s="13">
        <f t="shared" ref="N32:N33" si="15">$N$4*L32</f>
        <v>2.8339933504786559</v>
      </c>
      <c r="O32" s="13">
        <f t="shared" ref="O32:O33" si="16">$N$4*M32</f>
        <v>0.35988226847103433</v>
      </c>
      <c r="P32" s="13">
        <f t="shared" si="9"/>
        <v>1.4455689880127214</v>
      </c>
      <c r="Q32" s="13">
        <f t="shared" ref="Q32:Q33" si="17">P32*TAN(I32+J32)</f>
        <v>0.86795989251658379</v>
      </c>
      <c r="R32" s="21">
        <f t="shared" ref="R32:R33" si="18">IF(ISERROR(SQRT(2*$E$8/Q32)),0,SQRT(2*$E$8/Q32))</f>
        <v>1.5636534509140234</v>
      </c>
      <c r="S32" s="13">
        <f t="shared" ref="S32:S33" si="19">0.5*P32*R32^2</f>
        <v>1.7672168440582994</v>
      </c>
      <c r="T32" s="22">
        <f t="shared" ref="T32:T33" si="20">R32*P32</f>
        <v>2.2603689366403845</v>
      </c>
      <c r="U32" s="22"/>
      <c r="V32" s="19"/>
      <c r="X32"/>
    </row>
    <row r="33" spans="1:24" ht="16.5" customHeight="1" thickBot="1">
      <c r="C33" s="23"/>
      <c r="D33" s="24"/>
      <c r="E33" s="25"/>
      <c r="F33" s="25"/>
      <c r="G33" s="25"/>
      <c r="H33" s="25"/>
      <c r="I33" s="75">
        <f t="shared" si="11"/>
        <v>30.294831010261817</v>
      </c>
      <c r="J33" s="13">
        <f t="shared" si="10"/>
        <v>11</v>
      </c>
      <c r="K33" s="25">
        <f t="shared" si="12"/>
        <v>7.6887115433321407</v>
      </c>
      <c r="L33" s="25">
        <f t="shared" si="13"/>
        <v>0.688835353202087</v>
      </c>
      <c r="M33" s="25">
        <f t="shared" si="14"/>
        <v>8.9590479408668114E-2</v>
      </c>
      <c r="N33" s="25">
        <f t="shared" si="15"/>
        <v>2.9393982191839454</v>
      </c>
      <c r="O33" s="25">
        <f t="shared" si="16"/>
        <v>0.38230049373266856</v>
      </c>
      <c r="P33" s="13">
        <f t="shared" si="9"/>
        <v>1.2459739857753633</v>
      </c>
      <c r="Q33" s="25">
        <f t="shared" si="17"/>
        <v>0.60822801125725068</v>
      </c>
      <c r="R33" s="26">
        <f t="shared" si="18"/>
        <v>1.867915077760691</v>
      </c>
      <c r="S33" s="25">
        <f t="shared" si="19"/>
        <v>2.1736681143999004</v>
      </c>
      <c r="T33" s="27">
        <f t="shared" si="20"/>
        <v>2.3273735945273857</v>
      </c>
      <c r="U33" s="27"/>
      <c r="V33" s="28"/>
    </row>
    <row r="34" spans="1:24" ht="15" thickBot="1">
      <c r="A34"/>
      <c r="B34"/>
      <c r="T34" s="8"/>
      <c r="V34" s="9"/>
      <c r="W34"/>
      <c r="X34"/>
    </row>
    <row r="35" spans="1:24" ht="17" thickBot="1">
      <c r="A35"/>
      <c r="B35"/>
      <c r="C35" s="42" t="s">
        <v>36</v>
      </c>
      <c r="D35" s="43" t="s">
        <v>37</v>
      </c>
      <c r="E35" s="35" t="s">
        <v>24</v>
      </c>
      <c r="F35" s="36" t="s">
        <v>29</v>
      </c>
      <c r="G35" s="36" t="s">
        <v>30</v>
      </c>
      <c r="H35" s="97" t="s">
        <v>56</v>
      </c>
      <c r="I35" s="36" t="s">
        <v>77</v>
      </c>
      <c r="J35" s="36" t="s">
        <v>80</v>
      </c>
      <c r="K35" s="36" t="s">
        <v>81</v>
      </c>
      <c r="L35" s="110" t="s">
        <v>92</v>
      </c>
      <c r="M35" s="36" t="s">
        <v>89</v>
      </c>
      <c r="N35" s="36" t="s">
        <v>90</v>
      </c>
      <c r="O35" s="38" t="s">
        <v>91</v>
      </c>
      <c r="P35" s="15"/>
      <c r="Q35" s="15"/>
      <c r="R35" s="15"/>
      <c r="S35" s="15"/>
      <c r="T35" s="40"/>
      <c r="U35" s="40"/>
      <c r="V35" s="16"/>
      <c r="W35"/>
      <c r="X35"/>
    </row>
    <row r="36" spans="1:24" ht="16" thickTop="1" thickBot="1">
      <c r="A36"/>
      <c r="B36"/>
      <c r="C36" s="44">
        <v>8</v>
      </c>
      <c r="D36" s="45">
        <f>MAX(T39:T60)</f>
        <v>2.3220910168328635</v>
      </c>
      <c r="E36" s="25">
        <f>$M$4-H36</f>
        <v>1.0559124569589473</v>
      </c>
      <c r="F36" s="25">
        <f>MAX(N39:N61)</f>
        <v>3.0403113070009131</v>
      </c>
      <c r="G36" s="25">
        <f>F36*$L$4</f>
        <v>0.54725603526016431</v>
      </c>
      <c r="H36" s="75">
        <f>(-N36+SQRT(N36^2-4*$P$4*O36))/(2*$P$4)</f>
        <v>0.16328754304105275</v>
      </c>
      <c r="I36" s="25">
        <f>$H$4*SBT!$C$23</f>
        <v>4.4225409836065571E-2</v>
      </c>
      <c r="J36" s="25">
        <f>I36+SBT!$B$23</f>
        <v>0.19422540983606557</v>
      </c>
      <c r="K36" s="25">
        <f>SBT!$B$12*H36</f>
        <v>0.21227380595336859</v>
      </c>
      <c r="L36" s="25">
        <f>(F36*$L$4-(SBT!$F$23*K36+0.5*SBT!$E$23*K36^2)*9.81)/(J36*9.81)</f>
        <v>9.1605854812302753E-2</v>
      </c>
      <c r="M36" s="79">
        <f>J36+SBT!$F$23+2*SBT!$G$23+H36*SBT!$D$23+K36*SBT!$E$23</f>
        <v>0.68327966150851804</v>
      </c>
      <c r="N36" s="25">
        <f>(SBT!$G$23+(SBT!$F$23+J36)*0.5)*9.81</f>
        <v>3.1869031352459021</v>
      </c>
      <c r="O36" s="37">
        <f>-F36*$L$4</f>
        <v>-0.54725603526016431</v>
      </c>
      <c r="P36" s="13"/>
      <c r="Q36" s="13"/>
      <c r="R36" s="13"/>
      <c r="S36" s="13"/>
      <c r="T36" s="13"/>
      <c r="U36" s="13"/>
      <c r="V36" s="19"/>
      <c r="W36"/>
      <c r="X36"/>
    </row>
    <row r="37" spans="1:24">
      <c r="A37"/>
      <c r="B37"/>
      <c r="C37" s="41"/>
      <c r="D37" s="13"/>
      <c r="E37" s="13"/>
      <c r="F37" s="13"/>
      <c r="G37" s="13"/>
      <c r="H37" s="13"/>
      <c r="I37" s="76"/>
      <c r="J37" s="18"/>
      <c r="K37" s="18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9"/>
      <c r="W37"/>
      <c r="X37"/>
    </row>
    <row r="38" spans="1:24" ht="17" thickBot="1">
      <c r="C38" s="47" t="s">
        <v>40</v>
      </c>
      <c r="D38" s="48" t="s">
        <v>42</v>
      </c>
      <c r="E38" s="30" t="s">
        <v>35</v>
      </c>
      <c r="F38" s="29" t="s">
        <v>34</v>
      </c>
      <c r="G38" s="29" t="s">
        <v>41</v>
      </c>
      <c r="H38" s="29" t="s">
        <v>7</v>
      </c>
      <c r="I38" s="70" t="s">
        <v>16</v>
      </c>
      <c r="J38" s="71" t="s">
        <v>17</v>
      </c>
      <c r="K38" s="29" t="s">
        <v>18</v>
      </c>
      <c r="L38" s="46" t="s">
        <v>39</v>
      </c>
      <c r="M38" s="31" t="s">
        <v>10</v>
      </c>
      <c r="N38" s="31" t="s">
        <v>13</v>
      </c>
      <c r="O38" s="31" t="s">
        <v>14</v>
      </c>
      <c r="P38" s="31" t="s">
        <v>8</v>
      </c>
      <c r="Q38" s="31" t="s">
        <v>9</v>
      </c>
      <c r="R38" s="31" t="s">
        <v>19</v>
      </c>
      <c r="S38" s="31" t="s">
        <v>25</v>
      </c>
      <c r="T38" s="32" t="s">
        <v>27</v>
      </c>
      <c r="U38" s="32"/>
      <c r="V38" s="33"/>
    </row>
    <row r="39" spans="1:24" ht="15" thickTop="1">
      <c r="C39" s="50">
        <v>4.7291268840000003</v>
      </c>
      <c r="D39" s="51">
        <v>0.50590000000000002</v>
      </c>
      <c r="E39" s="7">
        <f>$K$4/(2+SQRT(4+$K$4^2))</f>
        <v>0.53518375848799637</v>
      </c>
      <c r="F39" s="7">
        <f>C39*E39</f>
        <v>2.5309519001457468</v>
      </c>
      <c r="G39" s="12">
        <f>D39*E39</f>
        <v>0.27074946341907735</v>
      </c>
      <c r="H39" s="14">
        <f>F39*PI()/180</f>
        <v>4.4173443867150032E-2</v>
      </c>
      <c r="I39" s="72">
        <f t="shared" ref="I39:I59" si="21">0.5*ATAN(K39)*180/PI()-J39</f>
        <v>42.202476309229517</v>
      </c>
      <c r="J39" s="13">
        <v>0</v>
      </c>
      <c r="K39" s="13">
        <f t="shared" ref="K39:K59" si="22">L39/M39</f>
        <v>10.207874431277878</v>
      </c>
      <c r="L39" s="13">
        <f>$H$39*J39+$G$39</f>
        <v>0.27074946341907735</v>
      </c>
      <c r="M39" s="13">
        <f t="shared" ref="M39:M59" si="23">0.015+0.1572*(L39^2)</f>
        <v>2.6523588749238117E-2</v>
      </c>
      <c r="N39" s="13">
        <f t="shared" ref="N39:O58" si="24">$N$4*L39</f>
        <v>1.1553421103018868</v>
      </c>
      <c r="O39" s="13">
        <f t="shared" si="24"/>
        <v>0.11318145791074889</v>
      </c>
      <c r="P39" s="13">
        <f>((N39*COS(I39+J39)+O39*SIN(I39+J39))*SIN(J39+I39)-O39)/$M$36</f>
        <v>0.33609730853338365</v>
      </c>
      <c r="Q39" s="13">
        <f t="shared" ref="Q39:Q59" si="25">P39*TAN(I39+J39)</f>
        <v>1.5844464742544699</v>
      </c>
      <c r="R39" s="21">
        <f>IF(ISERROR(SQRT(2*$E$36/Q39)),0,SQRT(2*$E$36/Q39))</f>
        <v>1.15448998096939</v>
      </c>
      <c r="S39" s="13">
        <f t="shared" ref="S39:S59" si="26">0.5*P39*R39^2</f>
        <v>0.22398316421371103</v>
      </c>
      <c r="T39" s="22">
        <f t="shared" ref="T39:T59" si="27">R39*P39</f>
        <v>0.3880209753325693</v>
      </c>
      <c r="U39" s="22"/>
      <c r="V39" s="19"/>
    </row>
    <row r="40" spans="1:24">
      <c r="C40" s="17"/>
      <c r="D40" s="18"/>
      <c r="E40" s="13"/>
      <c r="F40" s="13"/>
      <c r="G40" s="13"/>
      <c r="H40" s="13"/>
      <c r="I40" s="72">
        <f t="shared" si="21"/>
        <v>41.722526763073837</v>
      </c>
      <c r="J40" s="13">
        <f>J39+0.5</f>
        <v>0.5</v>
      </c>
      <c r="K40" s="13">
        <f t="shared" si="22"/>
        <v>10.282033487085403</v>
      </c>
      <c r="L40" s="13">
        <f t="shared" ref="L40:L59" si="28">$H$39*J40+$G$39</f>
        <v>0.29283618535265238</v>
      </c>
      <c r="M40" s="13">
        <f t="shared" si="23"/>
        <v>2.8480376544237573E-2</v>
      </c>
      <c r="N40" s="13">
        <f t="shared" si="24"/>
        <v>1.2495905701368382</v>
      </c>
      <c r="O40" s="13">
        <f t="shared" si="24"/>
        <v>0.12153146278957057</v>
      </c>
      <c r="P40" s="13">
        <f t="shared" ref="P40:P59" si="29">((N40*COS(I40+J40)+O40*SIN(I40+J40))*SIN(J40+I40)-O40)/$M$36</f>
        <v>0.3311524070578753</v>
      </c>
      <c r="Q40" s="13">
        <f t="shared" si="25"/>
        <v>1.7314600751097358</v>
      </c>
      <c r="R40" s="21">
        <f t="shared" ref="R40:R59" si="30">IF(ISERROR(SQRT(2*$E$36/Q40)),0,SQRT(2*$E$36/Q40))</f>
        <v>1.1043906308828122</v>
      </c>
      <c r="S40" s="13">
        <f t="shared" si="26"/>
        <v>0.20194976297226461</v>
      </c>
      <c r="T40" s="22">
        <f t="shared" si="27"/>
        <v>0.36572161574900874</v>
      </c>
      <c r="U40" s="22"/>
      <c r="V40" s="19"/>
    </row>
    <row r="41" spans="1:24">
      <c r="C41" s="20"/>
      <c r="D41" s="11"/>
      <c r="E41" s="13"/>
      <c r="F41" s="13"/>
      <c r="G41" s="13"/>
      <c r="H41" s="13"/>
      <c r="I41" s="72">
        <f t="shared" si="21"/>
        <v>41.225944836562768</v>
      </c>
      <c r="J41" s="13">
        <f t="shared" ref="J41:J57" si="31">J40+0.5</f>
        <v>1</v>
      </c>
      <c r="K41" s="13">
        <f t="shared" si="22"/>
        <v>10.294782264985644</v>
      </c>
      <c r="L41" s="13">
        <f t="shared" si="28"/>
        <v>0.3149229072862274</v>
      </c>
      <c r="M41" s="13">
        <f t="shared" si="23"/>
        <v>3.0590535980283461E-2</v>
      </c>
      <c r="N41" s="13">
        <f t="shared" si="24"/>
        <v>1.3438390299717895</v>
      </c>
      <c r="O41" s="13">
        <f t="shared" si="24"/>
        <v>0.13053593513506559</v>
      </c>
      <c r="P41" s="13">
        <f t="shared" si="29"/>
        <v>0.35011984791948098</v>
      </c>
      <c r="Q41" s="13">
        <f t="shared" si="25"/>
        <v>1.8651635624771281</v>
      </c>
      <c r="R41" s="21">
        <f t="shared" si="30"/>
        <v>1.0640707209246494</v>
      </c>
      <c r="S41" s="13">
        <f t="shared" si="26"/>
        <v>0.19821098604122314</v>
      </c>
      <c r="T41" s="22">
        <f t="shared" si="27"/>
        <v>0.37255227898571075</v>
      </c>
      <c r="U41" s="22"/>
      <c r="V41" s="19"/>
    </row>
    <row r="42" spans="1:24">
      <c r="C42" s="17"/>
      <c r="D42" s="18"/>
      <c r="E42" s="13"/>
      <c r="F42" s="13"/>
      <c r="G42" s="13"/>
      <c r="H42" s="13"/>
      <c r="I42" s="72">
        <f t="shared" si="21"/>
        <v>40.71599959109205</v>
      </c>
      <c r="J42" s="13">
        <f t="shared" si="31"/>
        <v>1.5</v>
      </c>
      <c r="K42" s="13">
        <f t="shared" si="22"/>
        <v>10.257775045970861</v>
      </c>
      <c r="L42" s="13">
        <f t="shared" si="28"/>
        <v>0.33700962921980238</v>
      </c>
      <c r="M42" s="13">
        <f t="shared" si="23"/>
        <v>3.2854067057375758E-2</v>
      </c>
      <c r="N42" s="13">
        <f t="shared" si="24"/>
        <v>1.4380874898067406</v>
      </c>
      <c r="O42" s="13">
        <f t="shared" si="24"/>
        <v>0.14019487494723382</v>
      </c>
      <c r="P42" s="13">
        <f t="shared" si="29"/>
        <v>0.39332097488422152</v>
      </c>
      <c r="Q42" s="13">
        <f t="shared" si="25"/>
        <v>1.986162184572944</v>
      </c>
      <c r="R42" s="21">
        <f t="shared" si="30"/>
        <v>1.0311494158753451</v>
      </c>
      <c r="S42" s="13">
        <f t="shared" si="26"/>
        <v>0.2091030230005036</v>
      </c>
      <c r="T42" s="22">
        <f t="shared" si="27"/>
        <v>0.40557269350338632</v>
      </c>
      <c r="U42" s="22"/>
      <c r="V42" s="19"/>
    </row>
    <row r="43" spans="1:24">
      <c r="C43" s="17"/>
      <c r="D43" s="13"/>
      <c r="E43" s="13"/>
      <c r="F43" s="13"/>
      <c r="G43" s="13"/>
      <c r="H43" s="13"/>
      <c r="I43" s="72">
        <f t="shared" si="21"/>
        <v>40.195159063456892</v>
      </c>
      <c r="J43" s="13">
        <f t="shared" si="31"/>
        <v>2</v>
      </c>
      <c r="K43" s="13">
        <f t="shared" si="22"/>
        <v>10.181073938110606</v>
      </c>
      <c r="L43" s="13">
        <f t="shared" si="28"/>
        <v>0.3590963511533774</v>
      </c>
      <c r="M43" s="13">
        <f t="shared" si="23"/>
        <v>3.5270969775514485E-2</v>
      </c>
      <c r="N43" s="13">
        <f t="shared" si="24"/>
        <v>1.532335949641692</v>
      </c>
      <c r="O43" s="13">
        <f t="shared" si="24"/>
        <v>0.1505082822260754</v>
      </c>
      <c r="P43" s="13">
        <f t="shared" si="29"/>
        <v>0.46002485688953137</v>
      </c>
      <c r="Q43" s="13">
        <f t="shared" si="25"/>
        <v>2.0931021305012156</v>
      </c>
      <c r="R43" s="21">
        <f t="shared" si="30"/>
        <v>1.0044625392549014</v>
      </c>
      <c r="S43" s="13">
        <f t="shared" si="26"/>
        <v>0.2320698879533872</v>
      </c>
      <c r="T43" s="22">
        <f t="shared" si="27"/>
        <v>0.46207773587163131</v>
      </c>
      <c r="U43" s="22"/>
      <c r="V43" s="19"/>
    </row>
    <row r="44" spans="1:24">
      <c r="C44" s="17"/>
      <c r="D44" s="13"/>
      <c r="E44" s="13"/>
      <c r="F44" s="13"/>
      <c r="G44" s="13"/>
      <c r="H44" s="13"/>
      <c r="I44" s="72">
        <f t="shared" si="21"/>
        <v>39.665321483763016</v>
      </c>
      <c r="J44" s="13">
        <f t="shared" si="31"/>
        <v>2.5</v>
      </c>
      <c r="K44" s="13">
        <f t="shared" si="22"/>
        <v>10.073217247564422</v>
      </c>
      <c r="L44" s="13">
        <f t="shared" si="28"/>
        <v>0.38118307308695243</v>
      </c>
      <c r="M44" s="13">
        <f t="shared" si="23"/>
        <v>3.7841244134699636E-2</v>
      </c>
      <c r="N44" s="13">
        <f t="shared" si="24"/>
        <v>1.6265844094766433</v>
      </c>
      <c r="O44" s="13">
        <f t="shared" si="24"/>
        <v>0.16147615697159029</v>
      </c>
      <c r="P44" s="13">
        <f t="shared" si="29"/>
        <v>0.54861553112273553</v>
      </c>
      <c r="Q44" s="13">
        <f t="shared" si="25"/>
        <v>2.183317576264991</v>
      </c>
      <c r="R44" s="21">
        <f t="shared" si="30"/>
        <v>0.98349124695357526</v>
      </c>
      <c r="S44" s="13">
        <f t="shared" si="26"/>
        <v>0.26532556678476382</v>
      </c>
      <c r="T44" s="22">
        <f t="shared" si="27"/>
        <v>0.53955857280199715</v>
      </c>
      <c r="U44" s="22"/>
      <c r="V44" s="19"/>
    </row>
    <row r="45" spans="1:24">
      <c r="C45" s="17"/>
      <c r="D45" s="13"/>
      <c r="E45" s="13"/>
      <c r="F45" s="13"/>
      <c r="G45" s="13"/>
      <c r="H45" s="13"/>
      <c r="I45" s="72">
        <f t="shared" si="21"/>
        <v>39.127970809087756</v>
      </c>
      <c r="J45" s="13">
        <f t="shared" si="31"/>
        <v>3</v>
      </c>
      <c r="K45" s="13">
        <f t="shared" si="22"/>
        <v>9.9413506034190906</v>
      </c>
      <c r="L45" s="13">
        <f t="shared" si="28"/>
        <v>0.40326979502052746</v>
      </c>
      <c r="M45" s="13">
        <f t="shared" si="23"/>
        <v>4.0564890134931204E-2</v>
      </c>
      <c r="N45" s="13">
        <f t="shared" si="24"/>
        <v>1.7208328693115946</v>
      </c>
      <c r="O45" s="13">
        <f t="shared" si="24"/>
        <v>0.17309849918377843</v>
      </c>
      <c r="P45" s="13">
        <f t="shared" si="29"/>
        <v>0.65658364551402304</v>
      </c>
      <c r="Q45" s="13">
        <f t="shared" si="25"/>
        <v>2.2533576711448684</v>
      </c>
      <c r="R45" s="21">
        <f t="shared" si="30"/>
        <v>0.96808588626028702</v>
      </c>
      <c r="S45" s="13">
        <f t="shared" si="26"/>
        <v>0.30767190633412878</v>
      </c>
      <c r="T45" s="22">
        <f t="shared" si="27"/>
        <v>0.63562936037145312</v>
      </c>
      <c r="U45" s="22"/>
      <c r="V45" s="19"/>
    </row>
    <row r="46" spans="1:24">
      <c r="C46" s="17"/>
      <c r="D46" s="13"/>
      <c r="E46" s="13"/>
      <c r="F46" s="13"/>
      <c r="G46" s="13"/>
      <c r="H46" s="13"/>
      <c r="I46" s="72">
        <f t="shared" si="21"/>
        <v>38.58428396874298</v>
      </c>
      <c r="J46" s="13">
        <f t="shared" si="31"/>
        <v>3.5</v>
      </c>
      <c r="K46" s="13">
        <f t="shared" si="22"/>
        <v>9.7913866754039613</v>
      </c>
      <c r="L46" s="13">
        <f t="shared" si="28"/>
        <v>0.42535651695410248</v>
      </c>
      <c r="M46" s="13">
        <f t="shared" si="23"/>
        <v>4.3441907776209196E-2</v>
      </c>
      <c r="N46" s="13">
        <f t="shared" si="24"/>
        <v>1.815081329146546</v>
      </c>
      <c r="O46" s="13">
        <f t="shared" si="24"/>
        <v>0.18537530886263986</v>
      </c>
      <c r="P46" s="13">
        <f t="shared" si="29"/>
        <v>0.78046986203239099</v>
      </c>
      <c r="Q46" s="13">
        <f t="shared" si="25"/>
        <v>2.2994346837017154</v>
      </c>
      <c r="R46" s="21">
        <f t="shared" si="30"/>
        <v>0.95833735240447582</v>
      </c>
      <c r="S46" s="13">
        <f t="shared" si="26"/>
        <v>0.35839585070290109</v>
      </c>
      <c r="T46" s="22">
        <f t="shared" si="27"/>
        <v>0.74795342121160813</v>
      </c>
      <c r="U46" s="22"/>
      <c r="V46" s="19"/>
    </row>
    <row r="47" spans="1:24">
      <c r="C47" s="17"/>
      <c r="D47" s="13"/>
      <c r="E47" s="13"/>
      <c r="F47" s="13"/>
      <c r="G47" s="13"/>
      <c r="H47" s="13"/>
      <c r="I47" s="72">
        <f t="shared" si="21"/>
        <v>38.035206445033651</v>
      </c>
      <c r="J47" s="13">
        <f t="shared" si="31"/>
        <v>4</v>
      </c>
      <c r="K47" s="13">
        <f t="shared" si="22"/>
        <v>9.6281713452663187</v>
      </c>
      <c r="L47" s="13">
        <f t="shared" si="28"/>
        <v>0.44744323888767745</v>
      </c>
      <c r="M47" s="13">
        <f t="shared" si="23"/>
        <v>4.6472297058533604E-2</v>
      </c>
      <c r="N47" s="13">
        <f t="shared" si="24"/>
        <v>1.9093297889814971</v>
      </c>
      <c r="O47" s="13">
        <f t="shared" si="24"/>
        <v>0.19830658600817458</v>
      </c>
      <c r="P47" s="13">
        <f t="shared" si="29"/>
        <v>0.91582348979186057</v>
      </c>
      <c r="Q47" s="13">
        <f t="shared" si="25"/>
        <v>2.3178230076016617</v>
      </c>
      <c r="R47" s="21">
        <f t="shared" si="30"/>
        <v>0.95452832381491104</v>
      </c>
      <c r="S47" s="13">
        <f t="shared" si="26"/>
        <v>0.4172145276301587</v>
      </c>
      <c r="T47" s="22">
        <f t="shared" si="27"/>
        <v>0.87417946062134699</v>
      </c>
      <c r="U47" s="22"/>
      <c r="V47" s="19"/>
    </row>
    <row r="48" spans="1:24">
      <c r="C48" s="17"/>
      <c r="D48" s="18"/>
      <c r="E48" s="13"/>
      <c r="F48" s="13"/>
      <c r="G48" s="13"/>
      <c r="H48" s="13"/>
      <c r="I48" s="72">
        <f t="shared" si="21"/>
        <v>37.481506581585208</v>
      </c>
      <c r="J48" s="13">
        <f t="shared" si="31"/>
        <v>4.5</v>
      </c>
      <c r="K48" s="13">
        <f t="shared" si="22"/>
        <v>9.4556430756617367</v>
      </c>
      <c r="L48" s="13">
        <f t="shared" si="28"/>
        <v>0.46952996082125253</v>
      </c>
      <c r="M48" s="13">
        <f t="shared" si="23"/>
        <v>4.965605798190445E-2</v>
      </c>
      <c r="N48" s="13">
        <f t="shared" si="24"/>
        <v>2.0035782488164489</v>
      </c>
      <c r="O48" s="13">
        <f t="shared" si="24"/>
        <v>0.21189233062038265</v>
      </c>
      <c r="P48" s="13">
        <f t="shared" si="29"/>
        <v>1.0572082827564071</v>
      </c>
      <c r="Q48" s="13">
        <f t="shared" si="25"/>
        <v>2.3052243448379706</v>
      </c>
      <c r="R48" s="21">
        <f t="shared" si="30"/>
        <v>0.9571331449473639</v>
      </c>
      <c r="S48" s="13">
        <f t="shared" si="26"/>
        <v>0.48425629282564736</v>
      </c>
      <c r="T48" s="22">
        <f t="shared" si="27"/>
        <v>1.0118890885390419</v>
      </c>
      <c r="U48" s="22"/>
      <c r="V48" s="19"/>
    </row>
    <row r="49" spans="3:22">
      <c r="C49" s="17"/>
      <c r="D49" s="22"/>
      <c r="E49" s="13"/>
      <c r="F49" s="13"/>
      <c r="G49" s="13"/>
      <c r="H49" s="13"/>
      <c r="I49" s="72">
        <f t="shared" si="21"/>
        <v>36.923815289208008</v>
      </c>
      <c r="J49" s="13">
        <f t="shared" si="31"/>
        <v>5</v>
      </c>
      <c r="K49" s="13">
        <f t="shared" si="22"/>
        <v>9.2769783756481328</v>
      </c>
      <c r="L49" s="13">
        <f t="shared" si="28"/>
        <v>0.49161668275482751</v>
      </c>
      <c r="M49" s="13">
        <f t="shared" si="23"/>
        <v>5.2993190546321706E-2</v>
      </c>
      <c r="N49" s="13">
        <f t="shared" si="24"/>
        <v>2.0978267086513998</v>
      </c>
      <c r="O49" s="13">
        <f t="shared" si="24"/>
        <v>0.22613254269926397</v>
      </c>
      <c r="P49" s="13">
        <f t="shared" si="29"/>
        <v>1.1982708465428709</v>
      </c>
      <c r="Q49" s="13">
        <f t="shared" si="25"/>
        <v>2.259102978263491</v>
      </c>
      <c r="R49" s="21">
        <f t="shared" si="30"/>
        <v>0.96685409391779298</v>
      </c>
      <c r="S49" s="13">
        <f t="shared" si="26"/>
        <v>0.56007589111671985</v>
      </c>
      <c r="T49" s="22">
        <f t="shared" si="27"/>
        <v>1.1585530736023142</v>
      </c>
      <c r="U49" s="22"/>
      <c r="V49" s="19"/>
    </row>
    <row r="50" spans="3:22">
      <c r="C50" s="17"/>
      <c r="D50" s="18"/>
      <c r="E50" s="13"/>
      <c r="F50" s="13"/>
      <c r="G50" s="13"/>
      <c r="H50" s="13"/>
      <c r="I50" s="72">
        <f t="shared" si="21"/>
        <v>36.362655532259346</v>
      </c>
      <c r="J50" s="13">
        <f t="shared" si="31"/>
        <v>5.5</v>
      </c>
      <c r="K50" s="13">
        <f t="shared" si="22"/>
        <v>9.0947202895604651</v>
      </c>
      <c r="L50" s="13">
        <f t="shared" si="28"/>
        <v>0.51370340468840259</v>
      </c>
      <c r="M50" s="13">
        <f t="shared" si="23"/>
        <v>5.6483694751785399E-2</v>
      </c>
      <c r="N50" s="13">
        <f t="shared" si="24"/>
        <v>2.1920751684863515</v>
      </c>
      <c r="O50" s="13">
        <f t="shared" si="24"/>
        <v>0.24102722224481865</v>
      </c>
      <c r="P50" s="13">
        <f t="shared" si="29"/>
        <v>1.3318774874360826</v>
      </c>
      <c r="Q50" s="13">
        <f t="shared" si="25"/>
        <v>2.1779872595768337</v>
      </c>
      <c r="R50" s="21">
        <f t="shared" si="30"/>
        <v>0.98469398958729504</v>
      </c>
      <c r="S50" s="13">
        <f t="shared" si="26"/>
        <v>0.64570902513001194</v>
      </c>
      <c r="T50" s="22">
        <f t="shared" si="27"/>
        <v>1.3114917567449387</v>
      </c>
      <c r="U50" s="22"/>
      <c r="V50" s="19"/>
    </row>
    <row r="51" spans="3:22">
      <c r="C51" s="17"/>
      <c r="D51" s="18"/>
      <c r="E51" s="13"/>
      <c r="F51" s="13"/>
      <c r="G51" s="13"/>
      <c r="H51" s="13"/>
      <c r="I51" s="72">
        <f t="shared" si="21"/>
        <v>35.798464537169146</v>
      </c>
      <c r="J51" s="13">
        <f t="shared" si="31"/>
        <v>6</v>
      </c>
      <c r="K51" s="13">
        <f t="shared" si="22"/>
        <v>8.9108893190034575</v>
      </c>
      <c r="L51" s="13">
        <f t="shared" si="28"/>
        <v>0.53579012662197756</v>
      </c>
      <c r="M51" s="13">
        <f t="shared" si="23"/>
        <v>6.0127570598295488E-2</v>
      </c>
      <c r="N51" s="13">
        <f t="shared" si="24"/>
        <v>2.2863236283213024</v>
      </c>
      <c r="O51" s="13">
        <f t="shared" si="24"/>
        <v>0.25657636925704652</v>
      </c>
      <c r="P51" s="13">
        <f t="shared" si="29"/>
        <v>1.4503188627540873</v>
      </c>
      <c r="Q51" s="13">
        <f t="shared" si="25"/>
        <v>2.0617287152716712</v>
      </c>
      <c r="R51" s="21">
        <f t="shared" si="30"/>
        <v>1.0120761594148067</v>
      </c>
      <c r="S51" s="13">
        <f t="shared" si="26"/>
        <v>0.74277946579542253</v>
      </c>
      <c r="T51" s="22">
        <f t="shared" si="27"/>
        <v>1.4678331445430068</v>
      </c>
      <c r="U51" s="22"/>
      <c r="V51" s="19"/>
    </row>
    <row r="52" spans="3:22">
      <c r="C52" s="17"/>
      <c r="D52" s="18"/>
      <c r="E52" s="13"/>
      <c r="F52" s="13"/>
      <c r="G52" s="13"/>
      <c r="H52" s="13"/>
      <c r="I52" s="72">
        <f t="shared" si="21"/>
        <v>35.231610735524654</v>
      </c>
      <c r="J52" s="13">
        <f t="shared" si="31"/>
        <v>6.5</v>
      </c>
      <c r="K52" s="13">
        <f t="shared" si="22"/>
        <v>8.7270776086732909</v>
      </c>
      <c r="L52" s="13">
        <f t="shared" si="28"/>
        <v>0.55787684855555253</v>
      </c>
      <c r="M52" s="13">
        <f t="shared" si="23"/>
        <v>6.3924818085852014E-2</v>
      </c>
      <c r="N52" s="13">
        <f t="shared" si="24"/>
        <v>2.3805720881562538</v>
      </c>
      <c r="O52" s="13">
        <f t="shared" si="24"/>
        <v>0.2727799837359477</v>
      </c>
      <c r="P52" s="13">
        <f t="shared" si="29"/>
        <v>1.5455768086359751</v>
      </c>
      <c r="Q52" s="13">
        <f t="shared" si="25"/>
        <v>1.9117078536348278</v>
      </c>
      <c r="R52" s="21">
        <f t="shared" si="30"/>
        <v>1.0510374537209333</v>
      </c>
      <c r="S52" s="13">
        <f t="shared" si="26"/>
        <v>0.85368368515230408</v>
      </c>
      <c r="T52" s="22">
        <f t="shared" si="27"/>
        <v>1.6244591134788815</v>
      </c>
      <c r="U52" s="22"/>
      <c r="V52" s="19"/>
    </row>
    <row r="53" spans="3:22">
      <c r="C53" s="17"/>
      <c r="D53" s="18"/>
      <c r="E53" s="13"/>
      <c r="F53" s="13"/>
      <c r="G53" s="13"/>
      <c r="H53" s="13"/>
      <c r="I53" s="72">
        <f t="shared" si="21"/>
        <v>34.662406842472578</v>
      </c>
      <c r="J53" s="13">
        <f t="shared" si="31"/>
        <v>7</v>
      </c>
      <c r="K53" s="13">
        <f t="shared" si="22"/>
        <v>8.5445279513516947</v>
      </c>
      <c r="L53" s="13">
        <f t="shared" si="28"/>
        <v>0.5799635704891275</v>
      </c>
      <c r="M53" s="13">
        <f t="shared" si="23"/>
        <v>6.7875437214454964E-2</v>
      </c>
      <c r="N53" s="13">
        <f t="shared" si="24"/>
        <v>2.4748205479912047</v>
      </c>
      <c r="O53" s="13">
        <f t="shared" si="24"/>
        <v>0.28963806568152223</v>
      </c>
      <c r="P53" s="13">
        <f t="shared" si="29"/>
        <v>1.6096435683390153</v>
      </c>
      <c r="Q53" s="13">
        <f t="shared" si="25"/>
        <v>1.7309753151488017</v>
      </c>
      <c r="R53" s="21">
        <f t="shared" si="30"/>
        <v>1.1045452624588443</v>
      </c>
      <c r="S53" s="13">
        <f t="shared" si="26"/>
        <v>0.98189886372060087</v>
      </c>
      <c r="T53" s="22">
        <f t="shared" si="27"/>
        <v>1.7779241776562085</v>
      </c>
      <c r="U53" s="22"/>
      <c r="V53" s="19"/>
    </row>
    <row r="54" spans="3:22">
      <c r="C54" s="17"/>
      <c r="D54" s="18"/>
      <c r="E54" s="13"/>
      <c r="F54" s="13"/>
      <c r="G54" s="13"/>
      <c r="H54" s="13"/>
      <c r="I54" s="72">
        <f t="shared" si="21"/>
        <v>34.091120060998541</v>
      </c>
      <c r="J54" s="13">
        <f t="shared" si="31"/>
        <v>7.5</v>
      </c>
      <c r="K54" s="13">
        <f t="shared" si="22"/>
        <v>8.3641994564843873</v>
      </c>
      <c r="L54" s="13">
        <f t="shared" si="28"/>
        <v>0.60205029242270258</v>
      </c>
      <c r="M54" s="13">
        <f t="shared" si="23"/>
        <v>7.1979427984104338E-2</v>
      </c>
      <c r="N54" s="13">
        <f t="shared" si="24"/>
        <v>2.5690690078261564</v>
      </c>
      <c r="O54" s="13">
        <f t="shared" si="24"/>
        <v>0.30715061509377001</v>
      </c>
      <c r="P54" s="13">
        <f t="shared" si="29"/>
        <v>1.6348801199826402</v>
      </c>
      <c r="Q54" s="13">
        <f t="shared" si="25"/>
        <v>1.5243180519836543</v>
      </c>
      <c r="R54" s="21">
        <f t="shared" si="30"/>
        <v>1.177039826956005</v>
      </c>
      <c r="S54" s="13">
        <f t="shared" si="26"/>
        <v>1.132500059339794</v>
      </c>
      <c r="T54" s="22">
        <f t="shared" si="27"/>
        <v>1.9243190135181794</v>
      </c>
      <c r="U54" s="22"/>
      <c r="V54" s="19"/>
    </row>
    <row r="55" spans="3:22">
      <c r="C55" s="17"/>
      <c r="D55" s="18"/>
      <c r="E55" s="13"/>
      <c r="F55" s="13"/>
      <c r="G55" s="13"/>
      <c r="H55" s="13"/>
      <c r="I55" s="72">
        <f t="shared" si="21"/>
        <v>33.517980122785943</v>
      </c>
      <c r="J55" s="13">
        <f t="shared" si="31"/>
        <v>8</v>
      </c>
      <c r="K55" s="13">
        <f t="shared" si="22"/>
        <v>8.1868217578956202</v>
      </c>
      <c r="L55" s="13">
        <f t="shared" si="28"/>
        <v>0.62413701435627766</v>
      </c>
      <c r="M55" s="13">
        <f t="shared" si="23"/>
        <v>7.623679039480015E-2</v>
      </c>
      <c r="N55" s="13">
        <f t="shared" si="24"/>
        <v>2.6633174676611078</v>
      </c>
      <c r="O55" s="13">
        <f t="shared" si="24"/>
        <v>0.3253176319726912</v>
      </c>
      <c r="P55" s="13">
        <f t="shared" si="29"/>
        <v>1.6143974131322476</v>
      </c>
      <c r="Q55" s="13">
        <f t="shared" si="25"/>
        <v>1.2982424393923644</v>
      </c>
      <c r="R55" s="21">
        <f t="shared" si="30"/>
        <v>1.2754136289772739</v>
      </c>
      <c r="S55" s="13">
        <f t="shared" si="26"/>
        <v>1.3130539314417258</v>
      </c>
      <c r="T55" s="22">
        <f t="shared" si="27"/>
        <v>2.0590244632945232</v>
      </c>
      <c r="U55" s="22"/>
      <c r="V55" s="19"/>
    </row>
    <row r="56" spans="3:22">
      <c r="C56" s="17"/>
      <c r="D56" s="18"/>
      <c r="E56" s="13"/>
      <c r="F56" s="13"/>
      <c r="G56" s="13"/>
      <c r="H56" s="13"/>
      <c r="I56" s="72">
        <f t="shared" si="21"/>
        <v>32.943185682398841</v>
      </c>
      <c r="J56" s="13">
        <f t="shared" si="31"/>
        <v>8.5</v>
      </c>
      <c r="K56" s="13">
        <f t="shared" si="22"/>
        <v>8.0129395257284735</v>
      </c>
      <c r="L56" s="13">
        <f t="shared" si="28"/>
        <v>0.64622373628985263</v>
      </c>
      <c r="M56" s="13">
        <f t="shared" si="23"/>
        <v>8.0647524446542357E-2</v>
      </c>
      <c r="N56" s="13">
        <f t="shared" si="24"/>
        <v>2.7575659274960591</v>
      </c>
      <c r="O56" s="13">
        <f t="shared" si="24"/>
        <v>0.34413911631828553</v>
      </c>
      <c r="P56" s="13">
        <f t="shared" si="29"/>
        <v>1.5424421570141236</v>
      </c>
      <c r="Q56" s="13">
        <f t="shared" si="25"/>
        <v>1.0608693457772862</v>
      </c>
      <c r="R56" s="21">
        <f t="shared" si="30"/>
        <v>1.4109057529606104</v>
      </c>
      <c r="S56" s="13">
        <f t="shared" si="26"/>
        <v>1.5352351297666389</v>
      </c>
      <c r="T56" s="22">
        <f t="shared" si="27"/>
        <v>2.1762405129402</v>
      </c>
      <c r="U56" s="22"/>
      <c r="V56" s="19"/>
    </row>
    <row r="57" spans="3:22">
      <c r="C57" s="17"/>
      <c r="D57" s="18"/>
      <c r="E57" s="13"/>
      <c r="F57" s="13"/>
      <c r="G57" s="13"/>
      <c r="H57" s="13"/>
      <c r="I57" s="72">
        <f t="shared" si="21"/>
        <v>32.366909445151542</v>
      </c>
      <c r="J57" s="13">
        <f t="shared" si="31"/>
        <v>9</v>
      </c>
      <c r="K57" s="13">
        <f t="shared" si="22"/>
        <v>7.8429488689591054</v>
      </c>
      <c r="L57" s="13">
        <f t="shared" si="28"/>
        <v>0.66831045822342761</v>
      </c>
      <c r="M57" s="13">
        <f t="shared" si="23"/>
        <v>8.5211630139330988E-2</v>
      </c>
      <c r="N57" s="13">
        <f t="shared" si="24"/>
        <v>2.85181438733101</v>
      </c>
      <c r="O57" s="13">
        <f t="shared" si="24"/>
        <v>0.36361506813055317</v>
      </c>
      <c r="P57" s="13">
        <f t="shared" si="29"/>
        <v>1.4147674667326571</v>
      </c>
      <c r="Q57" s="13">
        <f t="shared" si="25"/>
        <v>0.82173996879077749</v>
      </c>
      <c r="R57" s="21">
        <f t="shared" si="30"/>
        <v>1.6031041889186159</v>
      </c>
      <c r="S57" s="13">
        <f t="shared" si="26"/>
        <v>1.8179359025478028</v>
      </c>
      <c r="T57" s="22">
        <f t="shared" si="27"/>
        <v>2.268019652264901</v>
      </c>
      <c r="U57" s="22"/>
      <c r="V57" s="19"/>
    </row>
    <row r="58" spans="3:22">
      <c r="C58" s="17"/>
      <c r="D58" s="18"/>
      <c r="E58" s="13"/>
      <c r="F58" s="13"/>
      <c r="G58" s="13"/>
      <c r="H58" s="13"/>
      <c r="I58" s="72">
        <f t="shared" si="21"/>
        <v>31.789302311839904</v>
      </c>
      <c r="J58" s="13">
        <v>9.5</v>
      </c>
      <c r="K58" s="13">
        <f t="shared" si="22"/>
        <v>7.6771270121079569</v>
      </c>
      <c r="L58" s="13">
        <f t="shared" si="28"/>
        <v>0.69039718015700258</v>
      </c>
      <c r="M58" s="13">
        <f t="shared" si="23"/>
        <v>8.9929107473166042E-2</v>
      </c>
      <c r="N58" s="13">
        <f t="shared" si="24"/>
        <v>2.9460628471659613</v>
      </c>
      <c r="O58" s="13">
        <f t="shared" si="24"/>
        <v>0.3837454874094941</v>
      </c>
      <c r="P58" s="13">
        <f t="shared" si="29"/>
        <v>1.228968259732282</v>
      </c>
      <c r="Q58" s="13">
        <f t="shared" si="25"/>
        <v>0.59153543514100682</v>
      </c>
      <c r="R58" s="21">
        <f t="shared" si="30"/>
        <v>1.8894637826844338</v>
      </c>
      <c r="S58" s="13">
        <f t="shared" si="26"/>
        <v>2.1937534382012824</v>
      </c>
      <c r="T58" s="22">
        <f t="shared" si="27"/>
        <v>2.3220910168328635</v>
      </c>
      <c r="U58" s="22"/>
      <c r="V58" s="19"/>
    </row>
    <row r="59" spans="3:22">
      <c r="C59" s="17"/>
      <c r="D59" s="18"/>
      <c r="E59" s="13"/>
      <c r="F59" s="13"/>
      <c r="G59" s="13"/>
      <c r="H59" s="13"/>
      <c r="I59" s="72">
        <f t="shared" si="21"/>
        <v>31.210496753389961</v>
      </c>
      <c r="J59" s="13">
        <v>10</v>
      </c>
      <c r="K59" s="13">
        <f t="shared" si="22"/>
        <v>7.5156564283975653</v>
      </c>
      <c r="L59" s="13">
        <f t="shared" si="28"/>
        <v>0.71248390209057766</v>
      </c>
      <c r="M59" s="13">
        <f t="shared" si="23"/>
        <v>9.4799956448047534E-2</v>
      </c>
      <c r="N59" s="13">
        <f t="shared" ref="N59:O59" si="32">$N$4*L59</f>
        <v>3.0403113070009131</v>
      </c>
      <c r="O59" s="13">
        <f t="shared" si="32"/>
        <v>0.40453037415510845</v>
      </c>
      <c r="P59" s="13">
        <f t="shared" si="29"/>
        <v>0.9847618611179052</v>
      </c>
      <c r="Q59" s="13">
        <f t="shared" si="25"/>
        <v>0.38171751401465731</v>
      </c>
      <c r="R59" s="21">
        <f t="shared" si="30"/>
        <v>2.3521115318626813</v>
      </c>
      <c r="S59" s="13">
        <f t="shared" si="26"/>
        <v>2.7240623710353131</v>
      </c>
      <c r="T59" s="22">
        <f t="shared" si="27"/>
        <v>2.3162697296739809</v>
      </c>
      <c r="U59" s="22"/>
      <c r="V59" s="19"/>
    </row>
    <row r="60" spans="3:22" ht="15" thickBot="1">
      <c r="C60" s="23"/>
      <c r="D60" s="24"/>
      <c r="E60" s="25"/>
      <c r="F60" s="25"/>
      <c r="G60" s="25"/>
      <c r="H60" s="25"/>
      <c r="I60" s="75"/>
      <c r="J60" s="25"/>
      <c r="K60" s="25"/>
      <c r="L60" s="25"/>
      <c r="M60" s="25"/>
      <c r="N60" s="25"/>
      <c r="O60" s="25"/>
      <c r="P60" s="25"/>
      <c r="Q60" s="25"/>
      <c r="R60" s="26"/>
      <c r="S60" s="25"/>
      <c r="T60" s="27"/>
      <c r="U60" s="27"/>
      <c r="V60" s="28"/>
    </row>
    <row r="62" spans="3:22" ht="15" thickBot="1"/>
    <row r="63" spans="3:22" ht="17" thickBot="1">
      <c r="C63" s="42" t="s">
        <v>36</v>
      </c>
      <c r="D63" s="43" t="s">
        <v>37</v>
      </c>
      <c r="E63" s="35" t="s">
        <v>24</v>
      </c>
      <c r="F63" s="36" t="s">
        <v>29</v>
      </c>
      <c r="G63" s="36" t="s">
        <v>30</v>
      </c>
      <c r="H63" s="97" t="s">
        <v>56</v>
      </c>
      <c r="I63" s="36" t="s">
        <v>77</v>
      </c>
      <c r="J63" s="36" t="s">
        <v>80</v>
      </c>
      <c r="K63" s="36" t="s">
        <v>81</v>
      </c>
      <c r="L63" s="110" t="s">
        <v>92</v>
      </c>
      <c r="M63" s="36" t="s">
        <v>89</v>
      </c>
      <c r="N63" s="36" t="s">
        <v>90</v>
      </c>
      <c r="O63" s="38" t="s">
        <v>91</v>
      </c>
      <c r="P63" s="15"/>
      <c r="Q63" s="15"/>
      <c r="R63" s="15"/>
      <c r="S63" s="15"/>
      <c r="T63" s="40"/>
      <c r="U63" s="40"/>
      <c r="V63" s="16"/>
    </row>
    <row r="64" spans="3:22" ht="16" thickTop="1" thickBot="1">
      <c r="C64" s="44">
        <v>12</v>
      </c>
      <c r="D64" s="45">
        <f>MAX(T67:T88)</f>
        <v>2.3102479864275409</v>
      </c>
      <c r="E64" s="25">
        <f>$M$4-H64</f>
        <v>1.046268123203455</v>
      </c>
      <c r="F64" s="25">
        <f>MAX(N67:N89)</f>
        <v>3.2292219034086305</v>
      </c>
      <c r="G64" s="25">
        <f>F64*$L$4</f>
        <v>0.5812599426135534</v>
      </c>
      <c r="H64" s="75">
        <f>(-N64+SQRT(N64^2-4*$P$4*O64))/(2*$P$4)</f>
        <v>0.17293187679654509</v>
      </c>
      <c r="I64" s="25">
        <f>$H$4*SBT!$C$23</f>
        <v>4.4225409836065571E-2</v>
      </c>
      <c r="J64" s="25">
        <f>I64+SBT!$B$23</f>
        <v>0.19422540983606557</v>
      </c>
      <c r="K64" s="25">
        <f>SBT!$B$12*H64</f>
        <v>0.22481143983550864</v>
      </c>
      <c r="L64" s="25">
        <f>(F64*$L$4-(SBT!$F$23*K64+0.5*SBT!$E$23*K64^2)*9.81)/(J64*9.81)</f>
        <v>9.7250412823630131E-2</v>
      </c>
      <c r="M64" s="79">
        <f>J64+SBT!$F$23+2*SBT!$G$23+H64*SBT!$D$23+K64*SBT!$E$23</f>
        <v>0.68526149304335571</v>
      </c>
      <c r="N64" s="25">
        <f>(SBT!$G$23+(SBT!$F$23+J64)*0.5)*9.81</f>
        <v>3.1869031352459021</v>
      </c>
      <c r="O64" s="37">
        <f>-F64*$L$4</f>
        <v>-0.5812599426135534</v>
      </c>
      <c r="P64" s="13"/>
      <c r="Q64" s="13"/>
      <c r="R64" s="13"/>
      <c r="S64" s="13"/>
      <c r="T64" s="13"/>
      <c r="U64" s="13"/>
      <c r="V64" s="19"/>
    </row>
    <row r="65" spans="3:22">
      <c r="C65" s="41"/>
      <c r="D65" s="13"/>
      <c r="E65" s="13"/>
      <c r="F65" s="13"/>
      <c r="G65" s="13"/>
      <c r="H65" s="13"/>
      <c r="I65" s="76"/>
      <c r="J65" s="18"/>
      <c r="K65" s="18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9"/>
    </row>
    <row r="66" spans="3:22" ht="17" thickBot="1">
      <c r="C66" s="47" t="s">
        <v>40</v>
      </c>
      <c r="D66" s="48" t="s">
        <v>42</v>
      </c>
      <c r="E66" s="30" t="s">
        <v>35</v>
      </c>
      <c r="F66" s="29" t="s">
        <v>34</v>
      </c>
      <c r="G66" s="29" t="s">
        <v>41</v>
      </c>
      <c r="H66" s="29" t="s">
        <v>7</v>
      </c>
      <c r="I66" s="70" t="s">
        <v>16</v>
      </c>
      <c r="J66" s="71" t="s">
        <v>17</v>
      </c>
      <c r="K66" s="29" t="s">
        <v>18</v>
      </c>
      <c r="L66" s="46" t="s">
        <v>39</v>
      </c>
      <c r="M66" s="31" t="s">
        <v>10</v>
      </c>
      <c r="N66" s="31" t="s">
        <v>13</v>
      </c>
      <c r="O66" s="31" t="s">
        <v>14</v>
      </c>
      <c r="P66" s="31" t="s">
        <v>8</v>
      </c>
      <c r="Q66" s="31" t="s">
        <v>9</v>
      </c>
      <c r="R66" s="31" t="s">
        <v>19</v>
      </c>
      <c r="S66" s="31" t="s">
        <v>25</v>
      </c>
      <c r="T66" s="32" t="s">
        <v>27</v>
      </c>
      <c r="U66" s="32"/>
      <c r="V66" s="33"/>
    </row>
    <row r="67" spans="3:22" ht="15" thickTop="1">
      <c r="C67" s="50">
        <v>4.189766723</v>
      </c>
      <c r="D67" s="51">
        <v>0.73760000000000003</v>
      </c>
      <c r="E67" s="7">
        <f>$K$4/(2+SQRT(4+$K$4^2))</f>
        <v>0.53518375848799637</v>
      </c>
      <c r="F67" s="7">
        <f>C67*E67</f>
        <v>2.2422951020030761</v>
      </c>
      <c r="G67" s="12">
        <f>D67*E67</f>
        <v>0.39475154026074616</v>
      </c>
      <c r="H67" s="14">
        <f>F67*PI()/180</f>
        <v>3.9135432331295773E-2</v>
      </c>
      <c r="I67" s="72">
        <f t="shared" ref="I67:I84" si="33">0.5*ATAN(K67)*180/PI()-J67</f>
        <v>42.143185179447741</v>
      </c>
      <c r="J67" s="13">
        <v>0</v>
      </c>
      <c r="K67" s="13">
        <f t="shared" ref="K67:K84" si="34">L67/M67</f>
        <v>9.99465013970865</v>
      </c>
      <c r="L67" s="13">
        <f>$H$67*J67+$G$67</f>
        <v>0.39475154026074616</v>
      </c>
      <c r="M67" s="13">
        <f t="shared" ref="M67:M84" si="35">0.015+0.1572*(L67^2)</f>
        <v>3.9496283986209989E-2</v>
      </c>
      <c r="N67" s="13">
        <f t="shared" ref="N67:O83" si="36">$N$4*L67</f>
        <v>1.6844837726006561</v>
      </c>
      <c r="O67" s="13">
        <f t="shared" si="36"/>
        <v>0.16853854302595525</v>
      </c>
      <c r="P67" s="13">
        <f>((N67*COS(I67+J67)+O67*SIN(I67+J67))*SIN(J67+I67)-O67)/$M$64</f>
        <v>0.61107420168145032</v>
      </c>
      <c r="Q67" s="13">
        <f t="shared" ref="Q67:Q84" si="37">P67*TAN(I67+J67)</f>
        <v>2.222527583732274</v>
      </c>
      <c r="R67" s="21">
        <f>IF(ISERROR(SQRT(2*$E$64/Q67)),0,SQRT(2*$E$64/Q67))</f>
        <v>0.97031537924805134</v>
      </c>
      <c r="S67" s="13">
        <f t="shared" ref="S67:S84" si="38">0.5*P67*R67^2</f>
        <v>0.28766682708956487</v>
      </c>
      <c r="T67" s="22">
        <f t="shared" ref="T67:T84" si="39">R67*P67</f>
        <v>0.59293469575323665</v>
      </c>
      <c r="U67" s="22"/>
      <c r="V67" s="19"/>
    </row>
    <row r="68" spans="3:22">
      <c r="C68" s="17"/>
      <c r="D68" s="18"/>
      <c r="E68" s="13"/>
      <c r="F68" s="13"/>
      <c r="G68" s="13"/>
      <c r="H68" s="13"/>
      <c r="I68" s="72">
        <f t="shared" si="33"/>
        <v>41.606843535914997</v>
      </c>
      <c r="J68" s="13">
        <f>J67+0.5</f>
        <v>0.5</v>
      </c>
      <c r="K68" s="13">
        <f t="shared" si="34"/>
        <v>9.8682633761120773</v>
      </c>
      <c r="L68" s="13">
        <f t="shared" ref="L68:L84" si="40">$H$67*J68+$G$67</f>
        <v>0.41431925642639406</v>
      </c>
      <c r="M68" s="13">
        <f t="shared" si="35"/>
        <v>4.1985022149827196E-2</v>
      </c>
      <c r="N68" s="13">
        <f t="shared" si="36"/>
        <v>1.7679831310227088</v>
      </c>
      <c r="O68" s="13">
        <f t="shared" si="36"/>
        <v>0.1791584865177426</v>
      </c>
      <c r="P68" s="13">
        <f t="shared" ref="P68:P86" si="41">((N68*COS(I68+J68)+O68*SIN(I68+J68))*SIN(J68+I68)-O68)/$M$64</f>
        <v>0.71475286264279192</v>
      </c>
      <c r="Q68" s="13">
        <f t="shared" si="37"/>
        <v>2.2730501514160051</v>
      </c>
      <c r="R68" s="21">
        <f t="shared" ref="R68:R86" si="42">IF(ISERROR(SQRT(2*$E$64/Q68)),0,SQRT(2*$E$64/Q68))</f>
        <v>0.9594712939914195</v>
      </c>
      <c r="S68" s="13">
        <f t="shared" si="38"/>
        <v>0.32899544063544373</v>
      </c>
      <c r="T68" s="22">
        <f t="shared" si="39"/>
        <v>0.68578485400395084</v>
      </c>
      <c r="U68" s="22"/>
      <c r="V68" s="19"/>
    </row>
    <row r="69" spans="3:22">
      <c r="C69" s="20"/>
      <c r="D69" s="11"/>
      <c r="E69" s="13"/>
      <c r="F69" s="13"/>
      <c r="G69" s="13"/>
      <c r="H69" s="13"/>
      <c r="I69" s="72">
        <f t="shared" si="33"/>
        <v>41.065922400910068</v>
      </c>
      <c r="J69" s="13">
        <f t="shared" ref="J69:J85" si="43">J68+0.5</f>
        <v>1</v>
      </c>
      <c r="K69" s="13">
        <f t="shared" si="34"/>
        <v>9.7296852607878517</v>
      </c>
      <c r="L69" s="13">
        <f t="shared" si="40"/>
        <v>0.43388697259204195</v>
      </c>
      <c r="M69" s="13">
        <f t="shared" si="35"/>
        <v>4.4594142663655738E-2</v>
      </c>
      <c r="N69" s="13">
        <f t="shared" si="36"/>
        <v>1.8514824894447615</v>
      </c>
      <c r="O69" s="13">
        <f t="shared" si="36"/>
        <v>0.19029212557435177</v>
      </c>
      <c r="P69" s="13">
        <f t="shared" si="41"/>
        <v>0.82925881432124282</v>
      </c>
      <c r="Q69" s="13">
        <f t="shared" si="37"/>
        <v>2.3033316183405743</v>
      </c>
      <c r="R69" s="21">
        <f t="shared" si="42"/>
        <v>0.95314343319693984</v>
      </c>
      <c r="S69" s="13">
        <f t="shared" si="38"/>
        <v>0.37668352068856131</v>
      </c>
      <c r="T69" s="22">
        <f t="shared" si="39"/>
        <v>0.79040259329097307</v>
      </c>
      <c r="U69" s="22"/>
      <c r="V69" s="19"/>
    </row>
    <row r="70" spans="3:22">
      <c r="C70" s="17"/>
      <c r="D70" s="18"/>
      <c r="E70" s="13"/>
      <c r="F70" s="13"/>
      <c r="G70" s="13"/>
      <c r="H70" s="13"/>
      <c r="I70" s="72">
        <f t="shared" si="33"/>
        <v>40.521019808752058</v>
      </c>
      <c r="J70" s="13">
        <f t="shared" si="43"/>
        <v>1.5</v>
      </c>
      <c r="K70" s="13">
        <f t="shared" si="34"/>
        <v>9.5819898002640311</v>
      </c>
      <c r="L70" s="13">
        <f t="shared" si="40"/>
        <v>0.45345468875768979</v>
      </c>
      <c r="M70" s="13">
        <f t="shared" si="35"/>
        <v>4.73236455276956E-2</v>
      </c>
      <c r="N70" s="13">
        <f t="shared" si="36"/>
        <v>1.9349818478668139</v>
      </c>
      <c r="O70" s="13">
        <f t="shared" si="36"/>
        <v>0.20193946019578266</v>
      </c>
      <c r="P70" s="13">
        <f t="shared" si="41"/>
        <v>0.95119965730615696</v>
      </c>
      <c r="Q70" s="13">
        <f t="shared" si="37"/>
        <v>2.3108834823626778</v>
      </c>
      <c r="R70" s="21">
        <f t="shared" si="42"/>
        <v>0.95158474363554002</v>
      </c>
      <c r="S70" s="13">
        <f t="shared" si="38"/>
        <v>0.43066207700959747</v>
      </c>
      <c r="T70" s="22">
        <f t="shared" si="39"/>
        <v>0.90514708204389294</v>
      </c>
      <c r="U70" s="22"/>
      <c r="V70" s="19"/>
    </row>
    <row r="71" spans="3:22">
      <c r="C71" s="17"/>
      <c r="D71" s="13"/>
      <c r="E71" s="13"/>
      <c r="F71" s="13"/>
      <c r="G71" s="13"/>
      <c r="H71" s="13"/>
      <c r="I71" s="72">
        <f t="shared" si="33"/>
        <v>39.972635280020469</v>
      </c>
      <c r="J71" s="13">
        <f t="shared" si="43"/>
        <v>2</v>
      </c>
      <c r="K71" s="13">
        <f t="shared" si="34"/>
        <v>9.427728085475847</v>
      </c>
      <c r="L71" s="13">
        <f t="shared" si="40"/>
        <v>0.47302240492333769</v>
      </c>
      <c r="M71" s="13">
        <f t="shared" si="35"/>
        <v>5.0173530741946804E-2</v>
      </c>
      <c r="N71" s="13">
        <f t="shared" si="36"/>
        <v>2.0184812062888664</v>
      </c>
      <c r="O71" s="13">
        <f t="shared" si="36"/>
        <v>0.21410049038203541</v>
      </c>
      <c r="P71" s="13">
        <f t="shared" si="41"/>
        <v>1.0765874730461069</v>
      </c>
      <c r="Q71" s="13">
        <f t="shared" si="37"/>
        <v>2.2935621640732968</v>
      </c>
      <c r="R71" s="21">
        <f t="shared" si="42"/>
        <v>0.95517123880319654</v>
      </c>
      <c r="S71" s="13">
        <f t="shared" si="38"/>
        <v>0.49111341847733037</v>
      </c>
      <c r="T71" s="22">
        <f t="shared" si="39"/>
        <v>1.0283253903094529</v>
      </c>
      <c r="U71" s="22"/>
      <c r="V71" s="19"/>
    </row>
    <row r="72" spans="3:22">
      <c r="C72" s="17"/>
      <c r="D72" s="13"/>
      <c r="E72" s="13"/>
      <c r="F72" s="13"/>
      <c r="G72" s="13"/>
      <c r="H72" s="13"/>
      <c r="I72" s="72">
        <f t="shared" si="33"/>
        <v>39.421189347131424</v>
      </c>
      <c r="J72" s="13">
        <f t="shared" si="43"/>
        <v>2.5</v>
      </c>
      <c r="K72" s="13">
        <f t="shared" si="34"/>
        <v>9.2690047905284434</v>
      </c>
      <c r="L72" s="13">
        <f t="shared" si="40"/>
        <v>0.49259012108898559</v>
      </c>
      <c r="M72" s="13">
        <f t="shared" si="35"/>
        <v>5.3143798306409348E-2</v>
      </c>
      <c r="N72" s="13">
        <f t="shared" si="36"/>
        <v>2.1019805647109191</v>
      </c>
      <c r="O72" s="13">
        <f t="shared" si="36"/>
        <v>0.22677521613310997</v>
      </c>
      <c r="P72" s="13">
        <f t="shared" si="41"/>
        <v>1.2008880824906754</v>
      </c>
      <c r="Q72" s="13">
        <f t="shared" si="37"/>
        <v>2.2497459580370873</v>
      </c>
      <c r="R72" s="21">
        <f t="shared" si="42"/>
        <v>0.96442787558308041</v>
      </c>
      <c r="S72" s="13">
        <f t="shared" si="38"/>
        <v>0.55848568846465363</v>
      </c>
      <c r="T72" s="22">
        <f t="shared" si="39"/>
        <v>1.1581699422095211</v>
      </c>
      <c r="U72" s="22"/>
      <c r="V72" s="19"/>
    </row>
    <row r="73" spans="3:22">
      <c r="C73" s="17"/>
      <c r="D73" s="13"/>
      <c r="E73" s="13"/>
      <c r="F73" s="13"/>
      <c r="G73" s="13"/>
      <c r="H73" s="13"/>
      <c r="I73" s="72">
        <f t="shared" si="33"/>
        <v>38.867038614009182</v>
      </c>
      <c r="J73" s="13">
        <f t="shared" si="43"/>
        <v>3</v>
      </c>
      <c r="K73" s="13">
        <f t="shared" si="34"/>
        <v>9.1075462364475914</v>
      </c>
      <c r="L73" s="13">
        <f t="shared" si="40"/>
        <v>0.51215783725463349</v>
      </c>
      <c r="M73" s="13">
        <f t="shared" si="35"/>
        <v>5.6234448221083221E-2</v>
      </c>
      <c r="N73" s="13">
        <f t="shared" si="36"/>
        <v>2.1854799231329718</v>
      </c>
      <c r="O73" s="13">
        <f t="shared" si="36"/>
        <v>0.23996363744900631</v>
      </c>
      <c r="P73" s="13">
        <f t="shared" si="41"/>
        <v>1.3191036416249189</v>
      </c>
      <c r="Q73" s="13">
        <f t="shared" si="37"/>
        <v>2.1784948394666346</v>
      </c>
      <c r="R73" s="21">
        <f t="shared" si="42"/>
        <v>0.98007255316321629</v>
      </c>
      <c r="S73" s="13">
        <f t="shared" si="38"/>
        <v>0.63352736321911518</v>
      </c>
      <c r="T73" s="22">
        <f t="shared" si="39"/>
        <v>1.2928172739342305</v>
      </c>
      <c r="U73" s="22"/>
      <c r="V73" s="19"/>
    </row>
    <row r="74" spans="3:22">
      <c r="C74" s="17"/>
      <c r="D74" s="13"/>
      <c r="E74" s="13"/>
      <c r="F74" s="13"/>
      <c r="G74" s="13"/>
      <c r="H74" s="13"/>
      <c r="I74" s="72">
        <f t="shared" si="33"/>
        <v>38.310487497465189</v>
      </c>
      <c r="J74" s="13">
        <f t="shared" si="43"/>
        <v>3.5</v>
      </c>
      <c r="K74" s="13">
        <f t="shared" si="34"/>
        <v>8.9447599560708468</v>
      </c>
      <c r="L74" s="13">
        <f t="shared" si="40"/>
        <v>0.53172555342028138</v>
      </c>
      <c r="M74" s="13">
        <f t="shared" si="35"/>
        <v>5.9445480485968427E-2</v>
      </c>
      <c r="N74" s="13">
        <f t="shared" si="36"/>
        <v>2.2689792815550245</v>
      </c>
      <c r="O74" s="13">
        <f t="shared" si="36"/>
        <v>0.25366575432972449</v>
      </c>
      <c r="P74" s="13">
        <f t="shared" si="41"/>
        <v>1.4258877705258184</v>
      </c>
      <c r="Q74" s="13">
        <f t="shared" si="37"/>
        <v>2.0796891019983543</v>
      </c>
      <c r="R74" s="21">
        <f t="shared" si="42"/>
        <v>1.0030839621274463</v>
      </c>
      <c r="S74" s="13">
        <f t="shared" si="38"/>
        <v>0.71734804982787603</v>
      </c>
      <c r="T74" s="22">
        <f t="shared" si="39"/>
        <v>1.430285154408109</v>
      </c>
      <c r="U74" s="22"/>
      <c r="V74" s="19"/>
    </row>
    <row r="75" spans="3:22">
      <c r="C75" s="17"/>
      <c r="D75" s="13"/>
      <c r="E75" s="13"/>
      <c r="F75" s="13"/>
      <c r="G75" s="13"/>
      <c r="H75" s="13"/>
      <c r="I75" s="72">
        <f t="shared" si="33"/>
        <v>37.751797472879062</v>
      </c>
      <c r="J75" s="13">
        <f t="shared" si="43"/>
        <v>4</v>
      </c>
      <c r="K75" s="13">
        <f t="shared" si="34"/>
        <v>8.7817861762420435</v>
      </c>
      <c r="L75" s="13">
        <f t="shared" si="40"/>
        <v>0.55129326958592928</v>
      </c>
      <c r="M75" s="13">
        <f t="shared" si="35"/>
        <v>6.2776895101064975E-2</v>
      </c>
      <c r="N75" s="13">
        <f t="shared" si="36"/>
        <v>2.3524786399770772</v>
      </c>
      <c r="O75" s="13">
        <f t="shared" si="36"/>
        <v>0.26788156677526448</v>
      </c>
      <c r="P75" s="13">
        <f t="shared" si="41"/>
        <v>1.5156906006388831</v>
      </c>
      <c r="Q75" s="13">
        <f t="shared" si="37"/>
        <v>1.95414206216126</v>
      </c>
      <c r="R75" s="21">
        <f t="shared" si="42"/>
        <v>1.0348047851316251</v>
      </c>
      <c r="S75" s="13">
        <f t="shared" si="38"/>
        <v>0.81151661938726338</v>
      </c>
      <c r="T75" s="22">
        <f t="shared" si="39"/>
        <v>1.5684438863201431</v>
      </c>
      <c r="U75" s="22"/>
      <c r="V75" s="19"/>
    </row>
    <row r="76" spans="3:22">
      <c r="C76" s="17"/>
      <c r="D76" s="18"/>
      <c r="E76" s="13"/>
      <c r="F76" s="13"/>
      <c r="G76" s="13"/>
      <c r="H76" s="13"/>
      <c r="I76" s="72">
        <f t="shared" si="33"/>
        <v>37.191194421748584</v>
      </c>
      <c r="J76" s="13">
        <f t="shared" si="43"/>
        <v>4.5</v>
      </c>
      <c r="K76" s="13">
        <f t="shared" si="34"/>
        <v>8.6195418924999085</v>
      </c>
      <c r="L76" s="13">
        <f t="shared" si="40"/>
        <v>0.57086098575157718</v>
      </c>
      <c r="M76" s="13">
        <f t="shared" si="35"/>
        <v>6.6228692066372857E-2</v>
      </c>
      <c r="N76" s="13">
        <f t="shared" si="36"/>
        <v>2.4359779983991299</v>
      </c>
      <c r="O76" s="13">
        <f t="shared" si="36"/>
        <v>0.28261107478562625</v>
      </c>
      <c r="P76" s="13">
        <f t="shared" si="41"/>
        <v>1.5829295688226837</v>
      </c>
      <c r="Q76" s="13">
        <f t="shared" si="37"/>
        <v>1.8036819373204573</v>
      </c>
      <c r="R76" s="21">
        <f t="shared" si="42"/>
        <v>1.0771012171957606</v>
      </c>
      <c r="S76" s="13">
        <f t="shared" si="38"/>
        <v>0.91821552063428735</v>
      </c>
      <c r="T76" s="22">
        <f t="shared" si="39"/>
        <v>1.7049753653140731</v>
      </c>
      <c r="U76" s="22"/>
      <c r="V76" s="19"/>
    </row>
    <row r="77" spans="3:22">
      <c r="C77" s="17"/>
      <c r="D77" s="22"/>
      <c r="E77" s="13"/>
      <c r="F77" s="13"/>
      <c r="G77" s="13"/>
      <c r="H77" s="13"/>
      <c r="I77" s="72">
        <f t="shared" si="33"/>
        <v>36.62887452059821</v>
      </c>
      <c r="J77" s="13">
        <f t="shared" si="43"/>
        <v>5</v>
      </c>
      <c r="K77" s="13">
        <f t="shared" si="34"/>
        <v>8.4587583253351166</v>
      </c>
      <c r="L77" s="13">
        <f t="shared" si="40"/>
        <v>0.59042870191722496</v>
      </c>
      <c r="M77" s="13">
        <f t="shared" si="35"/>
        <v>6.9800871381892032E-2</v>
      </c>
      <c r="N77" s="13">
        <f t="shared" si="36"/>
        <v>2.5194773568211821</v>
      </c>
      <c r="O77" s="13">
        <f t="shared" si="36"/>
        <v>0.29785427836080969</v>
      </c>
      <c r="P77" s="13">
        <f t="shared" si="41"/>
        <v>1.6221804364888945</v>
      </c>
      <c r="Q77" s="13">
        <f t="shared" si="37"/>
        <v>1.6311983719038163</v>
      </c>
      <c r="R77" s="21">
        <f t="shared" si="42"/>
        <v>1.13261707617708</v>
      </c>
      <c r="S77" s="13">
        <f t="shared" si="38"/>
        <v>1.0404839227504297</v>
      </c>
      <c r="T77" s="22">
        <f t="shared" si="39"/>
        <v>1.837309263007711</v>
      </c>
      <c r="U77" s="22"/>
      <c r="V77" s="19"/>
    </row>
    <row r="78" spans="3:22">
      <c r="C78" s="17"/>
      <c r="D78" s="18"/>
      <c r="E78" s="13"/>
      <c r="F78" s="13"/>
      <c r="G78" s="13"/>
      <c r="H78" s="13"/>
      <c r="I78" s="72">
        <f t="shared" si="33"/>
        <v>36.065008998185775</v>
      </c>
      <c r="J78" s="13">
        <f t="shared" si="43"/>
        <v>5.5</v>
      </c>
      <c r="K78" s="13">
        <f t="shared" si="34"/>
        <v>8.3000125696619023</v>
      </c>
      <c r="L78" s="13">
        <f t="shared" si="40"/>
        <v>0.60999641808287297</v>
      </c>
      <c r="M78" s="13">
        <f t="shared" si="35"/>
        <v>7.3493433047622597E-2</v>
      </c>
      <c r="N78" s="13">
        <f t="shared" si="36"/>
        <v>2.6029767152432353</v>
      </c>
      <c r="O78" s="13">
        <f t="shared" si="36"/>
        <v>0.31361117750081513</v>
      </c>
      <c r="P78" s="13">
        <f t="shared" si="41"/>
        <v>1.6283818700187902</v>
      </c>
      <c r="Q78" s="13">
        <f t="shared" si="37"/>
        <v>1.4406498592416364</v>
      </c>
      <c r="R78" s="21">
        <f t="shared" si="42"/>
        <v>1.2051948693630372</v>
      </c>
      <c r="S78" s="13">
        <f t="shared" si="38"/>
        <v>1.1826079960191986</v>
      </c>
      <c r="T78" s="22">
        <f t="shared" si="39"/>
        <v>1.9625174751104342</v>
      </c>
      <c r="U78" s="22"/>
      <c r="V78" s="19"/>
    </row>
    <row r="79" spans="3:22">
      <c r="C79" s="17"/>
      <c r="D79" s="18"/>
      <c r="E79" s="13"/>
      <c r="F79" s="13"/>
      <c r="G79" s="13"/>
      <c r="H79" s="13"/>
      <c r="I79" s="72">
        <f t="shared" si="33"/>
        <v>35.499748006812851</v>
      </c>
      <c r="J79" s="13">
        <f t="shared" si="43"/>
        <v>6</v>
      </c>
      <c r="K79" s="13">
        <f t="shared" si="34"/>
        <v>8.1437542174673041</v>
      </c>
      <c r="L79" s="13">
        <f t="shared" si="40"/>
        <v>0.62956413424852076</v>
      </c>
      <c r="M79" s="13">
        <f t="shared" si="35"/>
        <v>7.7306377063564469E-2</v>
      </c>
      <c r="N79" s="13">
        <f t="shared" si="36"/>
        <v>2.6864760736652875</v>
      </c>
      <c r="O79" s="13">
        <f t="shared" si="36"/>
        <v>0.3298817722056423</v>
      </c>
      <c r="P79" s="13">
        <f t="shared" si="41"/>
        <v>1.597046009864536</v>
      </c>
      <c r="Q79" s="13">
        <f t="shared" si="37"/>
        <v>1.2370294031950095</v>
      </c>
      <c r="R79" s="21">
        <f t="shared" si="42"/>
        <v>1.3006081869740524</v>
      </c>
      <c r="S79" s="13">
        <f t="shared" si="38"/>
        <v>1.3507668670565323</v>
      </c>
      <c r="T79" s="22">
        <f t="shared" si="39"/>
        <v>2.0771311154040588</v>
      </c>
      <c r="U79" s="22"/>
      <c r="V79" s="19"/>
    </row>
    <row r="80" spans="3:22">
      <c r="C80" s="17"/>
      <c r="D80" s="18"/>
      <c r="E80" s="13"/>
      <c r="F80" s="13"/>
      <c r="G80" s="13"/>
      <c r="H80" s="13"/>
      <c r="I80" s="72">
        <f t="shared" si="33"/>
        <v>34.933223794374662</v>
      </c>
      <c r="J80" s="13">
        <f t="shared" si="43"/>
        <v>6.5</v>
      </c>
      <c r="K80" s="13">
        <f t="shared" si="34"/>
        <v>7.9903276724261723</v>
      </c>
      <c r="L80" s="13">
        <f t="shared" si="40"/>
        <v>0.64913185041416877</v>
      </c>
      <c r="M80" s="13">
        <f t="shared" si="35"/>
        <v>8.1239703429717702E-2</v>
      </c>
      <c r="N80" s="13">
        <f t="shared" si="36"/>
        <v>2.7699754320873411</v>
      </c>
      <c r="O80" s="13">
        <f t="shared" si="36"/>
        <v>0.34666606247529136</v>
      </c>
      <c r="P80" s="13">
        <f t="shared" si="41"/>
        <v>1.5244668128977661</v>
      </c>
      <c r="Q80" s="13">
        <f t="shared" si="37"/>
        <v>1.0262871101181004</v>
      </c>
      <c r="R80" s="21">
        <f t="shared" si="42"/>
        <v>1.4279140194453142</v>
      </c>
      <c r="S80" s="13">
        <f t="shared" si="38"/>
        <v>1.5541469979418849</v>
      </c>
      <c r="T80" s="22">
        <f t="shared" si="39"/>
        <v>2.1768075343158371</v>
      </c>
      <c r="U80" s="22"/>
      <c r="V80" s="19"/>
    </row>
    <row r="81" spans="3:22">
      <c r="C81" s="17"/>
      <c r="D81" s="18"/>
      <c r="E81" s="13"/>
      <c r="F81" s="13"/>
      <c r="G81" s="13"/>
      <c r="H81" s="13"/>
      <c r="I81" s="72">
        <f t="shared" si="33"/>
        <v>34.365553320169653</v>
      </c>
      <c r="J81" s="13">
        <f t="shared" si="43"/>
        <v>7</v>
      </c>
      <c r="K81" s="13">
        <f t="shared" si="34"/>
        <v>7.8399908006322132</v>
      </c>
      <c r="L81" s="13">
        <f t="shared" si="40"/>
        <v>0.66869956657981655</v>
      </c>
      <c r="M81" s="13">
        <f t="shared" si="35"/>
        <v>8.5293412146082229E-2</v>
      </c>
      <c r="N81" s="13">
        <f t="shared" si="36"/>
        <v>2.8534747905093929</v>
      </c>
      <c r="O81" s="13">
        <f t="shared" si="36"/>
        <v>0.36396404830976209</v>
      </c>
      <c r="P81" s="13">
        <f t="shared" si="41"/>
        <v>1.4079176063395062</v>
      </c>
      <c r="Q81" s="13">
        <f t="shared" si="37"/>
        <v>0.81520992432613659</v>
      </c>
      <c r="R81" s="21">
        <f t="shared" si="42"/>
        <v>1.6021448041513218</v>
      </c>
      <c r="S81" s="13">
        <f t="shared" si="38"/>
        <v>1.8069693064980612</v>
      </c>
      <c r="T81" s="22">
        <f t="shared" si="39"/>
        <v>2.255687877670006</v>
      </c>
      <c r="U81" s="22"/>
      <c r="V81" s="19"/>
    </row>
    <row r="82" spans="3:22">
      <c r="C82" s="17"/>
      <c r="D82" s="18"/>
      <c r="E82" s="13"/>
      <c r="F82" s="13"/>
      <c r="G82" s="13"/>
      <c r="H82" s="13"/>
      <c r="I82" s="72">
        <f t="shared" si="33"/>
        <v>33.796840425012157</v>
      </c>
      <c r="J82" s="13">
        <f t="shared" si="43"/>
        <v>7.5</v>
      </c>
      <c r="K82" s="13">
        <f t="shared" si="34"/>
        <v>7.692930483479576</v>
      </c>
      <c r="L82" s="13">
        <f t="shared" si="40"/>
        <v>0.68826728274546445</v>
      </c>
      <c r="M82" s="13">
        <f t="shared" si="35"/>
        <v>8.9467503212658103E-2</v>
      </c>
      <c r="N82" s="13">
        <f t="shared" si="36"/>
        <v>2.9369741489314456</v>
      </c>
      <c r="O82" s="13">
        <f t="shared" si="36"/>
        <v>0.38177572970905466</v>
      </c>
      <c r="P82" s="13">
        <f t="shared" si="41"/>
        <v>1.2458292654542791</v>
      </c>
      <c r="Q82" s="13">
        <f t="shared" si="37"/>
        <v>0.61126034567612442</v>
      </c>
      <c r="R82" s="21">
        <f t="shared" si="42"/>
        <v>1.8502200520899741</v>
      </c>
      <c r="S82" s="13">
        <f t="shared" si="38"/>
        <v>2.132432533239168</v>
      </c>
      <c r="T82" s="22">
        <f t="shared" si="39"/>
        <v>2.3050582884240303</v>
      </c>
      <c r="U82" s="22"/>
      <c r="V82" s="19"/>
    </row>
    <row r="83" spans="3:22">
      <c r="C83" s="17"/>
      <c r="D83" s="18"/>
      <c r="E83" s="13"/>
      <c r="F83" s="13"/>
      <c r="G83" s="13"/>
      <c r="H83" s="13"/>
      <c r="I83" s="72">
        <f t="shared" si="33"/>
        <v>33.227177641781374</v>
      </c>
      <c r="J83" s="13">
        <f t="shared" si="43"/>
        <v>8</v>
      </c>
      <c r="K83" s="13">
        <f t="shared" si="34"/>
        <v>7.5492755630412072</v>
      </c>
      <c r="L83" s="13">
        <f t="shared" si="40"/>
        <v>0.70783499891111235</v>
      </c>
      <c r="M83" s="13">
        <f t="shared" si="35"/>
        <v>9.3761976629445326E-2</v>
      </c>
      <c r="N83" s="13">
        <f t="shared" si="36"/>
        <v>3.0204735073534987</v>
      </c>
      <c r="O83" s="13">
        <f t="shared" si="36"/>
        <v>0.40010110667316906</v>
      </c>
      <c r="P83" s="13">
        <f t="shared" si="41"/>
        <v>1.0379407341501532</v>
      </c>
      <c r="Q83" s="13">
        <f t="shared" si="37"/>
        <v>0.4223776223945615</v>
      </c>
      <c r="R83" s="21">
        <f t="shared" si="42"/>
        <v>2.2257995186200392</v>
      </c>
      <c r="S83" s="13">
        <f t="shared" si="38"/>
        <v>2.5710744280416682</v>
      </c>
      <c r="T83" s="22">
        <f t="shared" si="39"/>
        <v>2.3102479864275409</v>
      </c>
      <c r="U83" s="22"/>
      <c r="V83" s="19"/>
    </row>
    <row r="84" spans="3:22">
      <c r="C84" s="17"/>
      <c r="D84" s="18"/>
      <c r="E84" s="13"/>
      <c r="F84" s="13"/>
      <c r="G84" s="13"/>
      <c r="H84" s="13"/>
      <c r="I84" s="72">
        <f t="shared" si="33"/>
        <v>32.656647714030115</v>
      </c>
      <c r="J84" s="13">
        <f t="shared" si="43"/>
        <v>8.5</v>
      </c>
      <c r="K84" s="13">
        <f t="shared" si="34"/>
        <v>7.4091076002479372</v>
      </c>
      <c r="L84" s="13">
        <f t="shared" si="40"/>
        <v>0.72740271507676024</v>
      </c>
      <c r="M84" s="13">
        <f t="shared" si="35"/>
        <v>9.8176832396443883E-2</v>
      </c>
      <c r="N84" s="13">
        <f t="shared" ref="N84:O84" si="44">$N$4*L84</f>
        <v>3.1039728657755514</v>
      </c>
      <c r="O84" s="13">
        <f t="shared" si="44"/>
        <v>0.4189401792021053</v>
      </c>
      <c r="P84" s="13">
        <f t="shared" si="41"/>
        <v>0.7854142485052098</v>
      </c>
      <c r="Q84" s="13">
        <f t="shared" si="37"/>
        <v>0.25674652285602184</v>
      </c>
      <c r="R84" s="21">
        <f t="shared" si="42"/>
        <v>2.8548560149264852</v>
      </c>
      <c r="S84" s="13">
        <f t="shared" si="38"/>
        <v>3.200642729567249</v>
      </c>
      <c r="T84" s="22">
        <f t="shared" si="39"/>
        <v>2.2422445915540634</v>
      </c>
      <c r="U84" s="22"/>
      <c r="V84" s="19"/>
    </row>
    <row r="85" spans="3:22">
      <c r="C85" s="17"/>
      <c r="D85" s="18"/>
      <c r="E85" s="13"/>
      <c r="F85" s="13"/>
      <c r="G85" s="13"/>
      <c r="H85" s="13"/>
      <c r="I85" s="72">
        <f t="shared" ref="I85:I86" si="45">0.5*ATAN(K85)*180/PI()-J85</f>
        <v>32.085324876124147</v>
      </c>
      <c r="J85" s="13">
        <f t="shared" si="43"/>
        <v>9</v>
      </c>
      <c r="K85" s="13">
        <f t="shared" ref="K85:K86" si="46">L85/M85</f>
        <v>7.2724698032750839</v>
      </c>
      <c r="L85" s="13">
        <f t="shared" ref="L85:L86" si="47">$H$67*J85+$G$67</f>
        <v>0.74697043124240814</v>
      </c>
      <c r="M85" s="13">
        <f t="shared" ref="M85:M86" si="48">0.015+0.1572*(L85^2)</f>
        <v>0.10271207051365376</v>
      </c>
      <c r="N85" s="13">
        <f t="shared" ref="N85:N86" si="49">$N$4*L85</f>
        <v>3.1874722241976041</v>
      </c>
      <c r="O85" s="13">
        <f t="shared" ref="O85:O86" si="50">$N$4*M85</f>
        <v>0.43829294729586332</v>
      </c>
      <c r="P85" s="13">
        <f t="shared" si="41"/>
        <v>0.49090858581582875</v>
      </c>
      <c r="Q85" s="13">
        <f t="shared" ref="Q85:Q86" si="51">P85*TAN(I85+J85)</f>
        <v>0.12254028587034983</v>
      </c>
      <c r="R85" s="21">
        <f t="shared" si="42"/>
        <v>4.1323495439458151</v>
      </c>
      <c r="S85" s="13">
        <f t="shared" ref="S85:S86" si="52">0.5*P85*R85^2</f>
        <v>4.1914542723477251</v>
      </c>
      <c r="T85" s="22">
        <f t="shared" ref="T85:T86" si="53">R85*P85</f>
        <v>2.0286058707151251</v>
      </c>
      <c r="U85" s="22"/>
      <c r="V85" s="19"/>
    </row>
    <row r="86" spans="3:22">
      <c r="C86" s="17"/>
      <c r="D86" s="18"/>
      <c r="E86" s="13"/>
      <c r="F86" s="13"/>
      <c r="G86" s="13"/>
      <c r="H86" s="13"/>
      <c r="I86" s="72">
        <f t="shared" si="45"/>
        <v>31.799387257641904</v>
      </c>
      <c r="J86" s="13">
        <v>9.25</v>
      </c>
      <c r="K86" s="13">
        <f t="shared" si="46"/>
        <v>7.2054795808116463</v>
      </c>
      <c r="L86" s="13">
        <f t="shared" si="47"/>
        <v>0.75675428932523214</v>
      </c>
      <c r="M86" s="13">
        <f t="shared" si="48"/>
        <v>0.10502483295358796</v>
      </c>
      <c r="N86" s="13">
        <f t="shared" si="49"/>
        <v>3.2292219034086305</v>
      </c>
      <c r="O86" s="13">
        <f t="shared" si="50"/>
        <v>0.44816196717955054</v>
      </c>
      <c r="P86" s="13">
        <f t="shared" si="41"/>
        <v>0.32916104436362909</v>
      </c>
      <c r="Q86" s="13">
        <f t="shared" si="51"/>
        <v>6.9705035201818991E-2</v>
      </c>
      <c r="R86" s="21">
        <f t="shared" si="42"/>
        <v>5.4790393474236172</v>
      </c>
      <c r="S86" s="13">
        <f t="shared" si="52"/>
        <v>4.9406862376713399</v>
      </c>
      <c r="T86" s="22">
        <f t="shared" si="53"/>
        <v>1.8034863137073747</v>
      </c>
      <c r="U86" s="22"/>
      <c r="V86" s="19"/>
    </row>
    <row r="87" spans="3:22">
      <c r="C87" s="17"/>
      <c r="D87" s="18"/>
      <c r="E87" s="13"/>
      <c r="F87" s="13"/>
      <c r="G87" s="13"/>
      <c r="H87" s="13"/>
      <c r="I87" s="72"/>
      <c r="J87" s="13"/>
      <c r="K87" s="13"/>
      <c r="L87" s="13"/>
      <c r="M87" s="13"/>
      <c r="N87" s="13"/>
      <c r="O87" s="13"/>
      <c r="P87" s="13"/>
      <c r="Q87" s="13"/>
      <c r="R87" s="21"/>
      <c r="S87" s="13"/>
      <c r="T87" s="22"/>
      <c r="U87" s="22"/>
      <c r="V87" s="19"/>
    </row>
    <row r="88" spans="3:22" ht="15" thickBot="1">
      <c r="C88" s="23"/>
      <c r="D88" s="24"/>
      <c r="E88" s="25"/>
      <c r="F88" s="25"/>
      <c r="G88" s="25"/>
      <c r="H88" s="25"/>
      <c r="I88" s="75"/>
      <c r="J88" s="25"/>
      <c r="K88" s="25"/>
      <c r="L88" s="25"/>
      <c r="M88" s="25"/>
      <c r="N88" s="25"/>
      <c r="O88" s="25"/>
      <c r="P88" s="25"/>
      <c r="Q88" s="25"/>
      <c r="R88" s="26"/>
      <c r="S88" s="25"/>
      <c r="T88" s="27"/>
      <c r="U88" s="27"/>
      <c r="V88" s="28"/>
    </row>
    <row r="90" spans="3:22" ht="15" thickBot="1"/>
    <row r="91" spans="3:22" ht="17" thickBot="1">
      <c r="C91" s="42" t="s">
        <v>36</v>
      </c>
      <c r="D91" s="43" t="s">
        <v>37</v>
      </c>
      <c r="E91" s="35" t="s">
        <v>24</v>
      </c>
      <c r="F91" s="36" t="s">
        <v>29</v>
      </c>
      <c r="G91" s="36" t="s">
        <v>30</v>
      </c>
      <c r="H91" s="97" t="s">
        <v>56</v>
      </c>
      <c r="I91" s="36" t="s">
        <v>77</v>
      </c>
      <c r="J91" s="36" t="s">
        <v>80</v>
      </c>
      <c r="K91" s="36" t="s">
        <v>81</v>
      </c>
      <c r="L91" s="110" t="s">
        <v>92</v>
      </c>
      <c r="M91" s="36" t="s">
        <v>89</v>
      </c>
      <c r="N91" s="36" t="s">
        <v>90</v>
      </c>
      <c r="O91" s="38" t="s">
        <v>91</v>
      </c>
      <c r="P91" s="15"/>
      <c r="Q91" s="15"/>
      <c r="R91" s="15"/>
      <c r="S91" s="15"/>
      <c r="T91" s="40"/>
      <c r="U91" s="40"/>
      <c r="V91" s="16"/>
    </row>
    <row r="92" spans="3:22" ht="16" thickTop="1" thickBot="1">
      <c r="C92" s="44">
        <v>16</v>
      </c>
      <c r="D92" s="45">
        <f>MAX(T95:T116)</f>
        <v>2.3004771054793238</v>
      </c>
      <c r="E92" s="25">
        <f>$M$4-H92</f>
        <v>1.0365406486740283</v>
      </c>
      <c r="F92" s="25">
        <f>MAX(N95:N117)</f>
        <v>3.4208162302454048</v>
      </c>
      <c r="G92" s="25">
        <f>F92*$L$4</f>
        <v>0.61574692144417276</v>
      </c>
      <c r="H92" s="75">
        <f>(-N92+SQRT(N92^2-4*$P$4*O92))/(2*$P$4)</f>
        <v>0.18265935132597183</v>
      </c>
      <c r="I92" s="25">
        <f>$H$4*SBT!$C$23</f>
        <v>4.4225409836065571E-2</v>
      </c>
      <c r="J92" s="25">
        <f>I92+SBT!$B$23</f>
        <v>0.19422540983606557</v>
      </c>
      <c r="K92" s="25">
        <f>SBT!$B$12*H92</f>
        <v>0.23745715672376339</v>
      </c>
      <c r="L92" s="25">
        <f>(F92*$L$4-(SBT!$F$23*K92+0.5*SBT!$E$23*K92^2)*9.81)/(J92*9.81)</f>
        <v>0.10297006892719095</v>
      </c>
      <c r="M92" s="79">
        <f>J92+SBT!$F$23+2*SBT!$G$23+H92*SBT!$D$23+K92*SBT!$E$23</f>
        <v>0.68726040932575505</v>
      </c>
      <c r="N92" s="25">
        <f>(SBT!$G$23+(SBT!$F$23+J92)*0.5)*9.81</f>
        <v>3.1869031352459021</v>
      </c>
      <c r="O92" s="37">
        <f>-F92*$L$4</f>
        <v>-0.61574692144417276</v>
      </c>
      <c r="P92" s="13"/>
      <c r="Q92" s="13"/>
      <c r="R92" s="13"/>
      <c r="S92" s="13"/>
      <c r="T92" s="13"/>
      <c r="U92" s="13"/>
      <c r="V92" s="19"/>
    </row>
    <row r="93" spans="3:22">
      <c r="C93" s="41"/>
      <c r="D93" s="13"/>
      <c r="E93" s="13"/>
      <c r="F93" s="13"/>
      <c r="G93" s="13"/>
      <c r="H93" s="13"/>
      <c r="I93" s="76"/>
      <c r="J93" s="18"/>
      <c r="K93" s="18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9"/>
    </row>
    <row r="94" spans="3:22" ht="17" thickBot="1">
      <c r="C94" s="47" t="s">
        <v>40</v>
      </c>
      <c r="D94" s="48" t="s">
        <v>42</v>
      </c>
      <c r="E94" s="30" t="s">
        <v>35</v>
      </c>
      <c r="F94" s="29" t="s">
        <v>34</v>
      </c>
      <c r="G94" s="29" t="s">
        <v>41</v>
      </c>
      <c r="H94" s="29" t="s">
        <v>7</v>
      </c>
      <c r="I94" s="70" t="s">
        <v>16</v>
      </c>
      <c r="J94" s="71" t="s">
        <v>17</v>
      </c>
      <c r="K94" s="29" t="s">
        <v>18</v>
      </c>
      <c r="L94" s="46" t="s">
        <v>39</v>
      </c>
      <c r="M94" s="31" t="s">
        <v>10</v>
      </c>
      <c r="N94" s="31" t="s">
        <v>13</v>
      </c>
      <c r="O94" s="31" t="s">
        <v>14</v>
      </c>
      <c r="P94" s="31" t="s">
        <v>8</v>
      </c>
      <c r="Q94" s="31" t="s">
        <v>9</v>
      </c>
      <c r="R94" s="31" t="s">
        <v>19</v>
      </c>
      <c r="S94" s="31" t="s">
        <v>25</v>
      </c>
      <c r="T94" s="32" t="s">
        <v>27</v>
      </c>
      <c r="U94" s="32"/>
      <c r="V94" s="33"/>
    </row>
    <row r="95" spans="3:22" ht="15" thickTop="1">
      <c r="C95" s="50">
        <v>4.2675477150000001</v>
      </c>
      <c r="D95" s="51">
        <v>0.86480000000000001</v>
      </c>
      <c r="E95" s="7">
        <f>$K$4/(2+SQRT(4+$K$4^2))</f>
        <v>0.53518375848799637</v>
      </c>
      <c r="F95" s="7">
        <f>C95*E95</f>
        <v>2.2839222256405609</v>
      </c>
      <c r="G95" s="12">
        <f>D95*E95</f>
        <v>0.46282691434041928</v>
      </c>
      <c r="H95" s="14">
        <f>F95*PI()/180</f>
        <v>3.9861962696904646E-2</v>
      </c>
      <c r="I95" s="72">
        <f t="shared" ref="I95:I110" si="54">0.5*ATAN(K95)*180/PI()-J95</f>
        <v>41.99825232464724</v>
      </c>
      <c r="J95" s="13">
        <v>0</v>
      </c>
      <c r="K95" s="13">
        <f t="shared" ref="K95:K110" si="55">L95/M95</f>
        <v>9.508784289865952</v>
      </c>
      <c r="L95" s="13">
        <f>$H$95*J95+$G$95</f>
        <v>0.46282691434041928</v>
      </c>
      <c r="M95" s="13">
        <f t="shared" ref="M95:M110" si="56">0.015+0.1572*(L95^2)</f>
        <v>4.8673615914673764E-2</v>
      </c>
      <c r="N95" s="13">
        <f t="shared" ref="N95:O110" si="57">$N$4*L95</f>
        <v>1.974975008873437</v>
      </c>
      <c r="O95" s="13">
        <f t="shared" si="57"/>
        <v>0.20770005383109588</v>
      </c>
      <c r="P95" s="13">
        <f>((N95*COS(I95+J95)+O95*SIN(I95+J95))*SIN(J95+I95)-O95)/$M$92</f>
        <v>1.0081519027871275</v>
      </c>
      <c r="Q95" s="13">
        <f t="shared" ref="Q95:Q110" si="58">P95*TAN(I95+J95)</f>
        <v>2.2990982569901499</v>
      </c>
      <c r="R95" s="21">
        <f>IF(ISERROR(SQRT(2*$E$92/Q95)),0,SQRT(2*$E$92/Q95))</f>
        <v>0.94957528100978894</v>
      </c>
      <c r="S95" s="13">
        <f t="shared" ref="S95:S110" si="59">0.5*P95*R95^2</f>
        <v>0.45452186486582252</v>
      </c>
      <c r="T95" s="22">
        <f t="shared" ref="T95:T110" si="60">R95*P95</f>
        <v>0.95731612638964003</v>
      </c>
      <c r="U95" s="22"/>
      <c r="V95" s="19"/>
    </row>
    <row r="96" spans="3:22">
      <c r="C96" s="17"/>
      <c r="D96" s="18"/>
      <c r="E96" s="13"/>
      <c r="F96" s="13"/>
      <c r="G96" s="13"/>
      <c r="H96" s="13"/>
      <c r="I96" s="72">
        <f t="shared" si="54"/>
        <v>41.447398545978466</v>
      </c>
      <c r="J96" s="13">
        <f>J95+0.5</f>
        <v>0.5</v>
      </c>
      <c r="K96" s="13">
        <f t="shared" si="55"/>
        <v>9.3492006089338204</v>
      </c>
      <c r="L96" s="13">
        <f t="shared" ref="L96:L110" si="61">$H$95*J96+$G$95</f>
        <v>0.48275789568887162</v>
      </c>
      <c r="M96" s="13">
        <f t="shared" si="56"/>
        <v>5.1636275215611739E-2</v>
      </c>
      <c r="N96" s="13">
        <f t="shared" si="57"/>
        <v>2.0600244924835529</v>
      </c>
      <c r="O96" s="13">
        <f t="shared" si="57"/>
        <v>0.2203423136000584</v>
      </c>
      <c r="P96" s="13">
        <f t="shared" ref="P96:P112" si="62">((N96*COS(I96+J96)+O96*SIN(I96+J96))*SIN(J96+I96)-O96)/$M$92</f>
        <v>1.1355561681787925</v>
      </c>
      <c r="Q96" s="13">
        <f t="shared" si="58"/>
        <v>2.2685331735066048</v>
      </c>
      <c r="R96" s="21">
        <f t="shared" ref="R96:R112" si="63">IF(ISERROR(SQRT(2*$E$92/Q96)),0,SQRT(2*$E$92/Q96))</f>
        <v>0.95595092893485567</v>
      </c>
      <c r="S96" s="13">
        <f t="shared" si="59"/>
        <v>0.5188595612866459</v>
      </c>
      <c r="T96" s="22">
        <f t="shared" si="60"/>
        <v>1.0855359738282218</v>
      </c>
      <c r="U96" s="22"/>
      <c r="V96" s="19"/>
    </row>
    <row r="97" spans="3:22">
      <c r="C97" s="20"/>
      <c r="D97" s="11"/>
      <c r="E97" s="13"/>
      <c r="F97" s="13"/>
      <c r="G97" s="13"/>
      <c r="H97" s="13"/>
      <c r="I97" s="72">
        <f t="shared" si="54"/>
        <v>40.893559984981366</v>
      </c>
      <c r="J97" s="13">
        <f t="shared" ref="J97:J111" si="64">J96+0.5</f>
        <v>1</v>
      </c>
      <c r="K97" s="13">
        <f t="shared" si="55"/>
        <v>9.1859231176187883</v>
      </c>
      <c r="L97" s="13">
        <f t="shared" si="61"/>
        <v>0.5026888770373239</v>
      </c>
      <c r="M97" s="13">
        <f t="shared" si="56"/>
        <v>5.4723828035655592E-2</v>
      </c>
      <c r="N97" s="13">
        <f t="shared" si="57"/>
        <v>2.1450739760936686</v>
      </c>
      <c r="O97" s="13">
        <f t="shared" si="57"/>
        <v>0.23351751899374953</v>
      </c>
      <c r="P97" s="13">
        <f t="shared" si="62"/>
        <v>1.259315472857115</v>
      </c>
      <c r="Q97" s="13">
        <f t="shared" si="58"/>
        <v>2.2099812674252899</v>
      </c>
      <c r="R97" s="21">
        <f t="shared" si="63"/>
        <v>0.96853176876595881</v>
      </c>
      <c r="S97" s="13">
        <f t="shared" si="59"/>
        <v>0.59065282423923648</v>
      </c>
      <c r="T97" s="22">
        <f t="shared" si="60"/>
        <v>1.2196870423606414</v>
      </c>
      <c r="U97" s="22"/>
      <c r="V97" s="19"/>
    </row>
    <row r="98" spans="3:22">
      <c r="C98" s="17"/>
      <c r="D98" s="18"/>
      <c r="E98" s="13"/>
      <c r="F98" s="13"/>
      <c r="G98" s="13"/>
      <c r="H98" s="13"/>
      <c r="I98" s="72">
        <f t="shared" si="54"/>
        <v>40.337084210726985</v>
      </c>
      <c r="J98" s="13">
        <f t="shared" si="64"/>
        <v>1.5</v>
      </c>
      <c r="K98" s="13">
        <f t="shared" si="55"/>
        <v>9.0205983043508766</v>
      </c>
      <c r="L98" s="13">
        <f t="shared" si="61"/>
        <v>0.52261985838577629</v>
      </c>
      <c r="M98" s="13">
        <f t="shared" si="56"/>
        <v>5.7936274374805349E-2</v>
      </c>
      <c r="N98" s="13">
        <f t="shared" si="57"/>
        <v>2.2301234597037847</v>
      </c>
      <c r="O98" s="13">
        <f t="shared" si="57"/>
        <v>0.24722567001216939</v>
      </c>
      <c r="P98" s="13">
        <f t="shared" si="62"/>
        <v>1.3739610891110288</v>
      </c>
      <c r="Q98" s="13">
        <f t="shared" si="58"/>
        <v>2.1228740887242652</v>
      </c>
      <c r="R98" s="21">
        <f t="shared" si="63"/>
        <v>0.98820272856846259</v>
      </c>
      <c r="S98" s="13">
        <f t="shared" si="59"/>
        <v>0.67086716358946596</v>
      </c>
      <c r="T98" s="22">
        <f t="shared" si="60"/>
        <v>1.3577520972064152</v>
      </c>
      <c r="U98" s="22"/>
      <c r="V98" s="19"/>
    </row>
    <row r="99" spans="3:22">
      <c r="C99" s="17"/>
      <c r="D99" s="13"/>
      <c r="E99" s="13"/>
      <c r="F99" s="13"/>
      <c r="G99" s="13"/>
      <c r="H99" s="13"/>
      <c r="I99" s="72">
        <f t="shared" si="54"/>
        <v>39.778268032285183</v>
      </c>
      <c r="J99" s="13">
        <f t="shared" si="64"/>
        <v>2</v>
      </c>
      <c r="K99" s="13">
        <f t="shared" si="55"/>
        <v>8.8545591201879557</v>
      </c>
      <c r="L99" s="13">
        <f t="shared" si="61"/>
        <v>0.54255083973422857</v>
      </c>
      <c r="M99" s="13">
        <f t="shared" si="56"/>
        <v>6.127361423306097E-2</v>
      </c>
      <c r="N99" s="13">
        <f t="shared" si="57"/>
        <v>2.3151729433138999</v>
      </c>
      <c r="O99" s="13">
        <f t="shared" si="57"/>
        <v>0.26146676665531776</v>
      </c>
      <c r="P99" s="13">
        <f t="shared" si="62"/>
        <v>1.4737269970928415</v>
      </c>
      <c r="Q99" s="13">
        <f t="shared" si="58"/>
        <v>2.0075896147000503</v>
      </c>
      <c r="R99" s="21">
        <f t="shared" si="63"/>
        <v>1.0161801252437979</v>
      </c>
      <c r="S99" s="13">
        <f t="shared" si="59"/>
        <v>0.76090149418474373</v>
      </c>
      <c r="T99" s="22">
        <f t="shared" si="60"/>
        <v>1.4975720844809699</v>
      </c>
      <c r="U99" s="22"/>
      <c r="V99" s="19"/>
    </row>
    <row r="100" spans="3:22">
      <c r="C100" s="17"/>
      <c r="D100" s="13"/>
      <c r="E100" s="13"/>
      <c r="F100" s="13"/>
      <c r="G100" s="13"/>
      <c r="H100" s="13"/>
      <c r="I100" s="72">
        <f t="shared" si="54"/>
        <v>39.217366476775489</v>
      </c>
      <c r="J100" s="13">
        <f t="shared" si="64"/>
        <v>2.5</v>
      </c>
      <c r="K100" s="13">
        <f t="shared" si="55"/>
        <v>8.6888770572322169</v>
      </c>
      <c r="L100" s="13">
        <f t="shared" si="61"/>
        <v>0.56248182108268086</v>
      </c>
      <c r="M100" s="13">
        <f t="shared" si="56"/>
        <v>6.4735847610422476E-2</v>
      </c>
      <c r="N100" s="13">
        <f t="shared" si="57"/>
        <v>2.4002224269240156</v>
      </c>
      <c r="O100" s="13">
        <f t="shared" si="57"/>
        <v>0.2762408089231948</v>
      </c>
      <c r="P100" s="13">
        <f t="shared" si="62"/>
        <v>1.5527238543318822</v>
      </c>
      <c r="Q100" s="13">
        <f t="shared" si="58"/>
        <v>1.8655583601286558</v>
      </c>
      <c r="R100" s="21">
        <f t="shared" si="63"/>
        <v>1.0541532377553908</v>
      </c>
      <c r="S100" s="13">
        <f t="shared" si="59"/>
        <v>0.86272368936762289</v>
      </c>
      <c r="T100" s="22">
        <f t="shared" si="60"/>
        <v>1.6368088783839834</v>
      </c>
      <c r="U100" s="22"/>
      <c r="V100" s="19"/>
    </row>
    <row r="101" spans="3:22">
      <c r="C101" s="17"/>
      <c r="D101" s="13"/>
      <c r="E101" s="13"/>
      <c r="F101" s="13"/>
      <c r="G101" s="13"/>
      <c r="H101" s="13"/>
      <c r="I101" s="72">
        <f t="shared" si="54"/>
        <v>38.654599927116088</v>
      </c>
      <c r="J101" s="13">
        <f t="shared" si="64"/>
        <v>3</v>
      </c>
      <c r="K101" s="13">
        <f t="shared" si="55"/>
        <v>8.5244064186988986</v>
      </c>
      <c r="L101" s="13">
        <f t="shared" si="61"/>
        <v>0.58241280243113325</v>
      </c>
      <c r="M101" s="13">
        <f t="shared" si="56"/>
        <v>6.8322974506889872E-2</v>
      </c>
      <c r="N101" s="13">
        <f t="shared" si="57"/>
        <v>2.4852719105341317</v>
      </c>
      <c r="O101" s="13">
        <f t="shared" si="57"/>
        <v>0.29154779681580045</v>
      </c>
      <c r="P101" s="13">
        <f>((N101*COS(I101+J101)+O101*SIN(I101+J101))*SIN(J101+I101)-O101)/$M$92</f>
        <v>1.6051385053781819</v>
      </c>
      <c r="Q101" s="13">
        <f t="shared" si="58"/>
        <v>1.6993323945623082</v>
      </c>
      <c r="R101" s="21">
        <f t="shared" si="63"/>
        <v>1.1045083375277789</v>
      </c>
      <c r="S101" s="13">
        <f t="shared" si="59"/>
        <v>0.97908526483713532</v>
      </c>
      <c r="T101" s="22">
        <f t="shared" si="60"/>
        <v>1.7728888620770795</v>
      </c>
      <c r="U101" s="22"/>
      <c r="V101" s="19"/>
    </row>
    <row r="102" spans="3:22">
      <c r="C102" s="17"/>
      <c r="D102" s="13"/>
      <c r="E102" s="13"/>
      <c r="F102" s="13"/>
      <c r="G102" s="13"/>
      <c r="H102" s="13"/>
      <c r="I102" s="72">
        <f t="shared" si="54"/>
        <v>38.090159844928138</v>
      </c>
      <c r="J102" s="13">
        <f t="shared" si="64"/>
        <v>3.5</v>
      </c>
      <c r="K102" s="13">
        <f t="shared" si="55"/>
        <v>8.3618217010764671</v>
      </c>
      <c r="L102" s="13">
        <f t="shared" si="61"/>
        <v>0.60234378377958553</v>
      </c>
      <c r="M102" s="13">
        <f t="shared" si="56"/>
        <v>7.2034994922463153E-2</v>
      </c>
      <c r="N102" s="13">
        <f t="shared" si="57"/>
        <v>2.5703213941442473</v>
      </c>
      <c r="O102" s="13">
        <f t="shared" si="57"/>
        <v>0.30738773033313477</v>
      </c>
      <c r="P102" s="13">
        <f t="shared" si="62"/>
        <v>1.6254520367849776</v>
      </c>
      <c r="Q102" s="13">
        <f t="shared" si="58"/>
        <v>1.5126125648270781</v>
      </c>
      <c r="R102" s="21">
        <f t="shared" si="63"/>
        <v>1.1706964865838543</v>
      </c>
      <c r="S102" s="13">
        <f t="shared" si="59"/>
        <v>1.1138656043031303</v>
      </c>
      <c r="T102" s="22">
        <f t="shared" si="60"/>
        <v>1.9029109885747433</v>
      </c>
      <c r="U102" s="22"/>
      <c r="V102" s="19"/>
    </row>
    <row r="103" spans="3:22">
      <c r="C103" s="17"/>
      <c r="D103" s="13"/>
      <c r="E103" s="13"/>
      <c r="F103" s="13"/>
      <c r="G103" s="13"/>
      <c r="H103" s="13"/>
      <c r="I103" s="72">
        <f t="shared" si="54"/>
        <v>37.524213395255494</v>
      </c>
      <c r="J103" s="13">
        <f t="shared" si="64"/>
        <v>4</v>
      </c>
      <c r="K103" s="13">
        <f t="shared" si="55"/>
        <v>8.2016489963328372</v>
      </c>
      <c r="L103" s="13">
        <f t="shared" si="61"/>
        <v>0.62227476512803781</v>
      </c>
      <c r="M103" s="13">
        <f t="shared" si="56"/>
        <v>7.5871908857142317E-2</v>
      </c>
      <c r="N103" s="13">
        <f t="shared" si="57"/>
        <v>2.655370877754363</v>
      </c>
      <c r="O103" s="13">
        <f t="shared" si="57"/>
        <v>0.32376060947519769</v>
      </c>
      <c r="P103" s="13">
        <f t="shared" si="62"/>
        <v>1.6086682084139914</v>
      </c>
      <c r="Q103" s="13">
        <f t="shared" si="58"/>
        <v>1.3102303302513254</v>
      </c>
      <c r="R103" s="21">
        <f t="shared" si="63"/>
        <v>1.2578658961686011</v>
      </c>
      <c r="S103" s="13">
        <f t="shared" si="59"/>
        <v>1.2726388252139449</v>
      </c>
      <c r="T103" s="22">
        <f t="shared" si="60"/>
        <v>2.0234888776146032</v>
      </c>
      <c r="U103" s="22"/>
      <c r="V103" s="19"/>
    </row>
    <row r="104" spans="3:22">
      <c r="C104" s="17"/>
      <c r="D104" s="18"/>
      <c r="E104" s="13"/>
      <c r="F104" s="13"/>
      <c r="G104" s="13"/>
      <c r="H104" s="13"/>
      <c r="I104" s="72">
        <f t="shared" si="54"/>
        <v>36.956907211286698</v>
      </c>
      <c r="J104" s="13">
        <f t="shared" si="64"/>
        <v>4.5</v>
      </c>
      <c r="K104" s="13">
        <f t="shared" si="55"/>
        <v>8.0442922633752829</v>
      </c>
      <c r="L104" s="13">
        <f t="shared" si="61"/>
        <v>0.6422057464764902</v>
      </c>
      <c r="M104" s="13">
        <f t="shared" si="56"/>
        <v>7.983371631092738E-2</v>
      </c>
      <c r="N104" s="13">
        <f t="shared" si="57"/>
        <v>2.7404203613644791</v>
      </c>
      <c r="O104" s="13">
        <f t="shared" si="57"/>
        <v>0.34066643424198928</v>
      </c>
      <c r="P104" s="13">
        <f t="shared" si="62"/>
        <v>1.5505432137443205</v>
      </c>
      <c r="Q104" s="13">
        <f t="shared" si="58"/>
        <v>1.0980820593399736</v>
      </c>
      <c r="R104" s="21">
        <f t="shared" si="63"/>
        <v>1.3740127691578534</v>
      </c>
      <c r="S104" s="13">
        <f t="shared" si="59"/>
        <v>1.4636438642278649</v>
      </c>
      <c r="T104" s="22">
        <f t="shared" si="60"/>
        <v>2.130466174815751</v>
      </c>
      <c r="U104" s="22"/>
      <c r="V104" s="19"/>
    </row>
    <row r="105" spans="3:22">
      <c r="C105" s="17"/>
      <c r="D105" s="22"/>
      <c r="E105" s="13"/>
      <c r="F105" s="13"/>
      <c r="G105" s="13"/>
      <c r="H105" s="13"/>
      <c r="I105" s="72">
        <f t="shared" si="54"/>
        <v>36.38837048000947</v>
      </c>
      <c r="J105" s="13">
        <f t="shared" si="64"/>
        <v>5</v>
      </c>
      <c r="K105" s="13">
        <f t="shared" si="55"/>
        <v>7.8900552363270604</v>
      </c>
      <c r="L105" s="13">
        <f t="shared" si="61"/>
        <v>0.66213672782494248</v>
      </c>
      <c r="M105" s="13">
        <f t="shared" si="56"/>
        <v>8.3920417283818299E-2</v>
      </c>
      <c r="N105" s="13">
        <f t="shared" si="57"/>
        <v>2.8254698449745943</v>
      </c>
      <c r="O105" s="13">
        <f t="shared" si="57"/>
        <v>0.35810520463350942</v>
      </c>
      <c r="P105" s="13">
        <f t="shared" si="62"/>
        <v>1.4478071780894386</v>
      </c>
      <c r="Q105" s="13">
        <f t="shared" si="58"/>
        <v>0.88301532125569049</v>
      </c>
      <c r="R105" s="21">
        <f t="shared" si="63"/>
        <v>1.5322303033019327</v>
      </c>
      <c r="S105" s="13">
        <f t="shared" si="59"/>
        <v>1.6995299576429292</v>
      </c>
      <c r="T105" s="22">
        <f t="shared" si="60"/>
        <v>2.2183740316066958</v>
      </c>
      <c r="U105" s="22"/>
      <c r="V105" s="19"/>
    </row>
    <row r="106" spans="3:22">
      <c r="C106" s="17"/>
      <c r="D106" s="18"/>
      <c r="E106" s="13"/>
      <c r="F106" s="13"/>
      <c r="G106" s="13"/>
      <c r="H106" s="13"/>
      <c r="I106" s="72">
        <f t="shared" si="54"/>
        <v>35.818717487501523</v>
      </c>
      <c r="J106" s="13">
        <f t="shared" si="64"/>
        <v>5.5</v>
      </c>
      <c r="K106" s="13">
        <f t="shared" si="55"/>
        <v>7.7391596473299327</v>
      </c>
      <c r="L106" s="13">
        <f t="shared" si="61"/>
        <v>0.68206770917339488</v>
      </c>
      <c r="M106" s="13">
        <f t="shared" si="56"/>
        <v>8.8132011775815131E-2</v>
      </c>
      <c r="N106" s="13">
        <f t="shared" si="57"/>
        <v>2.9105193285847104</v>
      </c>
      <c r="O106" s="13">
        <f t="shared" si="57"/>
        <v>0.37607692064975834</v>
      </c>
      <c r="P106" s="13">
        <f t="shared" si="62"/>
        <v>1.2983676265535791</v>
      </c>
      <c r="Q106" s="13">
        <f t="shared" si="58"/>
        <v>0.67266854573731227</v>
      </c>
      <c r="R106" s="21">
        <f t="shared" si="63"/>
        <v>1.7555273771941708</v>
      </c>
      <c r="S106" s="13">
        <f t="shared" si="59"/>
        <v>2.0007042552733925</v>
      </c>
      <c r="T106" s="22">
        <f t="shared" si="60"/>
        <v>2.2793199140774254</v>
      </c>
      <c r="U106" s="22"/>
      <c r="V106" s="19"/>
    </row>
    <row r="107" spans="3:22">
      <c r="C107" s="17"/>
      <c r="D107" s="18"/>
      <c r="E107" s="13"/>
      <c r="F107" s="13"/>
      <c r="G107" s="13"/>
      <c r="H107" s="13"/>
      <c r="I107" s="72">
        <f t="shared" si="54"/>
        <v>35.248049731105787</v>
      </c>
      <c r="J107" s="13">
        <f t="shared" si="64"/>
        <v>6</v>
      </c>
      <c r="K107" s="13">
        <f t="shared" si="55"/>
        <v>7.5917603523309669</v>
      </c>
      <c r="L107" s="13">
        <f t="shared" si="61"/>
        <v>0.70199869052184716</v>
      </c>
      <c r="M107" s="13">
        <f t="shared" si="56"/>
        <v>9.2468499786917818E-2</v>
      </c>
      <c r="N107" s="13">
        <f t="shared" si="57"/>
        <v>2.9955688121948261</v>
      </c>
      <c r="O107" s="13">
        <f t="shared" si="57"/>
        <v>0.3945815822907357</v>
      </c>
      <c r="P107" s="13">
        <f t="shared" si="62"/>
        <v>1.1014853639876014</v>
      </c>
      <c r="Q107" s="13">
        <f t="shared" si="58"/>
        <v>0.47526733269191901</v>
      </c>
      <c r="R107" s="21">
        <f t="shared" si="63"/>
        <v>2.0885226265296235</v>
      </c>
      <c r="S107" s="13">
        <f t="shared" si="59"/>
        <v>2.4022992433034713</v>
      </c>
      <c r="T107" s="22">
        <f t="shared" si="60"/>
        <v>2.3004771054793238</v>
      </c>
      <c r="U107" s="22"/>
      <c r="V107" s="19"/>
    </row>
    <row r="108" spans="3:22">
      <c r="C108" s="17"/>
      <c r="D108" s="18"/>
      <c r="E108" s="13"/>
      <c r="F108" s="13"/>
      <c r="G108" s="13"/>
      <c r="H108" s="13"/>
      <c r="I108" s="72">
        <f t="shared" si="54"/>
        <v>34.676457682085903</v>
      </c>
      <c r="J108" s="13">
        <f t="shared" si="64"/>
        <v>6.5</v>
      </c>
      <c r="K108" s="13">
        <f t="shared" si="55"/>
        <v>7.4479578645965265</v>
      </c>
      <c r="L108" s="13">
        <f t="shared" si="61"/>
        <v>0.72192967187029944</v>
      </c>
      <c r="M108" s="13">
        <f t="shared" si="56"/>
        <v>9.692988131712639E-2</v>
      </c>
      <c r="N108" s="13">
        <f t="shared" si="57"/>
        <v>3.0806182958049417</v>
      </c>
      <c r="O108" s="13">
        <f t="shared" si="57"/>
        <v>0.41361918955644172</v>
      </c>
      <c r="P108" s="13">
        <f t="shared" si="62"/>
        <v>0.8579138137126503</v>
      </c>
      <c r="Q108" s="13">
        <f t="shared" si="58"/>
        <v>0.29938257963156295</v>
      </c>
      <c r="R108" s="21">
        <f t="shared" si="63"/>
        <v>2.6314486747489978</v>
      </c>
      <c r="S108" s="13">
        <f t="shared" si="59"/>
        <v>2.9703215934156777</v>
      </c>
      <c r="T108" s="22">
        <f t="shared" si="60"/>
        <v>2.2575561681430121</v>
      </c>
      <c r="U108" s="22"/>
      <c r="V108" s="19"/>
    </row>
    <row r="109" spans="3:22">
      <c r="C109" s="17"/>
      <c r="D109" s="18"/>
      <c r="E109" s="13"/>
      <c r="F109" s="13"/>
      <c r="G109" s="13"/>
      <c r="H109" s="13"/>
      <c r="I109" s="72">
        <f t="shared" si="54"/>
        <v>34.104022264414816</v>
      </c>
      <c r="J109" s="13">
        <f t="shared" si="64"/>
        <v>7</v>
      </c>
      <c r="K109" s="13">
        <f t="shared" si="55"/>
        <v>7.3078087249567654</v>
      </c>
      <c r="L109" s="13">
        <f t="shared" si="61"/>
        <v>0.74186065321875172</v>
      </c>
      <c r="M109" s="13">
        <f t="shared" si="56"/>
        <v>0.10151615636644085</v>
      </c>
      <c r="N109" s="13">
        <f t="shared" si="57"/>
        <v>3.1656677794150574</v>
      </c>
      <c r="O109" s="13">
        <f t="shared" si="57"/>
        <v>0.43318974244687636</v>
      </c>
      <c r="P109" s="13">
        <f t="shared" si="62"/>
        <v>0.56999385128610969</v>
      </c>
      <c r="Q109" s="13">
        <f t="shared" si="58"/>
        <v>0.15365737539094335</v>
      </c>
      <c r="R109" s="21">
        <f t="shared" si="63"/>
        <v>3.6730890833945335</v>
      </c>
      <c r="S109" s="13">
        <f t="shared" si="59"/>
        <v>3.8450597952041754</v>
      </c>
      <c r="T109" s="22">
        <f t="shared" si="60"/>
        <v>2.0936381927610168</v>
      </c>
      <c r="U109" s="22"/>
      <c r="V109" s="19"/>
    </row>
    <row r="110" spans="3:22">
      <c r="C110" s="17"/>
      <c r="D110" s="18"/>
      <c r="E110" s="13"/>
      <c r="F110" s="13"/>
      <c r="G110" s="13"/>
      <c r="H110" s="13"/>
      <c r="I110" s="72">
        <f t="shared" si="54"/>
        <v>33.53081610162625</v>
      </c>
      <c r="J110" s="13">
        <v>7.5</v>
      </c>
      <c r="K110" s="13">
        <f t="shared" si="55"/>
        <v>7.1713340709119429</v>
      </c>
      <c r="L110" s="13">
        <f t="shared" si="61"/>
        <v>0.76179163456720411</v>
      </c>
      <c r="M110" s="13">
        <f t="shared" si="56"/>
        <v>0.10622732493486123</v>
      </c>
      <c r="N110" s="13">
        <f t="shared" si="57"/>
        <v>3.2507172630251735</v>
      </c>
      <c r="O110" s="13">
        <f t="shared" si="57"/>
        <v>0.45329324096203982</v>
      </c>
      <c r="P110" s="13">
        <f t="shared" si="62"/>
        <v>0.24169751900544995</v>
      </c>
      <c r="Q110" s="13">
        <f t="shared" si="58"/>
        <v>4.6511200543798419E-2</v>
      </c>
      <c r="R110" s="21">
        <f t="shared" si="63"/>
        <v>6.6762008231564343</v>
      </c>
      <c r="S110" s="13">
        <f t="shared" si="59"/>
        <v>5.3864295095306192</v>
      </c>
      <c r="T110" s="22">
        <f t="shared" si="60"/>
        <v>1.6136211753390528</v>
      </c>
      <c r="U110" s="22"/>
      <c r="V110" s="19"/>
    </row>
    <row r="111" spans="3:22">
      <c r="C111" s="17"/>
      <c r="D111" s="18"/>
      <c r="E111" s="13"/>
      <c r="F111" s="13"/>
      <c r="G111" s="13"/>
      <c r="H111" s="13"/>
      <c r="I111" s="72">
        <f t="shared" ref="I111:I112" si="65">0.5*ATAN(K111)*180/PI()-J111</f>
        <v>32.956904573079306</v>
      </c>
      <c r="J111" s="13">
        <f t="shared" si="64"/>
        <v>8</v>
      </c>
      <c r="K111" s="13">
        <f t="shared" ref="K111:K112" si="66">L111/M111</f>
        <v>7.0385267086990746</v>
      </c>
      <c r="L111" s="13">
        <f t="shared" ref="L111:L112" si="67">$H$95*J111+$G$95</f>
        <v>0.7817226159156565</v>
      </c>
      <c r="M111" s="13">
        <f t="shared" ref="M111:M112" si="68">0.015+0.1572*(L111^2)</f>
        <v>0.11106338702238748</v>
      </c>
      <c r="N111" s="13">
        <f t="shared" ref="N111:N112" si="69">$N$4*L111</f>
        <v>3.3357667466352892</v>
      </c>
      <c r="O111" s="13">
        <f t="shared" ref="O111:O112" si="70">$N$4*M111</f>
        <v>0.47392968510193184</v>
      </c>
      <c r="P111" s="13">
        <f t="shared" si="62"/>
        <v>-0.12138432440544569</v>
      </c>
      <c r="Q111" s="13">
        <f t="shared" ref="Q111:Q112" si="71">P111*TAN(I111+J111)</f>
        <v>-1.416869598885678E-2</v>
      </c>
      <c r="R111" s="21">
        <f t="shared" si="63"/>
        <v>0</v>
      </c>
      <c r="S111" s="13">
        <f t="shared" ref="S111:S112" si="72">0.5*P111*R111^2</f>
        <v>0</v>
      </c>
      <c r="T111" s="22">
        <f t="shared" ref="T111:T112" si="73">R111*P111</f>
        <v>0</v>
      </c>
      <c r="U111" s="22"/>
      <c r="V111" s="19"/>
    </row>
    <row r="112" spans="3:22">
      <c r="C112" s="17"/>
      <c r="D112" s="18"/>
      <c r="E112" s="13"/>
      <c r="F112" s="13"/>
      <c r="G112" s="13"/>
      <c r="H112" s="13"/>
      <c r="I112" s="72">
        <f t="shared" si="65"/>
        <v>32.382346712771721</v>
      </c>
      <c r="J112" s="13">
        <v>8.5</v>
      </c>
      <c r="K112" s="13">
        <f t="shared" si="66"/>
        <v>6.9093569426835266</v>
      </c>
      <c r="L112" s="13">
        <f t="shared" si="67"/>
        <v>0.80165359726410879</v>
      </c>
      <c r="M112" s="13">
        <f t="shared" si="68"/>
        <v>0.11602434262901959</v>
      </c>
      <c r="N112" s="13">
        <f t="shared" si="69"/>
        <v>3.4208162302454048</v>
      </c>
      <c r="O112" s="13">
        <f t="shared" si="70"/>
        <v>0.49509907486655236</v>
      </c>
      <c r="P112" s="13">
        <f t="shared" si="62"/>
        <v>-0.51211343119867925</v>
      </c>
      <c r="Q112" s="13">
        <f t="shared" si="71"/>
        <v>-2.1337873416353275E-2</v>
      </c>
      <c r="R112" s="21">
        <f t="shared" si="63"/>
        <v>0</v>
      </c>
      <c r="S112" s="13">
        <f t="shared" si="72"/>
        <v>0</v>
      </c>
      <c r="T112" s="22">
        <f t="shared" si="73"/>
        <v>0</v>
      </c>
      <c r="U112" s="22"/>
      <c r="V112" s="19"/>
    </row>
    <row r="113" spans="3:22">
      <c r="C113" s="17"/>
      <c r="D113" s="18"/>
      <c r="E113" s="13"/>
      <c r="F113" s="13"/>
      <c r="G113" s="13"/>
      <c r="H113" s="13"/>
      <c r="I113" s="72"/>
      <c r="J113" s="13"/>
      <c r="K113" s="13"/>
      <c r="L113" s="13"/>
      <c r="M113" s="13"/>
      <c r="N113" s="13"/>
      <c r="O113" s="13"/>
      <c r="P113" s="13"/>
      <c r="Q113" s="13"/>
      <c r="R113" s="21"/>
      <c r="S113" s="13"/>
      <c r="T113" s="22"/>
      <c r="U113" s="22"/>
      <c r="V113" s="19"/>
    </row>
    <row r="114" spans="3:22">
      <c r="C114" s="17"/>
      <c r="D114" s="18"/>
      <c r="E114" s="13"/>
      <c r="F114" s="13"/>
      <c r="G114" s="13"/>
      <c r="H114" s="13"/>
      <c r="I114" s="72"/>
      <c r="J114" s="13"/>
      <c r="K114" s="13"/>
      <c r="L114" s="13"/>
      <c r="M114" s="13"/>
      <c r="N114" s="13"/>
      <c r="O114" s="13"/>
      <c r="P114" s="13"/>
      <c r="Q114" s="13"/>
      <c r="R114" s="21"/>
      <c r="S114" s="13"/>
      <c r="T114" s="22"/>
      <c r="U114" s="22"/>
      <c r="V114" s="19"/>
    </row>
    <row r="115" spans="3:22">
      <c r="C115" s="17"/>
      <c r="D115" s="18"/>
      <c r="E115" s="13"/>
      <c r="F115" s="13"/>
      <c r="G115" s="13"/>
      <c r="H115" s="13"/>
      <c r="I115" s="72"/>
      <c r="J115" s="13"/>
      <c r="K115" s="13"/>
      <c r="L115" s="13"/>
      <c r="M115" s="13"/>
      <c r="N115" s="13"/>
      <c r="O115" s="13"/>
      <c r="P115" s="13"/>
      <c r="Q115" s="13"/>
      <c r="R115" s="21"/>
      <c r="S115" s="13"/>
      <c r="T115" s="22"/>
      <c r="U115" s="22"/>
      <c r="V115" s="19"/>
    </row>
    <row r="116" spans="3:22" ht="15" thickBot="1">
      <c r="C116" s="23"/>
      <c r="D116" s="24"/>
      <c r="E116" s="25"/>
      <c r="F116" s="25"/>
      <c r="G116" s="25"/>
      <c r="H116" s="25"/>
      <c r="I116" s="75"/>
      <c r="J116" s="25"/>
      <c r="K116" s="25"/>
      <c r="L116" s="25"/>
      <c r="M116" s="25"/>
      <c r="N116" s="25"/>
      <c r="O116" s="25"/>
      <c r="P116" s="25"/>
      <c r="Q116" s="25"/>
      <c r="R116" s="26"/>
      <c r="S116" s="25"/>
      <c r="T116" s="27"/>
      <c r="U116" s="27"/>
      <c r="V116" s="28"/>
    </row>
    <row r="118" spans="3:22" ht="15" thickBot="1"/>
    <row r="119" spans="3:22" ht="17" thickBot="1">
      <c r="C119" s="42" t="s">
        <v>36</v>
      </c>
      <c r="D119" s="43" t="s">
        <v>37</v>
      </c>
      <c r="E119" s="35" t="s">
        <v>24</v>
      </c>
      <c r="F119" s="36" t="s">
        <v>29</v>
      </c>
      <c r="G119" s="36" t="s">
        <v>30</v>
      </c>
      <c r="H119" s="97" t="s">
        <v>56</v>
      </c>
      <c r="I119" s="36" t="s">
        <v>77</v>
      </c>
      <c r="J119" s="36" t="s">
        <v>80</v>
      </c>
      <c r="K119" s="36" t="s">
        <v>81</v>
      </c>
      <c r="L119" s="110" t="s">
        <v>92</v>
      </c>
      <c r="M119" s="36" t="s">
        <v>89</v>
      </c>
      <c r="N119" s="36" t="s">
        <v>90</v>
      </c>
      <c r="O119" s="38" t="s">
        <v>91</v>
      </c>
      <c r="P119" s="15"/>
      <c r="Q119" s="15"/>
      <c r="R119" s="15"/>
      <c r="S119" s="15"/>
      <c r="T119" s="40"/>
      <c r="U119" s="40"/>
      <c r="V119" s="16"/>
    </row>
    <row r="120" spans="3:22" ht="16" thickTop="1" thickBot="1">
      <c r="C120" s="44">
        <v>20</v>
      </c>
      <c r="D120" s="45">
        <f>MAX(T123:T144)</f>
        <v>2.2987700113416962</v>
      </c>
      <c r="E120" s="25">
        <f>$M$4-H120</f>
        <v>1.0311782372024054</v>
      </c>
      <c r="F120" s="25">
        <f>MAX(N123:N145)</f>
        <v>3.5268884963897782</v>
      </c>
      <c r="G120" s="25">
        <f>F120*$L$4</f>
        <v>0.63483992935015998</v>
      </c>
      <c r="H120" s="75">
        <f>(-N120+SQRT(N120^2-4*$P$4*O120))/(2*$P$4)</f>
        <v>0.18802176279759467</v>
      </c>
      <c r="I120" s="25">
        <f>$H$4*SBT!$C$23</f>
        <v>4.4225409836065571E-2</v>
      </c>
      <c r="J120" s="25">
        <f>I120+SBT!$B$23</f>
        <v>0.19422540983606557</v>
      </c>
      <c r="K120" s="25">
        <f>SBT!$B$12*H120</f>
        <v>0.24442829163687307</v>
      </c>
      <c r="L120" s="25">
        <f>(F120*$L$4-(SBT!$F$23*K120+0.5*SBT!$E$23*K120^2)*9.81)/(J120*9.81)</f>
        <v>0.1061344652348155</v>
      </c>
      <c r="M120" s="79">
        <f>J120+SBT!$F$23+2*SBT!$G$23+H120*SBT!$D$23+K120*SBT!$E$23</f>
        <v>0.68836234092898119</v>
      </c>
      <c r="N120" s="25">
        <f>(SBT!$G$23+(SBT!$F$23+J120)*0.5)*9.81</f>
        <v>3.1869031352459021</v>
      </c>
      <c r="O120" s="37">
        <f>-F120*$L$4</f>
        <v>-0.63483992935015998</v>
      </c>
      <c r="P120" s="13"/>
      <c r="Q120" s="13"/>
      <c r="R120" s="13"/>
      <c r="S120" s="13"/>
      <c r="T120" s="13"/>
      <c r="U120" s="13"/>
      <c r="V120" s="19"/>
    </row>
    <row r="121" spans="3:22">
      <c r="C121" s="41"/>
      <c r="D121" s="13"/>
      <c r="E121" s="13"/>
      <c r="F121" s="13"/>
      <c r="G121" s="13"/>
      <c r="H121" s="13"/>
      <c r="I121" s="76"/>
      <c r="J121" s="18"/>
      <c r="K121" s="18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9"/>
    </row>
    <row r="122" spans="3:22" ht="17" thickBot="1">
      <c r="C122" s="47" t="s">
        <v>40</v>
      </c>
      <c r="D122" s="48" t="s">
        <v>42</v>
      </c>
      <c r="E122" s="30" t="s">
        <v>35</v>
      </c>
      <c r="F122" s="29" t="s">
        <v>34</v>
      </c>
      <c r="G122" s="29" t="s">
        <v>41</v>
      </c>
      <c r="H122" s="29" t="s">
        <v>7</v>
      </c>
      <c r="I122" s="70" t="s">
        <v>16</v>
      </c>
      <c r="J122" s="71" t="s">
        <v>17</v>
      </c>
      <c r="K122" s="29" t="s">
        <v>18</v>
      </c>
      <c r="L122" s="46" t="s">
        <v>39</v>
      </c>
      <c r="M122" s="31" t="s">
        <v>10</v>
      </c>
      <c r="N122" s="31" t="s">
        <v>13</v>
      </c>
      <c r="O122" s="31" t="s">
        <v>14</v>
      </c>
      <c r="P122" s="31" t="s">
        <v>8</v>
      </c>
      <c r="Q122" s="31" t="s">
        <v>9</v>
      </c>
      <c r="R122" s="31" t="s">
        <v>19</v>
      </c>
      <c r="S122" s="31" t="s">
        <v>25</v>
      </c>
      <c r="T122" s="32" t="s">
        <v>27</v>
      </c>
      <c r="U122" s="32"/>
      <c r="V122" s="33"/>
    </row>
    <row r="123" spans="3:22" ht="15" thickTop="1">
      <c r="C123" s="50">
        <v>4.4656350539999998</v>
      </c>
      <c r="D123" s="51">
        <v>0.95979999999999999</v>
      </c>
      <c r="E123" s="7">
        <f>$K$4/(2+SQRT(4+$K$4^2))</f>
        <v>0.53518375848799637</v>
      </c>
      <c r="F123" s="7">
        <f>C123*E123</f>
        <v>2.3899353522354665</v>
      </c>
      <c r="G123" s="12">
        <f>D123*E123</f>
        <v>0.51366937139677893</v>
      </c>
      <c r="H123" s="14">
        <f>F123*PI()/180</f>
        <v>4.1712240806319308E-2</v>
      </c>
      <c r="I123" s="72">
        <f t="shared" ref="I123:I137" si="74">0.5*ATAN(K123)*180/PI()-J123</f>
        <v>41.862752207456531</v>
      </c>
      <c r="J123" s="13">
        <v>0</v>
      </c>
      <c r="K123" s="13">
        <f t="shared" ref="K123:K137" si="75">L123/M123</f>
        <v>9.0950027993662967</v>
      </c>
      <c r="L123" s="13">
        <f>$H$123*J123+$G$123</f>
        <v>0.51366937139677893</v>
      </c>
      <c r="M123" s="13">
        <f t="shared" ref="M123:M137" si="76">0.015+0.1572*(L123^2)</f>
        <v>5.6478198273074674E-2</v>
      </c>
      <c r="N123" s="13">
        <f t="shared" ref="N123:O137" si="77">$N$4*L123</f>
        <v>2.191929941624335</v>
      </c>
      <c r="O123" s="13">
        <f t="shared" si="77"/>
        <v>0.24100376767086423</v>
      </c>
      <c r="P123" s="13">
        <f>((N123*COS(I123+J123)+O123*SIN(I123+J123))*SIN(J123+I123)-O123)/$M$120</f>
        <v>1.3218484747357524</v>
      </c>
      <c r="Q123" s="13">
        <f t="shared" ref="Q123:Q137" si="78">P123*TAN(I123+J123)</f>
        <v>2.162056646889936</v>
      </c>
      <c r="R123" s="21">
        <f>IF(ISERROR(SQRT(2*$E$120/Q123)),0,SQRT(2*$E$92/Q123))</f>
        <v>0.97920727761376558</v>
      </c>
      <c r="S123" s="13">
        <f t="shared" ref="S123:S137" si="79">0.5*P123*R123^2</f>
        <v>0.63372515119911288</v>
      </c>
      <c r="T123" s="22">
        <f t="shared" ref="T123:T137" si="80">R123*P123</f>
        <v>1.2943636463639046</v>
      </c>
      <c r="U123" s="22"/>
      <c r="V123" s="19"/>
    </row>
    <row r="124" spans="3:22">
      <c r="C124" s="17"/>
      <c r="D124" s="18"/>
      <c r="E124" s="13"/>
      <c r="F124" s="13"/>
      <c r="G124" s="13"/>
      <c r="H124" s="13"/>
      <c r="I124" s="72">
        <f t="shared" si="74"/>
        <v>41.302215059003935</v>
      </c>
      <c r="J124" s="13">
        <f>J123+0.5</f>
        <v>0.5</v>
      </c>
      <c r="K124" s="13">
        <f t="shared" si="75"/>
        <v>8.9214279301916832</v>
      </c>
      <c r="L124" s="13">
        <f t="shared" ref="L124:L137" si="81">$H$123*J124+$G$123</f>
        <v>0.53452549179993858</v>
      </c>
      <c r="M124" s="13">
        <f t="shared" si="76"/>
        <v>5.9914791217559493E-2</v>
      </c>
      <c r="N124" s="13">
        <f t="shared" si="77"/>
        <v>2.2809271786086978</v>
      </c>
      <c r="O124" s="13">
        <f t="shared" si="77"/>
        <v>0.25566839708356986</v>
      </c>
      <c r="P124" s="13">
        <f t="shared" ref="P124:P138" si="82">((N124*COS(I124+J124)+O124*SIN(I124+J124))*SIN(J124+I124)-O124)/$M$120</f>
        <v>1.4334232906336093</v>
      </c>
      <c r="Q124" s="13">
        <f t="shared" si="78"/>
        <v>2.0540380148171788</v>
      </c>
      <c r="R124" s="21">
        <f t="shared" ref="R124:R138" si="83">IF(ISERROR(SQRT(2*$E$120/Q124)),0,SQRT(2*$E$92/Q124))</f>
        <v>1.0046248773312783</v>
      </c>
      <c r="S124" s="13">
        <f t="shared" si="79"/>
        <v>0.72335638229658872</v>
      </c>
      <c r="T124" s="22">
        <f t="shared" si="80"/>
        <v>1.440052697516587</v>
      </c>
      <c r="U124" s="22"/>
      <c r="V124" s="19"/>
    </row>
    <row r="125" spans="3:22">
      <c r="C125" s="20"/>
      <c r="D125" s="11"/>
      <c r="E125" s="13"/>
      <c r="F125" s="13"/>
      <c r="G125" s="13"/>
      <c r="H125" s="13"/>
      <c r="I125" s="72">
        <f t="shared" si="74"/>
        <v>40.739286643500343</v>
      </c>
      <c r="J125" s="13">
        <f t="shared" ref="J125:J138" si="84">J124+0.5</f>
        <v>1</v>
      </c>
      <c r="K125" s="13">
        <f t="shared" si="75"/>
        <v>8.747800801453284</v>
      </c>
      <c r="L125" s="13">
        <f t="shared" si="81"/>
        <v>0.55538161220309823</v>
      </c>
      <c r="M125" s="13">
        <f t="shared" si="76"/>
        <v>6.3488141169244727E-2</v>
      </c>
      <c r="N125" s="13">
        <f t="shared" si="77"/>
        <v>2.3699244155930606</v>
      </c>
      <c r="O125" s="13">
        <f t="shared" si="77"/>
        <v>0.27091659599740109</v>
      </c>
      <c r="P125" s="13">
        <f t="shared" si="82"/>
        <v>1.5248878311802354</v>
      </c>
      <c r="Q125" s="13">
        <f t="shared" si="78"/>
        <v>1.9160144804318602</v>
      </c>
      <c r="R125" s="21">
        <f t="shared" si="83"/>
        <v>1.0401806566512453</v>
      </c>
      <c r="S125" s="13">
        <f t="shared" si="79"/>
        <v>0.82494586436029038</v>
      </c>
      <c r="T125" s="22">
        <f t="shared" si="80"/>
        <v>1.5861588255565504</v>
      </c>
      <c r="U125" s="22"/>
      <c r="V125" s="19"/>
    </row>
    <row r="126" spans="3:22">
      <c r="C126" s="17"/>
      <c r="D126" s="18"/>
      <c r="E126" s="13"/>
      <c r="F126" s="13"/>
      <c r="G126" s="13"/>
      <c r="H126" s="13"/>
      <c r="I126" s="72">
        <f t="shared" si="74"/>
        <v>40.174233774959689</v>
      </c>
      <c r="J126" s="13">
        <f t="shared" si="84"/>
        <v>1.5</v>
      </c>
      <c r="K126" s="13">
        <f t="shared" si="75"/>
        <v>8.5751898101199782</v>
      </c>
      <c r="L126" s="13">
        <f t="shared" si="81"/>
        <v>0.57623773260625788</v>
      </c>
      <c r="M126" s="13">
        <f t="shared" si="76"/>
        <v>6.7198248128130425E-2</v>
      </c>
      <c r="N126" s="13">
        <f t="shared" si="77"/>
        <v>2.4589216525774233</v>
      </c>
      <c r="O126" s="13">
        <f t="shared" si="77"/>
        <v>0.28674836441235813</v>
      </c>
      <c r="P126" s="13">
        <f t="shared" si="82"/>
        <v>1.5895333625298196</v>
      </c>
      <c r="Q126" s="13">
        <f t="shared" si="78"/>
        <v>1.7504129530233108</v>
      </c>
      <c r="R126" s="21">
        <f t="shared" si="83"/>
        <v>1.0882731330533699</v>
      </c>
      <c r="S126" s="13">
        <f t="shared" si="79"/>
        <v>0.94127270929977336</v>
      </c>
      <c r="T126" s="22">
        <f t="shared" si="80"/>
        <v>1.7298464525331849</v>
      </c>
      <c r="U126" s="22"/>
      <c r="V126" s="19"/>
    </row>
    <row r="127" spans="3:22">
      <c r="C127" s="17"/>
      <c r="D127" s="13"/>
      <c r="E127" s="13"/>
      <c r="F127" s="13"/>
      <c r="G127" s="13"/>
      <c r="H127" s="13"/>
      <c r="I127" s="72">
        <f t="shared" si="74"/>
        <v>39.607286292027965</v>
      </c>
      <c r="J127" s="13">
        <f t="shared" si="84"/>
        <v>2</v>
      </c>
      <c r="K127" s="13">
        <f t="shared" si="75"/>
        <v>8.4044325557201027</v>
      </c>
      <c r="L127" s="13">
        <f t="shared" si="81"/>
        <v>0.59709385300941753</v>
      </c>
      <c r="M127" s="13">
        <f t="shared" si="76"/>
        <v>7.1045112094216545E-2</v>
      </c>
      <c r="N127" s="13">
        <f t="shared" si="77"/>
        <v>2.5479188895617866</v>
      </c>
      <c r="O127" s="13">
        <f t="shared" si="77"/>
        <v>0.30316370232844081</v>
      </c>
      <c r="P127" s="13">
        <f t="shared" si="82"/>
        <v>1.6209086916570583</v>
      </c>
      <c r="Q127" s="13">
        <f t="shared" si="78"/>
        <v>1.5610291118077522</v>
      </c>
      <c r="R127" s="21">
        <f t="shared" si="83"/>
        <v>1.1523984503992744</v>
      </c>
      <c r="S127" s="13">
        <f t="shared" si="79"/>
        <v>1.0763013540124768</v>
      </c>
      <c r="T127" s="22">
        <f t="shared" si="80"/>
        <v>1.8679326645043093</v>
      </c>
      <c r="U127" s="22"/>
      <c r="V127" s="19"/>
    </row>
    <row r="128" spans="3:22">
      <c r="C128" s="17"/>
      <c r="D128" s="13"/>
      <c r="E128" s="13"/>
      <c r="F128" s="13"/>
      <c r="G128" s="13"/>
      <c r="H128" s="13"/>
      <c r="I128" s="72">
        <f t="shared" si="74"/>
        <v>39.038643288306055</v>
      </c>
      <c r="J128" s="13">
        <f t="shared" si="84"/>
        <v>2.5</v>
      </c>
      <c r="K128" s="13">
        <f t="shared" si="75"/>
        <v>8.2361776368609334</v>
      </c>
      <c r="L128" s="13">
        <f t="shared" si="81"/>
        <v>0.61794997341257718</v>
      </c>
      <c r="M128" s="13">
        <f t="shared" si="76"/>
        <v>7.5028733067503073E-2</v>
      </c>
      <c r="N128" s="13">
        <f t="shared" si="77"/>
        <v>2.6369161265461494</v>
      </c>
      <c r="O128" s="13">
        <f t="shared" si="77"/>
        <v>0.32016260974564908</v>
      </c>
      <c r="P128" s="13">
        <f t="shared" si="82"/>
        <v>1.6131029751902128</v>
      </c>
      <c r="Q128" s="13">
        <f t="shared" si="78"/>
        <v>1.3530239152014172</v>
      </c>
      <c r="R128" s="21">
        <f t="shared" si="83"/>
        <v>1.2378141138262801</v>
      </c>
      <c r="S128" s="13">
        <f t="shared" si="79"/>
        <v>1.2357851073406636</v>
      </c>
      <c r="T128" s="22">
        <f t="shared" si="80"/>
        <v>1.9967216297456092</v>
      </c>
      <c r="U128" s="22"/>
      <c r="V128" s="19"/>
    </row>
    <row r="129" spans="3:22">
      <c r="C129" s="17"/>
      <c r="D129" s="13"/>
      <c r="E129" s="13"/>
      <c r="F129" s="13"/>
      <c r="G129" s="13"/>
      <c r="H129" s="13"/>
      <c r="I129" s="72">
        <f t="shared" si="74"/>
        <v>38.468478123904163</v>
      </c>
      <c r="J129" s="13">
        <f t="shared" si="84"/>
        <v>3</v>
      </c>
      <c r="K129" s="13">
        <f t="shared" si="75"/>
        <v>8.0709193742986312</v>
      </c>
      <c r="L129" s="13">
        <f t="shared" si="81"/>
        <v>0.63880609381573683</v>
      </c>
      <c r="M129" s="13">
        <f t="shared" si="76"/>
        <v>7.9149111047990064E-2</v>
      </c>
      <c r="N129" s="13">
        <f t="shared" si="77"/>
        <v>2.7259133635305122</v>
      </c>
      <c r="O129" s="13">
        <f t="shared" si="77"/>
        <v>0.33774508666398317</v>
      </c>
      <c r="P129" s="13">
        <f t="shared" si="82"/>
        <v>1.5610340217669143</v>
      </c>
      <c r="Q129" s="13">
        <f t="shared" si="78"/>
        <v>1.1328584978346317</v>
      </c>
      <c r="R129" s="21">
        <f t="shared" si="83"/>
        <v>1.3527586929253721</v>
      </c>
      <c r="S129" s="13">
        <f t="shared" si="79"/>
        <v>1.4283118506126988</v>
      </c>
      <c r="T129" s="22">
        <f t="shared" si="80"/>
        <v>2.111702342897448</v>
      </c>
      <c r="U129" s="22"/>
      <c r="V129" s="19"/>
    </row>
    <row r="130" spans="3:22">
      <c r="C130" s="17"/>
      <c r="D130" s="13"/>
      <c r="E130" s="13"/>
      <c r="F130" s="13"/>
      <c r="G130" s="13"/>
      <c r="H130" s="13"/>
      <c r="I130" s="72">
        <f t="shared" si="74"/>
        <v>37.896942487540244</v>
      </c>
      <c r="J130" s="13">
        <f t="shared" si="84"/>
        <v>3.5</v>
      </c>
      <c r="K130" s="13">
        <f t="shared" si="75"/>
        <v>7.9090265486438804</v>
      </c>
      <c r="L130" s="13">
        <f t="shared" si="81"/>
        <v>0.65966221421889648</v>
      </c>
      <c r="M130" s="13">
        <f t="shared" si="76"/>
        <v>8.3406246035677464E-2</v>
      </c>
      <c r="N130" s="13">
        <f t="shared" si="77"/>
        <v>2.814910600514875</v>
      </c>
      <c r="O130" s="13">
        <f t="shared" si="77"/>
        <v>0.35591113308344285</v>
      </c>
      <c r="P130" s="13">
        <f t="shared" si="82"/>
        <v>1.4607291101406299</v>
      </c>
      <c r="Q130" s="13">
        <f t="shared" si="78"/>
        <v>0.90816613272281677</v>
      </c>
      <c r="R130" s="21">
        <f t="shared" si="83"/>
        <v>1.5108644957517596</v>
      </c>
      <c r="S130" s="13">
        <f t="shared" si="79"/>
        <v>1.6672115869622812</v>
      </c>
      <c r="T130" s="22">
        <f t="shared" si="80"/>
        <v>2.2069637504225392</v>
      </c>
      <c r="U130" s="22"/>
      <c r="V130" s="19"/>
    </row>
    <row r="131" spans="3:22">
      <c r="C131" s="17"/>
      <c r="D131" s="13"/>
      <c r="E131" s="13"/>
      <c r="F131" s="13"/>
      <c r="G131" s="13"/>
      <c r="H131" s="13"/>
      <c r="I131" s="72">
        <f t="shared" si="74"/>
        <v>37.324169712575369</v>
      </c>
      <c r="J131" s="13">
        <f t="shared" si="84"/>
        <v>4</v>
      </c>
      <c r="K131" s="13">
        <f t="shared" si="75"/>
        <v>7.7507661136609096</v>
      </c>
      <c r="L131" s="13">
        <f t="shared" si="81"/>
        <v>0.68051833462205613</v>
      </c>
      <c r="M131" s="13">
        <f t="shared" si="76"/>
        <v>8.7800138030565314E-2</v>
      </c>
      <c r="N131" s="13">
        <f t="shared" si="77"/>
        <v>2.9039078374992378</v>
      </c>
      <c r="O131" s="13">
        <f t="shared" si="77"/>
        <v>0.37466074900402829</v>
      </c>
      <c r="P131" s="13">
        <f t="shared" si="82"/>
        <v>1.3095849499285164</v>
      </c>
      <c r="Q131" s="13">
        <f t="shared" si="78"/>
        <v>0.68756252677570207</v>
      </c>
      <c r="R131" s="21">
        <f t="shared" si="83"/>
        <v>1.7364091565668189</v>
      </c>
      <c r="S131" s="13">
        <f t="shared" si="79"/>
        <v>1.9742757649377758</v>
      </c>
      <c r="T131" s="22">
        <f t="shared" si="80"/>
        <v>2.2739752983579749</v>
      </c>
      <c r="U131" s="22"/>
      <c r="V131" s="19"/>
    </row>
    <row r="132" spans="3:22">
      <c r="C132" s="17"/>
      <c r="D132" s="18"/>
      <c r="E132" s="13"/>
      <c r="F132" s="13"/>
      <c r="G132" s="13"/>
      <c r="H132" s="13"/>
      <c r="I132" s="72">
        <f t="shared" si="74"/>
        <v>36.750277502069792</v>
      </c>
      <c r="J132" s="13">
        <f t="shared" si="84"/>
        <v>4.5</v>
      </c>
      <c r="K132" s="13">
        <f t="shared" si="75"/>
        <v>7.5963227171145915</v>
      </c>
      <c r="L132" s="13">
        <f t="shared" si="81"/>
        <v>0.70137445502521578</v>
      </c>
      <c r="M132" s="13">
        <f t="shared" si="76"/>
        <v>9.2330787032653586E-2</v>
      </c>
      <c r="N132" s="13">
        <f t="shared" si="77"/>
        <v>2.9929050744836005</v>
      </c>
      <c r="O132" s="13">
        <f t="shared" si="77"/>
        <v>0.39399393442573938</v>
      </c>
      <c r="P132" s="13">
        <f t="shared" si="82"/>
        <v>1.1065935921400085</v>
      </c>
      <c r="Q132" s="13">
        <f t="shared" si="78"/>
        <v>0.48039844160523326</v>
      </c>
      <c r="R132" s="21">
        <f t="shared" si="83"/>
        <v>2.0773389866610135</v>
      </c>
      <c r="S132" s="13">
        <f t="shared" si="79"/>
        <v>2.3876622829636425</v>
      </c>
      <c r="T132" s="22">
        <f t="shared" si="80"/>
        <v>2.2987700113416962</v>
      </c>
      <c r="U132" s="22"/>
      <c r="V132" s="19"/>
    </row>
    <row r="133" spans="3:22">
      <c r="C133" s="17"/>
      <c r="D133" s="22"/>
      <c r="E133" s="13"/>
      <c r="F133" s="13"/>
      <c r="G133" s="13"/>
      <c r="H133" s="13"/>
      <c r="I133" s="72">
        <f t="shared" si="74"/>
        <v>36.175370182168528</v>
      </c>
      <c r="J133" s="13">
        <f t="shared" si="84"/>
        <v>5</v>
      </c>
      <c r="K133" s="13">
        <f t="shared" si="75"/>
        <v>7.4458147392094292</v>
      </c>
      <c r="L133" s="13">
        <f t="shared" si="81"/>
        <v>0.72223057542837543</v>
      </c>
      <c r="M133" s="13">
        <f t="shared" si="76"/>
        <v>9.6998193041942293E-2</v>
      </c>
      <c r="N133" s="13">
        <f t="shared" si="77"/>
        <v>3.0819023114679633</v>
      </c>
      <c r="O133" s="13">
        <f t="shared" si="77"/>
        <v>0.41391068934857617</v>
      </c>
      <c r="P133" s="13">
        <f t="shared" si="82"/>
        <v>0.85252186779655525</v>
      </c>
      <c r="Q133" s="13">
        <f t="shared" si="78"/>
        <v>0.29646134988054768</v>
      </c>
      <c r="R133" s="21">
        <f t="shared" si="83"/>
        <v>2.6443815957677193</v>
      </c>
      <c r="S133" s="13">
        <f t="shared" si="79"/>
        <v>2.9807378608061108</v>
      </c>
      <c r="T133" s="22">
        <f t="shared" si="80"/>
        <v>2.2543931371907315</v>
      </c>
      <c r="U133" s="22"/>
      <c r="V133" s="19"/>
    </row>
    <row r="134" spans="3:22">
      <c r="C134" s="17"/>
      <c r="D134" s="18"/>
      <c r="E134" s="13"/>
      <c r="F134" s="13"/>
      <c r="G134" s="13"/>
      <c r="H134" s="13"/>
      <c r="I134" s="72">
        <f t="shared" si="74"/>
        <v>35.599540576373627</v>
      </c>
      <c r="J134" s="13">
        <f t="shared" si="84"/>
        <v>5.5</v>
      </c>
      <c r="K134" s="13">
        <f t="shared" si="75"/>
        <v>7.2993074482974256</v>
      </c>
      <c r="L134" s="13">
        <f t="shared" si="81"/>
        <v>0.74308669583153508</v>
      </c>
      <c r="M134" s="13">
        <f t="shared" si="76"/>
        <v>0.10180235605843142</v>
      </c>
      <c r="N134" s="13">
        <f t="shared" si="77"/>
        <v>3.1708995484523266</v>
      </c>
      <c r="O134" s="13">
        <f t="shared" si="77"/>
        <v>0.43441101377253855</v>
      </c>
      <c r="P134" s="13">
        <f t="shared" si="82"/>
        <v>0.5500332850288322</v>
      </c>
      <c r="Q134" s="13">
        <f t="shared" si="78"/>
        <v>0.1456354144887031</v>
      </c>
      <c r="R134" s="21">
        <f t="shared" si="83"/>
        <v>3.7728945638223204</v>
      </c>
      <c r="S134" s="13">
        <f t="shared" si="79"/>
        <v>3.9147885839286523</v>
      </c>
      <c r="T134" s="22">
        <f t="shared" si="80"/>
        <v>2.0752175910066137</v>
      </c>
      <c r="U134" s="22"/>
      <c r="V134" s="19"/>
    </row>
    <row r="135" spans="3:22">
      <c r="C135" s="17"/>
      <c r="D135" s="18"/>
      <c r="E135" s="13"/>
      <c r="F135" s="13"/>
      <c r="G135" s="13"/>
      <c r="H135" s="13"/>
      <c r="I135" s="72">
        <f t="shared" si="74"/>
        <v>35.022871573071392</v>
      </c>
      <c r="J135" s="13">
        <f t="shared" si="84"/>
        <v>6</v>
      </c>
      <c r="K135" s="13">
        <f t="shared" si="75"/>
        <v>7.1568237763938338</v>
      </c>
      <c r="L135" s="13">
        <f t="shared" si="81"/>
        <v>0.76394281623469484</v>
      </c>
      <c r="M135" s="13">
        <f t="shared" si="76"/>
        <v>0.106743276082121</v>
      </c>
      <c r="N135" s="13">
        <f t="shared" si="77"/>
        <v>3.2598967854366898</v>
      </c>
      <c r="O135" s="13">
        <f t="shared" si="77"/>
        <v>0.45549490769762674</v>
      </c>
      <c r="P135" s="13">
        <f t="shared" si="82"/>
        <v>0.20374321171638424</v>
      </c>
      <c r="Q135" s="13">
        <f t="shared" si="78"/>
        <v>3.7531384298476196E-2</v>
      </c>
      <c r="R135" s="21">
        <f t="shared" si="83"/>
        <v>7.4320885465040316</v>
      </c>
      <c r="S135" s="13">
        <f t="shared" si="79"/>
        <v>5.6269739254996036</v>
      </c>
      <c r="T135" s="22">
        <f t="shared" si="80"/>
        <v>1.5142375902252854</v>
      </c>
      <c r="U135" s="22"/>
      <c r="V135" s="19"/>
    </row>
    <row r="136" spans="3:22">
      <c r="C136" s="17"/>
      <c r="D136" s="18"/>
      <c r="E136" s="13"/>
      <c r="F136" s="13"/>
      <c r="G136" s="13"/>
      <c r="H136" s="13"/>
      <c r="I136" s="72">
        <f t="shared" si="74"/>
        <v>34.445437443316251</v>
      </c>
      <c r="J136" s="13">
        <f t="shared" si="84"/>
        <v>6.5</v>
      </c>
      <c r="K136" s="13">
        <f t="shared" si="75"/>
        <v>7.0183531331977056</v>
      </c>
      <c r="L136" s="13">
        <f t="shared" si="81"/>
        <v>0.78479893663785449</v>
      </c>
      <c r="M136" s="13">
        <f t="shared" si="76"/>
        <v>0.111820953113011</v>
      </c>
      <c r="N136" s="13">
        <f t="shared" si="77"/>
        <v>3.3488940224210526</v>
      </c>
      <c r="O136" s="13">
        <f t="shared" si="77"/>
        <v>0.47716237112384052</v>
      </c>
      <c r="P136" s="13">
        <f t="shared" si="82"/>
        <v>-0.17979944984661975</v>
      </c>
      <c r="Q136" s="13">
        <f t="shared" si="78"/>
        <v>-1.8900081711716615E-2</v>
      </c>
      <c r="R136" s="21">
        <f t="shared" si="83"/>
        <v>0</v>
      </c>
      <c r="S136" s="13">
        <f t="shared" si="79"/>
        <v>0</v>
      </c>
      <c r="T136" s="22">
        <f t="shared" si="80"/>
        <v>0</v>
      </c>
      <c r="U136" s="22"/>
      <c r="V136" s="19"/>
    </row>
    <row r="137" spans="3:22">
      <c r="C137" s="17"/>
      <c r="D137" s="18"/>
      <c r="E137" s="13"/>
      <c r="F137" s="13"/>
      <c r="G137" s="13"/>
      <c r="H137" s="13"/>
      <c r="I137" s="72">
        <f t="shared" si="74"/>
        <v>33.867304954081938</v>
      </c>
      <c r="J137" s="13">
        <f t="shared" si="84"/>
        <v>7</v>
      </c>
      <c r="K137" s="13">
        <f t="shared" si="75"/>
        <v>6.8838586059518327</v>
      </c>
      <c r="L137" s="13">
        <f t="shared" si="81"/>
        <v>0.80565505704101414</v>
      </c>
      <c r="M137" s="13">
        <f t="shared" si="76"/>
        <v>0.11703538715110143</v>
      </c>
      <c r="N137" s="13">
        <f t="shared" si="77"/>
        <v>3.4378912594054154</v>
      </c>
      <c r="O137" s="13">
        <f t="shared" si="77"/>
        <v>0.49941340405118001</v>
      </c>
      <c r="P137" s="13">
        <f t="shared" si="82"/>
        <v>-0.59220811296355824</v>
      </c>
      <c r="Q137" s="13">
        <f t="shared" si="78"/>
        <v>-1.5756723268322809E-2</v>
      </c>
      <c r="R137" s="21">
        <f t="shared" si="83"/>
        <v>0</v>
      </c>
      <c r="S137" s="13">
        <f t="shared" si="79"/>
        <v>0</v>
      </c>
      <c r="T137" s="22">
        <f t="shared" si="80"/>
        <v>0</v>
      </c>
      <c r="U137" s="22"/>
      <c r="V137" s="19"/>
    </row>
    <row r="138" spans="3:22">
      <c r="C138" s="17"/>
      <c r="D138" s="18"/>
      <c r="E138" s="13"/>
      <c r="F138" s="13"/>
      <c r="G138" s="13"/>
      <c r="H138" s="13"/>
      <c r="I138" s="72">
        <f t="shared" ref="I138" si="85">0.5*ATAN(K138)*180/PI()-J138</f>
        <v>33.288534313073633</v>
      </c>
      <c r="J138" s="13">
        <f t="shared" si="84"/>
        <v>7.5</v>
      </c>
      <c r="K138" s="13">
        <f t="shared" ref="K138" si="86">L138/M138</f>
        <v>6.7532828323534062</v>
      </c>
      <c r="L138" s="13">
        <f t="shared" ref="L138" si="87">$H$123*J138+$G$123</f>
        <v>0.82651117744417379</v>
      </c>
      <c r="M138" s="13">
        <f t="shared" ref="M138" si="88">0.015+0.1572*(L138^2)</f>
        <v>0.1223865781963923</v>
      </c>
      <c r="N138" s="13">
        <f t="shared" ref="N138" si="89">$N$4*L138</f>
        <v>3.5268884963897782</v>
      </c>
      <c r="O138" s="13">
        <f t="shared" ref="O138" si="90">$N$4*M138</f>
        <v>0.5222480064796452</v>
      </c>
      <c r="P138" s="13">
        <f t="shared" si="82"/>
        <v>-1.0234328292832353</v>
      </c>
      <c r="Q138" s="13">
        <f t="shared" ref="Q138" si="91">P138*TAN(I138+J138)</f>
        <v>5.3441171511109553E-2</v>
      </c>
      <c r="R138" s="21">
        <f t="shared" si="83"/>
        <v>6.2283094458376604</v>
      </c>
      <c r="S138" s="13">
        <f t="shared" ref="S138" si="92">0.5*P138*R138^2</f>
        <v>-19.850420541754247</v>
      </c>
      <c r="T138" s="22">
        <f t="shared" ref="T138" si="93">R138*P138</f>
        <v>-6.3742563578051366</v>
      </c>
      <c r="U138" s="22"/>
      <c r="V138" s="19"/>
    </row>
    <row r="139" spans="3:22">
      <c r="C139" s="17"/>
      <c r="D139" s="18"/>
      <c r="E139" s="13"/>
      <c r="F139" s="13"/>
      <c r="G139" s="13"/>
      <c r="H139" s="13"/>
      <c r="I139" s="72"/>
      <c r="J139" s="13"/>
      <c r="K139" s="13"/>
      <c r="L139" s="13"/>
      <c r="M139" s="13"/>
      <c r="N139" s="13"/>
      <c r="O139" s="13"/>
      <c r="P139" s="13"/>
      <c r="Q139" s="13"/>
      <c r="R139" s="21"/>
      <c r="S139" s="13"/>
      <c r="T139" s="22"/>
      <c r="U139" s="22"/>
      <c r="V139" s="19"/>
    </row>
    <row r="140" spans="3:22">
      <c r="C140" s="17"/>
      <c r="D140" s="18"/>
      <c r="E140" s="13"/>
      <c r="F140" s="13"/>
      <c r="G140" s="13"/>
      <c r="H140" s="13"/>
      <c r="I140" s="72"/>
      <c r="J140" s="13"/>
      <c r="K140" s="13"/>
      <c r="L140" s="13"/>
      <c r="M140" s="13"/>
      <c r="N140" s="13"/>
      <c r="O140" s="13"/>
      <c r="P140" s="13"/>
      <c r="Q140" s="13"/>
      <c r="R140" s="21"/>
      <c r="S140" s="13"/>
      <c r="T140" s="22"/>
      <c r="U140" s="22"/>
      <c r="V140" s="19"/>
    </row>
    <row r="141" spans="3:22">
      <c r="C141" s="17"/>
      <c r="D141" s="18"/>
      <c r="E141" s="13"/>
      <c r="F141" s="13"/>
      <c r="G141" s="13"/>
      <c r="H141" s="13"/>
      <c r="I141" s="72"/>
      <c r="J141" s="13"/>
      <c r="K141" s="13"/>
      <c r="L141" s="13"/>
      <c r="M141" s="13"/>
      <c r="N141" s="13"/>
      <c r="O141" s="13"/>
      <c r="P141" s="13"/>
      <c r="Q141" s="13"/>
      <c r="R141" s="21"/>
      <c r="S141" s="13"/>
      <c r="T141" s="22"/>
      <c r="U141" s="22"/>
      <c r="V141" s="19"/>
    </row>
    <row r="142" spans="3:22">
      <c r="C142" s="17"/>
      <c r="D142" s="18"/>
      <c r="E142" s="13"/>
      <c r="F142" s="13"/>
      <c r="G142" s="13"/>
      <c r="H142" s="13"/>
      <c r="I142" s="72"/>
      <c r="J142" s="13"/>
      <c r="K142" s="13"/>
      <c r="L142" s="13"/>
      <c r="M142" s="13"/>
      <c r="N142" s="13"/>
      <c r="O142" s="13"/>
      <c r="P142" s="13"/>
      <c r="Q142" s="13"/>
      <c r="R142" s="21"/>
      <c r="S142" s="13"/>
      <c r="T142" s="22"/>
      <c r="U142" s="22"/>
      <c r="V142" s="19"/>
    </row>
    <row r="143" spans="3:22">
      <c r="C143" s="17"/>
      <c r="D143" s="18"/>
      <c r="E143" s="13"/>
      <c r="F143" s="13"/>
      <c r="G143" s="13"/>
      <c r="H143" s="13"/>
      <c r="I143" s="72"/>
      <c r="J143" s="13"/>
      <c r="K143" s="13"/>
      <c r="L143" s="13"/>
      <c r="M143" s="13"/>
      <c r="N143" s="13"/>
      <c r="O143" s="13"/>
      <c r="P143" s="13"/>
      <c r="Q143" s="13"/>
      <c r="R143" s="21"/>
      <c r="S143" s="13"/>
      <c r="T143" s="22"/>
      <c r="U143" s="22"/>
      <c r="V143" s="19"/>
    </row>
    <row r="144" spans="3:22" ht="15" thickBot="1">
      <c r="C144" s="23"/>
      <c r="D144" s="24"/>
      <c r="E144" s="25"/>
      <c r="F144" s="25"/>
      <c r="G144" s="25"/>
      <c r="H144" s="25"/>
      <c r="I144" s="75"/>
      <c r="J144" s="25"/>
      <c r="K144" s="25"/>
      <c r="L144" s="25"/>
      <c r="M144" s="25"/>
      <c r="N144" s="25"/>
      <c r="O144" s="25"/>
      <c r="P144" s="25"/>
      <c r="Q144" s="25"/>
      <c r="R144" s="26"/>
      <c r="S144" s="25"/>
      <c r="T144" s="27"/>
      <c r="U144" s="27"/>
      <c r="V144" s="28"/>
    </row>
  </sheetData>
  <mergeCells count="2">
    <mergeCell ref="C2:D2"/>
    <mergeCell ref="H2:P2"/>
  </mergeCells>
  <conditionalFormatting sqref="U34">
    <cfRule type="cellIs" dxfId="60" priority="19" operator="greaterThan">
      <formula>0</formula>
    </cfRule>
  </conditionalFormatting>
  <conditionalFormatting sqref="S11:S33">
    <cfRule type="cellIs" dxfId="59" priority="18" operator="greaterThan">
      <formula>0</formula>
    </cfRule>
  </conditionalFormatting>
  <conditionalFormatting sqref="T11:U33">
    <cfRule type="cellIs" dxfId="58" priority="17" operator="greaterThan">
      <formula>0</formula>
    </cfRule>
  </conditionalFormatting>
  <conditionalFormatting sqref="S39:S60">
    <cfRule type="cellIs" dxfId="57" priority="16" operator="greaterThan">
      <formula>0</formula>
    </cfRule>
  </conditionalFormatting>
  <conditionalFormatting sqref="T39:U60">
    <cfRule type="cellIs" dxfId="56" priority="15" operator="greaterThan">
      <formula>0</formula>
    </cfRule>
  </conditionalFormatting>
  <conditionalFormatting sqref="S67:S88">
    <cfRule type="cellIs" dxfId="55" priority="14" operator="greaterThan">
      <formula>0</formula>
    </cfRule>
  </conditionalFormatting>
  <conditionalFormatting sqref="T67:U88">
    <cfRule type="cellIs" dxfId="54" priority="13" operator="greaterThan">
      <formula>0</formula>
    </cfRule>
  </conditionalFormatting>
  <conditionalFormatting sqref="K11:K33">
    <cfRule type="cellIs" dxfId="53" priority="11" operator="equal">
      <formula>"max($K$11:$K$32)"</formula>
    </cfRule>
    <cfRule type="cellIs" dxfId="52" priority="12" operator="equal">
      <formula>"max($K$11:$K$32)"</formula>
    </cfRule>
  </conditionalFormatting>
  <conditionalFormatting sqref="S95:S116">
    <cfRule type="cellIs" dxfId="51" priority="10" operator="greaterThan">
      <formula>0</formula>
    </cfRule>
  </conditionalFormatting>
  <conditionalFormatting sqref="T95:U116">
    <cfRule type="cellIs" dxfId="50" priority="9" operator="greaterThan">
      <formula>0</formula>
    </cfRule>
  </conditionalFormatting>
  <conditionalFormatting sqref="S123:S144">
    <cfRule type="cellIs" dxfId="49" priority="8" operator="greaterThan">
      <formula>0</formula>
    </cfRule>
  </conditionalFormatting>
  <conditionalFormatting sqref="T123:U144">
    <cfRule type="cellIs" dxfId="48" priority="7" operator="greaterThan">
      <formula>0</formula>
    </cfRule>
  </conditionalFormatting>
  <conditionalFormatting sqref="T39:T60">
    <cfRule type="top10" dxfId="47" priority="5" rank="1"/>
  </conditionalFormatting>
  <conditionalFormatting sqref="T67:T88">
    <cfRule type="top10" dxfId="46" priority="4" rank="1"/>
  </conditionalFormatting>
  <conditionalFormatting sqref="T95:T116">
    <cfRule type="top10" dxfId="45" priority="3" rank="1"/>
  </conditionalFormatting>
  <conditionalFormatting sqref="T123:T144">
    <cfRule type="top10" dxfId="44" priority="1" rank="1"/>
  </conditionalFormatting>
  <conditionalFormatting sqref="T11:T33">
    <cfRule type="top10" dxfId="43" priority="46" rank="1"/>
    <cfRule type="top10" dxfId="42" priority="47" rank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C144"/>
  <sheetViews>
    <sheetView topLeftCell="B1" zoomScale="85" zoomScaleNormal="85" zoomScalePageLayoutView="85" workbookViewId="0">
      <selection activeCell="D120" sqref="D120"/>
    </sheetView>
  </sheetViews>
  <sheetFormatPr baseColWidth="10" defaultColWidth="8.83203125" defaultRowHeight="14" x14ac:dyDescent="0"/>
  <cols>
    <col min="1" max="1" width="5.5" style="5" customWidth="1"/>
    <col min="2" max="2" width="15.5" style="5" bestFit="1" customWidth="1"/>
    <col min="3" max="3" width="13.1640625" style="5" customWidth="1"/>
    <col min="4" max="4" width="12" style="6" customWidth="1"/>
    <col min="5" max="5" width="9.33203125" style="6" bestFit="1" customWidth="1"/>
    <col min="6" max="6" width="9.1640625" style="6" customWidth="1"/>
    <col min="7" max="7" width="13.83203125" style="6" customWidth="1"/>
    <col min="8" max="8" width="13.6640625" style="6" customWidth="1"/>
    <col min="9" max="9" width="16.83203125" style="6" customWidth="1"/>
    <col min="10" max="10" width="8" style="6" bestFit="1" customWidth="1"/>
    <col min="11" max="11" width="8.1640625" style="6" customWidth="1"/>
    <col min="12" max="12" width="14.83203125" style="6" bestFit="1" customWidth="1"/>
    <col min="13" max="13" width="15.5" style="6" bestFit="1" customWidth="1"/>
    <col min="14" max="14" width="16.1640625" style="6" bestFit="1" customWidth="1"/>
    <col min="15" max="15" width="9.33203125" style="6" customWidth="1"/>
    <col min="16" max="16" width="7.5" style="6" customWidth="1"/>
    <col min="17" max="17" width="5.83203125" style="6" bestFit="1" customWidth="1"/>
    <col min="18" max="18" width="9.83203125" style="6" customWidth="1"/>
    <col min="19" max="19" width="9.1640625" style="6" bestFit="1" customWidth="1"/>
    <col min="20" max="21" width="6.5" style="6" bestFit="1" customWidth="1"/>
    <col min="22" max="22" width="8" style="5" bestFit="1" customWidth="1"/>
    <col min="23" max="23" width="10" style="5" bestFit="1" customWidth="1"/>
    <col min="24" max="24" width="12.6640625" style="5" bestFit="1" customWidth="1"/>
    <col min="25" max="26" width="12" bestFit="1" customWidth="1"/>
    <col min="27" max="28" width="12.6640625" bestFit="1" customWidth="1"/>
  </cols>
  <sheetData>
    <row r="1" spans="3:29" ht="15" thickBot="1"/>
    <row r="2" spans="3:29" ht="15" thickBot="1">
      <c r="C2" s="130" t="s">
        <v>57</v>
      </c>
      <c r="D2" s="131"/>
      <c r="E2" s="11"/>
      <c r="F2" s="13"/>
      <c r="G2" s="13"/>
      <c r="H2" s="132" t="s">
        <v>38</v>
      </c>
      <c r="I2" s="133"/>
      <c r="J2" s="133"/>
      <c r="K2" s="133"/>
      <c r="L2" s="133"/>
      <c r="M2" s="133"/>
      <c r="N2" s="133"/>
      <c r="O2" s="133"/>
      <c r="P2" s="134"/>
      <c r="Q2" s="13"/>
      <c r="R2"/>
      <c r="S2"/>
      <c r="T2"/>
      <c r="U2"/>
      <c r="V2" s="13"/>
      <c r="W2" s="13"/>
      <c r="X2" s="6"/>
      <c r="Y2" s="52"/>
      <c r="Z2" s="52"/>
      <c r="AA2" s="52"/>
      <c r="AB2" s="52"/>
    </row>
    <row r="3" spans="3:29" ht="18" thickBot="1">
      <c r="C3" s="18"/>
      <c r="D3" s="13"/>
      <c r="E3" s="13"/>
      <c r="F3" s="13"/>
      <c r="G3" s="13"/>
      <c r="H3" s="101" t="s">
        <v>4</v>
      </c>
      <c r="I3" s="102" t="s">
        <v>5</v>
      </c>
      <c r="J3" s="103" t="s">
        <v>6</v>
      </c>
      <c r="K3" s="103" t="s">
        <v>31</v>
      </c>
      <c r="L3" s="103" t="s">
        <v>87</v>
      </c>
      <c r="M3" s="103" t="s">
        <v>23</v>
      </c>
      <c r="N3" s="103" t="s">
        <v>26</v>
      </c>
      <c r="O3" s="104" t="s">
        <v>15</v>
      </c>
      <c r="P3" s="66" t="s">
        <v>88</v>
      </c>
      <c r="R3"/>
      <c r="S3"/>
      <c r="T3"/>
      <c r="U3"/>
      <c r="Y3" s="5"/>
      <c r="Z3" s="6"/>
      <c r="AA3" s="52"/>
      <c r="AB3" s="52"/>
      <c r="AC3" s="52"/>
    </row>
    <row r="4" spans="3:29" ht="16" thickTop="1" thickBot="1">
      <c r="C4" s="18"/>
      <c r="D4" s="13"/>
      <c r="E4" s="13"/>
      <c r="F4" s="13"/>
      <c r="G4" s="13"/>
      <c r="H4" s="39">
        <f>SBT!B6</f>
        <v>0.495</v>
      </c>
      <c r="I4" s="75">
        <f>SBT!C9</f>
        <v>0.3</v>
      </c>
      <c r="J4" s="25">
        <f>SBT!D6</f>
        <v>8.1674999999999998E-2</v>
      </c>
      <c r="K4" s="25">
        <f>SBT!E6</f>
        <v>3</v>
      </c>
      <c r="L4" s="25">
        <f>SBT!D9</f>
        <v>0.17999999999999997</v>
      </c>
      <c r="M4" s="25">
        <f>SBT!B16</f>
        <v>1.2192000000000001</v>
      </c>
      <c r="N4" s="25">
        <f>SBT!C16</f>
        <v>4.2671999999999999</v>
      </c>
      <c r="O4" s="25">
        <f>0.5*SBT!$B$26*$J$4*SBT!$C$26^2</f>
        <v>1.81898811084375</v>
      </c>
      <c r="P4" s="37">
        <f>(SBT!$B$12*SBT!$E$23+SBT!$D$23)*0.5*9.81</f>
        <v>1.0079372950819674</v>
      </c>
      <c r="R4"/>
      <c r="S4"/>
      <c r="T4"/>
      <c r="U4"/>
      <c r="X4" s="6"/>
      <c r="Y4" s="5"/>
      <c r="Z4" s="5"/>
    </row>
    <row r="5" spans="3:29">
      <c r="C5" s="18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R5"/>
      <c r="S5"/>
      <c r="T5"/>
      <c r="U5"/>
      <c r="X5" s="6"/>
      <c r="Y5" s="5"/>
      <c r="Z5" s="5"/>
    </row>
    <row r="6" spans="3:29" ht="15" thickBot="1">
      <c r="C6" s="18"/>
      <c r="D6" s="13"/>
      <c r="E6" s="13"/>
      <c r="F6" s="3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8"/>
      <c r="U6" s="18"/>
      <c r="V6" s="18"/>
      <c r="W6" s="13"/>
      <c r="X6" s="6"/>
      <c r="Y6" s="5"/>
      <c r="Z6" s="5"/>
    </row>
    <row r="7" spans="3:29" ht="17" thickBot="1">
      <c r="C7" s="42" t="s">
        <v>36</v>
      </c>
      <c r="D7" s="43" t="s">
        <v>37</v>
      </c>
      <c r="E7" s="35" t="s">
        <v>24</v>
      </c>
      <c r="F7" s="36" t="s">
        <v>29</v>
      </c>
      <c r="G7" s="36" t="s">
        <v>30</v>
      </c>
      <c r="H7" s="97" t="s">
        <v>56</v>
      </c>
      <c r="I7" s="36" t="s">
        <v>77</v>
      </c>
      <c r="J7" s="36" t="s">
        <v>80</v>
      </c>
      <c r="K7" s="36" t="s">
        <v>81</v>
      </c>
      <c r="L7" s="110" t="s">
        <v>92</v>
      </c>
      <c r="M7" s="36" t="s">
        <v>89</v>
      </c>
      <c r="N7" s="36" t="s">
        <v>90</v>
      </c>
      <c r="O7" s="38" t="s">
        <v>91</v>
      </c>
      <c r="P7" s="15"/>
      <c r="Q7" s="15"/>
      <c r="R7" s="15"/>
      <c r="S7" s="15"/>
      <c r="T7" s="40"/>
      <c r="U7" s="40"/>
      <c r="V7" s="16"/>
      <c r="W7" s="6"/>
      <c r="Y7" s="5"/>
    </row>
    <row r="8" spans="3:29" ht="16" thickTop="1" thickBot="1">
      <c r="C8" s="44">
        <v>4</v>
      </c>
      <c r="D8" s="45">
        <f>MAX(T11:T33)</f>
        <v>2.2711729913427101</v>
      </c>
      <c r="E8" s="25">
        <f>$M$4-H8</f>
        <v>1.066301203030956</v>
      </c>
      <c r="F8" s="25">
        <f>MAX(N11:N33)</f>
        <v>2.8379847553847601</v>
      </c>
      <c r="G8" s="25">
        <f>F8*$L$4</f>
        <v>0.51083725596925678</v>
      </c>
      <c r="H8" s="75">
        <f>(-N8+SQRT(N8^2-4*$P$4*O8))/(2*$P$4)</f>
        <v>0.15289879696904407</v>
      </c>
      <c r="I8" s="25">
        <f>$H$4*SBT!$C$23</f>
        <v>4.4225409836065571E-2</v>
      </c>
      <c r="J8" s="25">
        <f>I8+SBT!$B$23</f>
        <v>0.19422540983606557</v>
      </c>
      <c r="K8" s="25">
        <f>SBT!$B$12*H8</f>
        <v>0.1987684360597573</v>
      </c>
      <c r="L8" s="25">
        <f>(F8*$L$4-(SBT!$F$23*K8+0.5*SBT!$E$23*K8^2)*9.81)/(J8*9.81)</f>
        <v>8.5554812378028589E-2</v>
      </c>
      <c r="M8" s="79">
        <f>J8+SBT!$F$23+2*SBT!$G$23+H8*SBT!$D$23+K8*SBT!$E$23</f>
        <v>0.68114485934437652</v>
      </c>
      <c r="N8" s="25">
        <f>(SBT!$G$23+(SBT!$F$23+J8)*0.5)*9.81</f>
        <v>3.1869031352459021</v>
      </c>
      <c r="O8" s="37">
        <f>-F8*$L$4</f>
        <v>-0.51083725596925678</v>
      </c>
      <c r="P8" s="13"/>
      <c r="Q8" s="13"/>
      <c r="R8" s="13"/>
      <c r="S8" s="13"/>
      <c r="T8" s="13"/>
      <c r="U8" s="13"/>
      <c r="V8" s="19"/>
      <c r="X8"/>
    </row>
    <row r="9" spans="3:29">
      <c r="C9" s="41"/>
      <c r="D9" s="13"/>
      <c r="E9" s="13"/>
      <c r="F9" s="13"/>
      <c r="G9" s="13"/>
      <c r="H9" s="13"/>
      <c r="I9" s="76"/>
      <c r="J9" s="18"/>
      <c r="K9" s="18"/>
      <c r="L9" s="13"/>
      <c r="M9" s="13"/>
      <c r="N9" s="13"/>
      <c r="O9" s="13"/>
      <c r="P9" s="13"/>
      <c r="Q9" s="13"/>
      <c r="R9" s="13"/>
      <c r="S9" s="13"/>
      <c r="T9" s="13"/>
      <c r="U9" s="13"/>
      <c r="V9" s="19"/>
      <c r="X9"/>
    </row>
    <row r="10" spans="3:29" ht="17" thickBot="1">
      <c r="C10" s="47" t="s">
        <v>40</v>
      </c>
      <c r="D10" s="48" t="s">
        <v>42</v>
      </c>
      <c r="E10" s="30" t="s">
        <v>35</v>
      </c>
      <c r="F10" s="29" t="s">
        <v>34</v>
      </c>
      <c r="G10" s="29" t="s">
        <v>41</v>
      </c>
      <c r="H10" s="29" t="s">
        <v>7</v>
      </c>
      <c r="I10" s="70" t="s">
        <v>16</v>
      </c>
      <c r="J10" s="71" t="s">
        <v>17</v>
      </c>
      <c r="K10" s="29" t="s">
        <v>18</v>
      </c>
      <c r="L10" s="46" t="s">
        <v>39</v>
      </c>
      <c r="M10" s="31" t="s">
        <v>10</v>
      </c>
      <c r="N10" s="31" t="s">
        <v>13</v>
      </c>
      <c r="O10" s="31" t="s">
        <v>14</v>
      </c>
      <c r="P10" s="31" t="s">
        <v>8</v>
      </c>
      <c r="Q10" s="31" t="s">
        <v>9</v>
      </c>
      <c r="R10" s="31" t="s">
        <v>19</v>
      </c>
      <c r="S10" s="31" t="s">
        <v>25</v>
      </c>
      <c r="T10" s="32" t="s">
        <v>27</v>
      </c>
      <c r="U10" s="32"/>
      <c r="V10" s="33"/>
      <c r="X10"/>
    </row>
    <row r="11" spans="3:29" ht="15" thickTop="1">
      <c r="C11" s="49">
        <v>5.5014043275951439</v>
      </c>
      <c r="D11" s="10">
        <v>0.1865</v>
      </c>
      <c r="E11" s="7">
        <f>$K$4/(2+SQRT(4+$K$4^2))</f>
        <v>0.53518375848799637</v>
      </c>
      <c r="F11" s="7">
        <f>C11*E11</f>
        <v>2.9442622450044977</v>
      </c>
      <c r="G11" s="12">
        <f>D11*E11</f>
        <v>9.9811770958011317E-2</v>
      </c>
      <c r="H11" s="14">
        <f>F11*PI()/180</f>
        <v>5.1387070217488458E-2</v>
      </c>
      <c r="I11" s="72">
        <f t="shared" ref="I11:I33" si="0">0.5*ATAN(K11)*180/PI()-J11</f>
        <v>40.28816808586194</v>
      </c>
      <c r="J11" s="13">
        <v>0</v>
      </c>
      <c r="K11" s="13">
        <f t="shared" ref="K11:K33" si="1">L11/M11</f>
        <v>6.0250659706481828</v>
      </c>
      <c r="L11" s="13">
        <f>$H$11*J11+$G$11</f>
        <v>9.9811770958011317E-2</v>
      </c>
      <c r="M11" s="13">
        <f t="shared" ref="M11:M33" si="2">0.015+0.1572*(L11^2)</f>
        <v>1.6566087648542952E-2</v>
      </c>
      <c r="N11" s="13">
        <f t="shared" ref="N11:O31" si="3">$N$4*L11</f>
        <v>0.4259167890320259</v>
      </c>
      <c r="O11" s="13">
        <f t="shared" si="3"/>
        <v>7.0690809213862477E-2</v>
      </c>
      <c r="P11" s="13">
        <f>((N11*COS(I11+J11)+O11*SIN(I11+J11))*SIN(J11+I11)-O11)/$M$8</f>
        <v>-0.35454368360473215</v>
      </c>
      <c r="Q11" s="13">
        <f t="shared" ref="Q11:Q33" si="4">P11*TAN(I11+J11)</f>
        <v>0.21861181216288847</v>
      </c>
      <c r="R11" s="21">
        <f t="shared" ref="R11:R33" si="5">IF(ISERROR(SQRT(2*$E$8/Q11)),0,SQRT(2*$E$8/Q11))</f>
        <v>3.1233318885638992</v>
      </c>
      <c r="S11" s="13">
        <f t="shared" ref="S11:S33" si="6">0.5*P11*R11^2</f>
        <v>-1.7293226409607998</v>
      </c>
      <c r="T11" s="22">
        <f t="shared" ref="T11:T33" si="7">R11*P11</f>
        <v>-1.1073575928915695</v>
      </c>
      <c r="U11" s="22"/>
      <c r="V11" s="19"/>
      <c r="X11"/>
    </row>
    <row r="12" spans="3:29">
      <c r="C12" s="17"/>
      <c r="D12" s="18"/>
      <c r="E12" s="13"/>
      <c r="F12" s="13"/>
      <c r="G12" s="13"/>
      <c r="H12" s="13"/>
      <c r="I12" s="72">
        <f t="shared" si="0"/>
        <v>40.536374025643617</v>
      </c>
      <c r="J12" s="13">
        <f>J11+0.5</f>
        <v>0.5</v>
      </c>
      <c r="K12" s="13">
        <f t="shared" si="1"/>
        <v>7.1815197077151822</v>
      </c>
      <c r="L12" s="13">
        <f t="shared" ref="L12:L33" si="8">$H$11*J12+$G$11</f>
        <v>0.12550530606675556</v>
      </c>
      <c r="M12" s="13">
        <f t="shared" si="2"/>
        <v>1.7476148666963051E-2</v>
      </c>
      <c r="N12" s="13">
        <f t="shared" si="3"/>
        <v>0.53555624204805929</v>
      </c>
      <c r="O12" s="13">
        <f t="shared" si="3"/>
        <v>7.4574221591664727E-2</v>
      </c>
      <c r="P12" s="13">
        <f t="shared" ref="P12:P33" si="9">((N12*COS(I12+J12)+O12*SIN(I12+J12))*SIN(J12+I12)-O12)/$M$8</f>
        <v>4.46049160660918E-2</v>
      </c>
      <c r="Q12" s="13">
        <f t="shared" si="4"/>
        <v>8.8409417238155975E-3</v>
      </c>
      <c r="R12" s="21">
        <f t="shared" si="5"/>
        <v>15.531224003815071</v>
      </c>
      <c r="S12" s="13">
        <f t="shared" si="6"/>
        <v>5.3797748190383334</v>
      </c>
      <c r="T12" s="22">
        <f t="shared" si="7"/>
        <v>0.69276894309384152</v>
      </c>
      <c r="U12" s="22"/>
      <c r="V12" s="19"/>
      <c r="X12"/>
    </row>
    <row r="13" spans="3:29">
      <c r="C13" s="20"/>
      <c r="D13" s="11"/>
      <c r="E13" s="13"/>
      <c r="F13" s="13"/>
      <c r="G13" s="13"/>
      <c r="H13" s="13"/>
      <c r="I13" s="72">
        <f t="shared" si="0"/>
        <v>40.494609461983174</v>
      </c>
      <c r="J13" s="13">
        <f t="shared" ref="J13:J33" si="10">J12+0.5</f>
        <v>1</v>
      </c>
      <c r="K13" s="13">
        <f t="shared" si="1"/>
        <v>8.131696574369716</v>
      </c>
      <c r="L13" s="13">
        <f t="shared" si="8"/>
        <v>0.15119884117549978</v>
      </c>
      <c r="M13" s="13">
        <f t="shared" si="2"/>
        <v>1.8593763280846363E-2</v>
      </c>
      <c r="N13" s="13">
        <f t="shared" si="3"/>
        <v>0.64519569506409269</v>
      </c>
      <c r="O13" s="13">
        <f t="shared" si="3"/>
        <v>7.9343306672027603E-2</v>
      </c>
      <c r="P13" s="13">
        <f t="shared" si="9"/>
        <v>0.38394381045348436</v>
      </c>
      <c r="Q13" s="13">
        <f t="shared" si="4"/>
        <v>0.29424857106435265</v>
      </c>
      <c r="R13" s="21">
        <f t="shared" si="5"/>
        <v>2.6921407768609904</v>
      </c>
      <c r="S13" s="13">
        <f t="shared" si="6"/>
        <v>1.3913397964923448</v>
      </c>
      <c r="T13" s="22">
        <f t="shared" si="7"/>
        <v>1.0336307881452123</v>
      </c>
      <c r="U13" s="22"/>
      <c r="V13" s="19"/>
      <c r="X13"/>
    </row>
    <row r="14" spans="3:29">
      <c r="C14" s="17"/>
      <c r="D14" s="18"/>
      <c r="E14" s="13"/>
      <c r="F14" s="13"/>
      <c r="G14" s="13"/>
      <c r="H14" s="13"/>
      <c r="I14" s="72">
        <f t="shared" si="0"/>
        <v>40.287641759622552</v>
      </c>
      <c r="J14" s="13">
        <f t="shared" si="10"/>
        <v>1.5</v>
      </c>
      <c r="K14" s="13">
        <f t="shared" si="1"/>
        <v>8.8806157283756519</v>
      </c>
      <c r="L14" s="13">
        <f t="shared" si="8"/>
        <v>0.17689237628424401</v>
      </c>
      <c r="M14" s="13">
        <f t="shared" si="2"/>
        <v>1.9918931490192887E-2</v>
      </c>
      <c r="N14" s="13">
        <f t="shared" si="3"/>
        <v>0.75483514808012597</v>
      </c>
      <c r="O14" s="13">
        <f t="shared" si="3"/>
        <v>8.4998064454951089E-2</v>
      </c>
      <c r="P14" s="13">
        <f t="shared" si="9"/>
        <v>0.48284125270584721</v>
      </c>
      <c r="Q14" s="13">
        <f t="shared" si="4"/>
        <v>0.67084482512503341</v>
      </c>
      <c r="R14" s="21">
        <f t="shared" si="5"/>
        <v>1.7829694850645985</v>
      </c>
      <c r="S14" s="13">
        <f t="shared" si="6"/>
        <v>0.76747138734693099</v>
      </c>
      <c r="T14" s="22">
        <f t="shared" si="7"/>
        <v>0.86089121970489013</v>
      </c>
      <c r="U14" s="22"/>
      <c r="V14" s="19"/>
      <c r="X14"/>
    </row>
    <row r="15" spans="3:29">
      <c r="C15" s="17"/>
      <c r="D15" s="13"/>
      <c r="E15" s="13"/>
      <c r="F15" s="13"/>
      <c r="G15" s="13"/>
      <c r="H15" s="13"/>
      <c r="I15" s="72">
        <f t="shared" si="0"/>
        <v>39.977760889993618</v>
      </c>
      <c r="J15" s="13">
        <f t="shared" si="10"/>
        <v>2</v>
      </c>
      <c r="K15" s="13">
        <f t="shared" si="1"/>
        <v>9.4438367340284479</v>
      </c>
      <c r="L15" s="13">
        <f t="shared" si="8"/>
        <v>0.20258591139298823</v>
      </c>
      <c r="M15" s="13">
        <f t="shared" si="2"/>
        <v>2.1451653295002631E-2</v>
      </c>
      <c r="N15" s="13">
        <f t="shared" si="3"/>
        <v>0.86447460109615937</v>
      </c>
      <c r="O15" s="13">
        <f t="shared" si="3"/>
        <v>9.1538494940435228E-2</v>
      </c>
      <c r="P15" s="13">
        <f t="shared" si="9"/>
        <v>0.46025461821617847</v>
      </c>
      <c r="Q15" s="13">
        <f t="shared" si="4"/>
        <v>0.99373694080326447</v>
      </c>
      <c r="R15" s="21">
        <f t="shared" si="5"/>
        <v>1.4649379514753313</v>
      </c>
      <c r="S15" s="13">
        <f t="shared" si="6"/>
        <v>0.49386314723065622</v>
      </c>
      <c r="T15" s="22">
        <f t="shared" si="7"/>
        <v>0.67424445756666918</v>
      </c>
      <c r="U15" s="22"/>
      <c r="V15" s="19"/>
      <c r="X15"/>
    </row>
    <row r="16" spans="3:29">
      <c r="C16" s="17"/>
      <c r="D16" s="13"/>
      <c r="E16" s="13"/>
      <c r="F16" s="13"/>
      <c r="G16" s="13"/>
      <c r="H16" s="13"/>
      <c r="I16" s="72">
        <f t="shared" si="0"/>
        <v>39.599484751010202</v>
      </c>
      <c r="J16" s="13">
        <f t="shared" si="10"/>
        <v>2.5</v>
      </c>
      <c r="K16" s="13">
        <f t="shared" si="1"/>
        <v>9.8430557243061507</v>
      </c>
      <c r="L16" s="13">
        <f t="shared" si="8"/>
        <v>0.22827944650173249</v>
      </c>
      <c r="M16" s="13">
        <f t="shared" si="2"/>
        <v>2.3191928695275591E-2</v>
      </c>
      <c r="N16" s="13">
        <f t="shared" si="3"/>
        <v>0.97411405411219287</v>
      </c>
      <c r="O16" s="13">
        <f t="shared" si="3"/>
        <v>9.8964598128480005E-2</v>
      </c>
      <c r="P16" s="13">
        <f t="shared" si="9"/>
        <v>0.40412452010767352</v>
      </c>
      <c r="Q16" s="13">
        <f t="shared" si="4"/>
        <v>1.2528977137182753</v>
      </c>
      <c r="R16" s="21">
        <f t="shared" si="5"/>
        <v>1.3046593740852372</v>
      </c>
      <c r="S16" s="13">
        <f t="shared" si="6"/>
        <v>0.34393746372660056</v>
      </c>
      <c r="T16" s="22">
        <f t="shared" si="7"/>
        <v>0.52724484345617417</v>
      </c>
      <c r="U16" s="22"/>
      <c r="V16" s="19"/>
      <c r="X16"/>
    </row>
    <row r="17" spans="3:24">
      <c r="C17" s="17"/>
      <c r="D17" s="13"/>
      <c r="E17" s="13"/>
      <c r="F17" s="13"/>
      <c r="G17" s="13"/>
      <c r="H17" s="13"/>
      <c r="I17" s="72">
        <f t="shared" si="0"/>
        <v>39.173468981706392</v>
      </c>
      <c r="J17" s="13">
        <f t="shared" si="10"/>
        <v>3</v>
      </c>
      <c r="K17" s="13">
        <f t="shared" si="1"/>
        <v>10.102443497348421</v>
      </c>
      <c r="L17" s="13">
        <f t="shared" si="8"/>
        <v>0.25397298161047671</v>
      </c>
      <c r="M17" s="13">
        <f t="shared" si="2"/>
        <v>2.513975769101176E-2</v>
      </c>
      <c r="N17" s="13">
        <f t="shared" si="3"/>
        <v>1.0837535071282263</v>
      </c>
      <c r="O17" s="13">
        <f t="shared" si="3"/>
        <v>0.10727637401908538</v>
      </c>
      <c r="P17" s="13">
        <f t="shared" si="9"/>
        <v>0.35582629310034114</v>
      </c>
      <c r="Q17" s="13">
        <f t="shared" si="4"/>
        <v>1.4665285776553358</v>
      </c>
      <c r="R17" s="21">
        <f t="shared" si="5"/>
        <v>1.2058955215072944</v>
      </c>
      <c r="S17" s="13">
        <f t="shared" si="6"/>
        <v>0.25871845266700988</v>
      </c>
      <c r="T17" s="22">
        <f t="shared" si="7"/>
        <v>0.42908933328424326</v>
      </c>
      <c r="U17" s="22"/>
      <c r="V17" s="19"/>
      <c r="X17"/>
    </row>
    <row r="18" spans="3:24">
      <c r="C18" s="17"/>
      <c r="D18" s="13"/>
      <c r="E18" s="13"/>
      <c r="F18" s="13"/>
      <c r="G18" s="13"/>
      <c r="H18" s="13"/>
      <c r="I18" s="72">
        <f t="shared" si="0"/>
        <v>38.712825309426123</v>
      </c>
      <c r="J18" s="13">
        <f t="shared" si="10"/>
        <v>3.5</v>
      </c>
      <c r="K18" s="13">
        <f t="shared" si="1"/>
        <v>10.246018662211668</v>
      </c>
      <c r="L18" s="13">
        <f t="shared" si="8"/>
        <v>0.27966651671922094</v>
      </c>
      <c r="M18" s="13">
        <f t="shared" si="2"/>
        <v>2.7295140282211153E-2</v>
      </c>
      <c r="N18" s="13">
        <f t="shared" si="3"/>
        <v>1.1933929601442594</v>
      </c>
      <c r="O18" s="13">
        <f t="shared" si="3"/>
        <v>0.11647382261225142</v>
      </c>
      <c r="P18" s="13">
        <f t="shared" si="9"/>
        <v>0.33233841728734437</v>
      </c>
      <c r="Q18" s="13">
        <f t="shared" si="4"/>
        <v>1.6507025840736476</v>
      </c>
      <c r="R18" s="21">
        <f t="shared" si="5"/>
        <v>1.1366337093607843</v>
      </c>
      <c r="S18" s="13">
        <f t="shared" si="6"/>
        <v>0.21468001418666738</v>
      </c>
      <c r="T18" s="22">
        <f t="shared" si="7"/>
        <v>0.37774704800440645</v>
      </c>
      <c r="U18" s="22"/>
      <c r="V18" s="19"/>
      <c r="X18"/>
    </row>
    <row r="19" spans="3:24">
      <c r="C19" s="17"/>
      <c r="D19" s="13"/>
      <c r="E19" s="13"/>
      <c r="F19" s="13"/>
      <c r="G19" s="13"/>
      <c r="H19" s="13"/>
      <c r="I19" s="72">
        <f t="shared" si="0"/>
        <v>38.226275366480834</v>
      </c>
      <c r="J19" s="13">
        <f t="shared" si="10"/>
        <v>4</v>
      </c>
      <c r="K19" s="13">
        <f t="shared" si="1"/>
        <v>10.296016740952217</v>
      </c>
      <c r="L19" s="13">
        <f t="shared" si="8"/>
        <v>0.30536005182796516</v>
      </c>
      <c r="M19" s="13">
        <f t="shared" si="2"/>
        <v>2.9658076468873754E-2</v>
      </c>
      <c r="N19" s="13">
        <f t="shared" si="3"/>
        <v>1.3030324131602928</v>
      </c>
      <c r="O19" s="13">
        <f t="shared" si="3"/>
        <v>0.12655694390797809</v>
      </c>
      <c r="P19" s="13">
        <f t="shared" si="9"/>
        <v>0.33998589020323944</v>
      </c>
      <c r="Q19" s="13">
        <f t="shared" si="4"/>
        <v>1.8144851229980945</v>
      </c>
      <c r="R19" s="21">
        <f t="shared" si="5"/>
        <v>1.0841222095212637</v>
      </c>
      <c r="S19" s="13">
        <f t="shared" si="6"/>
        <v>0.19979627231016181</v>
      </c>
      <c r="T19" s="22">
        <f t="shared" si="7"/>
        <v>0.36858625449318971</v>
      </c>
      <c r="U19" s="22"/>
      <c r="V19" s="19"/>
      <c r="X19"/>
    </row>
    <row r="20" spans="3:24">
      <c r="C20" s="17"/>
      <c r="D20" s="18"/>
      <c r="E20" s="13"/>
      <c r="F20" s="13"/>
      <c r="G20" s="13"/>
      <c r="H20" s="13"/>
      <c r="I20" s="72">
        <f t="shared" si="0"/>
        <v>37.719845416625915</v>
      </c>
      <c r="J20" s="13">
        <f t="shared" si="10"/>
        <v>4.5</v>
      </c>
      <c r="K20" s="13">
        <f t="shared" si="1"/>
        <v>10.272054436378838</v>
      </c>
      <c r="L20" s="13">
        <f t="shared" si="8"/>
        <v>0.33105358693670939</v>
      </c>
      <c r="M20" s="13">
        <f t="shared" si="2"/>
        <v>3.2228566250999569E-2</v>
      </c>
      <c r="N20" s="13">
        <f t="shared" si="3"/>
        <v>1.4126718661763262</v>
      </c>
      <c r="O20" s="13">
        <f t="shared" si="3"/>
        <v>0.13752573790626535</v>
      </c>
      <c r="P20" s="13">
        <f t="shared" si="9"/>
        <v>0.38049868499131911</v>
      </c>
      <c r="Q20" s="13">
        <f t="shared" si="4"/>
        <v>1.9609592175796344</v>
      </c>
      <c r="R20" s="21">
        <f t="shared" si="5"/>
        <v>1.042847169217985</v>
      </c>
      <c r="S20" s="13">
        <f t="shared" si="6"/>
        <v>0.20690190898448088</v>
      </c>
      <c r="T20" s="22">
        <f t="shared" si="7"/>
        <v>0.39680197653436294</v>
      </c>
      <c r="U20" s="22"/>
      <c r="V20" s="19"/>
      <c r="X20"/>
    </row>
    <row r="21" spans="3:24">
      <c r="C21" s="17"/>
      <c r="D21" s="22"/>
      <c r="E21" s="13"/>
      <c r="F21" s="13"/>
      <c r="G21" s="13"/>
      <c r="H21" s="13"/>
      <c r="I21" s="72">
        <f t="shared" si="0"/>
        <v>37.197832715875265</v>
      </c>
      <c r="J21" s="13">
        <f t="shared" si="10"/>
        <v>5</v>
      </c>
      <c r="K21" s="13">
        <f t="shared" si="1"/>
        <v>10.19085040883569</v>
      </c>
      <c r="L21" s="13">
        <f t="shared" si="8"/>
        <v>0.35674712204545361</v>
      </c>
      <c r="M21" s="13">
        <f t="shared" si="2"/>
        <v>3.5006609628588606E-2</v>
      </c>
      <c r="N21" s="13">
        <f t="shared" si="3"/>
        <v>1.5223113191923596</v>
      </c>
      <c r="O21" s="13">
        <f t="shared" si="3"/>
        <v>0.14938020460711329</v>
      </c>
      <c r="P21" s="13">
        <f t="shared" si="9"/>
        <v>0.45327041130874862</v>
      </c>
      <c r="Q21" s="13">
        <f t="shared" si="4"/>
        <v>2.0889942444963245</v>
      </c>
      <c r="R21" s="21">
        <f t="shared" si="5"/>
        <v>1.0103836868697964</v>
      </c>
      <c r="S21" s="13">
        <f t="shared" si="6"/>
        <v>0.23136625969660743</v>
      </c>
      <c r="T21" s="22">
        <f t="shared" si="7"/>
        <v>0.45797702932712248</v>
      </c>
      <c r="U21" s="22"/>
      <c r="V21" s="19"/>
      <c r="X21"/>
    </row>
    <row r="22" spans="3:24">
      <c r="C22" s="17"/>
      <c r="D22" s="18"/>
      <c r="E22" s="13"/>
      <c r="F22" s="13"/>
      <c r="G22" s="13"/>
      <c r="H22" s="13"/>
      <c r="I22" s="72">
        <f t="shared" si="0"/>
        <v>36.663384130777871</v>
      </c>
      <c r="J22" s="13">
        <f t="shared" si="10"/>
        <v>5.5</v>
      </c>
      <c r="K22" s="13">
        <f t="shared" si="1"/>
        <v>10.066292310004455</v>
      </c>
      <c r="L22" s="13">
        <f t="shared" si="8"/>
        <v>0.38244065715419784</v>
      </c>
      <c r="M22" s="13">
        <f t="shared" si="2"/>
        <v>3.7992206601640856E-2</v>
      </c>
      <c r="N22" s="13">
        <f t="shared" si="3"/>
        <v>1.631950772208393</v>
      </c>
      <c r="O22" s="13">
        <f t="shared" si="3"/>
        <v>0.16212034401052186</v>
      </c>
      <c r="P22" s="13">
        <f t="shared" si="9"/>
        <v>0.55600822905895264</v>
      </c>
      <c r="Q22" s="13">
        <f t="shared" si="4"/>
        <v>2.1947394211277005</v>
      </c>
      <c r="R22" s="21">
        <f t="shared" si="5"/>
        <v>0.98574246325424764</v>
      </c>
      <c r="S22" s="13">
        <f t="shared" si="6"/>
        <v>0.27013331871354596</v>
      </c>
      <c r="T22" s="22">
        <f t="shared" si="7"/>
        <v>0.54808092130220387</v>
      </c>
      <c r="U22" s="22"/>
      <c r="V22" s="19"/>
      <c r="X22"/>
    </row>
    <row r="23" spans="3:24">
      <c r="C23" s="17"/>
      <c r="D23" s="18"/>
      <c r="E23" s="13"/>
      <c r="F23" s="13"/>
      <c r="G23" s="13"/>
      <c r="H23" s="13"/>
      <c r="I23" s="72">
        <f t="shared" si="0"/>
        <v>36.118857066634966</v>
      </c>
      <c r="J23" s="13">
        <f t="shared" si="10"/>
        <v>6</v>
      </c>
      <c r="K23" s="13">
        <f t="shared" si="1"/>
        <v>9.9096917036981225</v>
      </c>
      <c r="L23" s="13">
        <f t="shared" si="8"/>
        <v>0.40813419226294206</v>
      </c>
      <c r="M23" s="13">
        <f t="shared" si="2"/>
        <v>4.1185357170156318E-2</v>
      </c>
      <c r="N23" s="13">
        <f t="shared" si="3"/>
        <v>1.7415902252244264</v>
      </c>
      <c r="O23" s="13">
        <f t="shared" si="3"/>
        <v>0.17574615611649103</v>
      </c>
      <c r="P23" s="13">
        <f t="shared" si="9"/>
        <v>0.68478099002462522</v>
      </c>
      <c r="Q23" s="13">
        <f t="shared" si="4"/>
        <v>2.2727980671132366</v>
      </c>
      <c r="R23" s="21">
        <f t="shared" si="5"/>
        <v>0.96866703803231191</v>
      </c>
      <c r="S23" s="13">
        <f t="shared" si="6"/>
        <v>0.32127042170685166</v>
      </c>
      <c r="T23" s="22">
        <f t="shared" si="7"/>
        <v>0.66332477330798789</v>
      </c>
      <c r="U23" s="22"/>
      <c r="V23" s="19"/>
      <c r="X23"/>
    </row>
    <row r="24" spans="3:24">
      <c r="C24" s="17"/>
      <c r="D24" s="18"/>
      <c r="E24" s="13"/>
      <c r="F24" s="13"/>
      <c r="G24" s="13"/>
      <c r="H24" s="13"/>
      <c r="I24" s="72">
        <f t="shared" si="0"/>
        <v>35.566052581732407</v>
      </c>
      <c r="J24" s="13">
        <f t="shared" si="10"/>
        <v>6.5</v>
      </c>
      <c r="K24" s="13">
        <f t="shared" si="1"/>
        <v>9.7301200059030251</v>
      </c>
      <c r="L24" s="13">
        <f t="shared" si="8"/>
        <v>0.43382772737168629</v>
      </c>
      <c r="M24" s="13">
        <f t="shared" si="2"/>
        <v>4.4586061334135001E-2</v>
      </c>
      <c r="N24" s="13">
        <f t="shared" si="3"/>
        <v>1.8512296782404596</v>
      </c>
      <c r="O24" s="13">
        <f t="shared" si="3"/>
        <v>0.19025764092502087</v>
      </c>
      <c r="P24" s="13">
        <f t="shared" si="9"/>
        <v>0.83390865327232744</v>
      </c>
      <c r="Q24" s="13">
        <f t="shared" si="4"/>
        <v>2.3171933389809611</v>
      </c>
      <c r="R24" s="21">
        <f t="shared" si="5"/>
        <v>0.95934278070196111</v>
      </c>
      <c r="S24" s="13">
        <f t="shared" si="6"/>
        <v>0.38373914910063234</v>
      </c>
      <c r="T24" s="22">
        <f t="shared" si="7"/>
        <v>0.80000424628170219</v>
      </c>
      <c r="U24" s="22"/>
      <c r="V24" s="19"/>
      <c r="X24"/>
    </row>
    <row r="25" spans="3:24">
      <c r="C25" s="17"/>
      <c r="D25" s="18"/>
      <c r="E25" s="13"/>
      <c r="F25" s="13"/>
      <c r="G25" s="13"/>
      <c r="H25" s="13"/>
      <c r="I25" s="72">
        <f t="shared" si="0"/>
        <v>35.006370532612799</v>
      </c>
      <c r="J25" s="13">
        <f t="shared" si="10"/>
        <v>7</v>
      </c>
      <c r="K25" s="13">
        <f t="shared" si="1"/>
        <v>9.5347599286172571</v>
      </c>
      <c r="L25" s="13">
        <f t="shared" si="8"/>
        <v>0.45952126248043051</v>
      </c>
      <c r="M25" s="13">
        <f t="shared" si="2"/>
        <v>4.8194319093576896E-2</v>
      </c>
      <c r="N25" s="13">
        <f t="shared" si="3"/>
        <v>1.960869131256493</v>
      </c>
      <c r="O25" s="13">
        <f t="shared" si="3"/>
        <v>0.20565479843611131</v>
      </c>
      <c r="P25" s="13">
        <f t="shared" si="9"/>
        <v>0.99588923689977404</v>
      </c>
      <c r="Q25" s="13">
        <f t="shared" si="4"/>
        <v>2.322211693069598</v>
      </c>
      <c r="R25" s="21">
        <f t="shared" si="5"/>
        <v>0.9583056389202419</v>
      </c>
      <c r="S25" s="13">
        <f t="shared" si="6"/>
        <v>0.45728728976819571</v>
      </c>
      <c r="T25" s="22">
        <f t="shared" si="7"/>
        <v>0.95436627146103015</v>
      </c>
      <c r="U25" s="22"/>
      <c r="V25" s="19"/>
      <c r="X25"/>
    </row>
    <row r="26" spans="3:24">
      <c r="C26" s="17"/>
      <c r="D26" s="18"/>
      <c r="E26" s="13"/>
      <c r="F26" s="13"/>
      <c r="G26" s="13"/>
      <c r="H26" s="13"/>
      <c r="I26" s="72">
        <f t="shared" si="0"/>
        <v>34.440915558992785</v>
      </c>
      <c r="J26" s="13">
        <f t="shared" si="10"/>
        <v>7.5</v>
      </c>
      <c r="K26" s="13">
        <f t="shared" si="1"/>
        <v>9.3292363123333892</v>
      </c>
      <c r="L26" s="13">
        <f t="shared" si="8"/>
        <v>0.48521479758917474</v>
      </c>
      <c r="M26" s="13">
        <f t="shared" si="2"/>
        <v>5.2010130448482003E-2</v>
      </c>
      <c r="N26" s="13">
        <f t="shared" si="3"/>
        <v>2.0705085842725266</v>
      </c>
      <c r="O26" s="13">
        <f t="shared" si="3"/>
        <v>0.22193762864976241</v>
      </c>
      <c r="P26" s="13">
        <f t="shared" si="9"/>
        <v>1.1614510941137868</v>
      </c>
      <c r="Q26" s="13">
        <f t="shared" si="4"/>
        <v>2.2831641900886401</v>
      </c>
      <c r="R26" s="21">
        <f t="shared" si="5"/>
        <v>0.96646554390793182</v>
      </c>
      <c r="S26" s="13">
        <f t="shared" si="6"/>
        <v>0.54242997691159034</v>
      </c>
      <c r="T26" s="22">
        <f t="shared" si="7"/>
        <v>1.1225024633951435</v>
      </c>
      <c r="U26" s="22"/>
      <c r="V26" s="19"/>
      <c r="X26"/>
    </row>
    <row r="27" spans="3:24">
      <c r="C27" s="17"/>
      <c r="D27" s="18"/>
      <c r="E27" s="13"/>
      <c r="F27" s="13"/>
      <c r="G27" s="13"/>
      <c r="H27" s="13"/>
      <c r="I27" s="72">
        <f t="shared" si="0"/>
        <v>33.870571165140355</v>
      </c>
      <c r="J27" s="13">
        <f t="shared" si="10"/>
        <v>8</v>
      </c>
      <c r="K27" s="13">
        <f t="shared" si="1"/>
        <v>9.1179093694090962</v>
      </c>
      <c r="L27" s="13">
        <f t="shared" si="8"/>
        <v>0.51090833269791902</v>
      </c>
      <c r="M27" s="13">
        <f t="shared" si="2"/>
        <v>5.6033495398850337E-2</v>
      </c>
      <c r="N27" s="13">
        <f t="shared" si="3"/>
        <v>2.1801480372885598</v>
      </c>
      <c r="O27" s="13">
        <f t="shared" si="3"/>
        <v>0.23910613156597416</v>
      </c>
      <c r="P27" s="13">
        <f t="shared" si="9"/>
        <v>1.3197669205794331</v>
      </c>
      <c r="Q27" s="13">
        <f t="shared" si="4"/>
        <v>2.1970701559761214</v>
      </c>
      <c r="R27" s="21">
        <f t="shared" si="5"/>
        <v>0.98521946813103101</v>
      </c>
      <c r="S27" s="13">
        <f t="shared" si="6"/>
        <v>0.64052076412147319</v>
      </c>
      <c r="T27" s="22">
        <f t="shared" si="7"/>
        <v>1.3002600635501977</v>
      </c>
      <c r="U27" s="22"/>
      <c r="V27" s="19"/>
      <c r="X27"/>
    </row>
    <row r="28" spans="3:24">
      <c r="C28" s="17"/>
      <c r="D28" s="18"/>
      <c r="E28" s="13"/>
      <c r="F28" s="13"/>
      <c r="G28" s="13"/>
      <c r="H28" s="13"/>
      <c r="I28" s="72">
        <f t="shared" si="0"/>
        <v>33.296052563791676</v>
      </c>
      <c r="J28" s="13">
        <f t="shared" si="10"/>
        <v>8.5</v>
      </c>
      <c r="K28" s="13">
        <f t="shared" si="1"/>
        <v>8.9041248837037195</v>
      </c>
      <c r="L28" s="13">
        <f t="shared" si="8"/>
        <v>0.53660186780666319</v>
      </c>
      <c r="M28" s="13">
        <f t="shared" si="2"/>
        <v>6.0264413944681863E-2</v>
      </c>
      <c r="N28" s="13">
        <f t="shared" si="3"/>
        <v>2.2897874903045929</v>
      </c>
      <c r="O28" s="13">
        <f t="shared" si="3"/>
        <v>0.25716030718474642</v>
      </c>
      <c r="P28" s="13">
        <f t="shared" si="9"/>
        <v>1.458837540058826</v>
      </c>
      <c r="Q28" s="13">
        <f t="shared" si="4"/>
        <v>2.0632454775167544</v>
      </c>
      <c r="R28" s="21">
        <f t="shared" si="5"/>
        <v>1.0166688013446252</v>
      </c>
      <c r="S28" s="13">
        <f t="shared" si="6"/>
        <v>0.75393851140953982</v>
      </c>
      <c r="T28" s="22">
        <f t="shared" si="7"/>
        <v>1.4831546132081483</v>
      </c>
      <c r="U28" s="22"/>
      <c r="V28" s="19"/>
      <c r="X28"/>
    </row>
    <row r="29" spans="3:24">
      <c r="C29" s="17"/>
      <c r="D29" s="18"/>
      <c r="E29" s="13"/>
      <c r="F29" s="13"/>
      <c r="G29" s="13"/>
      <c r="H29" s="13"/>
      <c r="I29" s="72">
        <f t="shared" si="0"/>
        <v>32.717945060054426</v>
      </c>
      <c r="J29" s="13">
        <f t="shared" si="10"/>
        <v>9</v>
      </c>
      <c r="K29" s="13">
        <f t="shared" si="1"/>
        <v>8.6904222814455956</v>
      </c>
      <c r="L29" s="13">
        <f t="shared" si="8"/>
        <v>0.56229540291540747</v>
      </c>
      <c r="M29" s="13">
        <f t="shared" si="2"/>
        <v>6.470288608597663E-2</v>
      </c>
      <c r="N29" s="13">
        <f t="shared" si="3"/>
        <v>2.3994269433206266</v>
      </c>
      <c r="O29" s="13">
        <f t="shared" si="3"/>
        <v>0.27610015550607947</v>
      </c>
      <c r="P29" s="13">
        <f t="shared" si="9"/>
        <v>1.566034504691362</v>
      </c>
      <c r="Q29" s="13">
        <f t="shared" si="4"/>
        <v>1.8837663569385581</v>
      </c>
      <c r="R29" s="21">
        <f t="shared" si="5"/>
        <v>1.063999513162559</v>
      </c>
      <c r="S29" s="13">
        <f t="shared" si="6"/>
        <v>0.88644988811362002</v>
      </c>
      <c r="T29" s="22">
        <f t="shared" si="7"/>
        <v>1.6662599505873783</v>
      </c>
      <c r="U29" s="22"/>
      <c r="V29" s="19"/>
      <c r="X29"/>
    </row>
    <row r="30" spans="3:24">
      <c r="C30" s="17"/>
      <c r="D30" s="18"/>
      <c r="E30" s="13"/>
      <c r="F30" s="13"/>
      <c r="G30" s="13"/>
      <c r="H30" s="13"/>
      <c r="I30" s="72">
        <f t="shared" si="0"/>
        <v>32.136732389190421</v>
      </c>
      <c r="J30" s="13">
        <f t="shared" si="10"/>
        <v>9.5</v>
      </c>
      <c r="K30" s="13">
        <f t="shared" si="1"/>
        <v>8.4787046050143182</v>
      </c>
      <c r="L30" s="13">
        <f t="shared" si="8"/>
        <v>0.58798893802415164</v>
      </c>
      <c r="M30" s="13">
        <f t="shared" si="2"/>
        <v>6.9348911822734588E-2</v>
      </c>
      <c r="N30" s="13">
        <f t="shared" si="3"/>
        <v>2.5090663963366597</v>
      </c>
      <c r="O30" s="13">
        <f t="shared" si="3"/>
        <v>0.29592567652997304</v>
      </c>
      <c r="P30" s="13">
        <f t="shared" si="9"/>
        <v>1.62877576762543</v>
      </c>
      <c r="Q30" s="13">
        <f t="shared" si="4"/>
        <v>1.663776019504225</v>
      </c>
      <c r="R30" s="21">
        <f t="shared" si="5"/>
        <v>1.1321592448814553</v>
      </c>
      <c r="S30" s="13">
        <f t="shared" si="6"/>
        <v>1.0438698118777967</v>
      </c>
      <c r="T30" s="22">
        <f t="shared" si="7"/>
        <v>1.8440335431560195</v>
      </c>
      <c r="U30" s="22"/>
      <c r="V30" s="19"/>
      <c r="X30"/>
    </row>
    <row r="31" spans="3:24">
      <c r="C31" s="17"/>
      <c r="D31" s="18"/>
      <c r="E31" s="13"/>
      <c r="F31" s="13"/>
      <c r="G31" s="13"/>
      <c r="H31" s="13"/>
      <c r="I31" s="72">
        <f t="shared" si="0"/>
        <v>31.552817946998559</v>
      </c>
      <c r="J31" s="13">
        <f t="shared" si="10"/>
        <v>10</v>
      </c>
      <c r="K31" s="13">
        <f t="shared" si="1"/>
        <v>8.2703756111281148</v>
      </c>
      <c r="L31" s="13">
        <f t="shared" si="8"/>
        <v>0.61368247313289592</v>
      </c>
      <c r="M31" s="13">
        <f t="shared" si="2"/>
        <v>7.420249115495578E-2</v>
      </c>
      <c r="N31" s="13">
        <f t="shared" si="3"/>
        <v>2.6187058493526933</v>
      </c>
      <c r="O31" s="13">
        <f t="shared" si="3"/>
        <v>0.31663687025642728</v>
      </c>
      <c r="P31" s="13">
        <f t="shared" si="9"/>
        <v>1.6352965672509852</v>
      </c>
      <c r="Q31" s="13">
        <f t="shared" si="4"/>
        <v>1.4116046830500089</v>
      </c>
      <c r="R31" s="21">
        <f t="shared" si="5"/>
        <v>1.2291316509567742</v>
      </c>
      <c r="S31" s="13">
        <f t="shared" si="6"/>
        <v>1.2352740947306307</v>
      </c>
      <c r="T31" s="22">
        <f t="shared" si="7"/>
        <v>2.0099947695091491</v>
      </c>
      <c r="U31" s="22"/>
      <c r="V31" s="19"/>
      <c r="X31"/>
    </row>
    <row r="32" spans="3:24">
      <c r="C32" s="17"/>
      <c r="D32" s="18"/>
      <c r="E32" s="13"/>
      <c r="F32" s="13"/>
      <c r="G32" s="13"/>
      <c r="H32" s="13"/>
      <c r="I32" s="72">
        <f t="shared" si="0"/>
        <v>30.966540908651901</v>
      </c>
      <c r="J32" s="13">
        <f t="shared" si="10"/>
        <v>10.5</v>
      </c>
      <c r="K32" s="13">
        <f t="shared" si="1"/>
        <v>8.0664493409363587</v>
      </c>
      <c r="L32" s="13">
        <f t="shared" si="8"/>
        <v>0.63937600824164009</v>
      </c>
      <c r="M32" s="13">
        <f t="shared" si="2"/>
        <v>7.9263624082640177E-2</v>
      </c>
      <c r="N32" s="13">
        <f t="shared" ref="N32:O33" si="11">$N$4*L32</f>
        <v>2.7283453023687265</v>
      </c>
      <c r="O32" s="13">
        <f t="shared" si="11"/>
        <v>0.33823373668544215</v>
      </c>
      <c r="P32" s="13">
        <f t="shared" si="9"/>
        <v>1.575468060787629</v>
      </c>
      <c r="Q32" s="13">
        <f t="shared" si="4"/>
        <v>1.1386805801422977</v>
      </c>
      <c r="R32" s="21">
        <f t="shared" si="5"/>
        <v>1.3685289547250747</v>
      </c>
      <c r="S32" s="13">
        <f t="shared" si="6"/>
        <v>1.4753246150424038</v>
      </c>
      <c r="T32" s="22">
        <f t="shared" si="7"/>
        <v>2.1560736584324345</v>
      </c>
      <c r="U32" s="22"/>
      <c r="V32" s="19"/>
      <c r="X32"/>
    </row>
    <row r="33" spans="1:24" ht="16.5" customHeight="1" thickBot="1">
      <c r="C33" s="23"/>
      <c r="D33" s="24"/>
      <c r="E33" s="25"/>
      <c r="F33" s="25"/>
      <c r="G33" s="25"/>
      <c r="H33" s="25"/>
      <c r="I33" s="75">
        <f t="shared" si="0"/>
        <v>30.378188616124554</v>
      </c>
      <c r="J33" s="25">
        <f t="shared" si="10"/>
        <v>11</v>
      </c>
      <c r="K33" s="25">
        <f t="shared" si="1"/>
        <v>7.8676371033071941</v>
      </c>
      <c r="L33" s="25">
        <f t="shared" si="8"/>
        <v>0.66506954335038437</v>
      </c>
      <c r="M33" s="25">
        <f t="shared" si="2"/>
        <v>8.4532310605787808E-2</v>
      </c>
      <c r="N33" s="25">
        <f t="shared" si="11"/>
        <v>2.8379847553847601</v>
      </c>
      <c r="O33" s="25">
        <f t="shared" si="11"/>
        <v>0.36071627581701771</v>
      </c>
      <c r="P33" s="13">
        <f t="shared" si="9"/>
        <v>1.4416095287059933</v>
      </c>
      <c r="Q33" s="25">
        <f t="shared" si="4"/>
        <v>0.85922074372091906</v>
      </c>
      <c r="R33" s="26">
        <f t="shared" si="5"/>
        <v>1.5754425495379065</v>
      </c>
      <c r="S33" s="25">
        <f t="shared" si="6"/>
        <v>1.7890512839612962</v>
      </c>
      <c r="T33" s="27">
        <f t="shared" si="7"/>
        <v>2.2711729913427101</v>
      </c>
      <c r="U33" s="27"/>
      <c r="V33" s="28"/>
    </row>
    <row r="34" spans="1:24" ht="15" thickBot="1">
      <c r="A34"/>
      <c r="B34"/>
      <c r="I34" s="74"/>
      <c r="T34" s="8"/>
      <c r="V34" s="9"/>
      <c r="W34"/>
      <c r="X34"/>
    </row>
    <row r="35" spans="1:24" ht="17" thickBot="1">
      <c r="A35"/>
      <c r="B35"/>
      <c r="C35" s="42" t="s">
        <v>36</v>
      </c>
      <c r="D35" s="43" t="s">
        <v>37</v>
      </c>
      <c r="E35" s="35" t="s">
        <v>24</v>
      </c>
      <c r="F35" s="36" t="s">
        <v>29</v>
      </c>
      <c r="G35" s="36" t="s">
        <v>30</v>
      </c>
      <c r="H35" s="97" t="s">
        <v>56</v>
      </c>
      <c r="I35" s="36" t="s">
        <v>77</v>
      </c>
      <c r="J35" s="36" t="s">
        <v>80</v>
      </c>
      <c r="K35" s="36" t="s">
        <v>81</v>
      </c>
      <c r="L35" s="110" t="s">
        <v>92</v>
      </c>
      <c r="M35" s="36" t="s">
        <v>89</v>
      </c>
      <c r="N35" s="36" t="s">
        <v>90</v>
      </c>
      <c r="O35" s="38" t="s">
        <v>91</v>
      </c>
      <c r="P35" s="15"/>
      <c r="Q35" s="15"/>
      <c r="R35" s="15"/>
      <c r="S35" s="15"/>
      <c r="T35" s="40"/>
      <c r="U35" s="40"/>
      <c r="V35" s="16"/>
      <c r="W35"/>
      <c r="X35"/>
    </row>
    <row r="36" spans="1:24" ht="16" thickTop="1" thickBot="1">
      <c r="A36"/>
      <c r="B36"/>
      <c r="C36" s="44">
        <v>8</v>
      </c>
      <c r="D36" s="45">
        <f>MAX(T39:T60)</f>
        <v>2.3237267470496996</v>
      </c>
      <c r="E36" s="25">
        <f>$M$4-H36</f>
        <v>1.0540560409682314</v>
      </c>
      <c r="F36" s="25">
        <f>MAX(N39:N61)</f>
        <v>3.0765933228111431</v>
      </c>
      <c r="G36" s="25">
        <f>F36*$L$4</f>
        <v>0.55378679810600562</v>
      </c>
      <c r="H36" s="75">
        <f>(-N36+SQRT(N36^2-4*$P$4*O36))/(2*$P$4)</f>
        <v>0.16514395903176868</v>
      </c>
      <c r="I36" s="25">
        <f>$H$4*SBT!$C$23</f>
        <v>4.4225409836065571E-2</v>
      </c>
      <c r="J36" s="25">
        <f>I36+SBT!$B$23</f>
        <v>0.19422540983606557</v>
      </c>
      <c r="K36" s="25">
        <f>SBT!$B$12*H36</f>
        <v>0.2146871467412993</v>
      </c>
      <c r="L36" s="25">
        <f>(F36*$L$4-(SBT!$F$23*K36+0.5*SBT!$E$23*K36^2)*9.81)/(J36*9.81)</f>
        <v>9.2690334600430496E-2</v>
      </c>
      <c r="M36" s="79">
        <f>J36+SBT!$F$23+2*SBT!$G$23+H36*SBT!$D$23+K36*SBT!$E$23</f>
        <v>0.68366113977808562</v>
      </c>
      <c r="N36" s="25">
        <f>(SBT!$G$23+(SBT!$F$23+J36)*0.5)*9.81</f>
        <v>3.1869031352459021</v>
      </c>
      <c r="O36" s="37">
        <f>-F36*$L$4</f>
        <v>-0.55378679810600562</v>
      </c>
      <c r="P36" s="13"/>
      <c r="Q36" s="13"/>
      <c r="R36" s="13"/>
      <c r="S36" s="13"/>
      <c r="T36" s="13"/>
      <c r="U36" s="13"/>
      <c r="V36" s="19"/>
      <c r="W36"/>
      <c r="X36"/>
    </row>
    <row r="37" spans="1:24">
      <c r="A37"/>
      <c r="B37"/>
      <c r="C37" s="41"/>
      <c r="D37" s="13"/>
      <c r="E37" s="13"/>
      <c r="F37" s="13"/>
      <c r="G37" s="13"/>
      <c r="H37" s="13"/>
      <c r="I37" s="76"/>
      <c r="J37" s="18"/>
      <c r="K37" s="18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9"/>
      <c r="W37"/>
      <c r="X37"/>
    </row>
    <row r="38" spans="1:24" ht="17" thickBot="1">
      <c r="C38" s="47" t="s">
        <v>40</v>
      </c>
      <c r="D38" s="48" t="s">
        <v>42</v>
      </c>
      <c r="E38" s="30" t="s">
        <v>35</v>
      </c>
      <c r="F38" s="29" t="s">
        <v>34</v>
      </c>
      <c r="G38" s="29" t="s">
        <v>41</v>
      </c>
      <c r="H38" s="29" t="s">
        <v>7</v>
      </c>
      <c r="I38" s="70" t="s">
        <v>16</v>
      </c>
      <c r="J38" s="71" t="s">
        <v>17</v>
      </c>
      <c r="K38" s="29" t="s">
        <v>18</v>
      </c>
      <c r="L38" s="46" t="s">
        <v>39</v>
      </c>
      <c r="M38" s="31" t="s">
        <v>10</v>
      </c>
      <c r="N38" s="31" t="s">
        <v>13</v>
      </c>
      <c r="O38" s="31" t="s">
        <v>14</v>
      </c>
      <c r="P38" s="31" t="s">
        <v>8</v>
      </c>
      <c r="Q38" s="31" t="s">
        <v>9</v>
      </c>
      <c r="R38" s="31" t="s">
        <v>19</v>
      </c>
      <c r="S38" s="31" t="s">
        <v>25</v>
      </c>
      <c r="T38" s="32" t="s">
        <v>27</v>
      </c>
      <c r="U38" s="32"/>
      <c r="V38" s="33"/>
    </row>
    <row r="39" spans="1:24" ht="15" thickTop="1">
      <c r="C39" s="50">
        <v>5.6853197118317924</v>
      </c>
      <c r="D39" s="51">
        <v>0.35489999999999999</v>
      </c>
      <c r="E39" s="7">
        <f>$K$4/(2+SQRT(4+$K$4^2))</f>
        <v>0.53518375848799637</v>
      </c>
      <c r="F39" s="7">
        <f>C39*E39</f>
        <v>3.0426907715840312</v>
      </c>
      <c r="G39" s="12">
        <f>D39*E39</f>
        <v>0.18993671588738992</v>
      </c>
      <c r="H39" s="14">
        <f>F39*PI()/180</f>
        <v>5.3104972084188067E-2</v>
      </c>
      <c r="I39" s="72">
        <f t="shared" ref="I39:I59" si="12">0.5*ATAN(K39)*180/PI()-J39</f>
        <v>41.894423445639433</v>
      </c>
      <c r="J39" s="13">
        <v>0</v>
      </c>
      <c r="K39" s="13">
        <f t="shared" ref="K39:K59" si="13">L39/M39</f>
        <v>9.1884972587102389</v>
      </c>
      <c r="L39" s="13">
        <f>$H$39*J39+$G$39</f>
        <v>0.18993671588738992</v>
      </c>
      <c r="M39" s="13">
        <f t="shared" ref="M39:M59" si="14">0.015+0.1572*(L39^2)</f>
        <v>2.0671140289816089E-2</v>
      </c>
      <c r="N39" s="13">
        <f t="shared" ref="N39:O58" si="15">$N$4*L39</f>
        <v>0.81049795403467029</v>
      </c>
      <c r="O39" s="13">
        <f t="shared" si="15"/>
        <v>8.8207889844703208E-2</v>
      </c>
      <c r="P39" s="13">
        <f>((N39*COS(I39+J39)+O39*SIN(I39+J39))*SIN(J39+I39)-O39)/$M$36</f>
        <v>0.47790876691960105</v>
      </c>
      <c r="Q39" s="13">
        <f t="shared" ref="Q39:Q59" si="16">P39*TAN(I39+J39)</f>
        <v>0.84037140225952089</v>
      </c>
      <c r="R39" s="21">
        <f>IF(ISERROR(SQRT(2*$E$36/Q39)),0,SQRT(2*$E$36/Q39))</f>
        <v>1.5838396689784895</v>
      </c>
      <c r="S39" s="13">
        <f t="shared" ref="S39:S59" si="17">0.5*P39*R39^2</f>
        <v>0.59942856390503352</v>
      </c>
      <c r="T39" s="22">
        <f t="shared" ref="T39:T59" si="18">R39*P39</f>
        <v>0.75693086319985903</v>
      </c>
      <c r="U39" s="22"/>
      <c r="V39" s="19"/>
    </row>
    <row r="40" spans="1:24">
      <c r="C40" s="17"/>
      <c r="D40" s="18"/>
      <c r="E40" s="13"/>
      <c r="F40" s="13"/>
      <c r="G40" s="13"/>
      <c r="H40" s="13"/>
      <c r="I40" s="72">
        <f t="shared" si="12"/>
        <v>41.550576100735235</v>
      </c>
      <c r="J40" s="13">
        <f>J39+0.5</f>
        <v>0.5</v>
      </c>
      <c r="K40" s="13">
        <f t="shared" si="13"/>
        <v>9.6787035346439314</v>
      </c>
      <c r="L40" s="13">
        <f t="shared" ref="L40:L59" si="19">$H$39*J40+$G$39</f>
        <v>0.21648920192948395</v>
      </c>
      <c r="M40" s="13">
        <f t="shared" si="14"/>
        <v>2.2367582719584597E-2</v>
      </c>
      <c r="N40" s="13">
        <f t="shared" si="15"/>
        <v>0.92380272247349393</v>
      </c>
      <c r="O40" s="13">
        <f t="shared" si="15"/>
        <v>9.5446948981011387E-2</v>
      </c>
      <c r="P40" s="13">
        <f t="shared" ref="P40:P59" si="20">((N40*COS(I40+J40)+O40*SIN(I40+J40))*SIN(J40+I40)-O40)/$M$36</f>
        <v>0.42902751812754647</v>
      </c>
      <c r="Q40" s="13">
        <f t="shared" si="16"/>
        <v>1.1366203162755184</v>
      </c>
      <c r="R40" s="21">
        <f t="shared" ref="R40:R59" si="21">IF(ISERROR(SQRT(2*$E$36/Q40)),0,SQRT(2*$E$36/Q40))</f>
        <v>1.3618809386769564</v>
      </c>
      <c r="S40" s="13">
        <f t="shared" si="17"/>
        <v>0.39786289295424587</v>
      </c>
      <c r="T40" s="22">
        <f t="shared" si="18"/>
        <v>0.58428439910578789</v>
      </c>
      <c r="U40" s="22"/>
      <c r="V40" s="19"/>
    </row>
    <row r="41" spans="1:24">
      <c r="C41" s="20"/>
      <c r="D41" s="11"/>
      <c r="E41" s="13"/>
      <c r="F41" s="13"/>
      <c r="G41" s="13"/>
      <c r="H41" s="13"/>
      <c r="I41" s="72">
        <f t="shared" si="12"/>
        <v>41.14686025391584</v>
      </c>
      <c r="J41" s="13">
        <f t="shared" ref="J41:J57" si="22">J40+0.5</f>
        <v>1</v>
      </c>
      <c r="K41" s="13">
        <f t="shared" si="13"/>
        <v>10.007609747882423</v>
      </c>
      <c r="L41" s="13">
        <f t="shared" si="19"/>
        <v>0.24304168797157799</v>
      </c>
      <c r="M41" s="13">
        <f t="shared" si="14"/>
        <v>2.4285688000874016E-2</v>
      </c>
      <c r="N41" s="13">
        <f t="shared" si="15"/>
        <v>1.0371074909123175</v>
      </c>
      <c r="O41" s="13">
        <f t="shared" si="15"/>
        <v>0.1036318878373296</v>
      </c>
      <c r="P41" s="13">
        <f t="shared" si="20"/>
        <v>0.37260352500828525</v>
      </c>
      <c r="Q41" s="13">
        <f t="shared" si="16"/>
        <v>1.3749375495655116</v>
      </c>
      <c r="R41" s="21">
        <f t="shared" si="21"/>
        <v>1.2382415195662344</v>
      </c>
      <c r="S41" s="13">
        <f t="shared" si="17"/>
        <v>0.28564569826836878</v>
      </c>
      <c r="T41" s="22">
        <f t="shared" si="18"/>
        <v>0.46137315500199455</v>
      </c>
      <c r="U41" s="22"/>
      <c r="V41" s="19"/>
    </row>
    <row r="42" spans="1:24">
      <c r="C42" s="17"/>
      <c r="D42" s="18"/>
      <c r="E42" s="13"/>
      <c r="F42" s="13"/>
      <c r="G42" s="13"/>
      <c r="H42" s="13"/>
      <c r="I42" s="72">
        <f t="shared" si="12"/>
        <v>40.700892926686315</v>
      </c>
      <c r="J42" s="13">
        <f t="shared" si="22"/>
        <v>1.5</v>
      </c>
      <c r="K42" s="13">
        <f t="shared" si="13"/>
        <v>10.202063216991071</v>
      </c>
      <c r="L42" s="13">
        <f t="shared" si="19"/>
        <v>0.26959417401367203</v>
      </c>
      <c r="M42" s="13">
        <f t="shared" si="14"/>
        <v>2.6425456133684334E-2</v>
      </c>
      <c r="N42" s="13">
        <f t="shared" si="15"/>
        <v>1.1504122593511412</v>
      </c>
      <c r="O42" s="13">
        <f t="shared" si="15"/>
        <v>0.11276270641365779</v>
      </c>
      <c r="P42" s="13">
        <f t="shared" si="20"/>
        <v>0.33679921962722442</v>
      </c>
      <c r="Q42" s="13">
        <f t="shared" si="16"/>
        <v>1.5754621914223679</v>
      </c>
      <c r="R42" s="21">
        <f t="shared" si="21"/>
        <v>1.156758917047245</v>
      </c>
      <c r="S42" s="13">
        <f t="shared" si="17"/>
        <v>0.22533403465617544</v>
      </c>
      <c r="T42" s="22">
        <f t="shared" si="18"/>
        <v>0.38959550055834535</v>
      </c>
      <c r="U42" s="22"/>
      <c r="V42" s="19"/>
    </row>
    <row r="43" spans="1:24">
      <c r="C43" s="17"/>
      <c r="D43" s="13"/>
      <c r="E43" s="13"/>
      <c r="F43" s="13"/>
      <c r="G43" s="13"/>
      <c r="H43" s="13"/>
      <c r="I43" s="72">
        <f t="shared" si="12"/>
        <v>40.224007937827835</v>
      </c>
      <c r="J43" s="13">
        <f t="shared" si="22"/>
        <v>2</v>
      </c>
      <c r="K43" s="13">
        <f t="shared" si="13"/>
        <v>10.287554150668484</v>
      </c>
      <c r="L43" s="13">
        <f t="shared" si="19"/>
        <v>0.29614666005576606</v>
      </c>
      <c r="M43" s="13">
        <f t="shared" si="14"/>
        <v>2.8786887118015556E-2</v>
      </c>
      <c r="N43" s="13">
        <f t="shared" si="15"/>
        <v>1.263717027789965</v>
      </c>
      <c r="O43" s="13">
        <f t="shared" si="15"/>
        <v>0.12283940470999598</v>
      </c>
      <c r="P43" s="13">
        <f t="shared" si="20"/>
        <v>0.33226426925359998</v>
      </c>
      <c r="Q43" s="13">
        <f t="shared" si="16"/>
        <v>1.7513287852540211</v>
      </c>
      <c r="R43" s="21">
        <f t="shared" si="21"/>
        <v>1.0971424167433226</v>
      </c>
      <c r="S43" s="13">
        <f t="shared" si="17"/>
        <v>0.19997681940336162</v>
      </c>
      <c r="T43" s="22">
        <f t="shared" si="18"/>
        <v>0.36454122336634875</v>
      </c>
      <c r="U43" s="22"/>
      <c r="V43" s="19"/>
    </row>
    <row r="44" spans="1:24">
      <c r="C44" s="17"/>
      <c r="D44" s="13"/>
      <c r="E44" s="13"/>
      <c r="F44" s="13"/>
      <c r="G44" s="13"/>
      <c r="H44" s="13"/>
      <c r="I44" s="72">
        <f t="shared" si="12"/>
        <v>39.723826435459259</v>
      </c>
      <c r="J44" s="13">
        <f t="shared" si="22"/>
        <v>2.5</v>
      </c>
      <c r="K44" s="13">
        <f t="shared" si="13"/>
        <v>10.286877335769427</v>
      </c>
      <c r="L44" s="13">
        <f t="shared" si="19"/>
        <v>0.3226991460978601</v>
      </c>
      <c r="M44" s="13">
        <f t="shared" si="14"/>
        <v>3.1369980953867685E-2</v>
      </c>
      <c r="N44" s="13">
        <f t="shared" si="15"/>
        <v>1.3770217962287885</v>
      </c>
      <c r="O44" s="13">
        <f t="shared" si="15"/>
        <v>0.13386198272634417</v>
      </c>
      <c r="P44" s="13">
        <f t="shared" si="20"/>
        <v>0.36238173982433913</v>
      </c>
      <c r="Q44" s="13">
        <f t="shared" si="16"/>
        <v>1.9081834007706209</v>
      </c>
      <c r="R44" s="21">
        <f t="shared" si="21"/>
        <v>1.0510824672550918</v>
      </c>
      <c r="S44" s="13">
        <f t="shared" si="17"/>
        <v>0.20017502607147905</v>
      </c>
      <c r="T44" s="22">
        <f t="shared" si="18"/>
        <v>0.38089309318275916</v>
      </c>
      <c r="U44" s="22"/>
      <c r="V44" s="19"/>
    </row>
    <row r="45" spans="1:24">
      <c r="C45" s="17"/>
      <c r="D45" s="13"/>
      <c r="E45" s="13"/>
      <c r="F45" s="13"/>
      <c r="G45" s="13"/>
      <c r="H45" s="13"/>
      <c r="I45" s="72">
        <f t="shared" si="12"/>
        <v>39.205661639023646</v>
      </c>
      <c r="J45" s="13">
        <f t="shared" si="22"/>
        <v>3</v>
      </c>
      <c r="K45" s="13">
        <f t="shared" si="13"/>
        <v>10.219584881859962</v>
      </c>
      <c r="L45" s="13">
        <f t="shared" si="19"/>
        <v>0.34925163213995414</v>
      </c>
      <c r="M45" s="13">
        <f t="shared" si="14"/>
        <v>3.417473764124071E-2</v>
      </c>
      <c r="N45" s="13">
        <f t="shared" si="15"/>
        <v>1.4903265646676123</v>
      </c>
      <c r="O45" s="13">
        <f t="shared" si="15"/>
        <v>0.14583044046270235</v>
      </c>
      <c r="P45" s="13">
        <f t="shared" si="20"/>
        <v>0.42723445245070102</v>
      </c>
      <c r="Q45" s="13">
        <f t="shared" si="16"/>
        <v>2.046176965490333</v>
      </c>
      <c r="R45" s="21">
        <f t="shared" si="21"/>
        <v>1.0150215268005078</v>
      </c>
      <c r="S45" s="13">
        <f t="shared" si="17"/>
        <v>0.22008314193269302</v>
      </c>
      <c r="T45" s="22">
        <f t="shared" si="18"/>
        <v>0.4336521662282895</v>
      </c>
      <c r="U45" s="22"/>
      <c r="V45" s="19"/>
    </row>
    <row r="46" spans="1:24">
      <c r="C46" s="17"/>
      <c r="D46" s="13"/>
      <c r="E46" s="13"/>
      <c r="F46" s="13"/>
      <c r="G46" s="13"/>
      <c r="H46" s="13"/>
      <c r="I46" s="72">
        <f t="shared" si="12"/>
        <v>38.673330961389617</v>
      </c>
      <c r="J46" s="13">
        <f t="shared" si="22"/>
        <v>3.5</v>
      </c>
      <c r="K46" s="13">
        <f t="shared" si="13"/>
        <v>10.101947000259628</v>
      </c>
      <c r="L46" s="13">
        <f t="shared" si="19"/>
        <v>0.37580411818204817</v>
      </c>
      <c r="M46" s="13">
        <f t="shared" si="14"/>
        <v>3.7201157180134656E-2</v>
      </c>
      <c r="N46" s="13">
        <f t="shared" si="15"/>
        <v>1.603631333106436</v>
      </c>
      <c r="O46" s="13">
        <f t="shared" si="15"/>
        <v>0.1587447779190706</v>
      </c>
      <c r="P46" s="13">
        <f t="shared" si="20"/>
        <v>0.52485109042801104</v>
      </c>
      <c r="Q46" s="13">
        <f t="shared" si="16"/>
        <v>2.1618575657703119</v>
      </c>
      <c r="R46" s="21">
        <f t="shared" si="21"/>
        <v>0.98749137284463995</v>
      </c>
      <c r="S46" s="13">
        <f t="shared" si="17"/>
        <v>0.25590143922237757</v>
      </c>
      <c r="T46" s="22">
        <f t="shared" si="18"/>
        <v>0.51828592382576288</v>
      </c>
      <c r="U46" s="22"/>
      <c r="V46" s="19"/>
    </row>
    <row r="47" spans="1:24">
      <c r="C47" s="17"/>
      <c r="D47" s="13"/>
      <c r="E47" s="13"/>
      <c r="F47" s="13"/>
      <c r="G47" s="13"/>
      <c r="H47" s="13"/>
      <c r="I47" s="72">
        <f t="shared" si="12"/>
        <v>38.129647898968692</v>
      </c>
      <c r="J47" s="13">
        <f t="shared" si="22"/>
        <v>4</v>
      </c>
      <c r="K47" s="13">
        <f t="shared" si="13"/>
        <v>9.9471982290883982</v>
      </c>
      <c r="L47" s="13">
        <f t="shared" si="19"/>
        <v>0.40235660422414221</v>
      </c>
      <c r="M47" s="13">
        <f t="shared" si="14"/>
        <v>4.0449239570549488E-2</v>
      </c>
      <c r="N47" s="13">
        <f t="shared" si="15"/>
        <v>1.7169361015452596</v>
      </c>
      <c r="O47" s="13">
        <f t="shared" si="15"/>
        <v>0.17260499509544877</v>
      </c>
      <c r="P47" s="13">
        <f t="shared" si="20"/>
        <v>0.65141336978877373</v>
      </c>
      <c r="Q47" s="13">
        <f t="shared" si="16"/>
        <v>2.249654354995771</v>
      </c>
      <c r="R47" s="21">
        <f t="shared" si="21"/>
        <v>0.96803029793623352</v>
      </c>
      <c r="S47" s="13">
        <f t="shared" si="17"/>
        <v>0.3052140859188211</v>
      </c>
      <c r="T47" s="22">
        <f t="shared" si="18"/>
        <v>0.63058787843627251</v>
      </c>
      <c r="U47" s="22"/>
      <c r="V47" s="19"/>
    </row>
    <row r="48" spans="1:24">
      <c r="C48" s="17"/>
      <c r="D48" s="18"/>
      <c r="E48" s="13"/>
      <c r="F48" s="13"/>
      <c r="G48" s="13"/>
      <c r="H48" s="13"/>
      <c r="I48" s="72">
        <f t="shared" si="12"/>
        <v>37.576731865819731</v>
      </c>
      <c r="J48" s="13">
        <f t="shared" si="22"/>
        <v>4.5</v>
      </c>
      <c r="K48" s="13">
        <f t="shared" si="13"/>
        <v>9.7659154030424329</v>
      </c>
      <c r="L48" s="13">
        <f t="shared" si="19"/>
        <v>0.42890909026623625</v>
      </c>
      <c r="M48" s="13">
        <f t="shared" si="14"/>
        <v>4.3918984812485233E-2</v>
      </c>
      <c r="N48" s="13">
        <f t="shared" si="15"/>
        <v>1.8302408699840833</v>
      </c>
      <c r="O48" s="13">
        <f t="shared" si="15"/>
        <v>0.18741109199183698</v>
      </c>
      <c r="P48" s="13">
        <f t="shared" si="20"/>
        <v>0.80115015568636383</v>
      </c>
      <c r="Q48" s="13">
        <f t="shared" si="16"/>
        <v>2.3030682853971749</v>
      </c>
      <c r="R48" s="21">
        <f t="shared" si="21"/>
        <v>0.95673891965061353</v>
      </c>
      <c r="S48" s="13">
        <f t="shared" si="17"/>
        <v>0.3666661412856112</v>
      </c>
      <c r="T48" s="22">
        <f t="shared" si="18"/>
        <v>0.76649153442929252</v>
      </c>
      <c r="U48" s="22"/>
      <c r="V48" s="19"/>
    </row>
    <row r="49" spans="3:22">
      <c r="C49" s="17"/>
      <c r="D49" s="22"/>
      <c r="E49" s="13"/>
      <c r="F49" s="13"/>
      <c r="G49" s="13"/>
      <c r="H49" s="13"/>
      <c r="I49" s="72">
        <f t="shared" si="12"/>
        <v>37.016209989099536</v>
      </c>
      <c r="J49" s="13">
        <f t="shared" si="22"/>
        <v>5</v>
      </c>
      <c r="K49" s="13">
        <f t="shared" si="13"/>
        <v>9.5664317916495847</v>
      </c>
      <c r="L49" s="13">
        <f t="shared" si="19"/>
        <v>0.45546157630833023</v>
      </c>
      <c r="M49" s="13">
        <f t="shared" si="14"/>
        <v>4.7610392905941878E-2</v>
      </c>
      <c r="N49" s="13">
        <f t="shared" si="15"/>
        <v>1.9435456384229066</v>
      </c>
      <c r="O49" s="13">
        <f t="shared" si="15"/>
        <v>0.20316306860823519</v>
      </c>
      <c r="P49" s="13">
        <f t="shared" si="20"/>
        <v>0.96622999842938728</v>
      </c>
      <c r="Q49" s="13">
        <f t="shared" si="16"/>
        <v>2.3156919121732935</v>
      </c>
      <c r="R49" s="21">
        <f t="shared" si="21"/>
        <v>0.95412760083457338</v>
      </c>
      <c r="S49" s="13">
        <f t="shared" si="17"/>
        <v>0.43980831882484217</v>
      </c>
      <c r="T49" s="22">
        <f t="shared" si="18"/>
        <v>0.92190671025582493</v>
      </c>
      <c r="U49" s="22"/>
      <c r="V49" s="19"/>
    </row>
    <row r="50" spans="3:22">
      <c r="C50" s="17"/>
      <c r="D50" s="18"/>
      <c r="E50" s="13"/>
      <c r="F50" s="13"/>
      <c r="G50" s="13"/>
      <c r="H50" s="13"/>
      <c r="I50" s="72">
        <f t="shared" si="12"/>
        <v>36.449352389958413</v>
      </c>
      <c r="J50" s="13">
        <f t="shared" si="22"/>
        <v>5.5</v>
      </c>
      <c r="K50" s="13">
        <f t="shared" si="13"/>
        <v>9.3552340297831673</v>
      </c>
      <c r="L50" s="13">
        <f t="shared" si="19"/>
        <v>0.48201406235042427</v>
      </c>
      <c r="M50" s="13">
        <f t="shared" si="14"/>
        <v>5.1523463850919424E-2</v>
      </c>
      <c r="N50" s="13">
        <f t="shared" si="15"/>
        <v>2.0568504068617304</v>
      </c>
      <c r="O50" s="13">
        <f t="shared" si="15"/>
        <v>0.21986092494464335</v>
      </c>
      <c r="P50" s="13">
        <f t="shared" si="20"/>
        <v>1.1367876282844864</v>
      </c>
      <c r="Q50" s="13">
        <f t="shared" si="16"/>
        <v>2.2821221102273763</v>
      </c>
      <c r="R50" s="21">
        <f t="shared" si="21"/>
        <v>0.9611195456971956</v>
      </c>
      <c r="S50" s="13">
        <f t="shared" si="17"/>
        <v>0.52505422979834604</v>
      </c>
      <c r="T50" s="22">
        <f t="shared" si="18"/>
        <v>1.0925888088509781</v>
      </c>
      <c r="U50" s="22"/>
      <c r="V50" s="19"/>
    </row>
    <row r="51" spans="3:22">
      <c r="C51" s="17"/>
      <c r="D51" s="18"/>
      <c r="E51" s="13"/>
      <c r="F51" s="13"/>
      <c r="G51" s="13"/>
      <c r="H51" s="13"/>
      <c r="I51" s="72">
        <f t="shared" si="12"/>
        <v>35.877165188877271</v>
      </c>
      <c r="J51" s="13">
        <f t="shared" si="22"/>
        <v>6</v>
      </c>
      <c r="K51" s="13">
        <f t="shared" si="13"/>
        <v>9.1373161526748063</v>
      </c>
      <c r="L51" s="13">
        <f t="shared" si="19"/>
        <v>0.50856654839251836</v>
      </c>
      <c r="M51" s="13">
        <f t="shared" si="14"/>
        <v>5.565819764741789E-2</v>
      </c>
      <c r="N51" s="13">
        <f t="shared" si="15"/>
        <v>2.1701551753005544</v>
      </c>
      <c r="O51" s="13">
        <f t="shared" si="15"/>
        <v>0.2375046610010616</v>
      </c>
      <c r="P51" s="13">
        <f t="shared" si="20"/>
        <v>1.3011408536738636</v>
      </c>
      <c r="Q51" s="13">
        <f t="shared" si="16"/>
        <v>2.1987795609275755</v>
      </c>
      <c r="R51" s="21">
        <f t="shared" si="21"/>
        <v>0.97916527432056455</v>
      </c>
      <c r="S51" s="13">
        <f t="shared" si="17"/>
        <v>0.62374391746070612</v>
      </c>
      <c r="T51" s="22">
        <f t="shared" si="18"/>
        <v>1.2740319409172622</v>
      </c>
      <c r="U51" s="22"/>
      <c r="V51" s="19"/>
    </row>
    <row r="52" spans="3:22">
      <c r="C52" s="17"/>
      <c r="D52" s="18"/>
      <c r="E52" s="13"/>
      <c r="F52" s="13"/>
      <c r="G52" s="13"/>
      <c r="H52" s="13"/>
      <c r="I52" s="72">
        <f t="shared" si="12"/>
        <v>35.300455881552942</v>
      </c>
      <c r="J52" s="13">
        <f t="shared" si="22"/>
        <v>6.5</v>
      </c>
      <c r="K52" s="13">
        <f t="shared" si="13"/>
        <v>8.9164817444295554</v>
      </c>
      <c r="L52" s="13">
        <f t="shared" si="19"/>
        <v>0.5351190344346124</v>
      </c>
      <c r="M52" s="13">
        <f t="shared" si="14"/>
        <v>6.0014594295437255E-2</v>
      </c>
      <c r="N52" s="13">
        <f t="shared" si="15"/>
        <v>2.2834599437393779</v>
      </c>
      <c r="O52" s="13">
        <f t="shared" si="15"/>
        <v>0.25609427677748986</v>
      </c>
      <c r="P52" s="13">
        <f t="shared" si="20"/>
        <v>1.4462132818061866</v>
      </c>
      <c r="Q52" s="13">
        <f t="shared" si="16"/>
        <v>2.0646168553431972</v>
      </c>
      <c r="R52" s="21">
        <f t="shared" si="21"/>
        <v>1.010478585887957</v>
      </c>
      <c r="S52" s="13">
        <f t="shared" si="17"/>
        <v>0.7383403086491348</v>
      </c>
      <c r="T52" s="22">
        <f t="shared" si="18"/>
        <v>1.4613675518918969</v>
      </c>
      <c r="U52" s="22"/>
      <c r="V52" s="19"/>
    </row>
    <row r="53" spans="3:22">
      <c r="C53" s="17"/>
      <c r="D53" s="18"/>
      <c r="E53" s="13"/>
      <c r="F53" s="13"/>
      <c r="G53" s="13"/>
      <c r="H53" s="13"/>
      <c r="I53" s="72">
        <f t="shared" si="12"/>
        <v>34.719880207309998</v>
      </c>
      <c r="J53" s="13">
        <f t="shared" si="22"/>
        <v>7</v>
      </c>
      <c r="K53" s="13">
        <f t="shared" si="13"/>
        <v>8.6955944287333153</v>
      </c>
      <c r="L53" s="13">
        <f t="shared" si="19"/>
        <v>0.56167152047670643</v>
      </c>
      <c r="M53" s="13">
        <f t="shared" si="14"/>
        <v>6.4592653794977528E-2</v>
      </c>
      <c r="N53" s="13">
        <f t="shared" si="15"/>
        <v>2.3967647121782014</v>
      </c>
      <c r="O53" s="13">
        <f t="shared" si="15"/>
        <v>0.2756297722739281</v>
      </c>
      <c r="P53" s="13">
        <f t="shared" si="20"/>
        <v>1.5581521832198595</v>
      </c>
      <c r="Q53" s="13">
        <f t="shared" si="16"/>
        <v>1.8816801741305007</v>
      </c>
      <c r="R53" s="21">
        <f t="shared" si="21"/>
        <v>1.0584587661492451</v>
      </c>
      <c r="S53" s="13">
        <f t="shared" si="17"/>
        <v>0.87282618164888337</v>
      </c>
      <c r="T53" s="22">
        <f t="shared" si="18"/>
        <v>1.649239837323645</v>
      </c>
      <c r="U53" s="22"/>
      <c r="V53" s="19"/>
    </row>
    <row r="54" spans="3:22">
      <c r="C54" s="17"/>
      <c r="D54" s="18"/>
      <c r="E54" s="13"/>
      <c r="F54" s="13"/>
      <c r="G54" s="13"/>
      <c r="H54" s="13"/>
      <c r="I54" s="72">
        <f t="shared" si="12"/>
        <v>34.13597634586349</v>
      </c>
      <c r="J54" s="13">
        <f t="shared" si="22"/>
        <v>7.5</v>
      </c>
      <c r="K54" s="13">
        <f t="shared" si="13"/>
        <v>8.4767814447060061</v>
      </c>
      <c r="L54" s="13">
        <f t="shared" si="19"/>
        <v>0.58822400651880047</v>
      </c>
      <c r="M54" s="13">
        <f t="shared" si="14"/>
        <v>6.9392376146038687E-2</v>
      </c>
      <c r="N54" s="13">
        <f t="shared" si="15"/>
        <v>2.5100694806170254</v>
      </c>
      <c r="O54" s="13">
        <f t="shared" si="15"/>
        <v>0.29611114749037626</v>
      </c>
      <c r="P54" s="13">
        <f t="shared" si="20"/>
        <v>1.6231111036114114</v>
      </c>
      <c r="Q54" s="13">
        <f t="shared" si="16"/>
        <v>1.6554839732754993</v>
      </c>
      <c r="R54" s="21">
        <f t="shared" si="21"/>
        <v>1.1284552939204715</v>
      </c>
      <c r="S54" s="13">
        <f t="shared" si="17"/>
        <v>1.033444051130967</v>
      </c>
      <c r="T54" s="22">
        <f t="shared" si="18"/>
        <v>1.8316083174913962</v>
      </c>
      <c r="U54" s="22"/>
      <c r="V54" s="19"/>
    </row>
    <row r="55" spans="3:22">
      <c r="C55" s="17"/>
      <c r="D55" s="18"/>
      <c r="E55" s="13"/>
      <c r="F55" s="13"/>
      <c r="G55" s="13"/>
      <c r="H55" s="13"/>
      <c r="I55" s="72">
        <f t="shared" si="12"/>
        <v>33.549190266261533</v>
      </c>
      <c r="J55" s="13">
        <f t="shared" si="22"/>
        <v>8</v>
      </c>
      <c r="K55" s="13">
        <f t="shared" si="13"/>
        <v>8.2615967990212233</v>
      </c>
      <c r="L55" s="13">
        <f t="shared" si="19"/>
        <v>0.61477649256089451</v>
      </c>
      <c r="M55" s="13">
        <f t="shared" si="14"/>
        <v>7.4413761348620766E-2</v>
      </c>
      <c r="N55" s="13">
        <f t="shared" si="15"/>
        <v>2.6233742490558489</v>
      </c>
      <c r="O55" s="13">
        <f t="shared" si="15"/>
        <v>0.31753840242683451</v>
      </c>
      <c r="P55" s="13">
        <f t="shared" si="20"/>
        <v>1.628150824893644</v>
      </c>
      <c r="Q55" s="13">
        <f t="shared" si="16"/>
        <v>1.3951610703062507</v>
      </c>
      <c r="R55" s="21">
        <f t="shared" si="21"/>
        <v>1.2292343107224788</v>
      </c>
      <c r="S55" s="13">
        <f t="shared" si="17"/>
        <v>1.2300817798835524</v>
      </c>
      <c r="T55" s="22">
        <f t="shared" si="18"/>
        <v>2.0013788569903737</v>
      </c>
      <c r="U55" s="22"/>
      <c r="V55" s="19"/>
    </row>
    <row r="56" spans="3:22">
      <c r="C56" s="17"/>
      <c r="D56" s="18"/>
      <c r="E56" s="13"/>
      <c r="F56" s="13"/>
      <c r="G56" s="13"/>
      <c r="H56" s="13"/>
      <c r="I56" s="72">
        <f t="shared" si="12"/>
        <v>32.959894787839261</v>
      </c>
      <c r="J56" s="13">
        <f t="shared" si="22"/>
        <v>8.5</v>
      </c>
      <c r="K56" s="13">
        <f t="shared" si="13"/>
        <v>8.0511507228540751</v>
      </c>
      <c r="L56" s="13">
        <f t="shared" si="19"/>
        <v>0.64132897860298854</v>
      </c>
      <c r="M56" s="13">
        <f t="shared" si="14"/>
        <v>7.9656809402723738E-2</v>
      </c>
      <c r="N56" s="13">
        <f t="shared" si="15"/>
        <v>2.7366790174946725</v>
      </c>
      <c r="O56" s="13">
        <f t="shared" si="15"/>
        <v>0.33991153708330274</v>
      </c>
      <c r="P56" s="13">
        <f t="shared" si="20"/>
        <v>1.5621996458622756</v>
      </c>
      <c r="Q56" s="13">
        <f t="shared" si="16"/>
        <v>1.1133598830588387</v>
      </c>
      <c r="R56" s="21">
        <f t="shared" si="21"/>
        <v>1.3760336814160479</v>
      </c>
      <c r="S56" s="13">
        <f t="shared" si="17"/>
        <v>1.4789880603525767</v>
      </c>
      <c r="T56" s="22">
        <f t="shared" si="18"/>
        <v>2.1496393298027132</v>
      </c>
      <c r="U56" s="22"/>
      <c r="V56" s="19"/>
    </row>
    <row r="57" spans="3:22">
      <c r="C57" s="17"/>
      <c r="D57" s="18"/>
      <c r="E57" s="13"/>
      <c r="F57" s="13"/>
      <c r="G57" s="13"/>
      <c r="H57" s="13"/>
      <c r="I57" s="72">
        <f t="shared" si="12"/>
        <v>32.368404100342396</v>
      </c>
      <c r="J57" s="13">
        <f t="shared" si="22"/>
        <v>9</v>
      </c>
      <c r="K57" s="13">
        <f t="shared" si="13"/>
        <v>7.84621165394746</v>
      </c>
      <c r="L57" s="13">
        <f t="shared" si="19"/>
        <v>0.66788146464508258</v>
      </c>
      <c r="M57" s="13">
        <f t="shared" si="14"/>
        <v>8.5121520308347631E-2</v>
      </c>
      <c r="N57" s="13">
        <f t="shared" si="15"/>
        <v>2.8499837859334964</v>
      </c>
      <c r="O57" s="13">
        <f t="shared" si="15"/>
        <v>0.363230551459781</v>
      </c>
      <c r="P57" s="13">
        <f t="shared" si="20"/>
        <v>1.4170051637217822</v>
      </c>
      <c r="Q57" s="13">
        <f t="shared" si="16"/>
        <v>0.82587460324607931</v>
      </c>
      <c r="R57" s="21">
        <f t="shared" si="21"/>
        <v>1.597679979345527</v>
      </c>
      <c r="S57" s="13">
        <f t="shared" si="17"/>
        <v>1.8085104530803517</v>
      </c>
      <c r="T57" s="22">
        <f t="shared" si="18"/>
        <v>2.2639207807075219</v>
      </c>
      <c r="U57" s="22"/>
      <c r="V57" s="19"/>
    </row>
    <row r="58" spans="3:22">
      <c r="C58" s="17"/>
      <c r="D58" s="18"/>
      <c r="E58" s="13"/>
      <c r="F58" s="13"/>
      <c r="G58" s="13"/>
      <c r="H58" s="13"/>
      <c r="I58" s="72">
        <f t="shared" si="12"/>
        <v>31.77498495683426</v>
      </c>
      <c r="J58" s="13">
        <v>9.5</v>
      </c>
      <c r="K58" s="13">
        <f t="shared" si="13"/>
        <v>7.6472861509852601</v>
      </c>
      <c r="L58" s="13">
        <f t="shared" si="19"/>
        <v>0.6944339506871765</v>
      </c>
      <c r="M58" s="13">
        <f t="shared" si="14"/>
        <v>9.0807894065492389E-2</v>
      </c>
      <c r="N58" s="13">
        <f t="shared" si="15"/>
        <v>2.9632885543723195</v>
      </c>
      <c r="O58" s="13">
        <f t="shared" si="15"/>
        <v>0.38749544555626914</v>
      </c>
      <c r="P58" s="13">
        <f t="shared" si="20"/>
        <v>1.1880054265770819</v>
      </c>
      <c r="Q58" s="13">
        <f t="shared" si="16"/>
        <v>0.55101120728673691</v>
      </c>
      <c r="R58" s="21">
        <f t="shared" si="21"/>
        <v>1.9559900107063426</v>
      </c>
      <c r="S58" s="13">
        <f t="shared" si="17"/>
        <v>2.2725931524201779</v>
      </c>
      <c r="T58" s="22">
        <f t="shared" si="18"/>
        <v>2.3237267470496996</v>
      </c>
      <c r="U58" s="22"/>
      <c r="V58" s="19"/>
    </row>
    <row r="59" spans="3:22">
      <c r="C59" s="17"/>
      <c r="D59" s="18"/>
      <c r="E59" s="13"/>
      <c r="F59" s="13"/>
      <c r="G59" s="13"/>
      <c r="H59" s="13"/>
      <c r="I59" s="72">
        <f t="shared" si="12"/>
        <v>31.17986539598941</v>
      </c>
      <c r="J59" s="13">
        <v>10</v>
      </c>
      <c r="K59" s="13">
        <f t="shared" si="13"/>
        <v>7.4546812681596197</v>
      </c>
      <c r="L59" s="13">
        <f t="shared" si="19"/>
        <v>0.72098643672927054</v>
      </c>
      <c r="M59" s="13">
        <f t="shared" si="14"/>
        <v>9.6715930674158068E-2</v>
      </c>
      <c r="N59" s="13">
        <f t="shared" ref="N59:O59" si="23">$N$4*L59</f>
        <v>3.0765933228111431</v>
      </c>
      <c r="O59" s="13">
        <f t="shared" si="23"/>
        <v>0.4127062193727673</v>
      </c>
      <c r="P59" s="13">
        <f t="shared" si="20"/>
        <v>0.87504798725882127</v>
      </c>
      <c r="Q59" s="13">
        <f t="shared" si="16"/>
        <v>0.30871085777372131</v>
      </c>
      <c r="R59" s="21">
        <f t="shared" si="21"/>
        <v>2.6131894513351011</v>
      </c>
      <c r="S59" s="13">
        <f t="shared" si="17"/>
        <v>2.9877459567143436</v>
      </c>
      <c r="T59" s="22">
        <f t="shared" si="18"/>
        <v>2.2866661697167636</v>
      </c>
      <c r="U59" s="22"/>
      <c r="V59" s="19"/>
    </row>
    <row r="60" spans="3:22" ht="15" thickBot="1">
      <c r="C60" s="23"/>
      <c r="D60" s="24"/>
      <c r="E60" s="25"/>
      <c r="F60" s="25"/>
      <c r="G60" s="25"/>
      <c r="H60" s="25"/>
      <c r="I60" s="75"/>
      <c r="J60" s="25"/>
      <c r="K60" s="25"/>
      <c r="L60" s="25"/>
      <c r="M60" s="25"/>
      <c r="N60" s="25"/>
      <c r="O60" s="25"/>
      <c r="P60" s="25"/>
      <c r="Q60" s="25"/>
      <c r="R60" s="26"/>
      <c r="S60" s="25"/>
      <c r="T60" s="27"/>
      <c r="U60" s="27"/>
      <c r="V60" s="28"/>
    </row>
    <row r="61" spans="3:22">
      <c r="I61" s="74"/>
    </row>
    <row r="62" spans="3:22" ht="15" thickBot="1">
      <c r="I62" s="74"/>
    </row>
    <row r="63" spans="3:22" ht="17" thickBot="1">
      <c r="C63" s="42" t="s">
        <v>36</v>
      </c>
      <c r="D63" s="43" t="s">
        <v>37</v>
      </c>
      <c r="E63" s="35" t="s">
        <v>24</v>
      </c>
      <c r="F63" s="36" t="s">
        <v>29</v>
      </c>
      <c r="G63" s="36" t="s">
        <v>30</v>
      </c>
      <c r="H63" s="97" t="s">
        <v>56</v>
      </c>
      <c r="I63" s="36" t="s">
        <v>77</v>
      </c>
      <c r="J63" s="36" t="s">
        <v>80</v>
      </c>
      <c r="K63" s="36" t="s">
        <v>81</v>
      </c>
      <c r="L63" s="110" t="s">
        <v>92</v>
      </c>
      <c r="M63" s="36" t="s">
        <v>89</v>
      </c>
      <c r="N63" s="36" t="s">
        <v>90</v>
      </c>
      <c r="O63" s="38" t="s">
        <v>91</v>
      </c>
      <c r="P63" s="15"/>
      <c r="Q63" s="15"/>
      <c r="R63" s="15"/>
      <c r="S63" s="15"/>
      <c r="T63" s="40"/>
      <c r="U63" s="40"/>
      <c r="V63" s="16"/>
    </row>
    <row r="64" spans="3:22" ht="16" thickTop="1" thickBot="1">
      <c r="C64" s="44">
        <v>12</v>
      </c>
      <c r="D64" s="45">
        <f>MAX(T67:T88)</f>
        <v>2.3292125217949291</v>
      </c>
      <c r="E64" s="25">
        <f>$M$4-H64</f>
        <v>1.0562467730481084</v>
      </c>
      <c r="F64" s="25">
        <f>MAX(N67:N89)</f>
        <v>3.033781494599272</v>
      </c>
      <c r="G64" s="25">
        <f>F64*$L$4</f>
        <v>0.54608066902786889</v>
      </c>
      <c r="H64" s="75">
        <f>(-N64+SQRT(N64^2-4*$P$4*O64))/(2*$P$4)</f>
        <v>0.16295322695189171</v>
      </c>
      <c r="I64" s="25">
        <f>$H$4*SBT!$C$23</f>
        <v>4.4225409836065571E-2</v>
      </c>
      <c r="J64" s="25">
        <f>I64+SBT!$B$23</f>
        <v>0.19422540983606557</v>
      </c>
      <c r="K64" s="25">
        <f>SBT!$B$12*H64</f>
        <v>0.21183919503745924</v>
      </c>
      <c r="L64" s="25">
        <f>(F64*$L$4-(SBT!$F$23*K64+0.5*SBT!$E$23*K64^2)*9.81)/(J64*9.81)</f>
        <v>9.1410657030365355E-2</v>
      </c>
      <c r="M64" s="79">
        <f>J64+SBT!$F$23+2*SBT!$G$23+H64*SBT!$D$23+K64*SBT!$E$23</f>
        <v>0.68321096229249123</v>
      </c>
      <c r="N64" s="25">
        <f>(SBT!$G$23+(SBT!$F$23+J64)*0.5)*9.81</f>
        <v>3.1869031352459021</v>
      </c>
      <c r="O64" s="37">
        <f>-F64*$L$4</f>
        <v>-0.54608066902786889</v>
      </c>
      <c r="P64" s="13"/>
      <c r="Q64" s="13"/>
      <c r="R64" s="13"/>
      <c r="S64" s="13"/>
      <c r="T64" s="13"/>
      <c r="U64" s="13"/>
      <c r="V64" s="19"/>
    </row>
    <row r="65" spans="3:22">
      <c r="C65" s="41"/>
      <c r="D65" s="13"/>
      <c r="E65" s="13"/>
      <c r="F65" s="13"/>
      <c r="G65" s="13"/>
      <c r="H65" s="13"/>
      <c r="I65" s="76"/>
      <c r="J65" s="18"/>
      <c r="K65" s="18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9"/>
    </row>
    <row r="66" spans="3:22" ht="17" thickBot="1">
      <c r="C66" s="47" t="s">
        <v>40</v>
      </c>
      <c r="D66" s="48" t="s">
        <v>42</v>
      </c>
      <c r="E66" s="30" t="s">
        <v>35</v>
      </c>
      <c r="F66" s="29" t="s">
        <v>34</v>
      </c>
      <c r="G66" s="29" t="s">
        <v>41</v>
      </c>
      <c r="H66" s="29" t="s">
        <v>7</v>
      </c>
      <c r="I66" s="70" t="s">
        <v>16</v>
      </c>
      <c r="J66" s="71" t="s">
        <v>17</v>
      </c>
      <c r="K66" s="29" t="s">
        <v>18</v>
      </c>
      <c r="L66" s="46" t="s">
        <v>39</v>
      </c>
      <c r="M66" s="31" t="s">
        <v>10</v>
      </c>
      <c r="N66" s="31" t="s">
        <v>13</v>
      </c>
      <c r="O66" s="31" t="s">
        <v>14</v>
      </c>
      <c r="P66" s="31" t="s">
        <v>8</v>
      </c>
      <c r="Q66" s="31" t="s">
        <v>9</v>
      </c>
      <c r="R66" s="31" t="s">
        <v>19</v>
      </c>
      <c r="S66" s="31" t="s">
        <v>25</v>
      </c>
      <c r="T66" s="32" t="s">
        <v>27</v>
      </c>
      <c r="U66" s="32"/>
      <c r="V66" s="33"/>
    </row>
    <row r="67" spans="3:22" ht="15" thickTop="1">
      <c r="C67" s="50">
        <v>5.1499867373042818</v>
      </c>
      <c r="D67" s="51">
        <v>0.497</v>
      </c>
      <c r="E67" s="7">
        <f>$K$4/(2+SQRT(4+$K$4^2))</f>
        <v>0.53518375848799637</v>
      </c>
      <c r="F67" s="7">
        <f>C67*E67</f>
        <v>2.7561892582338392</v>
      </c>
      <c r="G67" s="12">
        <f>D67*E67</f>
        <v>0.26598632796853422</v>
      </c>
      <c r="H67" s="14">
        <f>F67*PI()/180</f>
        <v>4.8104577364280726E-2</v>
      </c>
      <c r="I67" s="72">
        <f t="shared" ref="I67:I86" si="24">0.5*ATAN(K67)*180/PI()-J67</f>
        <v>42.195571581092317</v>
      </c>
      <c r="J67" s="13">
        <v>0</v>
      </c>
      <c r="K67" s="13">
        <f t="shared" ref="K67:K86" si="25">L67/M67</f>
        <v>10.182581136755243</v>
      </c>
      <c r="L67" s="13">
        <f>$H$67*J67+$G$67</f>
        <v>0.26598632796853422</v>
      </c>
      <c r="M67" s="13">
        <f t="shared" ref="M67:M86" si="26">0.015+0.1572*(L67^2)</f>
        <v>2.6121699831924226E-2</v>
      </c>
      <c r="N67" s="13">
        <f t="shared" ref="N67:O83" si="27">$N$4*L67</f>
        <v>1.1350168587073293</v>
      </c>
      <c r="O67" s="13">
        <f t="shared" si="27"/>
        <v>0.11146651752278705</v>
      </c>
      <c r="P67" s="13">
        <f>((N67*COS(I67+J67)+O67*SIN(I67+J67))*SIN(J67+I67)-O67)/$M$64</f>
        <v>0.3401863953054336</v>
      </c>
      <c r="Q67" s="13">
        <f t="shared" ref="Q67:Q86" si="28">P67*TAN(I67+J67)</f>
        <v>1.5508912588784378</v>
      </c>
      <c r="R67" s="21">
        <f>IF(ISERROR(SQRT(2*$E$64/Q67)),0,SQRT(2*$E$64/Q67))</f>
        <v>1.1670971842947411</v>
      </c>
      <c r="S67" s="13">
        <f t="shared" ref="S67:S86" si="29">0.5*P67*R67^2</f>
        <v>0.23168663838887282</v>
      </c>
      <c r="T67" s="22">
        <f t="shared" ref="T67:T86" si="30">R67*P67</f>
        <v>0.39703058409634928</v>
      </c>
      <c r="U67" s="22"/>
      <c r="V67" s="19"/>
    </row>
    <row r="68" spans="3:22">
      <c r="C68" s="17"/>
      <c r="D68" s="18"/>
      <c r="E68" s="13"/>
      <c r="F68" s="13"/>
      <c r="G68" s="13"/>
      <c r="H68" s="13"/>
      <c r="I68" s="72">
        <f t="shared" si="24"/>
        <v>41.720985892458025</v>
      </c>
      <c r="J68" s="13">
        <f>J67+0.5</f>
        <v>0.5</v>
      </c>
      <c r="K68" s="13">
        <f t="shared" si="25"/>
        <v>10.27629654976168</v>
      </c>
      <c r="L68" s="13">
        <f t="shared" ref="L68:L86" si="31">$H$67*J68+$G$67</f>
        <v>0.2900386166506746</v>
      </c>
      <c r="M68" s="13">
        <f t="shared" si="26"/>
        <v>2.8224041146165731E-2</v>
      </c>
      <c r="N68" s="13">
        <f t="shared" si="27"/>
        <v>1.2376527849717587</v>
      </c>
      <c r="O68" s="13">
        <f t="shared" si="27"/>
        <v>0.1204376283789184</v>
      </c>
      <c r="P68" s="13">
        <f t="shared" ref="P68:P86" si="32">((N68*COS(I68+J68)+O68*SIN(I68+J68))*SIN(J68+I68)-O68)/$M$64</f>
        <v>0.33051040727120268</v>
      </c>
      <c r="Q68" s="13">
        <f t="shared" si="28"/>
        <v>1.7137867757713769</v>
      </c>
      <c r="R68" s="21">
        <f t="shared" ref="R68:R86" si="33">IF(ISERROR(SQRT(2*$E$64/Q68)),0,SQRT(2*$E$64/Q68))</f>
        <v>1.1102462161959181</v>
      </c>
      <c r="S68" s="13">
        <f t="shared" si="29"/>
        <v>0.2037012749044545</v>
      </c>
      <c r="T68" s="22">
        <f t="shared" si="30"/>
        <v>0.36694792908622464</v>
      </c>
      <c r="U68" s="22"/>
      <c r="V68" s="19"/>
    </row>
    <row r="69" spans="3:22">
      <c r="C69" s="20"/>
      <c r="D69" s="11"/>
      <c r="E69" s="13"/>
      <c r="F69" s="13"/>
      <c r="G69" s="13"/>
      <c r="H69" s="13"/>
      <c r="I69" s="72">
        <f t="shared" si="24"/>
        <v>41.22607597370979</v>
      </c>
      <c r="J69" s="13">
        <f t="shared" ref="J69:J85" si="34">J68+0.5</f>
        <v>1</v>
      </c>
      <c r="K69" s="13">
        <f t="shared" si="25"/>
        <v>10.295272005996484</v>
      </c>
      <c r="L69" s="13">
        <f t="shared" si="31"/>
        <v>0.31409090533281492</v>
      </c>
      <c r="M69" s="13">
        <f t="shared" si="26"/>
        <v>3.0508266818970165E-2</v>
      </c>
      <c r="N69" s="13">
        <f t="shared" si="27"/>
        <v>1.3402887112361879</v>
      </c>
      <c r="O69" s="13">
        <f t="shared" si="27"/>
        <v>0.13018487616990948</v>
      </c>
      <c r="P69" s="13">
        <f t="shared" si="32"/>
        <v>0.34899958103822265</v>
      </c>
      <c r="Q69" s="13">
        <f t="shared" si="28"/>
        <v>1.8605411933386571</v>
      </c>
      <c r="R69" s="21">
        <f t="shared" si="33"/>
        <v>1.0655603465492198</v>
      </c>
      <c r="S69" s="13">
        <f t="shared" si="29"/>
        <v>0.19813035184954714</v>
      </c>
      <c r="T69" s="22">
        <f t="shared" si="30"/>
        <v>0.37188011451662106</v>
      </c>
      <c r="U69" s="22"/>
      <c r="V69" s="19"/>
    </row>
    <row r="70" spans="3:22">
      <c r="C70" s="17"/>
      <c r="D70" s="18"/>
      <c r="E70" s="13"/>
      <c r="F70" s="13"/>
      <c r="G70" s="13"/>
      <c r="H70" s="13"/>
      <c r="I70" s="72">
        <f t="shared" si="24"/>
        <v>40.715176980191607</v>
      </c>
      <c r="J70" s="13">
        <f t="shared" si="34"/>
        <v>1.5</v>
      </c>
      <c r="K70" s="13">
        <f t="shared" si="25"/>
        <v>10.254725829989232</v>
      </c>
      <c r="L70" s="13">
        <f t="shared" si="31"/>
        <v>0.3381431940149553</v>
      </c>
      <c r="M70" s="13">
        <f t="shared" si="26"/>
        <v>3.2974376850337536E-2</v>
      </c>
      <c r="N70" s="13">
        <f t="shared" si="27"/>
        <v>1.4429246375006173</v>
      </c>
      <c r="O70" s="13">
        <f t="shared" si="27"/>
        <v>0.14070826089576033</v>
      </c>
      <c r="P70" s="13">
        <f t="shared" si="32"/>
        <v>0.39622229184639252</v>
      </c>
      <c r="Q70" s="13">
        <f t="shared" si="28"/>
        <v>1.9922115321230158</v>
      </c>
      <c r="R70" s="21">
        <f t="shared" si="33"/>
        <v>1.0297456607068318</v>
      </c>
      <c r="S70" s="13">
        <f t="shared" si="29"/>
        <v>0.21007232938085199</v>
      </c>
      <c r="T70" s="22">
        <f t="shared" si="30"/>
        <v>0.4080081857041386</v>
      </c>
      <c r="U70" s="22"/>
      <c r="V70" s="19"/>
    </row>
    <row r="71" spans="3:22">
      <c r="C71" s="17"/>
      <c r="D71" s="13"/>
      <c r="E71" s="13"/>
      <c r="F71" s="13"/>
      <c r="G71" s="13"/>
      <c r="H71" s="13"/>
      <c r="I71" s="72">
        <f t="shared" si="24"/>
        <v>40.191477143945093</v>
      </c>
      <c r="J71" s="13">
        <f t="shared" si="34"/>
        <v>2</v>
      </c>
      <c r="K71" s="13">
        <f t="shared" si="25"/>
        <v>10.167641010030989</v>
      </c>
      <c r="L71" s="13">
        <f t="shared" si="31"/>
        <v>0.36219548269709567</v>
      </c>
      <c r="M71" s="13">
        <f t="shared" si="26"/>
        <v>3.5622371240267833E-2</v>
      </c>
      <c r="N71" s="13">
        <f t="shared" si="27"/>
        <v>1.5455605637650467</v>
      </c>
      <c r="O71" s="13">
        <f t="shared" si="27"/>
        <v>0.15200778255647091</v>
      </c>
      <c r="P71" s="13">
        <f t="shared" si="32"/>
        <v>0.47123066231152944</v>
      </c>
      <c r="Q71" s="13">
        <f t="shared" si="28"/>
        <v>2.1070543417993597</v>
      </c>
      <c r="R71" s="21">
        <f t="shared" si="33"/>
        <v>1.0012898809695929</v>
      </c>
      <c r="S71" s="13">
        <f t="shared" si="29"/>
        <v>0.23622355463448783</v>
      </c>
      <c r="T71" s="22">
        <f t="shared" si="30"/>
        <v>0.47183849377513376</v>
      </c>
      <c r="U71" s="22"/>
      <c r="V71" s="19"/>
    </row>
    <row r="72" spans="3:22">
      <c r="C72" s="17"/>
      <c r="D72" s="13"/>
      <c r="E72" s="13"/>
      <c r="F72" s="13"/>
      <c r="G72" s="13"/>
      <c r="H72" s="13"/>
      <c r="I72" s="72">
        <f t="shared" si="24"/>
        <v>39.65737358547711</v>
      </c>
      <c r="J72" s="13">
        <f t="shared" si="34"/>
        <v>2.5</v>
      </c>
      <c r="K72" s="13">
        <f t="shared" si="25"/>
        <v>10.044867894391869</v>
      </c>
      <c r="L72" s="13">
        <f t="shared" si="31"/>
        <v>0.38624777137923605</v>
      </c>
      <c r="M72" s="13">
        <f t="shared" si="26"/>
        <v>3.845224998876106E-2</v>
      </c>
      <c r="N72" s="13">
        <f t="shared" si="27"/>
        <v>1.6481964900294761</v>
      </c>
      <c r="O72" s="13">
        <f t="shared" si="27"/>
        <v>0.16408344115204118</v>
      </c>
      <c r="P72" s="13">
        <f t="shared" si="32"/>
        <v>0.57182851928330181</v>
      </c>
      <c r="Q72" s="13">
        <f t="shared" si="28"/>
        <v>2.2015172847519353</v>
      </c>
      <c r="R72" s="21">
        <f t="shared" si="33"/>
        <v>0.97957263790856408</v>
      </c>
      <c r="S72" s="13">
        <f t="shared" si="29"/>
        <v>0.27435261690344748</v>
      </c>
      <c r="T72" s="22">
        <f t="shared" si="30"/>
        <v>0.56014757106569213</v>
      </c>
      <c r="U72" s="22"/>
      <c r="V72" s="19"/>
    </row>
    <row r="73" spans="3:22">
      <c r="C73" s="17"/>
      <c r="D73" s="13"/>
      <c r="E73" s="13"/>
      <c r="F73" s="13"/>
      <c r="G73" s="13"/>
      <c r="H73" s="13"/>
      <c r="I73" s="72">
        <f t="shared" si="24"/>
        <v>39.114703458098838</v>
      </c>
      <c r="J73" s="13">
        <f t="shared" si="34"/>
        <v>3</v>
      </c>
      <c r="K73" s="13">
        <f t="shared" si="25"/>
        <v>9.8953292126652919</v>
      </c>
      <c r="L73" s="13">
        <f t="shared" si="31"/>
        <v>0.41030006006137643</v>
      </c>
      <c r="M73" s="13">
        <f t="shared" si="26"/>
        <v>4.1464013095817223E-2</v>
      </c>
      <c r="N73" s="13">
        <f t="shared" si="27"/>
        <v>1.7508324162939055</v>
      </c>
      <c r="O73" s="13">
        <f t="shared" si="27"/>
        <v>0.17693523668247124</v>
      </c>
      <c r="P73" s="13">
        <f t="shared" si="32"/>
        <v>0.69455193711241792</v>
      </c>
      <c r="Q73" s="13">
        <f t="shared" si="28"/>
        <v>2.2710346615735935</v>
      </c>
      <c r="R73" s="21">
        <f t="shared" si="33"/>
        <v>0.96446353907641258</v>
      </c>
      <c r="S73" s="13">
        <f t="shared" si="29"/>
        <v>0.32303260478683415</v>
      </c>
      <c r="T73" s="22">
        <f t="shared" si="30"/>
        <v>0.66987001933982049</v>
      </c>
      <c r="U73" s="22"/>
      <c r="V73" s="19"/>
    </row>
    <row r="74" spans="3:22">
      <c r="C74" s="17"/>
      <c r="D74" s="13"/>
      <c r="E74" s="13"/>
      <c r="F74" s="13"/>
      <c r="G74" s="13"/>
      <c r="H74" s="13"/>
      <c r="I74" s="72">
        <f t="shared" si="24"/>
        <v>38.564898554125229</v>
      </c>
      <c r="J74" s="13">
        <f t="shared" si="34"/>
        <v>3.5</v>
      </c>
      <c r="K74" s="13">
        <f t="shared" si="25"/>
        <v>9.726267414881054</v>
      </c>
      <c r="L74" s="13">
        <f t="shared" si="31"/>
        <v>0.43435234874351675</v>
      </c>
      <c r="M74" s="13">
        <f t="shared" si="26"/>
        <v>4.4657660561436309E-2</v>
      </c>
      <c r="N74" s="13">
        <f t="shared" si="27"/>
        <v>1.8534683425583347</v>
      </c>
      <c r="O74" s="13">
        <f t="shared" si="27"/>
        <v>0.190563169147761</v>
      </c>
      <c r="P74" s="13">
        <f t="shared" si="32"/>
        <v>0.83458462106297138</v>
      </c>
      <c r="Q74" s="13">
        <f t="shared" si="28"/>
        <v>2.3106987764362277</v>
      </c>
      <c r="R74" s="21">
        <f t="shared" si="33"/>
        <v>0.95614999745525098</v>
      </c>
      <c r="S74" s="13">
        <f t="shared" si="29"/>
        <v>0.38149815191096192</v>
      </c>
      <c r="T74" s="22">
        <f t="shared" si="30"/>
        <v>0.79798808330555171</v>
      </c>
      <c r="U74" s="22"/>
      <c r="V74" s="19"/>
    </row>
    <row r="75" spans="3:22">
      <c r="C75" s="17"/>
      <c r="D75" s="13"/>
      <c r="E75" s="13"/>
      <c r="F75" s="13"/>
      <c r="G75" s="13"/>
      <c r="H75" s="13"/>
      <c r="I75" s="72">
        <f t="shared" si="24"/>
        <v>38.009091384182703</v>
      </c>
      <c r="J75" s="13">
        <f t="shared" si="34"/>
        <v>4</v>
      </c>
      <c r="K75" s="13">
        <f t="shared" si="25"/>
        <v>9.5434972080454212</v>
      </c>
      <c r="L75" s="13">
        <f t="shared" si="31"/>
        <v>0.45840463742565712</v>
      </c>
      <c r="M75" s="13">
        <f t="shared" si="26"/>
        <v>4.8033192385618331E-2</v>
      </c>
      <c r="N75" s="13">
        <f t="shared" si="27"/>
        <v>1.9561042688227641</v>
      </c>
      <c r="O75" s="13">
        <f t="shared" si="27"/>
        <v>0.20496723854791055</v>
      </c>
      <c r="P75" s="13">
        <f t="shared" si="32"/>
        <v>0.98571232026425482</v>
      </c>
      <c r="Q75" s="13">
        <f t="shared" si="28"/>
        <v>2.3158560962617094</v>
      </c>
      <c r="R75" s="21">
        <f t="shared" si="33"/>
        <v>0.95508474996686199</v>
      </c>
      <c r="S75" s="13">
        <f t="shared" si="29"/>
        <v>0.44957692281205724</v>
      </c>
      <c r="T75" s="22">
        <f t="shared" si="30"/>
        <v>0.94143880493884124</v>
      </c>
      <c r="U75" s="22"/>
      <c r="V75" s="19"/>
    </row>
    <row r="76" spans="3:22">
      <c r="C76" s="17"/>
      <c r="D76" s="18"/>
      <c r="E76" s="13"/>
      <c r="F76" s="13"/>
      <c r="G76" s="13"/>
      <c r="H76" s="13"/>
      <c r="I76" s="72">
        <f t="shared" si="24"/>
        <v>37.448189610621391</v>
      </c>
      <c r="J76" s="13">
        <f t="shared" si="34"/>
        <v>4.5</v>
      </c>
      <c r="K76" s="13">
        <f t="shared" si="25"/>
        <v>9.351642469355415</v>
      </c>
      <c r="L76" s="13">
        <f t="shared" si="31"/>
        <v>0.4824569261077975</v>
      </c>
      <c r="M76" s="13">
        <f t="shared" si="26"/>
        <v>5.159060856836329E-2</v>
      </c>
      <c r="N76" s="13">
        <f t="shared" si="27"/>
        <v>2.0587401950871933</v>
      </c>
      <c r="O76" s="13">
        <f t="shared" si="27"/>
        <v>0.22014744488291982</v>
      </c>
      <c r="P76" s="13">
        <f t="shared" si="32"/>
        <v>1.1403653407029044</v>
      </c>
      <c r="Q76" s="13">
        <f t="shared" si="28"/>
        <v>2.2826500454195582</v>
      </c>
      <c r="R76" s="21">
        <f t="shared" si="33"/>
        <v>0.9620065479399621</v>
      </c>
      <c r="S76" s="13">
        <f t="shared" si="29"/>
        <v>0.52767931450129812</v>
      </c>
      <c r="T76" s="22">
        <f t="shared" si="30"/>
        <v>1.0970389247999799</v>
      </c>
      <c r="U76" s="22"/>
      <c r="V76" s="19"/>
    </row>
    <row r="77" spans="3:22">
      <c r="C77" s="17"/>
      <c r="D77" s="22"/>
      <c r="E77" s="13"/>
      <c r="F77" s="13"/>
      <c r="G77" s="13"/>
      <c r="H77" s="13"/>
      <c r="I77" s="72">
        <f t="shared" si="24"/>
        <v>36.882929324362671</v>
      </c>
      <c r="J77" s="13">
        <f t="shared" si="34"/>
        <v>5</v>
      </c>
      <c r="K77" s="13">
        <f t="shared" si="25"/>
        <v>9.1543474937934537</v>
      </c>
      <c r="L77" s="13">
        <f t="shared" si="31"/>
        <v>0.50650921478993782</v>
      </c>
      <c r="M77" s="13">
        <f t="shared" si="26"/>
        <v>5.5329909109671165E-2</v>
      </c>
      <c r="N77" s="13">
        <f t="shared" si="27"/>
        <v>2.1613761213516227</v>
      </c>
      <c r="O77" s="13">
        <f t="shared" si="27"/>
        <v>0.23610378815278879</v>
      </c>
      <c r="P77" s="13">
        <f t="shared" si="32"/>
        <v>1.2897703929030269</v>
      </c>
      <c r="Q77" s="13">
        <f t="shared" si="28"/>
        <v>2.2085120337101039</v>
      </c>
      <c r="R77" s="21">
        <f t="shared" si="33"/>
        <v>0.97802016763454402</v>
      </c>
      <c r="S77" s="13">
        <f t="shared" si="29"/>
        <v>0.61684781186736104</v>
      </c>
      <c r="T77" s="22">
        <f t="shared" si="30"/>
        <v>1.26142145587709</v>
      </c>
      <c r="U77" s="22"/>
      <c r="V77" s="19"/>
    </row>
    <row r="78" spans="3:22">
      <c r="C78" s="17"/>
      <c r="D78" s="18"/>
      <c r="E78" s="13"/>
      <c r="F78" s="13"/>
      <c r="G78" s="13"/>
      <c r="H78" s="13"/>
      <c r="I78" s="72">
        <f t="shared" si="24"/>
        <v>36.313913861703909</v>
      </c>
      <c r="J78" s="13">
        <f t="shared" si="34"/>
        <v>5.5</v>
      </c>
      <c r="K78" s="13">
        <f t="shared" si="25"/>
        <v>8.9544591933886455</v>
      </c>
      <c r="L78" s="13">
        <f t="shared" si="31"/>
        <v>0.5305615034720782</v>
      </c>
      <c r="M78" s="13">
        <f t="shared" si="26"/>
        <v>5.9251094009541989E-2</v>
      </c>
      <c r="N78" s="13">
        <f t="shared" si="27"/>
        <v>2.2640120476160521</v>
      </c>
      <c r="O78" s="13">
        <f t="shared" si="27"/>
        <v>0.25283626835751755</v>
      </c>
      <c r="P78" s="13">
        <f t="shared" si="32"/>
        <v>1.4242167970513673</v>
      </c>
      <c r="Q78" s="13">
        <f t="shared" si="28"/>
        <v>2.0925894619422518</v>
      </c>
      <c r="R78" s="21">
        <f t="shared" si="33"/>
        <v>1.0047445946423257</v>
      </c>
      <c r="S78" s="13">
        <f t="shared" si="29"/>
        <v>0.71888176030962625</v>
      </c>
      <c r="T78" s="22">
        <f t="shared" si="30"/>
        <v>1.4309741284361674</v>
      </c>
      <c r="U78" s="22"/>
      <c r="V78" s="19"/>
    </row>
    <row r="79" spans="3:22">
      <c r="C79" s="17"/>
      <c r="D79" s="18"/>
      <c r="E79" s="13"/>
      <c r="F79" s="13"/>
      <c r="G79" s="13"/>
      <c r="H79" s="13"/>
      <c r="I79" s="72">
        <f t="shared" si="24"/>
        <v>35.741642540569984</v>
      </c>
      <c r="J79" s="13">
        <f t="shared" si="34"/>
        <v>6</v>
      </c>
      <c r="K79" s="13">
        <f t="shared" si="25"/>
        <v>8.7541806812018113</v>
      </c>
      <c r="L79" s="13">
        <f t="shared" si="31"/>
        <v>0.55461379215421858</v>
      </c>
      <c r="M79" s="13">
        <f t="shared" si="26"/>
        <v>6.335416326797573E-2</v>
      </c>
      <c r="N79" s="13">
        <f t="shared" si="27"/>
        <v>2.3666479738804815</v>
      </c>
      <c r="O79" s="13">
        <f t="shared" si="27"/>
        <v>0.270344885497106</v>
      </c>
      <c r="P79" s="13">
        <f t="shared" si="32"/>
        <v>1.5334308532335932</v>
      </c>
      <c r="Q79" s="13">
        <f t="shared" si="28"/>
        <v>1.9360925407996135</v>
      </c>
      <c r="R79" s="21">
        <f t="shared" si="33"/>
        <v>1.0445630026939057</v>
      </c>
      <c r="S79" s="13">
        <f t="shared" si="29"/>
        <v>0.83657230028449792</v>
      </c>
      <c r="T79" s="22">
        <f t="shared" si="30"/>
        <v>1.6017651364771599</v>
      </c>
      <c r="U79" s="22"/>
      <c r="V79" s="19"/>
    </row>
    <row r="80" spans="3:22">
      <c r="C80" s="17"/>
      <c r="D80" s="18"/>
      <c r="E80" s="13"/>
      <c r="F80" s="13"/>
      <c r="G80" s="13"/>
      <c r="H80" s="13"/>
      <c r="I80" s="72">
        <f t="shared" si="24"/>
        <v>35.166532243001043</v>
      </c>
      <c r="J80" s="13">
        <f t="shared" si="34"/>
        <v>6.5</v>
      </c>
      <c r="K80" s="13">
        <f t="shared" si="25"/>
        <v>8.5551986407575793</v>
      </c>
      <c r="L80" s="13">
        <f t="shared" si="31"/>
        <v>0.57866608083635895</v>
      </c>
      <c r="M80" s="13">
        <f t="shared" si="26"/>
        <v>6.76391168849724E-2</v>
      </c>
      <c r="N80" s="13">
        <f t="shared" si="27"/>
        <v>2.4692839001449109</v>
      </c>
      <c r="O80" s="13">
        <f t="shared" si="27"/>
        <v>0.28862963957155424</v>
      </c>
      <c r="P80" s="13">
        <f t="shared" si="32"/>
        <v>1.6070433333297691</v>
      </c>
      <c r="Q80" s="13">
        <f t="shared" si="28"/>
        <v>1.7425393993534084</v>
      </c>
      <c r="R80" s="21">
        <f t="shared" si="33"/>
        <v>1.1010483544739376</v>
      </c>
      <c r="S80" s="13">
        <f t="shared" si="29"/>
        <v>0.97411532594780881</v>
      </c>
      <c r="T80" s="22">
        <f t="shared" si="30"/>
        <v>1.7694324177310539</v>
      </c>
      <c r="U80" s="22"/>
      <c r="V80" s="19"/>
    </row>
    <row r="81" spans="3:22">
      <c r="C81" s="17"/>
      <c r="D81" s="18"/>
      <c r="E81" s="13"/>
      <c r="F81" s="13"/>
      <c r="G81" s="13"/>
      <c r="H81" s="13"/>
      <c r="I81" s="72">
        <f t="shared" si="24"/>
        <v>34.588933838377343</v>
      </c>
      <c r="J81" s="13">
        <f t="shared" si="34"/>
        <v>7</v>
      </c>
      <c r="K81" s="13">
        <f t="shared" si="25"/>
        <v>8.3587877129466293</v>
      </c>
      <c r="L81" s="13">
        <f t="shared" si="31"/>
        <v>0.60271836951849922</v>
      </c>
      <c r="M81" s="13">
        <f t="shared" si="26"/>
        <v>7.2105954860532007E-2</v>
      </c>
      <c r="N81" s="13">
        <f t="shared" si="27"/>
        <v>2.5719198264093399</v>
      </c>
      <c r="O81" s="13">
        <f t="shared" si="27"/>
        <v>0.30769053058086215</v>
      </c>
      <c r="P81" s="13">
        <f t="shared" si="32"/>
        <v>1.6351276827906009</v>
      </c>
      <c r="Q81" s="13">
        <f t="shared" si="28"/>
        <v>1.5178801004002556</v>
      </c>
      <c r="R81" s="21">
        <f t="shared" si="33"/>
        <v>1.1797200531831851</v>
      </c>
      <c r="S81" s="13">
        <f t="shared" si="29"/>
        <v>1.1378358132594126</v>
      </c>
      <c r="T81" s="22">
        <f t="shared" si="30"/>
        <v>1.928992916903026</v>
      </c>
      <c r="U81" s="22"/>
      <c r="V81" s="19"/>
    </row>
    <row r="82" spans="3:22">
      <c r="C82" s="17"/>
      <c r="D82" s="18"/>
      <c r="E82" s="13"/>
      <c r="F82" s="13"/>
      <c r="G82" s="13"/>
      <c r="H82" s="13"/>
      <c r="I82" s="72">
        <f t="shared" si="24"/>
        <v>34.009144830826777</v>
      </c>
      <c r="J82" s="13">
        <f t="shared" si="34"/>
        <v>7.5</v>
      </c>
      <c r="K82" s="13">
        <f t="shared" si="25"/>
        <v>8.1658953057819659</v>
      </c>
      <c r="L82" s="13">
        <f t="shared" si="31"/>
        <v>0.6267706582006396</v>
      </c>
      <c r="M82" s="13">
        <f t="shared" si="26"/>
        <v>7.6754677194654536E-2</v>
      </c>
      <c r="N82" s="13">
        <f t="shared" si="27"/>
        <v>2.6745557526737693</v>
      </c>
      <c r="O82" s="13">
        <f t="shared" si="27"/>
        <v>0.32752755852502985</v>
      </c>
      <c r="P82" s="13">
        <f t="shared" si="32"/>
        <v>1.6087805051475419</v>
      </c>
      <c r="Q82" s="13">
        <f t="shared" si="28"/>
        <v>1.2704840322707953</v>
      </c>
      <c r="R82" s="21">
        <f t="shared" si="33"/>
        <v>1.2894754847951975</v>
      </c>
      <c r="S82" s="13">
        <f t="shared" si="29"/>
        <v>1.3374975001201816</v>
      </c>
      <c r="T82" s="22">
        <f t="shared" si="30"/>
        <v>2.0744830218041894</v>
      </c>
      <c r="U82" s="22"/>
      <c r="V82" s="19"/>
    </row>
    <row r="83" spans="3:22">
      <c r="C83" s="17"/>
      <c r="D83" s="18"/>
      <c r="E83" s="13"/>
      <c r="F83" s="13"/>
      <c r="G83" s="13"/>
      <c r="H83" s="13"/>
      <c r="I83" s="72">
        <f t="shared" si="24"/>
        <v>33.427419206011848</v>
      </c>
      <c r="J83" s="13">
        <f t="shared" si="34"/>
        <v>8</v>
      </c>
      <c r="K83" s="13">
        <f t="shared" si="25"/>
        <v>7.9772100539785136</v>
      </c>
      <c r="L83" s="13">
        <f t="shared" si="31"/>
        <v>0.65082294688277997</v>
      </c>
      <c r="M83" s="13">
        <f t="shared" si="26"/>
        <v>8.1585283887340015E-2</v>
      </c>
      <c r="N83" s="13">
        <f t="shared" si="27"/>
        <v>2.7771916789381987</v>
      </c>
      <c r="O83" s="13">
        <f t="shared" si="27"/>
        <v>0.34814072340405733</v>
      </c>
      <c r="P83" s="13">
        <f t="shared" si="32"/>
        <v>1.5207114051502522</v>
      </c>
      <c r="Q83" s="13">
        <f t="shared" si="28"/>
        <v>1.0109810620347768</v>
      </c>
      <c r="R83" s="21">
        <f t="shared" si="33"/>
        <v>1.4455269243107431</v>
      </c>
      <c r="S83" s="13">
        <f t="shared" si="29"/>
        <v>1.5887998052056045</v>
      </c>
      <c r="T83" s="22">
        <f t="shared" si="30"/>
        <v>2.1982292802511125</v>
      </c>
      <c r="U83" s="22"/>
      <c r="V83" s="19"/>
    </row>
    <row r="84" spans="3:22">
      <c r="C84" s="17"/>
      <c r="D84" s="18"/>
      <c r="E84" s="13"/>
      <c r="F84" s="13"/>
      <c r="G84" s="13"/>
      <c r="H84" s="13"/>
      <c r="I84" s="72">
        <f t="shared" si="24"/>
        <v>32.843975174932339</v>
      </c>
      <c r="J84" s="13">
        <f t="shared" si="34"/>
        <v>8.5</v>
      </c>
      <c r="K84" s="13">
        <f t="shared" si="25"/>
        <v>7.7932168123663006</v>
      </c>
      <c r="L84" s="13">
        <f t="shared" si="31"/>
        <v>0.67487523556492035</v>
      </c>
      <c r="M84" s="13">
        <f t="shared" si="26"/>
        <v>8.6597774938588418E-2</v>
      </c>
      <c r="N84" s="13">
        <f t="shared" ref="N84:O86" si="35">$N$4*L84</f>
        <v>2.8798276052026281</v>
      </c>
      <c r="O84" s="13">
        <f t="shared" si="35"/>
        <v>0.36953002521794448</v>
      </c>
      <c r="P84" s="13">
        <f t="shared" si="32"/>
        <v>1.3658065324939999</v>
      </c>
      <c r="Q84" s="13">
        <f t="shared" si="28"/>
        <v>0.7519542203270877</v>
      </c>
      <c r="R84" s="21">
        <f t="shared" si="33"/>
        <v>1.6761079840794628</v>
      </c>
      <c r="S84" s="13">
        <f t="shared" si="29"/>
        <v>1.9185060786377319</v>
      </c>
      <c r="T84" s="22">
        <f t="shared" si="30"/>
        <v>2.2892392338210796</v>
      </c>
      <c r="U84" s="22"/>
      <c r="V84" s="19"/>
    </row>
    <row r="85" spans="3:22">
      <c r="C85" s="17"/>
      <c r="D85" s="18"/>
      <c r="E85" s="13"/>
      <c r="F85" s="13"/>
      <c r="G85" s="13"/>
      <c r="H85" s="13"/>
      <c r="I85" s="72">
        <f t="shared" si="24"/>
        <v>32.259001320626787</v>
      </c>
      <c r="J85" s="13">
        <f t="shared" si="34"/>
        <v>9</v>
      </c>
      <c r="K85" s="13">
        <f t="shared" si="25"/>
        <v>7.6142406686656878</v>
      </c>
      <c r="L85" s="13">
        <f t="shared" si="31"/>
        <v>0.69892752424706073</v>
      </c>
      <c r="M85" s="13">
        <f t="shared" si="26"/>
        <v>9.1792150348399756E-2</v>
      </c>
      <c r="N85" s="13">
        <f t="shared" si="35"/>
        <v>2.9824635314670576</v>
      </c>
      <c r="O85" s="13">
        <f t="shared" si="35"/>
        <v>0.39169546396669142</v>
      </c>
      <c r="P85" s="13">
        <f t="shared" si="32"/>
        <v>1.1416294133666427</v>
      </c>
      <c r="Q85" s="13">
        <f t="shared" si="28"/>
        <v>0.50748996328897145</v>
      </c>
      <c r="R85" s="21">
        <f t="shared" si="33"/>
        <v>2.0402527252045188</v>
      </c>
      <c r="S85" s="13">
        <f t="shared" si="29"/>
        <v>2.376091097586297</v>
      </c>
      <c r="T85" s="22">
        <f t="shared" si="30"/>
        <v>2.3292125217949291</v>
      </c>
      <c r="U85" s="22"/>
      <c r="V85" s="19"/>
    </row>
    <row r="86" spans="3:22">
      <c r="C86" s="17"/>
      <c r="D86" s="18"/>
      <c r="E86" s="13"/>
      <c r="F86" s="13"/>
      <c r="G86" s="13"/>
      <c r="H86" s="13"/>
      <c r="I86" s="72">
        <f t="shared" si="24"/>
        <v>31.965992772071495</v>
      </c>
      <c r="J86" s="13">
        <v>9.25</v>
      </c>
      <c r="K86" s="13">
        <f t="shared" si="25"/>
        <v>7.5267007091727693</v>
      </c>
      <c r="L86" s="13">
        <f t="shared" si="31"/>
        <v>0.71095366858813092</v>
      </c>
      <c r="M86" s="13">
        <f t="shared" si="26"/>
        <v>9.4457544687766529E-2</v>
      </c>
      <c r="N86" s="13">
        <f t="shared" si="35"/>
        <v>3.033781494599272</v>
      </c>
      <c r="O86" s="13">
        <f t="shared" si="35"/>
        <v>0.4030692346916373</v>
      </c>
      <c r="P86" s="13">
        <f t="shared" si="32"/>
        <v>1.0036361784923595</v>
      </c>
      <c r="Q86" s="13">
        <f t="shared" si="28"/>
        <v>0.39539206231753921</v>
      </c>
      <c r="R86" s="21">
        <f t="shared" si="33"/>
        <v>2.3114458419195243</v>
      </c>
      <c r="S86" s="13">
        <f t="shared" si="29"/>
        <v>2.6811045943444727</v>
      </c>
      <c r="T86" s="22">
        <f t="shared" si="30"/>
        <v>2.319850671576166</v>
      </c>
      <c r="U86" s="22"/>
      <c r="V86" s="19"/>
    </row>
    <row r="87" spans="3:22">
      <c r="C87" s="17"/>
      <c r="D87" s="18"/>
      <c r="E87" s="13"/>
      <c r="F87" s="13"/>
      <c r="G87" s="13"/>
      <c r="H87" s="13"/>
      <c r="I87" s="72"/>
      <c r="J87" s="13"/>
      <c r="K87" s="13"/>
      <c r="L87" s="13"/>
      <c r="M87" s="13"/>
      <c r="N87" s="13"/>
      <c r="O87" s="13"/>
      <c r="P87" s="13"/>
      <c r="Q87" s="13"/>
      <c r="R87" s="21"/>
      <c r="S87" s="13"/>
      <c r="T87" s="22"/>
      <c r="U87" s="22"/>
      <c r="V87" s="19"/>
    </row>
    <row r="88" spans="3:22" ht="15" thickBot="1">
      <c r="C88" s="23"/>
      <c r="D88" s="24"/>
      <c r="E88" s="25"/>
      <c r="F88" s="25"/>
      <c r="G88" s="25"/>
      <c r="H88" s="25"/>
      <c r="I88" s="75"/>
      <c r="J88" s="25"/>
      <c r="K88" s="25"/>
      <c r="L88" s="25"/>
      <c r="M88" s="25"/>
      <c r="N88" s="25"/>
      <c r="O88" s="25"/>
      <c r="P88" s="25"/>
      <c r="Q88" s="25"/>
      <c r="R88" s="26"/>
      <c r="S88" s="25"/>
      <c r="T88" s="27"/>
      <c r="U88" s="27"/>
      <c r="V88" s="28"/>
    </row>
    <row r="89" spans="3:22">
      <c r="I89" s="74"/>
    </row>
    <row r="90" spans="3:22" ht="15" thickBot="1">
      <c r="I90" s="74"/>
    </row>
    <row r="91" spans="3:22" ht="17" thickBot="1">
      <c r="C91" s="42" t="s">
        <v>36</v>
      </c>
      <c r="D91" s="43" t="s">
        <v>37</v>
      </c>
      <c r="E91" s="35" t="s">
        <v>24</v>
      </c>
      <c r="F91" s="36" t="s">
        <v>29</v>
      </c>
      <c r="G91" s="36" t="s">
        <v>30</v>
      </c>
      <c r="H91" s="97" t="s">
        <v>56</v>
      </c>
      <c r="I91" s="36" t="s">
        <v>77</v>
      </c>
      <c r="J91" s="36" t="s">
        <v>80</v>
      </c>
      <c r="K91" s="36" t="s">
        <v>81</v>
      </c>
      <c r="L91" s="110" t="s">
        <v>92</v>
      </c>
      <c r="M91" s="36" t="s">
        <v>89</v>
      </c>
      <c r="N91" s="36" t="s">
        <v>90</v>
      </c>
      <c r="O91" s="38" t="s">
        <v>91</v>
      </c>
      <c r="P91" s="15"/>
      <c r="Q91" s="15"/>
      <c r="R91" s="15"/>
      <c r="S91" s="15"/>
      <c r="T91" s="40"/>
      <c r="U91" s="40"/>
      <c r="V91" s="16"/>
    </row>
    <row r="92" spans="3:22" ht="16" thickTop="1" thickBot="1">
      <c r="C92" s="44">
        <v>16</v>
      </c>
      <c r="D92" s="45">
        <f>MAX(T95:T116)</f>
        <v>2.3091018501129854</v>
      </c>
      <c r="E92" s="25">
        <f>$M$4-H92</f>
        <v>1.0437775994977081</v>
      </c>
      <c r="F92" s="25">
        <f>MAX(N95:N117)</f>
        <v>3.2781748404459936</v>
      </c>
      <c r="G92" s="25">
        <f>F92*$L$4</f>
        <v>0.5900714712802787</v>
      </c>
      <c r="H92" s="75">
        <f>(-N92+SQRT(N92^2-4*$P$4*O92))/(2*$P$4)</f>
        <v>0.17542240050229205</v>
      </c>
      <c r="I92" s="25">
        <f>$H$4*SBT!$C$23</f>
        <v>4.4225409836065571E-2</v>
      </c>
      <c r="J92" s="25">
        <f>I92+SBT!$B$23</f>
        <v>0.19422540983606557</v>
      </c>
      <c r="K92" s="25">
        <f>SBT!$B$12*H92</f>
        <v>0.22804912065297966</v>
      </c>
      <c r="L92" s="25">
        <f>(F92*$L$4-(SBT!$F$23*K92+0.5*SBT!$E$23*K92^2)*9.81)/(J92*9.81)</f>
        <v>9.8712286681163483E-2</v>
      </c>
      <c r="M92" s="79">
        <f>J92+SBT!$F$23+2*SBT!$G$23+H92*SBT!$D$23+K92*SBT!$E$23</f>
        <v>0.68577327525075793</v>
      </c>
      <c r="N92" s="25">
        <f>(SBT!$G$23+(SBT!$F$23+J92)*0.5)*9.81</f>
        <v>3.1869031352459021</v>
      </c>
      <c r="O92" s="37">
        <f>-F92*$L$4</f>
        <v>-0.5900714712802787</v>
      </c>
      <c r="P92" s="13"/>
      <c r="Q92" s="13"/>
      <c r="R92" s="13"/>
      <c r="S92" s="13"/>
      <c r="T92" s="13"/>
      <c r="U92" s="13"/>
      <c r="V92" s="19"/>
    </row>
    <row r="93" spans="3:22">
      <c r="C93" s="41"/>
      <c r="D93" s="13"/>
      <c r="E93" s="13"/>
      <c r="F93" s="13"/>
      <c r="G93" s="13"/>
      <c r="H93" s="13"/>
      <c r="I93" s="76"/>
      <c r="J93" s="18"/>
      <c r="K93" s="18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9"/>
    </row>
    <row r="94" spans="3:22" ht="17" thickBot="1">
      <c r="C94" s="47" t="s">
        <v>40</v>
      </c>
      <c r="D94" s="48" t="s">
        <v>42</v>
      </c>
      <c r="E94" s="30" t="s">
        <v>35</v>
      </c>
      <c r="F94" s="29" t="s">
        <v>34</v>
      </c>
      <c r="G94" s="29" t="s">
        <v>41</v>
      </c>
      <c r="H94" s="29" t="s">
        <v>7</v>
      </c>
      <c r="I94" s="70" t="s">
        <v>16</v>
      </c>
      <c r="J94" s="71" t="s">
        <v>17</v>
      </c>
      <c r="K94" s="29" t="s">
        <v>18</v>
      </c>
      <c r="L94" s="46" t="s">
        <v>39</v>
      </c>
      <c r="M94" s="31" t="s">
        <v>10</v>
      </c>
      <c r="N94" s="31" t="s">
        <v>13</v>
      </c>
      <c r="O94" s="31" t="s">
        <v>14</v>
      </c>
      <c r="P94" s="31" t="s">
        <v>8</v>
      </c>
      <c r="Q94" s="31" t="s">
        <v>9</v>
      </c>
      <c r="R94" s="31" t="s">
        <v>19</v>
      </c>
      <c r="S94" s="31" t="s">
        <v>25</v>
      </c>
      <c r="T94" s="32" t="s">
        <v>27</v>
      </c>
      <c r="U94" s="32"/>
      <c r="V94" s="33"/>
    </row>
    <row r="95" spans="3:22" ht="15" thickTop="1">
      <c r="C95" s="50">
        <v>5.2398256601441027</v>
      </c>
      <c r="D95" s="51">
        <v>0.65810000000000002</v>
      </c>
      <c r="E95" s="7">
        <f>$K$4/(2+SQRT(4+$K$4^2))</f>
        <v>0.53518375848799637</v>
      </c>
      <c r="F95" s="7">
        <f>C95*E95</f>
        <v>2.8042695906177677</v>
      </c>
      <c r="G95" s="12">
        <f>D95*E95</f>
        <v>0.35220443146095043</v>
      </c>
      <c r="H95" s="14">
        <f>F95*PI()/180</f>
        <v>4.8943737469833534E-2</v>
      </c>
      <c r="I95" s="72">
        <f t="shared" ref="I95:I112" si="36">0.5*ATAN(K95)*180/PI()-J95</f>
        <v>42.202707539533833</v>
      </c>
      <c r="J95" s="13">
        <v>0</v>
      </c>
      <c r="K95" s="13">
        <f t="shared" ref="K95:K112" si="37">L95/M95</f>
        <v>10.208723624519907</v>
      </c>
      <c r="L95" s="13">
        <f>$H$95*J95+$G$95</f>
        <v>0.35220443146095043</v>
      </c>
      <c r="M95" s="13">
        <f t="shared" ref="M95:M112" si="38">0.015+0.1572*(L95^2)</f>
        <v>3.4500339554202966E-2</v>
      </c>
      <c r="N95" s="13">
        <f t="shared" ref="N95:O110" si="39">$N$4*L95</f>
        <v>1.5029267499301677</v>
      </c>
      <c r="O95" s="13">
        <f t="shared" si="39"/>
        <v>0.1472198489456949</v>
      </c>
      <c r="P95" s="13">
        <f>((N95*COS(I95+J95)+O95*SIN(I95+J95))*SIN(J95+I95)-O95)/$M$92</f>
        <v>0.43518012454284738</v>
      </c>
      <c r="Q95" s="13">
        <f t="shared" ref="Q95:Q112" si="40">P95*TAN(I95+J95)</f>
        <v>2.053887084765575</v>
      </c>
      <c r="R95" s="21">
        <f>IF(ISERROR(SQRT(2*$E$92/Q95)),0,SQRT(2*$E$92/Q95))</f>
        <v>1.0081628777688127</v>
      </c>
      <c r="S95" s="13">
        <f t="shared" ref="S95:S112" si="41">0.5*P95*R95^2</f>
        <v>0.22115688302129399</v>
      </c>
      <c r="T95" s="22">
        <f t="shared" ref="T95:T112" si="42">R95*P95</f>
        <v>0.43873244670690736</v>
      </c>
      <c r="U95" s="22"/>
      <c r="V95" s="19"/>
    </row>
    <row r="96" spans="3:22">
      <c r="C96" s="17"/>
      <c r="D96" s="18"/>
      <c r="E96" s="13"/>
      <c r="F96" s="13"/>
      <c r="G96" s="13"/>
      <c r="H96" s="13"/>
      <c r="I96" s="72">
        <f t="shared" si="36"/>
        <v>41.672063217038051</v>
      </c>
      <c r="J96" s="13">
        <f>J95+0.5</f>
        <v>0.5</v>
      </c>
      <c r="K96" s="13">
        <f t="shared" si="37"/>
        <v>10.097388834325384</v>
      </c>
      <c r="L96" s="13">
        <f t="shared" ref="L96:L112" si="43">$H$95*J96+$G$95</f>
        <v>0.37667630019586718</v>
      </c>
      <c r="M96" s="13">
        <f t="shared" si="38"/>
        <v>3.7304327522317632E-2</v>
      </c>
      <c r="N96" s="13">
        <f t="shared" si="39"/>
        <v>1.6073531081958043</v>
      </c>
      <c r="O96" s="13">
        <f t="shared" si="39"/>
        <v>0.15918502640323379</v>
      </c>
      <c r="P96" s="13">
        <f t="shared" ref="P96:P112" si="44">((N96*COS(I96+J96)+O96*SIN(I96+J96))*SIN(J96+I96)-O96)/$M$92</f>
        <v>0.52694673360310018</v>
      </c>
      <c r="Q96" s="13">
        <f t="shared" si="40"/>
        <v>2.1585498849053826</v>
      </c>
      <c r="R96" s="21">
        <f t="shared" ref="R96:R112" si="45">IF(ISERROR(SQRT(2*$E$92/Q96)),0,SQRT(2*$E$92/Q96))</f>
        <v>0.98341751518617093</v>
      </c>
      <c r="S96" s="13">
        <f t="shared" si="41"/>
        <v>0.25480773018480013</v>
      </c>
      <c r="T96" s="22">
        <f t="shared" si="42"/>
        <v>0.51820864739542993</v>
      </c>
      <c r="U96" s="22"/>
      <c r="V96" s="19"/>
    </row>
    <row r="97" spans="3:22">
      <c r="C97" s="20"/>
      <c r="D97" s="11"/>
      <c r="E97" s="13"/>
      <c r="F97" s="13"/>
      <c r="G97" s="13"/>
      <c r="H97" s="13"/>
      <c r="I97" s="72">
        <f t="shared" si="36"/>
        <v>41.131850483254269</v>
      </c>
      <c r="J97" s="13">
        <f t="shared" ref="J97:J111" si="46">J96+0.5</f>
        <v>1</v>
      </c>
      <c r="K97" s="13">
        <f t="shared" si="37"/>
        <v>9.9548884861722904</v>
      </c>
      <c r="L97" s="13">
        <f t="shared" si="43"/>
        <v>0.40114816893078398</v>
      </c>
      <c r="M97" s="13">
        <f t="shared" si="38"/>
        <v>4.0296600960221071E-2</v>
      </c>
      <c r="N97" s="13">
        <f t="shared" si="39"/>
        <v>1.7117794664614414</v>
      </c>
      <c r="O97" s="13">
        <f t="shared" si="39"/>
        <v>0.17195365561745535</v>
      </c>
      <c r="P97" s="13">
        <f t="shared" si="44"/>
        <v>0.64311194450124265</v>
      </c>
      <c r="Q97" s="13">
        <f t="shared" si="40"/>
        <v>2.2394364829051017</v>
      </c>
      <c r="R97" s="21">
        <f t="shared" si="45"/>
        <v>0.96549406710121266</v>
      </c>
      <c r="S97" s="13">
        <f t="shared" si="41"/>
        <v>0.29974765828991623</v>
      </c>
      <c r="T97" s="22">
        <f t="shared" si="42"/>
        <v>0.62092076689787412</v>
      </c>
      <c r="U97" s="22"/>
      <c r="V97" s="19"/>
    </row>
    <row r="98" spans="3:22">
      <c r="C98" s="17"/>
      <c r="D98" s="18"/>
      <c r="E98" s="13"/>
      <c r="F98" s="13"/>
      <c r="G98" s="13"/>
      <c r="H98" s="13"/>
      <c r="I98" s="72">
        <f t="shared" si="36"/>
        <v>40.583728506296538</v>
      </c>
      <c r="J98" s="13">
        <f t="shared" si="46"/>
        <v>1.5</v>
      </c>
      <c r="K98" s="13">
        <f t="shared" si="37"/>
        <v>9.7895087664135616</v>
      </c>
      <c r="L98" s="13">
        <f t="shared" si="43"/>
        <v>0.42562003766570072</v>
      </c>
      <c r="M98" s="13">
        <f t="shared" si="38"/>
        <v>4.3477159867913256E-2</v>
      </c>
      <c r="N98" s="13">
        <f t="shared" si="39"/>
        <v>1.816205824727078</v>
      </c>
      <c r="O98" s="13">
        <f t="shared" si="39"/>
        <v>0.18552573658835944</v>
      </c>
      <c r="P98" s="13">
        <f t="shared" si="44"/>
        <v>0.77918343346184604</v>
      </c>
      <c r="Q98" s="13">
        <f t="shared" si="40"/>
        <v>2.2914617680285061</v>
      </c>
      <c r="R98" s="21">
        <f t="shared" si="45"/>
        <v>0.95447086485052335</v>
      </c>
      <c r="S98" s="13">
        <f t="shared" si="41"/>
        <v>0.35492375438884932</v>
      </c>
      <c r="T98" s="22">
        <f t="shared" si="42"/>
        <v>0.74370788561352841</v>
      </c>
      <c r="U98" s="22"/>
      <c r="V98" s="19"/>
    </row>
    <row r="99" spans="3:22">
      <c r="C99" s="17"/>
      <c r="D99" s="13"/>
      <c r="E99" s="13"/>
      <c r="F99" s="13"/>
      <c r="G99" s="13"/>
      <c r="H99" s="13"/>
      <c r="I99" s="72">
        <f t="shared" si="36"/>
        <v>40.028997041963983</v>
      </c>
      <c r="J99" s="13">
        <f t="shared" si="46"/>
        <v>2</v>
      </c>
      <c r="K99" s="13">
        <f t="shared" si="37"/>
        <v>9.6079038895802853</v>
      </c>
      <c r="L99" s="13">
        <f t="shared" si="43"/>
        <v>0.45009190640061747</v>
      </c>
      <c r="M99" s="13">
        <f t="shared" si="38"/>
        <v>4.6846004245394195E-2</v>
      </c>
      <c r="N99" s="13">
        <f t="shared" si="39"/>
        <v>1.9206321829927149</v>
      </c>
      <c r="O99" s="13">
        <f t="shared" si="39"/>
        <v>0.1999012693159461</v>
      </c>
      <c r="P99" s="13">
        <f t="shared" si="44"/>
        <v>0.9291862956006135</v>
      </c>
      <c r="Q99" s="13">
        <f t="shared" si="40"/>
        <v>2.3095768630246654</v>
      </c>
      <c r="R99" s="21">
        <f t="shared" si="45"/>
        <v>0.95072031462491069</v>
      </c>
      <c r="S99" s="13">
        <f t="shared" si="41"/>
        <v>0.41993139809948749</v>
      </c>
      <c r="T99" s="22">
        <f t="shared" si="42"/>
        <v>0.88339628729857056</v>
      </c>
      <c r="U99" s="22"/>
      <c r="V99" s="19"/>
    </row>
    <row r="100" spans="3:22">
      <c r="C100" s="17"/>
      <c r="D100" s="13"/>
      <c r="E100" s="13"/>
      <c r="F100" s="13"/>
      <c r="G100" s="13"/>
      <c r="H100" s="13"/>
      <c r="I100" s="72">
        <f t="shared" si="36"/>
        <v>39.468688886379717</v>
      </c>
      <c r="J100" s="13">
        <f t="shared" si="46"/>
        <v>2.5</v>
      </c>
      <c r="K100" s="13">
        <f t="shared" si="37"/>
        <v>9.4153624308970567</v>
      </c>
      <c r="L100" s="13">
        <f t="shared" si="43"/>
        <v>0.47456377513553427</v>
      </c>
      <c r="M100" s="13">
        <f t="shared" si="38"/>
        <v>5.04031340926639E-2</v>
      </c>
      <c r="N100" s="13">
        <f t="shared" si="39"/>
        <v>2.0250585412583519</v>
      </c>
      <c r="O100" s="13">
        <f t="shared" si="39"/>
        <v>0.21508025380021539</v>
      </c>
      <c r="P100" s="13">
        <f t="shared" si="44"/>
        <v>1.0856699510758565</v>
      </c>
      <c r="Q100" s="13">
        <f t="shared" si="40"/>
        <v>2.2893791526737961</v>
      </c>
      <c r="R100" s="21">
        <f t="shared" si="45"/>
        <v>0.95490490038689213</v>
      </c>
      <c r="S100" s="13">
        <f t="shared" si="41"/>
        <v>0.49498047278768781</v>
      </c>
      <c r="T100" s="22">
        <f t="shared" si="42"/>
        <v>1.0367115564851328</v>
      </c>
      <c r="U100" s="22"/>
      <c r="V100" s="19"/>
    </row>
    <row r="101" spans="3:22">
      <c r="C101" s="17"/>
      <c r="D101" s="13"/>
      <c r="E101" s="13"/>
      <c r="F101" s="13"/>
      <c r="G101" s="13"/>
      <c r="H101" s="13"/>
      <c r="I101" s="72">
        <f t="shared" si="36"/>
        <v>38.903635193986268</v>
      </c>
      <c r="J101" s="13">
        <f t="shared" si="46"/>
        <v>3</v>
      </c>
      <c r="K101" s="13">
        <f t="shared" si="37"/>
        <v>9.2160482470994758</v>
      </c>
      <c r="L101" s="13">
        <f t="shared" si="43"/>
        <v>0.49903564387045102</v>
      </c>
      <c r="M101" s="13">
        <f t="shared" si="38"/>
        <v>5.414854940972235E-2</v>
      </c>
      <c r="N101" s="13">
        <f t="shared" si="39"/>
        <v>2.1294848995239883</v>
      </c>
      <c r="O101" s="13">
        <f t="shared" si="39"/>
        <v>0.2310626900411672</v>
      </c>
      <c r="P101" s="13">
        <f t="shared" si="44"/>
        <v>1.239829708734304</v>
      </c>
      <c r="Q101" s="13">
        <f t="shared" si="40"/>
        <v>2.2276663527360689</v>
      </c>
      <c r="R101" s="21">
        <f t="shared" si="45"/>
        <v>0.96804135602122143</v>
      </c>
      <c r="S101" s="13">
        <f t="shared" si="41"/>
        <v>0.58092473120096488</v>
      </c>
      <c r="T101" s="22">
        <f t="shared" si="42"/>
        <v>1.2002064324785517</v>
      </c>
      <c r="U101" s="22"/>
      <c r="V101" s="19"/>
    </row>
    <row r="102" spans="3:22">
      <c r="C102" s="17"/>
      <c r="D102" s="13"/>
      <c r="E102" s="13"/>
      <c r="F102" s="13"/>
      <c r="G102" s="13"/>
      <c r="H102" s="13"/>
      <c r="I102" s="72">
        <f t="shared" si="36"/>
        <v>38.33451251640065</v>
      </c>
      <c r="J102" s="13">
        <f t="shared" si="46"/>
        <v>3.5</v>
      </c>
      <c r="K102" s="13">
        <f t="shared" si="37"/>
        <v>9.0132099020551895</v>
      </c>
      <c r="L102" s="13">
        <f t="shared" si="43"/>
        <v>0.52350751260536776</v>
      </c>
      <c r="M102" s="13">
        <f t="shared" si="38"/>
        <v>5.8082250196569568E-2</v>
      </c>
      <c r="N102" s="13">
        <f t="shared" si="39"/>
        <v>2.2339112577896252</v>
      </c>
      <c r="O102" s="13">
        <f t="shared" si="39"/>
        <v>0.24784857803880164</v>
      </c>
      <c r="P102" s="13">
        <f t="shared" si="44"/>
        <v>1.3817542721064369</v>
      </c>
      <c r="Q102" s="13">
        <f t="shared" si="40"/>
        <v>2.1229263028127243</v>
      </c>
      <c r="R102" s="21">
        <f t="shared" si="45"/>
        <v>0.99163426495837681</v>
      </c>
      <c r="S102" s="13">
        <f t="shared" si="41"/>
        <v>0.67936609731769315</v>
      </c>
      <c r="T102" s="22">
        <f t="shared" si="42"/>
        <v>1.3701948819733636</v>
      </c>
      <c r="U102" s="22"/>
      <c r="V102" s="19"/>
    </row>
    <row r="103" spans="3:22">
      <c r="C103" s="17"/>
      <c r="D103" s="13"/>
      <c r="E103" s="13"/>
      <c r="F103" s="13"/>
      <c r="G103" s="13"/>
      <c r="H103" s="13"/>
      <c r="I103" s="72">
        <f t="shared" si="36"/>
        <v>37.761877262663845</v>
      </c>
      <c r="J103" s="13">
        <f t="shared" si="46"/>
        <v>4</v>
      </c>
      <c r="K103" s="13">
        <f t="shared" si="37"/>
        <v>8.8093578924084017</v>
      </c>
      <c r="L103" s="13">
        <f t="shared" si="43"/>
        <v>0.54797938134028457</v>
      </c>
      <c r="M103" s="13">
        <f t="shared" si="38"/>
        <v>6.2204236453205539E-2</v>
      </c>
      <c r="N103" s="13">
        <f t="shared" si="39"/>
        <v>2.338337616055262</v>
      </c>
      <c r="O103" s="13">
        <f t="shared" si="39"/>
        <v>0.26543791779311865</v>
      </c>
      <c r="P103" s="13">
        <f t="shared" si="44"/>
        <v>1.5007961177608324</v>
      </c>
      <c r="Q103" s="13">
        <f t="shared" si="40"/>
        <v>1.9757440906514716</v>
      </c>
      <c r="R103" s="21">
        <f t="shared" si="45"/>
        <v>1.0279065610003846</v>
      </c>
      <c r="S103" s="13">
        <f t="shared" si="41"/>
        <v>0.79286450939876152</v>
      </c>
      <c r="T103" s="22">
        <f t="shared" si="42"/>
        <v>1.5426781761702655</v>
      </c>
      <c r="U103" s="22"/>
      <c r="V103" s="19"/>
    </row>
    <row r="104" spans="3:22">
      <c r="C104" s="17"/>
      <c r="D104" s="18"/>
      <c r="E104" s="13"/>
      <c r="F104" s="13"/>
      <c r="G104" s="13"/>
      <c r="H104" s="13"/>
      <c r="I104" s="72">
        <f t="shared" si="36"/>
        <v>37.186191336786841</v>
      </c>
      <c r="J104" s="13">
        <f t="shared" si="46"/>
        <v>4.5</v>
      </c>
      <c r="K104" s="13">
        <f t="shared" si="37"/>
        <v>8.6064118301713854</v>
      </c>
      <c r="L104" s="13">
        <f t="shared" si="43"/>
        <v>0.57245125007520137</v>
      </c>
      <c r="M104" s="13">
        <f t="shared" si="38"/>
        <v>6.6514508179630269E-2</v>
      </c>
      <c r="N104" s="13">
        <f t="shared" si="39"/>
        <v>2.4427639743208993</v>
      </c>
      <c r="O104" s="13">
        <f t="shared" si="39"/>
        <v>0.2838307093041183</v>
      </c>
      <c r="P104" s="13">
        <f t="shared" si="44"/>
        <v>1.5860508227821382</v>
      </c>
      <c r="Q104" s="13">
        <f t="shared" si="40"/>
        <v>1.7891038436678159</v>
      </c>
      <c r="R104" s="21">
        <f t="shared" si="45"/>
        <v>1.0801926293779458</v>
      </c>
      <c r="S104" s="13">
        <f t="shared" si="41"/>
        <v>0.92531483085465882</v>
      </c>
      <c r="T104" s="22">
        <f t="shared" si="42"/>
        <v>1.7132404085880921</v>
      </c>
      <c r="U104" s="22"/>
      <c r="V104" s="19"/>
    </row>
    <row r="105" spans="3:22">
      <c r="C105" s="17"/>
      <c r="D105" s="22"/>
      <c r="E105" s="13"/>
      <c r="F105" s="13"/>
      <c r="G105" s="13"/>
      <c r="H105" s="13"/>
      <c r="I105" s="72">
        <f t="shared" si="36"/>
        <v>36.607841479487639</v>
      </c>
      <c r="J105" s="13">
        <f t="shared" si="46"/>
        <v>5</v>
      </c>
      <c r="K105" s="13">
        <f t="shared" si="37"/>
        <v>8.4058210366056283</v>
      </c>
      <c r="L105" s="13">
        <f t="shared" si="43"/>
        <v>0.59692311881011806</v>
      </c>
      <c r="M105" s="13">
        <f t="shared" si="38"/>
        <v>7.1013065375843731E-2</v>
      </c>
      <c r="N105" s="13">
        <f t="shared" si="39"/>
        <v>2.5471903325865357</v>
      </c>
      <c r="O105" s="13">
        <f t="shared" si="39"/>
        <v>0.30302695257180035</v>
      </c>
      <c r="P105" s="13">
        <f t="shared" si="44"/>
        <v>1.6269224997851541</v>
      </c>
      <c r="Q105" s="13">
        <f t="shared" si="40"/>
        <v>1.56856268063291</v>
      </c>
      <c r="R105" s="21">
        <f t="shared" si="45"/>
        <v>1.1536339941674314</v>
      </c>
      <c r="S105" s="13">
        <f t="shared" si="41"/>
        <v>1.082612306388268</v>
      </c>
      <c r="T105" s="22">
        <f t="shared" si="42"/>
        <v>1.8768731016280094</v>
      </c>
      <c r="U105" s="22"/>
      <c r="V105" s="19"/>
    </row>
    <row r="106" spans="3:22">
      <c r="C106" s="17"/>
      <c r="D106" s="18"/>
      <c r="E106" s="13"/>
      <c r="F106" s="13"/>
      <c r="G106" s="13"/>
      <c r="H106" s="13"/>
      <c r="I106" s="72">
        <f t="shared" si="36"/>
        <v>36.027154046568199</v>
      </c>
      <c r="J106" s="13">
        <f t="shared" si="46"/>
        <v>5.5</v>
      </c>
      <c r="K106" s="13">
        <f t="shared" si="37"/>
        <v>8.2086623830709975</v>
      </c>
      <c r="L106" s="13">
        <f t="shared" si="43"/>
        <v>0.62139498754503486</v>
      </c>
      <c r="M106" s="13">
        <f t="shared" si="38"/>
        <v>7.5699908041845981E-2</v>
      </c>
      <c r="N106" s="13">
        <f t="shared" si="39"/>
        <v>2.6516166908521726</v>
      </c>
      <c r="O106" s="13">
        <f t="shared" si="39"/>
        <v>0.32302664759616517</v>
      </c>
      <c r="P106" s="13">
        <f t="shared" si="44"/>
        <v>1.6137451527480733</v>
      </c>
      <c r="Q106" s="13">
        <f t="shared" si="40"/>
        <v>1.3222778869996408</v>
      </c>
      <c r="R106" s="21">
        <f t="shared" si="45"/>
        <v>1.2564858912906549</v>
      </c>
      <c r="S106" s="13">
        <f t="shared" si="41"/>
        <v>1.2738555626597297</v>
      </c>
      <c r="T106" s="22">
        <f t="shared" si="42"/>
        <v>2.0276480165666371</v>
      </c>
      <c r="U106" s="22"/>
      <c r="V106" s="19"/>
    </row>
    <row r="107" spans="3:22">
      <c r="C107" s="17"/>
      <c r="D107" s="18"/>
      <c r="E107" s="13"/>
      <c r="F107" s="13"/>
      <c r="G107" s="13"/>
      <c r="H107" s="13"/>
      <c r="I107" s="72">
        <f t="shared" si="36"/>
        <v>35.444406432252585</v>
      </c>
      <c r="J107" s="13">
        <f t="shared" si="46"/>
        <v>6</v>
      </c>
      <c r="K107" s="13">
        <f t="shared" si="37"/>
        <v>8.0157190976131041</v>
      </c>
      <c r="L107" s="13">
        <f t="shared" si="43"/>
        <v>0.64586685627995166</v>
      </c>
      <c r="M107" s="13">
        <f t="shared" si="38"/>
        <v>8.0575036177636991E-2</v>
      </c>
      <c r="N107" s="13">
        <f t="shared" si="39"/>
        <v>2.7560430491178098</v>
      </c>
      <c r="O107" s="13">
        <f t="shared" si="39"/>
        <v>0.34382979437721256</v>
      </c>
      <c r="P107" s="13">
        <f t="shared" si="44"/>
        <v>1.5384241191253836</v>
      </c>
      <c r="Q107" s="13">
        <f t="shared" si="40"/>
        <v>1.060874555160761</v>
      </c>
      <c r="R107" s="21">
        <f t="shared" si="45"/>
        <v>1.4027716086421242</v>
      </c>
      <c r="S107" s="13">
        <f t="shared" si="41"/>
        <v>1.5136310191045501</v>
      </c>
      <c r="T107" s="22">
        <f t="shared" si="42"/>
        <v>2.1580576763593573</v>
      </c>
      <c r="U107" s="22"/>
      <c r="V107" s="19"/>
    </row>
    <row r="108" spans="3:22">
      <c r="C108" s="17"/>
      <c r="D108" s="18"/>
      <c r="E108" s="13"/>
      <c r="F108" s="13"/>
      <c r="G108" s="13"/>
      <c r="H108" s="13"/>
      <c r="I108" s="72">
        <f t="shared" si="36"/>
        <v>34.859835993538837</v>
      </c>
      <c r="J108" s="13">
        <f t="shared" si="46"/>
        <v>6.5</v>
      </c>
      <c r="K108" s="13">
        <f t="shared" si="37"/>
        <v>7.8275438977672867</v>
      </c>
      <c r="L108" s="13">
        <f t="shared" si="43"/>
        <v>0.67033872501486846</v>
      </c>
      <c r="M108" s="13">
        <f t="shared" si="38"/>
        <v>8.5638449783216747E-2</v>
      </c>
      <c r="N108" s="13">
        <f t="shared" si="39"/>
        <v>2.8604694073834467</v>
      </c>
      <c r="O108" s="13">
        <f t="shared" si="39"/>
        <v>0.36543639291494251</v>
      </c>
      <c r="P108" s="13">
        <f t="shared" si="44"/>
        <v>1.395058091373508</v>
      </c>
      <c r="Q108" s="13">
        <f t="shared" si="40"/>
        <v>0.79714900171137348</v>
      </c>
      <c r="R108" s="21">
        <f t="shared" si="45"/>
        <v>1.6182634700377814</v>
      </c>
      <c r="S108" s="13">
        <f t="shared" si="41"/>
        <v>1.8266727834414584</v>
      </c>
      <c r="T108" s="22">
        <f t="shared" si="42"/>
        <v>2.2575715478503775</v>
      </c>
      <c r="U108" s="22"/>
      <c r="V108" s="19"/>
    </row>
    <row r="109" spans="3:22">
      <c r="C109" s="17"/>
      <c r="D109" s="18"/>
      <c r="E109" s="13"/>
      <c r="F109" s="13"/>
      <c r="G109" s="13"/>
      <c r="H109" s="13"/>
      <c r="I109" s="72">
        <f t="shared" si="36"/>
        <v>34.273647090805468</v>
      </c>
      <c r="J109" s="13">
        <f t="shared" si="46"/>
        <v>7</v>
      </c>
      <c r="K109" s="13">
        <f t="shared" si="37"/>
        <v>7.6445093607540642</v>
      </c>
      <c r="L109" s="13">
        <f t="shared" si="43"/>
        <v>0.69481059374978515</v>
      </c>
      <c r="M109" s="13">
        <f t="shared" si="38"/>
        <v>9.0890148858585235E-2</v>
      </c>
      <c r="N109" s="13">
        <f t="shared" si="39"/>
        <v>2.9648957656490831</v>
      </c>
      <c r="O109" s="13">
        <f t="shared" si="39"/>
        <v>0.38784644320935491</v>
      </c>
      <c r="P109" s="13">
        <f t="shared" si="44"/>
        <v>1.1805007859167325</v>
      </c>
      <c r="Q109" s="13">
        <f t="shared" si="40"/>
        <v>0.54561254903028489</v>
      </c>
      <c r="R109" s="21">
        <f t="shared" si="45"/>
        <v>1.9560358431441653</v>
      </c>
      <c r="S109" s="13">
        <f t="shared" si="41"/>
        <v>2.258342992145753</v>
      </c>
      <c r="T109" s="22">
        <f t="shared" si="42"/>
        <v>2.3091018501129854</v>
      </c>
      <c r="U109" s="22"/>
      <c r="V109" s="19"/>
    </row>
    <row r="110" spans="3:22">
      <c r="C110" s="17"/>
      <c r="D110" s="18"/>
      <c r="E110" s="13"/>
      <c r="F110" s="13"/>
      <c r="G110" s="13"/>
      <c r="H110" s="13"/>
      <c r="I110" s="72">
        <f t="shared" si="36"/>
        <v>33.68601669271073</v>
      </c>
      <c r="J110" s="13">
        <v>7.5</v>
      </c>
      <c r="K110" s="13">
        <f t="shared" si="37"/>
        <v>7.4668479848358347</v>
      </c>
      <c r="L110" s="13">
        <f t="shared" si="43"/>
        <v>0.71928246248470196</v>
      </c>
      <c r="M110" s="13">
        <f t="shared" si="38"/>
        <v>9.6330133403742524E-2</v>
      </c>
      <c r="N110" s="13">
        <f t="shared" si="39"/>
        <v>3.0693221239147199</v>
      </c>
      <c r="O110" s="13">
        <f t="shared" si="39"/>
        <v>0.41105994526045009</v>
      </c>
      <c r="P110" s="13">
        <f t="shared" si="44"/>
        <v>0.89482233342544437</v>
      </c>
      <c r="Q110" s="13">
        <f t="shared" si="40"/>
        <v>0.32189005060574144</v>
      </c>
      <c r="R110" s="21">
        <f t="shared" si="45"/>
        <v>2.5466262265564996</v>
      </c>
      <c r="S110" s="13">
        <f t="shared" si="41"/>
        <v>2.9015979381845756</v>
      </c>
      <c r="T110" s="22">
        <f t="shared" si="42"/>
        <v>2.2787780224097212</v>
      </c>
      <c r="U110" s="22"/>
      <c r="V110" s="19"/>
    </row>
    <row r="111" spans="3:22">
      <c r="C111" s="17"/>
      <c r="D111" s="18"/>
      <c r="E111" s="13"/>
      <c r="F111" s="13"/>
      <c r="G111" s="13"/>
      <c r="H111" s="13"/>
      <c r="I111" s="72">
        <f t="shared" si="36"/>
        <v>33.097098875655035</v>
      </c>
      <c r="J111" s="13">
        <f t="shared" si="46"/>
        <v>8</v>
      </c>
      <c r="K111" s="13">
        <f t="shared" si="37"/>
        <v>7.29468397190782</v>
      </c>
      <c r="L111" s="13">
        <f t="shared" si="43"/>
        <v>0.74375433121961865</v>
      </c>
      <c r="M111" s="13">
        <f t="shared" si="38"/>
        <v>0.10195840341868852</v>
      </c>
      <c r="N111" s="13">
        <f t="shared" ref="N111:O112" si="47">$N$4*L111</f>
        <v>3.1737484821803568</v>
      </c>
      <c r="O111" s="13">
        <f t="shared" si="47"/>
        <v>0.43507689906822761</v>
      </c>
      <c r="P111" s="13">
        <f t="shared" si="44"/>
        <v>0.54163395514852219</v>
      </c>
      <c r="Q111" s="13">
        <f t="shared" si="40"/>
        <v>0.14199716415084868</v>
      </c>
      <c r="R111" s="21">
        <f t="shared" si="45"/>
        <v>3.834238718267533</v>
      </c>
      <c r="S111" s="13">
        <f t="shared" si="41"/>
        <v>3.9813850712595014</v>
      </c>
      <c r="T111" s="22">
        <f t="shared" si="42"/>
        <v>2.0767538819588443</v>
      </c>
      <c r="U111" s="22"/>
      <c r="V111" s="19"/>
    </row>
    <row r="112" spans="3:22">
      <c r="C112" s="17"/>
      <c r="D112" s="18"/>
      <c r="E112" s="13"/>
      <c r="F112" s="13"/>
      <c r="G112" s="13"/>
      <c r="H112" s="13"/>
      <c r="I112" s="72">
        <f t="shared" si="36"/>
        <v>32.507028464021289</v>
      </c>
      <c r="J112" s="13">
        <v>8.5</v>
      </c>
      <c r="K112" s="13">
        <f t="shared" si="37"/>
        <v>7.1280583891749831</v>
      </c>
      <c r="L112" s="13">
        <f t="shared" si="43"/>
        <v>0.76822619995453545</v>
      </c>
      <c r="M112" s="13">
        <f t="shared" si="38"/>
        <v>0.1077749589034233</v>
      </c>
      <c r="N112" s="13">
        <f t="shared" si="47"/>
        <v>3.2781748404459936</v>
      </c>
      <c r="O112" s="13">
        <f t="shared" si="47"/>
        <v>0.45989730463268791</v>
      </c>
      <c r="P112" s="13">
        <f t="shared" si="44"/>
        <v>0.12824537182206769</v>
      </c>
      <c r="Q112" s="13">
        <f t="shared" si="40"/>
        <v>2.1529171373376049E-2</v>
      </c>
      <c r="R112" s="21">
        <f t="shared" si="45"/>
        <v>9.84703148539616</v>
      </c>
      <c r="S112" s="13">
        <f t="shared" si="41"/>
        <v>6.2175939810050345</v>
      </c>
      <c r="T112" s="22">
        <f t="shared" si="42"/>
        <v>1.2628362141882381</v>
      </c>
      <c r="U112" s="22"/>
      <c r="V112" s="19"/>
    </row>
    <row r="113" spans="3:22">
      <c r="C113" s="17"/>
      <c r="D113" s="18"/>
      <c r="E113" s="13"/>
      <c r="F113" s="13"/>
      <c r="G113" s="13"/>
      <c r="H113" s="13"/>
      <c r="I113" s="72"/>
      <c r="J113" s="13"/>
      <c r="K113" s="13"/>
      <c r="L113" s="13"/>
      <c r="M113" s="13"/>
      <c r="N113" s="13"/>
      <c r="O113" s="13"/>
      <c r="P113" s="13"/>
      <c r="Q113" s="13"/>
      <c r="R113" s="21"/>
      <c r="S113" s="13"/>
      <c r="T113" s="22"/>
      <c r="U113" s="22"/>
      <c r="V113" s="19"/>
    </row>
    <row r="114" spans="3:22">
      <c r="C114" s="17"/>
      <c r="D114" s="18"/>
      <c r="E114" s="13"/>
      <c r="F114" s="13"/>
      <c r="G114" s="13"/>
      <c r="H114" s="13"/>
      <c r="I114" s="72"/>
      <c r="J114" s="13"/>
      <c r="K114" s="13"/>
      <c r="L114" s="13"/>
      <c r="M114" s="13"/>
      <c r="N114" s="13"/>
      <c r="O114" s="13"/>
      <c r="P114" s="13"/>
      <c r="Q114" s="13"/>
      <c r="R114" s="21"/>
      <c r="S114" s="13"/>
      <c r="T114" s="22"/>
      <c r="U114" s="22"/>
      <c r="V114" s="19"/>
    </row>
    <row r="115" spans="3:22">
      <c r="C115" s="17"/>
      <c r="D115" s="18"/>
      <c r="E115" s="13"/>
      <c r="F115" s="13"/>
      <c r="G115" s="13"/>
      <c r="H115" s="13"/>
      <c r="I115" s="72"/>
      <c r="J115" s="13"/>
      <c r="K115" s="13"/>
      <c r="L115" s="13"/>
      <c r="M115" s="13"/>
      <c r="N115" s="13"/>
      <c r="O115" s="13"/>
      <c r="P115" s="13"/>
      <c r="Q115" s="13"/>
      <c r="R115" s="21"/>
      <c r="S115" s="13"/>
      <c r="T115" s="22"/>
      <c r="U115" s="22"/>
      <c r="V115" s="19"/>
    </row>
    <row r="116" spans="3:22" ht="15" thickBot="1">
      <c r="C116" s="23"/>
      <c r="D116" s="24"/>
      <c r="E116" s="25"/>
      <c r="F116" s="25"/>
      <c r="G116" s="25"/>
      <c r="H116" s="25"/>
      <c r="I116" s="75"/>
      <c r="J116" s="25"/>
      <c r="K116" s="25"/>
      <c r="L116" s="25"/>
      <c r="M116" s="25"/>
      <c r="N116" s="25"/>
      <c r="O116" s="25"/>
      <c r="P116" s="25"/>
      <c r="Q116" s="25"/>
      <c r="R116" s="26"/>
      <c r="S116" s="25"/>
      <c r="T116" s="27"/>
      <c r="U116" s="27"/>
      <c r="V116" s="28"/>
    </row>
    <row r="117" spans="3:22">
      <c r="I117" s="74"/>
    </row>
    <row r="118" spans="3:22" ht="15" thickBot="1">
      <c r="I118" s="74"/>
    </row>
    <row r="119" spans="3:22" ht="17" thickBot="1">
      <c r="C119" s="42" t="s">
        <v>36</v>
      </c>
      <c r="D119" s="43" t="s">
        <v>37</v>
      </c>
      <c r="E119" s="35" t="s">
        <v>24</v>
      </c>
      <c r="F119" s="36" t="s">
        <v>29</v>
      </c>
      <c r="G119" s="36" t="s">
        <v>30</v>
      </c>
      <c r="H119" s="97" t="s">
        <v>56</v>
      </c>
      <c r="I119" s="36" t="s">
        <v>77</v>
      </c>
      <c r="J119" s="36" t="s">
        <v>80</v>
      </c>
      <c r="K119" s="36" t="s">
        <v>81</v>
      </c>
      <c r="L119" s="110" t="s">
        <v>92</v>
      </c>
      <c r="M119" s="36" t="s">
        <v>89</v>
      </c>
      <c r="N119" s="36" t="s">
        <v>90</v>
      </c>
      <c r="O119" s="38" t="s">
        <v>91</v>
      </c>
      <c r="P119" s="15"/>
      <c r="Q119" s="15"/>
      <c r="R119" s="15"/>
      <c r="S119" s="15"/>
      <c r="T119" s="40"/>
      <c r="U119" s="40"/>
      <c r="V119" s="16"/>
    </row>
    <row r="120" spans="3:22" ht="16" thickTop="1" thickBot="1">
      <c r="C120" s="44">
        <v>20</v>
      </c>
      <c r="D120" s="45">
        <f>MAX(T123:T144)</f>
        <v>2.3067808640249265</v>
      </c>
      <c r="E120" s="25">
        <f>$M$4-H120</f>
        <v>1.0311782372024054</v>
      </c>
      <c r="F120" s="25">
        <f>MAX(N123:N145)</f>
        <v>3.5268884963897782</v>
      </c>
      <c r="G120" s="25">
        <f>F120*$L$4</f>
        <v>0.63483992935015998</v>
      </c>
      <c r="H120" s="75">
        <f>(-N120+SQRT(N120^2-4*$P$4*O120))/(2*$P$4)</f>
        <v>0.18802176279759467</v>
      </c>
      <c r="I120" s="25">
        <f>$H$4*SBT!$C$23</f>
        <v>4.4225409836065571E-2</v>
      </c>
      <c r="J120" s="25">
        <f>I120+SBT!$B$23</f>
        <v>0.19422540983606557</v>
      </c>
      <c r="K120" s="25">
        <f>SBT!$B$12*H120</f>
        <v>0.24442829163687307</v>
      </c>
      <c r="L120" s="25">
        <f>(F120*$L$4-(SBT!$F$23*K120+0.5*SBT!$E$23*K120^2)*9.81)/(J120*9.81)</f>
        <v>0.1061344652348155</v>
      </c>
      <c r="M120" s="79">
        <f>J120+SBT!$F$23+2*SBT!$G$23+H120*SBT!$D$23+K120*SBT!$E$23</f>
        <v>0.68836234092898119</v>
      </c>
      <c r="N120" s="25">
        <f>(SBT!$G$23+(SBT!$F$23+J120)*0.5)*9.81</f>
        <v>3.1869031352459021</v>
      </c>
      <c r="O120" s="37">
        <f>-F120*$L$4</f>
        <v>-0.63483992935015998</v>
      </c>
      <c r="P120" s="13"/>
      <c r="Q120" s="13"/>
      <c r="R120" s="13"/>
      <c r="S120" s="13"/>
      <c r="T120" s="13"/>
      <c r="U120" s="13"/>
      <c r="V120" s="19"/>
    </row>
    <row r="121" spans="3:22">
      <c r="C121" s="41"/>
      <c r="D121" s="13"/>
      <c r="E121" s="13"/>
      <c r="F121" s="13"/>
      <c r="G121" s="13"/>
      <c r="H121" s="13"/>
      <c r="I121" s="76"/>
      <c r="J121" s="18"/>
      <c r="K121" s="18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9"/>
    </row>
    <row r="122" spans="3:22" ht="17" thickBot="1">
      <c r="C122" s="47" t="s">
        <v>40</v>
      </c>
      <c r="D122" s="48" t="s">
        <v>42</v>
      </c>
      <c r="E122" s="30" t="s">
        <v>35</v>
      </c>
      <c r="F122" s="29" t="s">
        <v>34</v>
      </c>
      <c r="G122" s="29" t="s">
        <v>41</v>
      </c>
      <c r="H122" s="29" t="s">
        <v>7</v>
      </c>
      <c r="I122" s="70" t="s">
        <v>16</v>
      </c>
      <c r="J122" s="71" t="s">
        <v>17</v>
      </c>
      <c r="K122" s="29" t="s">
        <v>18</v>
      </c>
      <c r="L122" s="46" t="s">
        <v>39</v>
      </c>
      <c r="M122" s="31" t="s">
        <v>10</v>
      </c>
      <c r="N122" s="31" t="s">
        <v>13</v>
      </c>
      <c r="O122" s="31" t="s">
        <v>14</v>
      </c>
      <c r="P122" s="31" t="s">
        <v>8</v>
      </c>
      <c r="Q122" s="31" t="s">
        <v>9</v>
      </c>
      <c r="R122" s="31" t="s">
        <v>19</v>
      </c>
      <c r="S122" s="31" t="s">
        <v>25</v>
      </c>
      <c r="T122" s="32" t="s">
        <v>27</v>
      </c>
      <c r="U122" s="32"/>
      <c r="V122" s="33"/>
    </row>
    <row r="123" spans="3:22" ht="15" thickTop="1">
      <c r="C123" s="50">
        <v>4.4656350539999998</v>
      </c>
      <c r="D123" s="51">
        <v>0.95979999999999999</v>
      </c>
      <c r="E123" s="7">
        <f>$K$4/(2+SQRT(4+$K$4^2))</f>
        <v>0.53518375848799637</v>
      </c>
      <c r="F123" s="7">
        <f>C123*E123</f>
        <v>2.3899353522354665</v>
      </c>
      <c r="G123" s="12">
        <f>D123*E123</f>
        <v>0.51366937139677893</v>
      </c>
      <c r="H123" s="14">
        <f>F123*PI()/180</f>
        <v>4.1712240806319308E-2</v>
      </c>
      <c r="I123" s="72">
        <f t="shared" ref="I123:I138" si="48">0.5*ATAN(K123)*180/PI()-J123</f>
        <v>41.862752207456531</v>
      </c>
      <c r="J123" s="13">
        <v>0</v>
      </c>
      <c r="K123" s="13">
        <f t="shared" ref="K123:K138" si="49">L123/M123</f>
        <v>9.0950027993662967</v>
      </c>
      <c r="L123" s="13">
        <f>$H$123*J123+$G$123</f>
        <v>0.51366937139677893</v>
      </c>
      <c r="M123" s="13">
        <f t="shared" ref="M123:M138" si="50">0.015+0.1572*(L123^2)</f>
        <v>5.6478198273074674E-2</v>
      </c>
      <c r="N123" s="13">
        <f t="shared" ref="N123:O138" si="51">$N$4*L123</f>
        <v>2.191929941624335</v>
      </c>
      <c r="O123" s="13">
        <f t="shared" si="51"/>
        <v>0.24100376767086423</v>
      </c>
      <c r="P123" s="13">
        <f>((N123*COS(I123+J123)+O123*SIN(I123+J123))*SIN(J123+I123)-O123)/$M$120</f>
        <v>1.3218484747357524</v>
      </c>
      <c r="Q123" s="13">
        <f t="shared" ref="Q123:Q138" si="52">P123*TAN(I123+J123)</f>
        <v>2.162056646889936</v>
      </c>
      <c r="R123" s="21">
        <f>IF(ISERROR(SQRT(2*$E$120/Q123)),0,SQRT(2*$E$92/Q123))</f>
        <v>0.98261966128355804</v>
      </c>
      <c r="S123" s="13">
        <f t="shared" ref="S123:S138" si="53">0.5*P123*R123^2</f>
        <v>0.63814971261001729</v>
      </c>
      <c r="T123" s="22">
        <f t="shared" ref="T123:T138" si="54">R123*P123</f>
        <v>1.2988743005130328</v>
      </c>
      <c r="U123" s="22"/>
      <c r="V123" s="19"/>
    </row>
    <row r="124" spans="3:22">
      <c r="C124" s="17"/>
      <c r="D124" s="18"/>
      <c r="E124" s="13"/>
      <c r="F124" s="13"/>
      <c r="G124" s="13"/>
      <c r="H124" s="13"/>
      <c r="I124" s="72">
        <f t="shared" si="48"/>
        <v>41.302215059003935</v>
      </c>
      <c r="J124" s="13">
        <f>J123+0.5</f>
        <v>0.5</v>
      </c>
      <c r="K124" s="13">
        <f t="shared" si="49"/>
        <v>8.9214279301916832</v>
      </c>
      <c r="L124" s="13">
        <f t="shared" ref="L124:L138" si="55">$H$123*J124+$G$123</f>
        <v>0.53452549179993858</v>
      </c>
      <c r="M124" s="13">
        <f t="shared" si="50"/>
        <v>5.9914791217559493E-2</v>
      </c>
      <c r="N124" s="13">
        <f t="shared" si="51"/>
        <v>2.2809271786086978</v>
      </c>
      <c r="O124" s="13">
        <f t="shared" si="51"/>
        <v>0.25566839708356986</v>
      </c>
      <c r="P124" s="13">
        <f t="shared" ref="P124:P138" si="56">((N124*COS(I124+J124)+O124*SIN(I124+J124))*SIN(J124+I124)-O124)/$M$120</f>
        <v>1.4334232906336093</v>
      </c>
      <c r="Q124" s="13">
        <f t="shared" si="52"/>
        <v>2.0540380148171788</v>
      </c>
      <c r="R124" s="21">
        <f t="shared" ref="R124:R138" si="57">IF(ISERROR(SQRT(2*$E$120/Q124)),0,SQRT(2*$E$92/Q124))</f>
        <v>1.0081258373466355</v>
      </c>
      <c r="S124" s="13">
        <f t="shared" si="53"/>
        <v>0.72840673374529674</v>
      </c>
      <c r="T124" s="22">
        <f t="shared" si="54"/>
        <v>1.445071055142177</v>
      </c>
      <c r="U124" s="22"/>
      <c r="V124" s="19"/>
    </row>
    <row r="125" spans="3:22">
      <c r="C125" s="20"/>
      <c r="D125" s="11"/>
      <c r="E125" s="13"/>
      <c r="F125" s="13"/>
      <c r="G125" s="13"/>
      <c r="H125" s="13"/>
      <c r="I125" s="72">
        <f t="shared" si="48"/>
        <v>40.739286643500343</v>
      </c>
      <c r="J125" s="13">
        <f t="shared" ref="J125:J138" si="58">J124+0.5</f>
        <v>1</v>
      </c>
      <c r="K125" s="13">
        <f t="shared" si="49"/>
        <v>8.747800801453284</v>
      </c>
      <c r="L125" s="13">
        <f t="shared" si="55"/>
        <v>0.55538161220309823</v>
      </c>
      <c r="M125" s="13">
        <f t="shared" si="50"/>
        <v>6.3488141169244727E-2</v>
      </c>
      <c r="N125" s="13">
        <f t="shared" si="51"/>
        <v>2.3699244155930606</v>
      </c>
      <c r="O125" s="13">
        <f t="shared" si="51"/>
        <v>0.27091659599740109</v>
      </c>
      <c r="P125" s="13">
        <f t="shared" si="56"/>
        <v>1.5248878311802354</v>
      </c>
      <c r="Q125" s="13">
        <f t="shared" si="52"/>
        <v>1.9160144804318602</v>
      </c>
      <c r="R125" s="21">
        <f t="shared" si="57"/>
        <v>1.043805522976831</v>
      </c>
      <c r="S125" s="13">
        <f t="shared" si="53"/>
        <v>0.83070549632475843</v>
      </c>
      <c r="T125" s="22">
        <f t="shared" si="54"/>
        <v>1.5916863401060912</v>
      </c>
      <c r="U125" s="22"/>
      <c r="V125" s="19"/>
    </row>
    <row r="126" spans="3:22">
      <c r="C126" s="17"/>
      <c r="D126" s="18"/>
      <c r="E126" s="13"/>
      <c r="F126" s="13"/>
      <c r="G126" s="13"/>
      <c r="H126" s="13"/>
      <c r="I126" s="72">
        <f t="shared" si="48"/>
        <v>40.174233774959689</v>
      </c>
      <c r="J126" s="13">
        <f t="shared" si="58"/>
        <v>1.5</v>
      </c>
      <c r="K126" s="13">
        <f t="shared" si="49"/>
        <v>8.5751898101199782</v>
      </c>
      <c r="L126" s="13">
        <f t="shared" si="55"/>
        <v>0.57623773260625788</v>
      </c>
      <c r="M126" s="13">
        <f t="shared" si="50"/>
        <v>6.7198248128130425E-2</v>
      </c>
      <c r="N126" s="13">
        <f t="shared" si="51"/>
        <v>2.4589216525774233</v>
      </c>
      <c r="O126" s="13">
        <f t="shared" si="51"/>
        <v>0.28674836441235813</v>
      </c>
      <c r="P126" s="13">
        <f t="shared" si="56"/>
        <v>1.5895333625298196</v>
      </c>
      <c r="Q126" s="13">
        <f t="shared" si="52"/>
        <v>1.7504129530233108</v>
      </c>
      <c r="R126" s="21">
        <f t="shared" si="57"/>
        <v>1.0920655941108028</v>
      </c>
      <c r="S126" s="13">
        <f t="shared" si="53"/>
        <v>0.94784451554546967</v>
      </c>
      <c r="T126" s="22">
        <f t="shared" si="54"/>
        <v>1.7358746959100695</v>
      </c>
      <c r="U126" s="22"/>
      <c r="V126" s="19"/>
    </row>
    <row r="127" spans="3:22">
      <c r="C127" s="17"/>
      <c r="D127" s="13"/>
      <c r="E127" s="13"/>
      <c r="F127" s="13"/>
      <c r="G127" s="13"/>
      <c r="H127" s="13"/>
      <c r="I127" s="72">
        <f t="shared" si="48"/>
        <v>39.607286292027965</v>
      </c>
      <c r="J127" s="13">
        <f t="shared" si="58"/>
        <v>2</v>
      </c>
      <c r="K127" s="13">
        <f t="shared" si="49"/>
        <v>8.4044325557201027</v>
      </c>
      <c r="L127" s="13">
        <f t="shared" si="55"/>
        <v>0.59709385300941753</v>
      </c>
      <c r="M127" s="13">
        <f t="shared" si="50"/>
        <v>7.1045112094216545E-2</v>
      </c>
      <c r="N127" s="13">
        <f t="shared" si="51"/>
        <v>2.5479188895617866</v>
      </c>
      <c r="O127" s="13">
        <f t="shared" si="51"/>
        <v>0.30316370232844081</v>
      </c>
      <c r="P127" s="13">
        <f t="shared" si="56"/>
        <v>1.6209086916570583</v>
      </c>
      <c r="Q127" s="13">
        <f t="shared" si="52"/>
        <v>1.5610291118077522</v>
      </c>
      <c r="R127" s="21">
        <f t="shared" si="57"/>
        <v>1.1564143781227891</v>
      </c>
      <c r="S127" s="13">
        <f t="shared" si="53"/>
        <v>1.0838159073301996</v>
      </c>
      <c r="T127" s="22">
        <f t="shared" si="54"/>
        <v>1.8744421166564209</v>
      </c>
      <c r="U127" s="22"/>
      <c r="V127" s="19"/>
    </row>
    <row r="128" spans="3:22">
      <c r="C128" s="17"/>
      <c r="D128" s="13"/>
      <c r="E128" s="13"/>
      <c r="F128" s="13"/>
      <c r="G128" s="13"/>
      <c r="H128" s="13"/>
      <c r="I128" s="72">
        <f t="shared" si="48"/>
        <v>39.038643288306055</v>
      </c>
      <c r="J128" s="13">
        <f t="shared" si="58"/>
        <v>2.5</v>
      </c>
      <c r="K128" s="13">
        <f t="shared" si="49"/>
        <v>8.2361776368609334</v>
      </c>
      <c r="L128" s="13">
        <f t="shared" si="55"/>
        <v>0.61794997341257718</v>
      </c>
      <c r="M128" s="13">
        <f t="shared" si="50"/>
        <v>7.5028733067503073E-2</v>
      </c>
      <c r="N128" s="13">
        <f t="shared" si="51"/>
        <v>2.6369161265461494</v>
      </c>
      <c r="O128" s="13">
        <f t="shared" si="51"/>
        <v>0.32016260974564908</v>
      </c>
      <c r="P128" s="13">
        <f t="shared" si="56"/>
        <v>1.6131029751902128</v>
      </c>
      <c r="Q128" s="13">
        <f t="shared" si="52"/>
        <v>1.3530239152014172</v>
      </c>
      <c r="R128" s="21">
        <f t="shared" si="57"/>
        <v>1.2421277017303167</v>
      </c>
      <c r="S128" s="13">
        <f t="shared" si="53"/>
        <v>1.2444131491467429</v>
      </c>
      <c r="T128" s="22">
        <f t="shared" si="54"/>
        <v>2.003679891227355</v>
      </c>
      <c r="U128" s="22"/>
      <c r="V128" s="19"/>
    </row>
    <row r="129" spans="3:22">
      <c r="C129" s="17"/>
      <c r="D129" s="13"/>
      <c r="E129" s="13"/>
      <c r="F129" s="13"/>
      <c r="G129" s="13"/>
      <c r="H129" s="13"/>
      <c r="I129" s="72">
        <f t="shared" si="48"/>
        <v>38.468478123904163</v>
      </c>
      <c r="J129" s="13">
        <f t="shared" si="58"/>
        <v>3</v>
      </c>
      <c r="K129" s="13">
        <f t="shared" si="49"/>
        <v>8.0709193742986312</v>
      </c>
      <c r="L129" s="13">
        <f t="shared" si="55"/>
        <v>0.63880609381573683</v>
      </c>
      <c r="M129" s="13">
        <f t="shared" si="50"/>
        <v>7.9149111047990064E-2</v>
      </c>
      <c r="N129" s="13">
        <f t="shared" si="51"/>
        <v>2.7259133635305122</v>
      </c>
      <c r="O129" s="13">
        <f t="shared" si="51"/>
        <v>0.33774508666398317</v>
      </c>
      <c r="P129" s="13">
        <f t="shared" si="56"/>
        <v>1.5610340217669143</v>
      </c>
      <c r="Q129" s="13">
        <f t="shared" si="52"/>
        <v>1.1328584978346317</v>
      </c>
      <c r="R129" s="21">
        <f t="shared" si="57"/>
        <v>1.3574728446463002</v>
      </c>
      <c r="S129" s="13">
        <f t="shared" si="53"/>
        <v>1.4382840814528361</v>
      </c>
      <c r="T129" s="22">
        <f t="shared" si="54"/>
        <v>2.1190612941175879</v>
      </c>
      <c r="U129" s="22"/>
      <c r="V129" s="19"/>
    </row>
    <row r="130" spans="3:22">
      <c r="C130" s="17"/>
      <c r="D130" s="13"/>
      <c r="E130" s="13"/>
      <c r="F130" s="13"/>
      <c r="G130" s="13"/>
      <c r="H130" s="13"/>
      <c r="I130" s="72">
        <f t="shared" si="48"/>
        <v>37.896942487540244</v>
      </c>
      <c r="J130" s="13">
        <f t="shared" si="58"/>
        <v>3.5</v>
      </c>
      <c r="K130" s="13">
        <f t="shared" si="49"/>
        <v>7.9090265486438804</v>
      </c>
      <c r="L130" s="13">
        <f t="shared" si="55"/>
        <v>0.65966221421889648</v>
      </c>
      <c r="M130" s="13">
        <f t="shared" si="50"/>
        <v>8.3406246035677464E-2</v>
      </c>
      <c r="N130" s="13">
        <f t="shared" si="51"/>
        <v>2.814910600514875</v>
      </c>
      <c r="O130" s="13">
        <f t="shared" si="51"/>
        <v>0.35591113308344285</v>
      </c>
      <c r="P130" s="13">
        <f t="shared" si="56"/>
        <v>1.4607291101406299</v>
      </c>
      <c r="Q130" s="13">
        <f t="shared" si="52"/>
        <v>0.90816613272281677</v>
      </c>
      <c r="R130" s="21">
        <f t="shared" si="57"/>
        <v>1.5161296213798454</v>
      </c>
      <c r="S130" s="13">
        <f t="shared" si="53"/>
        <v>1.67885177520087</v>
      </c>
      <c r="T130" s="22">
        <f t="shared" si="54"/>
        <v>2.2146546726960317</v>
      </c>
      <c r="U130" s="22"/>
      <c r="V130" s="19"/>
    </row>
    <row r="131" spans="3:22">
      <c r="C131" s="17"/>
      <c r="D131" s="13"/>
      <c r="E131" s="13"/>
      <c r="F131" s="13"/>
      <c r="G131" s="13"/>
      <c r="H131" s="13"/>
      <c r="I131" s="72">
        <f t="shared" si="48"/>
        <v>37.324169712575369</v>
      </c>
      <c r="J131" s="13">
        <f t="shared" si="58"/>
        <v>4</v>
      </c>
      <c r="K131" s="13">
        <f t="shared" si="49"/>
        <v>7.7507661136609096</v>
      </c>
      <c r="L131" s="13">
        <f t="shared" si="55"/>
        <v>0.68051833462205613</v>
      </c>
      <c r="M131" s="13">
        <f t="shared" si="50"/>
        <v>8.7800138030565314E-2</v>
      </c>
      <c r="N131" s="13">
        <f t="shared" si="51"/>
        <v>2.9039078374992378</v>
      </c>
      <c r="O131" s="13">
        <f t="shared" si="51"/>
        <v>0.37466074900402829</v>
      </c>
      <c r="P131" s="13">
        <f t="shared" si="56"/>
        <v>1.3095849499285164</v>
      </c>
      <c r="Q131" s="13">
        <f t="shared" si="52"/>
        <v>0.68756252677570207</v>
      </c>
      <c r="R131" s="21">
        <f t="shared" si="57"/>
        <v>1.7424602699372038</v>
      </c>
      <c r="S131" s="13">
        <f t="shared" si="53"/>
        <v>1.9880598231331925</v>
      </c>
      <c r="T131" s="22">
        <f t="shared" si="54"/>
        <v>2.281899745358142</v>
      </c>
      <c r="U131" s="22"/>
      <c r="V131" s="19"/>
    </row>
    <row r="132" spans="3:22">
      <c r="C132" s="17"/>
      <c r="D132" s="18"/>
      <c r="E132" s="13"/>
      <c r="F132" s="13"/>
      <c r="G132" s="13"/>
      <c r="H132" s="13"/>
      <c r="I132" s="72">
        <f t="shared" si="48"/>
        <v>36.750277502069792</v>
      </c>
      <c r="J132" s="13">
        <f t="shared" si="58"/>
        <v>4.5</v>
      </c>
      <c r="K132" s="13">
        <f t="shared" si="49"/>
        <v>7.5963227171145915</v>
      </c>
      <c r="L132" s="13">
        <f t="shared" si="55"/>
        <v>0.70137445502521578</v>
      </c>
      <c r="M132" s="13">
        <f t="shared" si="50"/>
        <v>9.2330787032653586E-2</v>
      </c>
      <c r="N132" s="13">
        <f t="shared" si="51"/>
        <v>2.9929050744836005</v>
      </c>
      <c r="O132" s="13">
        <f t="shared" si="51"/>
        <v>0.39399393442573938</v>
      </c>
      <c r="P132" s="13">
        <f t="shared" si="56"/>
        <v>1.1065935921400085</v>
      </c>
      <c r="Q132" s="13">
        <f t="shared" si="52"/>
        <v>0.48039844160523326</v>
      </c>
      <c r="R132" s="21">
        <f t="shared" si="57"/>
        <v>2.0845781869782125</v>
      </c>
      <c r="S132" s="13">
        <f t="shared" si="53"/>
        <v>2.4043325356425576</v>
      </c>
      <c r="T132" s="22">
        <f t="shared" si="54"/>
        <v>2.3067808640249265</v>
      </c>
      <c r="U132" s="22"/>
      <c r="V132" s="19"/>
    </row>
    <row r="133" spans="3:22">
      <c r="C133" s="17"/>
      <c r="D133" s="22"/>
      <c r="E133" s="13"/>
      <c r="F133" s="13"/>
      <c r="G133" s="13"/>
      <c r="H133" s="13"/>
      <c r="I133" s="72">
        <f t="shared" si="48"/>
        <v>36.175370182168528</v>
      </c>
      <c r="J133" s="13">
        <f t="shared" si="58"/>
        <v>5</v>
      </c>
      <c r="K133" s="13">
        <f t="shared" si="49"/>
        <v>7.4458147392094292</v>
      </c>
      <c r="L133" s="13">
        <f t="shared" si="55"/>
        <v>0.72223057542837543</v>
      </c>
      <c r="M133" s="13">
        <f t="shared" si="50"/>
        <v>9.6998193041942293E-2</v>
      </c>
      <c r="N133" s="13">
        <f t="shared" si="51"/>
        <v>3.0819023114679633</v>
      </c>
      <c r="O133" s="13">
        <f t="shared" si="51"/>
        <v>0.41391068934857617</v>
      </c>
      <c r="P133" s="13">
        <f t="shared" si="56"/>
        <v>0.85252186779655525</v>
      </c>
      <c r="Q133" s="13">
        <f t="shared" si="52"/>
        <v>0.29646134988054768</v>
      </c>
      <c r="R133" s="21">
        <f t="shared" si="57"/>
        <v>2.65359685057678</v>
      </c>
      <c r="S133" s="13">
        <f t="shared" si="53"/>
        <v>3.0015488664762975</v>
      </c>
      <c r="T133" s="22">
        <f t="shared" si="54"/>
        <v>2.2622493434327731</v>
      </c>
      <c r="U133" s="22"/>
      <c r="V133" s="19"/>
    </row>
    <row r="134" spans="3:22">
      <c r="C134" s="17"/>
      <c r="D134" s="18"/>
      <c r="E134" s="13"/>
      <c r="F134" s="13"/>
      <c r="G134" s="13"/>
      <c r="H134" s="13"/>
      <c r="I134" s="72">
        <f t="shared" si="48"/>
        <v>35.599540576373627</v>
      </c>
      <c r="J134" s="13">
        <f t="shared" si="58"/>
        <v>5.5</v>
      </c>
      <c r="K134" s="13">
        <f t="shared" si="49"/>
        <v>7.2993074482974256</v>
      </c>
      <c r="L134" s="13">
        <f t="shared" si="55"/>
        <v>0.74308669583153508</v>
      </c>
      <c r="M134" s="13">
        <f t="shared" si="50"/>
        <v>0.10180235605843142</v>
      </c>
      <c r="N134" s="13">
        <f t="shared" si="51"/>
        <v>3.1708995484523266</v>
      </c>
      <c r="O134" s="13">
        <f t="shared" si="51"/>
        <v>0.43441101377253855</v>
      </c>
      <c r="P134" s="13">
        <f t="shared" si="56"/>
        <v>0.5500332850288322</v>
      </c>
      <c r="Q134" s="13">
        <f t="shared" si="52"/>
        <v>0.1456354144887031</v>
      </c>
      <c r="R134" s="21">
        <f t="shared" si="57"/>
        <v>3.7860425091979004</v>
      </c>
      <c r="S134" s="13">
        <f t="shared" si="53"/>
        <v>3.9421209731632056</v>
      </c>
      <c r="T134" s="22">
        <f t="shared" si="54"/>
        <v>2.082449398592924</v>
      </c>
      <c r="U134" s="22"/>
      <c r="V134" s="19"/>
    </row>
    <row r="135" spans="3:22">
      <c r="C135" s="17"/>
      <c r="D135" s="18"/>
      <c r="E135" s="13"/>
      <c r="F135" s="13"/>
      <c r="G135" s="13"/>
      <c r="H135" s="13"/>
      <c r="I135" s="72">
        <f t="shared" si="48"/>
        <v>35.022871573071392</v>
      </c>
      <c r="J135" s="13">
        <f t="shared" si="58"/>
        <v>6</v>
      </c>
      <c r="K135" s="13">
        <f t="shared" si="49"/>
        <v>7.1568237763938338</v>
      </c>
      <c r="L135" s="13">
        <f t="shared" si="55"/>
        <v>0.76394281623469484</v>
      </c>
      <c r="M135" s="13">
        <f t="shared" si="50"/>
        <v>0.106743276082121</v>
      </c>
      <c r="N135" s="13">
        <f t="shared" si="51"/>
        <v>3.2598967854366898</v>
      </c>
      <c r="O135" s="13">
        <f t="shared" si="51"/>
        <v>0.45549490769762674</v>
      </c>
      <c r="P135" s="13">
        <f t="shared" si="56"/>
        <v>0.20374321171638424</v>
      </c>
      <c r="Q135" s="13">
        <f t="shared" si="52"/>
        <v>3.7531384298476196E-2</v>
      </c>
      <c r="R135" s="21">
        <f t="shared" si="57"/>
        <v>7.4579882085759319</v>
      </c>
      <c r="S135" s="13">
        <f t="shared" si="53"/>
        <v>5.6662605020917152</v>
      </c>
      <c r="T135" s="22">
        <f t="shared" si="54"/>
        <v>1.5195144705581833</v>
      </c>
      <c r="U135" s="22"/>
      <c r="V135" s="19"/>
    </row>
    <row r="136" spans="3:22">
      <c r="C136" s="17"/>
      <c r="D136" s="18"/>
      <c r="E136" s="13"/>
      <c r="F136" s="13"/>
      <c r="G136" s="13"/>
      <c r="H136" s="13"/>
      <c r="I136" s="72">
        <f t="shared" si="48"/>
        <v>34.445437443316251</v>
      </c>
      <c r="J136" s="13">
        <f t="shared" si="58"/>
        <v>6.5</v>
      </c>
      <c r="K136" s="13">
        <f t="shared" si="49"/>
        <v>7.0183531331977056</v>
      </c>
      <c r="L136" s="13">
        <f t="shared" si="55"/>
        <v>0.78479893663785449</v>
      </c>
      <c r="M136" s="13">
        <f t="shared" si="50"/>
        <v>0.111820953113011</v>
      </c>
      <c r="N136" s="13">
        <f t="shared" si="51"/>
        <v>3.3488940224210526</v>
      </c>
      <c r="O136" s="13">
        <f t="shared" si="51"/>
        <v>0.47716237112384052</v>
      </c>
      <c r="P136" s="13">
        <f t="shared" si="56"/>
        <v>-0.17979944984661975</v>
      </c>
      <c r="Q136" s="13">
        <f t="shared" si="52"/>
        <v>-1.8900081711716615E-2</v>
      </c>
      <c r="R136" s="21">
        <f t="shared" si="57"/>
        <v>0</v>
      </c>
      <c r="S136" s="13">
        <f t="shared" si="53"/>
        <v>0</v>
      </c>
      <c r="T136" s="22">
        <f t="shared" si="54"/>
        <v>0</v>
      </c>
      <c r="U136" s="22"/>
      <c r="V136" s="19"/>
    </row>
    <row r="137" spans="3:22">
      <c r="C137" s="17"/>
      <c r="D137" s="18"/>
      <c r="E137" s="13"/>
      <c r="F137" s="13"/>
      <c r="G137" s="13"/>
      <c r="H137" s="13"/>
      <c r="I137" s="72">
        <f t="shared" si="48"/>
        <v>33.867304954081938</v>
      </c>
      <c r="J137" s="13">
        <f t="shared" si="58"/>
        <v>7</v>
      </c>
      <c r="K137" s="13">
        <f t="shared" si="49"/>
        <v>6.8838586059518327</v>
      </c>
      <c r="L137" s="13">
        <f t="shared" si="55"/>
        <v>0.80565505704101414</v>
      </c>
      <c r="M137" s="13">
        <f t="shared" si="50"/>
        <v>0.11703538715110143</v>
      </c>
      <c r="N137" s="13">
        <f t="shared" si="51"/>
        <v>3.4378912594054154</v>
      </c>
      <c r="O137" s="13">
        <f t="shared" si="51"/>
        <v>0.49941340405118001</v>
      </c>
      <c r="P137" s="13">
        <f t="shared" si="56"/>
        <v>-0.59220811296355824</v>
      </c>
      <c r="Q137" s="13">
        <f t="shared" si="52"/>
        <v>-1.5756723268322809E-2</v>
      </c>
      <c r="R137" s="21">
        <f t="shared" si="57"/>
        <v>0</v>
      </c>
      <c r="S137" s="13">
        <f t="shared" si="53"/>
        <v>0</v>
      </c>
      <c r="T137" s="22">
        <f t="shared" si="54"/>
        <v>0</v>
      </c>
      <c r="U137" s="22"/>
      <c r="V137" s="19"/>
    </row>
    <row r="138" spans="3:22">
      <c r="C138" s="17"/>
      <c r="D138" s="18"/>
      <c r="E138" s="13"/>
      <c r="F138" s="13"/>
      <c r="G138" s="13"/>
      <c r="H138" s="13"/>
      <c r="I138" s="72">
        <f t="shared" si="48"/>
        <v>33.288534313073633</v>
      </c>
      <c r="J138" s="13">
        <f t="shared" si="58"/>
        <v>7.5</v>
      </c>
      <c r="K138" s="13">
        <f t="shared" si="49"/>
        <v>6.7532828323534062</v>
      </c>
      <c r="L138" s="13">
        <f t="shared" si="55"/>
        <v>0.82651117744417379</v>
      </c>
      <c r="M138" s="13">
        <f t="shared" si="50"/>
        <v>0.1223865781963923</v>
      </c>
      <c r="N138" s="13">
        <f t="shared" si="51"/>
        <v>3.5268884963897782</v>
      </c>
      <c r="O138" s="13">
        <f t="shared" si="51"/>
        <v>0.5222480064796452</v>
      </c>
      <c r="P138" s="13">
        <f t="shared" si="56"/>
        <v>-1.0234328292832353</v>
      </c>
      <c r="Q138" s="13">
        <f t="shared" si="52"/>
        <v>5.3441171511109553E-2</v>
      </c>
      <c r="R138" s="21">
        <f t="shared" si="57"/>
        <v>6.2500141266843787</v>
      </c>
      <c r="S138" s="13">
        <f t="shared" si="53"/>
        <v>-19.989012807743823</v>
      </c>
      <c r="T138" s="22">
        <f t="shared" si="54"/>
        <v>-6.396469640732783</v>
      </c>
      <c r="U138" s="22"/>
      <c r="V138" s="19"/>
    </row>
    <row r="139" spans="3:22">
      <c r="C139" s="17"/>
      <c r="D139" s="18"/>
      <c r="E139" s="13"/>
      <c r="F139" s="13"/>
      <c r="G139" s="13"/>
      <c r="H139" s="13"/>
      <c r="I139" s="72"/>
      <c r="J139" s="13"/>
      <c r="K139" s="13"/>
      <c r="L139" s="13"/>
      <c r="M139" s="13"/>
      <c r="N139" s="13"/>
      <c r="O139" s="13"/>
      <c r="P139" s="13"/>
      <c r="Q139" s="13"/>
      <c r="R139" s="21"/>
      <c r="S139" s="13"/>
      <c r="T139" s="22"/>
      <c r="U139" s="22"/>
      <c r="V139" s="19"/>
    </row>
    <row r="140" spans="3:22">
      <c r="C140" s="17"/>
      <c r="D140" s="18"/>
      <c r="E140" s="13"/>
      <c r="F140" s="13"/>
      <c r="G140" s="13"/>
      <c r="H140" s="13"/>
      <c r="I140" s="72"/>
      <c r="J140" s="13"/>
      <c r="K140" s="13"/>
      <c r="L140" s="13"/>
      <c r="M140" s="13"/>
      <c r="N140" s="13"/>
      <c r="O140" s="13"/>
      <c r="P140" s="13"/>
      <c r="Q140" s="13"/>
      <c r="R140" s="21"/>
      <c r="S140" s="13"/>
      <c r="T140" s="22"/>
      <c r="U140" s="22"/>
      <c r="V140" s="19"/>
    </row>
    <row r="141" spans="3:22">
      <c r="C141" s="17"/>
      <c r="D141" s="18"/>
      <c r="E141" s="13"/>
      <c r="F141" s="13"/>
      <c r="G141" s="13"/>
      <c r="H141" s="13"/>
      <c r="I141" s="72"/>
      <c r="J141" s="13"/>
      <c r="K141" s="13"/>
      <c r="L141" s="13"/>
      <c r="M141" s="13"/>
      <c r="N141" s="13"/>
      <c r="O141" s="13"/>
      <c r="P141" s="13"/>
      <c r="Q141" s="13"/>
      <c r="R141" s="21"/>
      <c r="S141" s="13"/>
      <c r="T141" s="22"/>
      <c r="U141" s="22"/>
      <c r="V141" s="19"/>
    </row>
    <row r="142" spans="3:22">
      <c r="C142" s="17"/>
      <c r="D142" s="18"/>
      <c r="E142" s="13"/>
      <c r="F142" s="13"/>
      <c r="G142" s="13"/>
      <c r="H142" s="13"/>
      <c r="I142" s="72"/>
      <c r="J142" s="13"/>
      <c r="K142" s="13"/>
      <c r="L142" s="13"/>
      <c r="M142" s="13"/>
      <c r="N142" s="13"/>
      <c r="O142" s="13"/>
      <c r="P142" s="13"/>
      <c r="Q142" s="13"/>
      <c r="R142" s="21"/>
      <c r="S142" s="13"/>
      <c r="T142" s="22"/>
      <c r="U142" s="22"/>
      <c r="V142" s="19"/>
    </row>
    <row r="143" spans="3:22">
      <c r="C143" s="17"/>
      <c r="D143" s="18"/>
      <c r="E143" s="13"/>
      <c r="F143" s="13"/>
      <c r="G143" s="13"/>
      <c r="H143" s="13"/>
      <c r="I143" s="72"/>
      <c r="J143" s="13"/>
      <c r="K143" s="13"/>
      <c r="L143" s="13"/>
      <c r="M143" s="13"/>
      <c r="N143" s="13"/>
      <c r="O143" s="13"/>
      <c r="P143" s="13"/>
      <c r="Q143" s="13"/>
      <c r="R143" s="21"/>
      <c r="S143" s="13"/>
      <c r="T143" s="22"/>
      <c r="U143" s="22"/>
      <c r="V143" s="19"/>
    </row>
    <row r="144" spans="3:22" ht="15" thickBot="1">
      <c r="C144" s="23"/>
      <c r="D144" s="24"/>
      <c r="E144" s="25"/>
      <c r="F144" s="25"/>
      <c r="G144" s="25"/>
      <c r="H144" s="25"/>
      <c r="I144" s="75"/>
      <c r="J144" s="25"/>
      <c r="K144" s="25"/>
      <c r="L144" s="25"/>
      <c r="M144" s="25"/>
      <c r="N144" s="25"/>
      <c r="O144" s="25"/>
      <c r="P144" s="25"/>
      <c r="Q144" s="25"/>
      <c r="R144" s="26"/>
      <c r="S144" s="25"/>
      <c r="T144" s="27"/>
      <c r="U144" s="27"/>
      <c r="V144" s="28"/>
    </row>
  </sheetData>
  <mergeCells count="2">
    <mergeCell ref="C2:D2"/>
    <mergeCell ref="H2:P2"/>
  </mergeCells>
  <conditionalFormatting sqref="U34">
    <cfRule type="cellIs" dxfId="41" priority="17" operator="greaterThan">
      <formula>0</formula>
    </cfRule>
  </conditionalFormatting>
  <conditionalFormatting sqref="S11:S33">
    <cfRule type="cellIs" dxfId="40" priority="16" operator="greaterThan">
      <formula>0</formula>
    </cfRule>
  </conditionalFormatting>
  <conditionalFormatting sqref="T11:U33">
    <cfRule type="cellIs" dxfId="39" priority="15" operator="greaterThan">
      <formula>0</formula>
    </cfRule>
  </conditionalFormatting>
  <conditionalFormatting sqref="S39:S60">
    <cfRule type="cellIs" dxfId="38" priority="14" operator="greaterThan">
      <formula>0</formula>
    </cfRule>
  </conditionalFormatting>
  <conditionalFormatting sqref="T39:U60">
    <cfRule type="cellIs" dxfId="37" priority="13" operator="greaterThan">
      <formula>0</formula>
    </cfRule>
  </conditionalFormatting>
  <conditionalFormatting sqref="S67:S88">
    <cfRule type="cellIs" dxfId="36" priority="12" operator="greaterThan">
      <formula>0</formula>
    </cfRule>
  </conditionalFormatting>
  <conditionalFormatting sqref="T67:U88">
    <cfRule type="cellIs" dxfId="35" priority="11" operator="greaterThan">
      <formula>0</formula>
    </cfRule>
  </conditionalFormatting>
  <conditionalFormatting sqref="K11:K33">
    <cfRule type="cellIs" dxfId="34" priority="9" operator="equal">
      <formula>"max($K$11:$K$32)"</formula>
    </cfRule>
    <cfRule type="cellIs" dxfId="33" priority="10" operator="equal">
      <formula>"max($K$11:$K$32)"</formula>
    </cfRule>
  </conditionalFormatting>
  <conditionalFormatting sqref="S95:S116">
    <cfRule type="cellIs" dxfId="32" priority="8" operator="greaterThan">
      <formula>0</formula>
    </cfRule>
  </conditionalFormatting>
  <conditionalFormatting sqref="T95:U116">
    <cfRule type="cellIs" dxfId="31" priority="7" operator="greaterThan">
      <formula>0</formula>
    </cfRule>
  </conditionalFormatting>
  <conditionalFormatting sqref="S123:S144">
    <cfRule type="cellIs" dxfId="30" priority="6" operator="greaterThan">
      <formula>0</formula>
    </cfRule>
  </conditionalFormatting>
  <conditionalFormatting sqref="T123:U144">
    <cfRule type="cellIs" dxfId="29" priority="5" operator="greaterThan">
      <formula>0</formula>
    </cfRule>
  </conditionalFormatting>
  <conditionalFormatting sqref="T39:T60">
    <cfRule type="top10" dxfId="28" priority="4" rank="1"/>
  </conditionalFormatting>
  <conditionalFormatting sqref="T67:T88">
    <cfRule type="top10" dxfId="27" priority="3" rank="1"/>
  </conditionalFormatting>
  <conditionalFormatting sqref="T95:T116">
    <cfRule type="top10" dxfId="26" priority="2" rank="1"/>
  </conditionalFormatting>
  <conditionalFormatting sqref="T123:T144">
    <cfRule type="top10" dxfId="25" priority="1" rank="1"/>
  </conditionalFormatting>
  <conditionalFormatting sqref="T11:T33">
    <cfRule type="top10" dxfId="24" priority="18" rank="1"/>
    <cfRule type="top10" dxfId="23" priority="19" rank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C650"/>
  <sheetViews>
    <sheetView zoomScale="85" zoomScaleNormal="85" zoomScalePageLayoutView="85" workbookViewId="0">
      <selection activeCell="H17" sqref="H17"/>
    </sheetView>
  </sheetViews>
  <sheetFormatPr baseColWidth="10" defaultColWidth="8.83203125" defaultRowHeight="14" x14ac:dyDescent="0"/>
  <cols>
    <col min="1" max="1" width="5.5" style="5" customWidth="1"/>
    <col min="2" max="2" width="15.5" style="5" bestFit="1" customWidth="1"/>
    <col min="3" max="3" width="13.1640625" style="5" customWidth="1"/>
    <col min="4" max="4" width="12" style="6" customWidth="1"/>
    <col min="5" max="5" width="9.33203125" style="6" bestFit="1" customWidth="1"/>
    <col min="6" max="6" width="9.1640625" style="6" customWidth="1"/>
    <col min="7" max="7" width="13.83203125" style="6" customWidth="1"/>
    <col min="8" max="8" width="13.6640625" style="6" customWidth="1"/>
    <col min="9" max="9" width="16.83203125" style="74" customWidth="1"/>
    <col min="10" max="10" width="8" style="6" bestFit="1" customWidth="1"/>
    <col min="11" max="11" width="8.1640625" style="6" customWidth="1"/>
    <col min="12" max="12" width="14.83203125" style="6" bestFit="1" customWidth="1"/>
    <col min="13" max="13" width="15.5" style="6" bestFit="1" customWidth="1"/>
    <col min="14" max="14" width="16.1640625" style="6" bestFit="1" customWidth="1"/>
    <col min="15" max="15" width="5.5" style="6" bestFit="1" customWidth="1"/>
    <col min="16" max="17" width="5.83203125" style="6" bestFit="1" customWidth="1"/>
    <col min="18" max="18" width="9.83203125" style="6" customWidth="1"/>
    <col min="19" max="19" width="9.1640625" style="6" bestFit="1" customWidth="1"/>
    <col min="20" max="21" width="6.5" style="6" bestFit="1" customWidth="1"/>
    <col min="22" max="22" width="8" style="5" bestFit="1" customWidth="1"/>
    <col min="23" max="23" width="10" style="5" bestFit="1" customWidth="1"/>
    <col min="24" max="24" width="12.6640625" style="5" bestFit="1" customWidth="1"/>
    <col min="25" max="26" width="12" bestFit="1" customWidth="1"/>
    <col min="27" max="28" width="12.6640625" bestFit="1" customWidth="1"/>
  </cols>
  <sheetData>
    <row r="1" spans="3:29" ht="15" thickBot="1"/>
    <row r="2" spans="3:29" ht="15" thickBot="1">
      <c r="C2" s="130" t="s">
        <v>58</v>
      </c>
      <c r="D2" s="131"/>
      <c r="E2" s="11"/>
      <c r="F2" s="13"/>
      <c r="G2" s="13"/>
      <c r="H2" s="132" t="s">
        <v>38</v>
      </c>
      <c r="I2" s="133"/>
      <c r="J2" s="133"/>
      <c r="K2" s="133"/>
      <c r="L2" s="133"/>
      <c r="M2" s="133"/>
      <c r="N2" s="133"/>
      <c r="O2" s="133"/>
      <c r="P2" s="134"/>
      <c r="Q2" s="13"/>
      <c r="R2"/>
      <c r="S2"/>
      <c r="T2"/>
      <c r="U2"/>
      <c r="V2" s="13"/>
      <c r="W2" s="13"/>
      <c r="X2" s="6"/>
      <c r="Y2" s="52"/>
      <c r="Z2" s="52"/>
      <c r="AA2" s="52"/>
      <c r="AB2" s="52"/>
    </row>
    <row r="3" spans="3:29" ht="18" thickBot="1">
      <c r="C3" s="18"/>
      <c r="D3" s="13"/>
      <c r="E3" s="13"/>
      <c r="F3" s="13"/>
      <c r="G3" s="13"/>
      <c r="H3" s="101" t="s">
        <v>4</v>
      </c>
      <c r="I3" s="102" t="s">
        <v>5</v>
      </c>
      <c r="J3" s="103" t="s">
        <v>6</v>
      </c>
      <c r="K3" s="103" t="s">
        <v>31</v>
      </c>
      <c r="L3" s="103" t="s">
        <v>87</v>
      </c>
      <c r="M3" s="103" t="s">
        <v>23</v>
      </c>
      <c r="N3" s="103" t="s">
        <v>26</v>
      </c>
      <c r="O3" s="104" t="s">
        <v>15</v>
      </c>
      <c r="P3" s="66" t="s">
        <v>88</v>
      </c>
      <c r="R3"/>
      <c r="S3"/>
      <c r="T3"/>
      <c r="U3"/>
      <c r="Y3" s="5"/>
      <c r="Z3" s="6"/>
      <c r="AA3" s="52"/>
      <c r="AB3" s="52"/>
      <c r="AC3" s="52"/>
    </row>
    <row r="4" spans="3:29" ht="16" thickTop="1" thickBot="1">
      <c r="C4" s="18"/>
      <c r="D4" s="13"/>
      <c r="E4" s="13"/>
      <c r="F4" s="13"/>
      <c r="G4" s="13"/>
      <c r="H4" s="39">
        <f>SBT!B6</f>
        <v>0.495</v>
      </c>
      <c r="I4" s="75">
        <f>SBT!C9</f>
        <v>0.3</v>
      </c>
      <c r="J4" s="25">
        <f>SBT!D6</f>
        <v>8.1674999999999998E-2</v>
      </c>
      <c r="K4" s="25">
        <f>SBT!E6</f>
        <v>3</v>
      </c>
      <c r="L4" s="25">
        <f>SBT!D9</f>
        <v>0.17999999999999997</v>
      </c>
      <c r="M4" s="25">
        <f>SBT!B16</f>
        <v>1.2192000000000001</v>
      </c>
      <c r="N4" s="25">
        <f>SBT!C16</f>
        <v>4.2671999999999999</v>
      </c>
      <c r="O4" s="25">
        <f>0.5*SBT!$B$26*$J$4*SBT!$C$26^2</f>
        <v>1.81898811084375</v>
      </c>
      <c r="P4" s="37">
        <f>(SBT!$B$12*SBT!$E$23+SBT!$D$23)*0.5*9.81</f>
        <v>1.0079372950819674</v>
      </c>
      <c r="R4"/>
      <c r="S4"/>
      <c r="T4"/>
      <c r="U4"/>
      <c r="X4" s="6"/>
      <c r="Y4" s="5"/>
      <c r="Z4" s="5"/>
    </row>
    <row r="5" spans="3:29">
      <c r="C5" s="18"/>
      <c r="D5" s="13"/>
      <c r="E5" s="13"/>
      <c r="F5" s="13"/>
      <c r="G5" s="13"/>
      <c r="H5" s="13"/>
      <c r="I5" s="72"/>
      <c r="J5" s="13"/>
      <c r="K5" s="13"/>
      <c r="L5" s="13"/>
      <c r="M5" s="13"/>
      <c r="N5" s="13"/>
      <c r="O5" s="13"/>
      <c r="R5"/>
      <c r="S5"/>
      <c r="T5"/>
      <c r="U5"/>
      <c r="X5" s="6"/>
      <c r="Y5" s="5"/>
      <c r="Z5" s="5"/>
    </row>
    <row r="6" spans="3:29" ht="15" thickBot="1">
      <c r="C6" s="18"/>
      <c r="D6" s="13"/>
      <c r="E6" s="13"/>
      <c r="F6" s="34"/>
      <c r="G6" s="13"/>
      <c r="H6" s="13"/>
      <c r="I6" s="72"/>
      <c r="J6" s="13"/>
      <c r="K6" s="13"/>
      <c r="L6" s="13"/>
      <c r="M6" s="13"/>
      <c r="N6" s="13"/>
      <c r="O6" s="13"/>
      <c r="P6" s="13"/>
      <c r="Q6" s="13"/>
      <c r="R6" s="13"/>
      <c r="S6" s="13"/>
      <c r="T6" s="18"/>
      <c r="U6" s="18"/>
      <c r="V6" s="18"/>
      <c r="W6" s="13"/>
      <c r="X6" s="6"/>
      <c r="Y6" s="5"/>
      <c r="Z6" s="5"/>
    </row>
    <row r="7" spans="3:29" ht="17" thickBot="1">
      <c r="C7" s="42" t="s">
        <v>36</v>
      </c>
      <c r="D7" s="43" t="s">
        <v>37</v>
      </c>
      <c r="E7" s="35" t="s">
        <v>24</v>
      </c>
      <c r="F7" s="36" t="s">
        <v>29</v>
      </c>
      <c r="G7" s="36" t="s">
        <v>30</v>
      </c>
      <c r="H7" s="97" t="s">
        <v>56</v>
      </c>
      <c r="I7" s="36" t="s">
        <v>77</v>
      </c>
      <c r="J7" s="36" t="s">
        <v>80</v>
      </c>
      <c r="K7" s="36" t="s">
        <v>81</v>
      </c>
      <c r="L7" s="110" t="s">
        <v>92</v>
      </c>
      <c r="M7" s="36" t="s">
        <v>89</v>
      </c>
      <c r="N7" s="36" t="s">
        <v>90</v>
      </c>
      <c r="O7" s="38" t="s">
        <v>91</v>
      </c>
      <c r="P7" s="15"/>
      <c r="Q7" s="15"/>
      <c r="R7" s="15"/>
      <c r="S7" s="15"/>
      <c r="T7" s="40"/>
      <c r="U7" s="40"/>
      <c r="V7" s="16"/>
      <c r="W7" s="6"/>
      <c r="Y7" s="5"/>
    </row>
    <row r="8" spans="3:29" ht="16" thickTop="1" thickBot="1">
      <c r="C8" s="44">
        <v>0</v>
      </c>
      <c r="D8" s="45">
        <f>MAX(T11:T38)</f>
        <v>1.6573113846833336</v>
      </c>
      <c r="E8" s="25">
        <f>$M$4-H8</f>
        <v>1.0900748498602759</v>
      </c>
      <c r="F8" s="25">
        <f>MAX(N11:N38)</f>
        <v>2.3795277286388599</v>
      </c>
      <c r="G8" s="25">
        <f>F8*$L$4</f>
        <v>0.42831499115499472</v>
      </c>
      <c r="H8" s="75">
        <f>(-N8+SQRT(N8^2-4*$P$4*O8))/(2*$P$4)</f>
        <v>0.12912515013972417</v>
      </c>
      <c r="I8" s="25">
        <f>$H$4*SBT!$C$23</f>
        <v>4.4225409836065571E-2</v>
      </c>
      <c r="J8" s="25">
        <f>I8+SBT!$B$23</f>
        <v>0.19422540983606557</v>
      </c>
      <c r="K8" s="25">
        <f>SBT!$B$12*H8</f>
        <v>0.16786269518164143</v>
      </c>
      <c r="L8" s="25">
        <f>(F8*$L$4-(SBT!$F$23*K8+0.5*SBT!$E$23*K8^2)*9.81)/(J8*9.81)</f>
        <v>7.1821530821769217E-2</v>
      </c>
      <c r="M8" s="79">
        <f>J8+SBT!$F$23+2*SBT!$G$23+H8*SBT!$D$23+K8*SBT!$E$23</f>
        <v>0.67625956978690893</v>
      </c>
      <c r="N8" s="25">
        <f>(SBT!$G$23+(SBT!$F$23+J8)*0.5)*9.81</f>
        <v>3.1869031352459021</v>
      </c>
      <c r="O8" s="37">
        <f>-F8*$L$4</f>
        <v>-0.42831499115499472</v>
      </c>
      <c r="P8" s="13"/>
      <c r="Q8" s="13"/>
      <c r="R8" s="13"/>
      <c r="S8" s="13"/>
      <c r="T8" s="13"/>
      <c r="U8" s="13"/>
      <c r="V8" s="19"/>
      <c r="X8"/>
    </row>
    <row r="9" spans="3:29">
      <c r="C9" s="41"/>
      <c r="D9" s="13"/>
      <c r="E9" s="13"/>
      <c r="F9" s="13"/>
      <c r="G9" s="13"/>
      <c r="H9" s="13"/>
      <c r="I9" s="76"/>
      <c r="J9" s="18"/>
      <c r="K9" s="18"/>
      <c r="L9" s="13"/>
      <c r="M9" s="13"/>
      <c r="N9" s="13"/>
      <c r="O9" s="13"/>
      <c r="P9" s="13"/>
      <c r="Q9" s="13"/>
      <c r="R9" s="13"/>
      <c r="S9" s="13"/>
      <c r="T9" s="13"/>
      <c r="U9" s="13"/>
      <c r="V9" s="19"/>
      <c r="X9"/>
    </row>
    <row r="10" spans="3:29" ht="17" thickBot="1">
      <c r="C10" s="47" t="s">
        <v>40</v>
      </c>
      <c r="D10" s="48" t="s">
        <v>42</v>
      </c>
      <c r="E10" s="30" t="s">
        <v>35</v>
      </c>
      <c r="F10" s="29" t="s">
        <v>34</v>
      </c>
      <c r="G10" s="29" t="s">
        <v>41</v>
      </c>
      <c r="H10" s="29" t="s">
        <v>7</v>
      </c>
      <c r="I10" s="70" t="s">
        <v>16</v>
      </c>
      <c r="J10" s="71" t="s">
        <v>17</v>
      </c>
      <c r="K10" s="29" t="s">
        <v>18</v>
      </c>
      <c r="L10" s="46" t="s">
        <v>39</v>
      </c>
      <c r="M10" s="31" t="s">
        <v>10</v>
      </c>
      <c r="N10" s="31" t="s">
        <v>13</v>
      </c>
      <c r="O10" s="31" t="s">
        <v>14</v>
      </c>
      <c r="P10" s="31" t="s">
        <v>8</v>
      </c>
      <c r="Q10" s="31" t="s">
        <v>9</v>
      </c>
      <c r="R10" s="31" t="s">
        <v>19</v>
      </c>
      <c r="S10" s="31" t="s">
        <v>25</v>
      </c>
      <c r="T10" s="32" t="s">
        <v>27</v>
      </c>
      <c r="U10" s="32"/>
      <c r="V10" s="33"/>
      <c r="X10"/>
    </row>
    <row r="11" spans="3:29" ht="15" thickTop="1">
      <c r="C11" s="49">
        <v>4.4221524493702082</v>
      </c>
      <c r="D11" s="10">
        <v>0</v>
      </c>
      <c r="E11" s="7">
        <f>$K$4/(2+SQRT(4+$K$4^2))</f>
        <v>0.53518375848799637</v>
      </c>
      <c r="F11" s="7">
        <f>C11*E11</f>
        <v>2.3666641684608472</v>
      </c>
      <c r="G11" s="12">
        <f>D11*E11</f>
        <v>0</v>
      </c>
      <c r="H11" s="14">
        <f>F11*PI()/180</f>
        <v>4.1306082028615521E-2</v>
      </c>
      <c r="I11" s="72">
        <f t="shared" ref="I11:I33" si="0">0.5*ATAN(K11)*180/PI()-J11</f>
        <v>0</v>
      </c>
      <c r="J11" s="13">
        <v>0</v>
      </c>
      <c r="K11" s="13">
        <f t="shared" ref="K11:K33" si="1">L11/M11</f>
        <v>0</v>
      </c>
      <c r="L11" s="13">
        <f>$H$11*J11+$G$11</f>
        <v>0</v>
      </c>
      <c r="M11" s="13">
        <f t="shared" ref="M11:M33" si="2">0.015+0.1572*(L11^2)</f>
        <v>1.4999999999999999E-2</v>
      </c>
      <c r="N11" s="13">
        <f t="shared" ref="N11:O31" si="3">$N$4*L11</f>
        <v>0</v>
      </c>
      <c r="O11" s="13">
        <f t="shared" si="3"/>
        <v>6.4007999999999995E-2</v>
      </c>
      <c r="P11" s="13">
        <f>((N11*COS(I11+J11)+O11*SIN(I11+J11))*SIN(J11+I11)-O11)/$M$8</f>
        <v>-9.4650046904576998E-2</v>
      </c>
      <c r="Q11" s="13">
        <f t="shared" ref="Q11:Q33" si="4">P11*TAN(I11+J11)</f>
        <v>0</v>
      </c>
      <c r="R11" s="21">
        <f t="shared" ref="R11:R33" si="5">IF(ISERROR(SQRT(2*$E$8/Q11)),0,SQRT(2*$E$8/Q11))</f>
        <v>0</v>
      </c>
      <c r="S11" s="13">
        <f t="shared" ref="S11:S33" si="6">0.5*P11*R11^2</f>
        <v>0</v>
      </c>
      <c r="T11" s="22">
        <f t="shared" ref="T11:T33" si="7">R11*P11</f>
        <v>0</v>
      </c>
      <c r="U11" s="22"/>
      <c r="V11" s="19"/>
      <c r="X11"/>
    </row>
    <row r="12" spans="3:29">
      <c r="C12" s="17"/>
      <c r="D12" s="18"/>
      <c r="E12" s="13"/>
      <c r="F12" s="13"/>
      <c r="G12" s="13"/>
      <c r="H12" s="13"/>
      <c r="I12" s="72">
        <f t="shared" si="0"/>
        <v>26.44402704875456</v>
      </c>
      <c r="J12" s="13">
        <f>J11+0.5</f>
        <v>0.5</v>
      </c>
      <c r="K12" s="13">
        <f t="shared" si="1"/>
        <v>1.3707418775493112</v>
      </c>
      <c r="L12" s="13">
        <f t="shared" ref="L12:L33" si="8">$H$11*J12+$G$11</f>
        <v>2.065304101430776E-2</v>
      </c>
      <c r="M12" s="13">
        <f t="shared" si="2"/>
        <v>1.5067053361813399E-2</v>
      </c>
      <c r="N12" s="13">
        <f t="shared" si="3"/>
        <v>8.8130656616254077E-2</v>
      </c>
      <c r="O12" s="13">
        <f t="shared" si="3"/>
        <v>6.4294130105530131E-2</v>
      </c>
      <c r="P12" s="13">
        <f t="shared" ref="P12:P38" si="9">((N12*COS(I12+J12)+O12*SIN(I12+J12))*SIN(J12+I12)-O12)/$M$8</f>
        <v>-3.5539657876959799E-2</v>
      </c>
      <c r="Q12" s="13">
        <f t="shared" si="4"/>
        <v>0.14492048431863738</v>
      </c>
      <c r="R12" s="21">
        <f t="shared" si="5"/>
        <v>3.8786292592378104</v>
      </c>
      <c r="S12" s="13">
        <f t="shared" si="6"/>
        <v>-0.26732512940774295</v>
      </c>
      <c r="T12" s="22">
        <f t="shared" si="7"/>
        <v>-0.13784515690487781</v>
      </c>
      <c r="U12" s="22"/>
      <c r="V12" s="19"/>
      <c r="X12"/>
    </row>
    <row r="13" spans="3:29">
      <c r="C13" s="20"/>
      <c r="D13" s="11"/>
      <c r="E13" s="13"/>
      <c r="F13" s="13"/>
      <c r="G13" s="13"/>
      <c r="H13" s="13"/>
      <c r="I13" s="72">
        <f t="shared" si="0"/>
        <v>33.856937303029113</v>
      </c>
      <c r="J13" s="13">
        <f t="shared" ref="J13:J38" si="10">J12+0.5</f>
        <v>1</v>
      </c>
      <c r="K13" s="13">
        <f t="shared" si="1"/>
        <v>2.7053644600472579</v>
      </c>
      <c r="L13" s="13">
        <f t="shared" si="8"/>
        <v>4.1306082028615521E-2</v>
      </c>
      <c r="M13" s="13">
        <f t="shared" si="2"/>
        <v>1.52682134472536E-2</v>
      </c>
      <c r="N13" s="13">
        <f t="shared" si="3"/>
        <v>0.17626131323250815</v>
      </c>
      <c r="O13" s="13">
        <f t="shared" si="3"/>
        <v>6.5152520422120552E-2</v>
      </c>
      <c r="P13" s="13">
        <f t="shared" si="9"/>
        <v>-1.4500892979200491E-2</v>
      </c>
      <c r="Q13" s="13">
        <f t="shared" si="4"/>
        <v>-4.4764082287693128E-3</v>
      </c>
      <c r="R13" s="21">
        <f t="shared" si="5"/>
        <v>0</v>
      </c>
      <c r="S13" s="13">
        <f t="shared" si="6"/>
        <v>0</v>
      </c>
      <c r="T13" s="22">
        <f t="shared" si="7"/>
        <v>0</v>
      </c>
      <c r="U13" s="22"/>
      <c r="V13" s="19"/>
      <c r="X13"/>
    </row>
    <row r="14" spans="3:29">
      <c r="C14" s="17"/>
      <c r="D14" s="18"/>
      <c r="E14" s="13"/>
      <c r="F14" s="13"/>
      <c r="G14" s="13"/>
      <c r="H14" s="13"/>
      <c r="I14" s="72">
        <f t="shared" si="0"/>
        <v>36.432421118754945</v>
      </c>
      <c r="J14" s="13">
        <f t="shared" si="10"/>
        <v>1.5</v>
      </c>
      <c r="K14" s="13">
        <f t="shared" si="1"/>
        <v>3.9708527857318949</v>
      </c>
      <c r="L14" s="13">
        <f t="shared" si="8"/>
        <v>6.1959123042923281E-2</v>
      </c>
      <c r="M14" s="13">
        <f t="shared" si="2"/>
        <v>1.5603480256320601E-2</v>
      </c>
      <c r="N14" s="13">
        <f t="shared" si="3"/>
        <v>0.26439196984876223</v>
      </c>
      <c r="O14" s="13">
        <f t="shared" si="3"/>
        <v>6.6583170949771273E-2</v>
      </c>
      <c r="P14" s="13">
        <f t="shared" si="9"/>
        <v>-5.2542799473807942E-3</v>
      </c>
      <c r="Q14" s="13">
        <f t="shared" si="4"/>
        <v>-1.2486101807262999E-3</v>
      </c>
      <c r="R14" s="21">
        <f t="shared" si="5"/>
        <v>0</v>
      </c>
      <c r="S14" s="13">
        <f t="shared" si="6"/>
        <v>0</v>
      </c>
      <c r="T14" s="22">
        <f t="shared" si="7"/>
        <v>0</v>
      </c>
      <c r="U14" s="22"/>
      <c r="V14" s="19"/>
      <c r="X14"/>
    </row>
    <row r="15" spans="3:29">
      <c r="C15" s="17"/>
      <c r="D15" s="13"/>
      <c r="E15" s="13"/>
      <c r="F15" s="13"/>
      <c r="G15" s="13"/>
      <c r="H15" s="13"/>
      <c r="I15" s="72">
        <f t="shared" si="0"/>
        <v>37.495096240625095</v>
      </c>
      <c r="J15" s="13">
        <f t="shared" si="10"/>
        <v>2</v>
      </c>
      <c r="K15" s="13">
        <f t="shared" si="1"/>
        <v>5.1398566266866332</v>
      </c>
      <c r="L15" s="13">
        <f t="shared" si="8"/>
        <v>8.2612164057231041E-2</v>
      </c>
      <c r="M15" s="13">
        <f t="shared" si="2"/>
        <v>1.6072853789014404E-2</v>
      </c>
      <c r="N15" s="13">
        <f t="shared" si="3"/>
        <v>0.35252262646501631</v>
      </c>
      <c r="O15" s="13">
        <f t="shared" si="3"/>
        <v>6.8586081688482264E-2</v>
      </c>
      <c r="P15" s="13">
        <f t="shared" si="9"/>
        <v>-0.11851495747087784</v>
      </c>
      <c r="Q15" s="13">
        <f t="shared" si="4"/>
        <v>0.51736695967064061</v>
      </c>
      <c r="R15" s="21">
        <f t="shared" si="5"/>
        <v>2.0527866403569845</v>
      </c>
      <c r="S15" s="13">
        <f t="shared" si="6"/>
        <v>-0.24970704459656162</v>
      </c>
      <c r="T15" s="22">
        <f t="shared" si="7"/>
        <v>-0.24328592137869423</v>
      </c>
      <c r="U15" s="22"/>
      <c r="V15" s="19"/>
      <c r="X15"/>
    </row>
    <row r="16" spans="3:29">
      <c r="C16" s="17"/>
      <c r="D16" s="13"/>
      <c r="E16" s="13"/>
      <c r="F16" s="13"/>
      <c r="G16" s="13"/>
      <c r="H16" s="13"/>
      <c r="I16" s="72">
        <f t="shared" si="0"/>
        <v>37.91324159999315</v>
      </c>
      <c r="J16" s="13">
        <f t="shared" si="10"/>
        <v>2.5</v>
      </c>
      <c r="K16" s="13">
        <f t="shared" si="1"/>
        <v>6.1923204938693299</v>
      </c>
      <c r="L16" s="13">
        <f t="shared" si="8"/>
        <v>0.1032652050715388</v>
      </c>
      <c r="M16" s="13">
        <f t="shared" si="2"/>
        <v>1.6676334045335008E-2</v>
      </c>
      <c r="N16" s="13">
        <f t="shared" si="3"/>
        <v>0.44065328308127039</v>
      </c>
      <c r="O16" s="13">
        <f t="shared" si="3"/>
        <v>7.1161252638253542E-2</v>
      </c>
      <c r="P16" s="13">
        <f t="shared" si="9"/>
        <v>-0.33296775457635253</v>
      </c>
      <c r="Q16" s="13">
        <f t="shared" si="4"/>
        <v>0.15168474095187476</v>
      </c>
      <c r="R16" s="21">
        <f t="shared" si="5"/>
        <v>3.7911608473154867</v>
      </c>
      <c r="S16" s="13">
        <f t="shared" si="6"/>
        <v>-2.392856214807312</v>
      </c>
      <c r="T16" s="22">
        <f t="shared" si="7"/>
        <v>-1.2623343145684196</v>
      </c>
      <c r="U16" s="22"/>
      <c r="V16" s="19"/>
      <c r="X16"/>
    </row>
    <row r="17" spans="3:24">
      <c r="C17" s="17"/>
      <c r="D17" s="13"/>
      <c r="E17" s="13"/>
      <c r="F17" s="13"/>
      <c r="G17" s="13"/>
      <c r="H17" s="13"/>
      <c r="I17" s="72">
        <f t="shared" si="0"/>
        <v>38.000374680904329</v>
      </c>
      <c r="J17" s="13">
        <f t="shared" si="10"/>
        <v>3</v>
      </c>
      <c r="K17" s="13">
        <f t="shared" si="1"/>
        <v>7.1160450254676011</v>
      </c>
      <c r="L17" s="13">
        <f t="shared" si="8"/>
        <v>0.12391824608584656</v>
      </c>
      <c r="M17" s="13">
        <f t="shared" si="2"/>
        <v>1.741392102528241E-2</v>
      </c>
      <c r="N17" s="13">
        <f t="shared" si="3"/>
        <v>0.52878393969752446</v>
      </c>
      <c r="O17" s="13">
        <f t="shared" si="3"/>
        <v>7.4308683799085104E-2</v>
      </c>
      <c r="P17" s="13">
        <f t="shared" si="9"/>
        <v>1.5634596809572146E-2</v>
      </c>
      <c r="Q17" s="13">
        <f t="shared" si="4"/>
        <v>2.5178122534828423E-3</v>
      </c>
      <c r="R17" s="21">
        <f t="shared" si="5"/>
        <v>29.426017322950717</v>
      </c>
      <c r="S17" s="13">
        <f t="shared" si="6"/>
        <v>6.7689243891180553</v>
      </c>
      <c r="T17" s="22">
        <f t="shared" si="7"/>
        <v>0.46006391655581996</v>
      </c>
      <c r="U17" s="22"/>
      <c r="V17" s="19"/>
      <c r="X17"/>
    </row>
    <row r="18" spans="3:24">
      <c r="C18" s="17"/>
      <c r="D18" s="13"/>
      <c r="E18" s="13"/>
      <c r="F18" s="13"/>
      <c r="G18" s="13"/>
      <c r="H18" s="13"/>
      <c r="I18" s="72">
        <f t="shared" si="0"/>
        <v>37.895706387044918</v>
      </c>
      <c r="J18" s="13">
        <f t="shared" si="10"/>
        <v>3.5</v>
      </c>
      <c r="K18" s="13">
        <f t="shared" si="1"/>
        <v>7.9062853091838203</v>
      </c>
      <c r="L18" s="13">
        <f t="shared" si="8"/>
        <v>0.14457128710015432</v>
      </c>
      <c r="M18" s="13">
        <f t="shared" si="2"/>
        <v>1.8285614728856613E-2</v>
      </c>
      <c r="N18" s="13">
        <f t="shared" si="3"/>
        <v>0.61691459631377854</v>
      </c>
      <c r="O18" s="13">
        <f t="shared" si="3"/>
        <v>7.8028375170976938E-2</v>
      </c>
      <c r="P18" s="13">
        <f t="shared" si="9"/>
        <v>0.32520523426613501</v>
      </c>
      <c r="Q18" s="13">
        <f t="shared" si="4"/>
        <v>0.20163001994283339</v>
      </c>
      <c r="R18" s="21">
        <f t="shared" si="5"/>
        <v>3.2882555451952449</v>
      </c>
      <c r="S18" s="13">
        <f t="shared" si="6"/>
        <v>1.7581610467376885</v>
      </c>
      <c r="T18" s="22">
        <f t="shared" si="7"/>
        <v>1.0693579149021371</v>
      </c>
      <c r="U18" s="22"/>
      <c r="V18" s="19"/>
      <c r="X18"/>
    </row>
    <row r="19" spans="3:24">
      <c r="C19" s="17"/>
      <c r="D19" s="13"/>
      <c r="E19" s="13"/>
      <c r="F19" s="13"/>
      <c r="G19" s="13"/>
      <c r="H19" s="13"/>
      <c r="I19" s="72">
        <f t="shared" si="0"/>
        <v>37.67017995141164</v>
      </c>
      <c r="J19" s="13">
        <f t="shared" si="10"/>
        <v>4</v>
      </c>
      <c r="K19" s="13">
        <f t="shared" si="1"/>
        <v>8.5646556656358452</v>
      </c>
      <c r="L19" s="13">
        <f t="shared" si="8"/>
        <v>0.16522432811446208</v>
      </c>
      <c r="M19" s="13">
        <f t="shared" si="2"/>
        <v>1.9291415156057617E-2</v>
      </c>
      <c r="N19" s="13">
        <f t="shared" si="3"/>
        <v>0.70504525293003262</v>
      </c>
      <c r="O19" s="13">
        <f t="shared" si="3"/>
        <v>8.2320326753929057E-2</v>
      </c>
      <c r="P19" s="13">
        <f t="shared" si="9"/>
        <v>0.46375290776771949</v>
      </c>
      <c r="Q19" s="13">
        <f t="shared" si="4"/>
        <v>0.50654890170271805</v>
      </c>
      <c r="R19" s="21">
        <f t="shared" si="5"/>
        <v>2.0745909004974101</v>
      </c>
      <c r="S19" s="13">
        <f t="shared" si="6"/>
        <v>0.99797942431201736</v>
      </c>
      <c r="T19" s="22">
        <f t="shared" si="7"/>
        <v>0.96209756253412559</v>
      </c>
      <c r="U19" s="22"/>
      <c r="V19" s="19"/>
      <c r="X19"/>
    </row>
    <row r="20" spans="3:24">
      <c r="C20" s="17"/>
      <c r="D20" s="18"/>
      <c r="E20" s="13"/>
      <c r="F20" s="13"/>
      <c r="G20" s="13"/>
      <c r="H20" s="13"/>
      <c r="I20" s="72">
        <f t="shared" si="0"/>
        <v>37.363663648723886</v>
      </c>
      <c r="J20" s="13">
        <f t="shared" si="10"/>
        <v>4.5</v>
      </c>
      <c r="K20" s="13">
        <f t="shared" si="1"/>
        <v>9.0976671180077542</v>
      </c>
      <c r="L20" s="13">
        <f t="shared" si="8"/>
        <v>0.18587736912876984</v>
      </c>
      <c r="M20" s="13">
        <f t="shared" si="2"/>
        <v>2.0431322306885422E-2</v>
      </c>
      <c r="N20" s="13">
        <f t="shared" si="3"/>
        <v>0.79317590954628669</v>
      </c>
      <c r="O20" s="13">
        <f t="shared" si="3"/>
        <v>8.7184538547941462E-2</v>
      </c>
      <c r="P20" s="13">
        <f t="shared" si="9"/>
        <v>0.48651368503552217</v>
      </c>
      <c r="Q20" s="13">
        <f t="shared" si="4"/>
        <v>0.79738913949052725</v>
      </c>
      <c r="R20" s="21">
        <f t="shared" si="5"/>
        <v>1.6535144691718635</v>
      </c>
      <c r="S20" s="13">
        <f t="shared" si="6"/>
        <v>0.66509098996371097</v>
      </c>
      <c r="T20" s="22">
        <f t="shared" si="7"/>
        <v>0.80445741765635859</v>
      </c>
      <c r="U20" s="22"/>
      <c r="V20" s="19"/>
      <c r="X20"/>
    </row>
    <row r="21" spans="3:24">
      <c r="C21" s="17"/>
      <c r="D21" s="22"/>
      <c r="E21" s="13"/>
      <c r="F21" s="13"/>
      <c r="G21" s="13"/>
      <c r="H21" s="13"/>
      <c r="I21" s="72">
        <f t="shared" si="0"/>
        <v>37.000258562291698</v>
      </c>
      <c r="J21" s="13">
        <f t="shared" si="10"/>
        <v>5</v>
      </c>
      <c r="K21" s="13">
        <f t="shared" si="1"/>
        <v>9.5151905696181203</v>
      </c>
      <c r="L21" s="13">
        <f t="shared" si="8"/>
        <v>0.2065304101430776</v>
      </c>
      <c r="M21" s="13">
        <f t="shared" si="2"/>
        <v>2.1705336181340025E-2</v>
      </c>
      <c r="N21" s="13">
        <f t="shared" si="3"/>
        <v>0.88130656616254077</v>
      </c>
      <c r="O21" s="13">
        <f t="shared" si="3"/>
        <v>9.2621010553014152E-2</v>
      </c>
      <c r="P21" s="13">
        <f t="shared" si="9"/>
        <v>0.45563421848583813</v>
      </c>
      <c r="Q21" s="13">
        <f t="shared" si="4"/>
        <v>1.0447715792189138</v>
      </c>
      <c r="R21" s="21">
        <f t="shared" si="5"/>
        <v>1.4445496809270537</v>
      </c>
      <c r="S21" s="13">
        <f t="shared" si="6"/>
        <v>0.4753913794998863</v>
      </c>
      <c r="T21" s="22">
        <f t="shared" si="7"/>
        <v>0.6581862649331649</v>
      </c>
      <c r="U21" s="22"/>
      <c r="V21" s="19"/>
      <c r="X21"/>
    </row>
    <row r="22" spans="3:24">
      <c r="C22" s="17"/>
      <c r="D22" s="18"/>
      <c r="E22" s="13"/>
      <c r="F22" s="13"/>
      <c r="G22" s="13"/>
      <c r="H22" s="13"/>
      <c r="I22" s="72">
        <f t="shared" si="0"/>
        <v>36.595381597574104</v>
      </c>
      <c r="J22" s="13">
        <f t="shared" si="10"/>
        <v>5.5</v>
      </c>
      <c r="K22" s="13">
        <f t="shared" si="1"/>
        <v>9.8290555724946032</v>
      </c>
      <c r="L22" s="13">
        <f t="shared" si="8"/>
        <v>0.22718345115738536</v>
      </c>
      <c r="M22" s="13">
        <f t="shared" si="2"/>
        <v>2.3113456779421431E-2</v>
      </c>
      <c r="N22" s="13">
        <f t="shared" si="3"/>
        <v>0.96943722277879485</v>
      </c>
      <c r="O22" s="13">
        <f t="shared" si="3"/>
        <v>9.8629742769147127E-2</v>
      </c>
      <c r="P22" s="13">
        <f t="shared" si="9"/>
        <v>0.40947768721951416</v>
      </c>
      <c r="Q22" s="13">
        <f t="shared" si="4"/>
        <v>1.2518886008751771</v>
      </c>
      <c r="R22" s="21">
        <f t="shared" si="5"/>
        <v>1.3196547193466857</v>
      </c>
      <c r="S22" s="13">
        <f t="shared" si="6"/>
        <v>0.35655035767950932</v>
      </c>
      <c r="T22" s="22">
        <f t="shared" si="7"/>
        <v>0.54036916240639787</v>
      </c>
      <c r="U22" s="22"/>
      <c r="V22" s="19"/>
      <c r="X22"/>
    </row>
    <row r="23" spans="3:24">
      <c r="C23" s="17"/>
      <c r="D23" s="18"/>
      <c r="E23" s="13"/>
      <c r="F23" s="13"/>
      <c r="G23" s="13"/>
      <c r="H23" s="13"/>
      <c r="I23" s="72">
        <f t="shared" si="0"/>
        <v>36.159349456173345</v>
      </c>
      <c r="J23" s="13">
        <f t="shared" si="10"/>
        <v>6</v>
      </c>
      <c r="K23" s="13">
        <f t="shared" si="1"/>
        <v>10.051900858039389</v>
      </c>
      <c r="L23" s="13">
        <f t="shared" si="8"/>
        <v>0.24783649217169312</v>
      </c>
      <c r="M23" s="13">
        <f t="shared" si="2"/>
        <v>2.4655684101129637E-2</v>
      </c>
      <c r="N23" s="13">
        <f t="shared" si="3"/>
        <v>1.0575678793950489</v>
      </c>
      <c r="O23" s="13">
        <f t="shared" si="3"/>
        <v>0.10521073519634039</v>
      </c>
      <c r="P23" s="13">
        <f t="shared" si="9"/>
        <v>0.36813986260030068</v>
      </c>
      <c r="Q23" s="13">
        <f t="shared" si="4"/>
        <v>1.4289212267898443</v>
      </c>
      <c r="R23" s="21">
        <f t="shared" si="5"/>
        <v>1.2352049227416566</v>
      </c>
      <c r="S23" s="13">
        <f t="shared" si="6"/>
        <v>0.28084123738097821</v>
      </c>
      <c r="T23" s="22">
        <f t="shared" si="7"/>
        <v>0.45472817054132847</v>
      </c>
      <c r="U23" s="22"/>
      <c r="V23" s="19"/>
      <c r="X23"/>
    </row>
    <row r="24" spans="3:24">
      <c r="C24" s="17"/>
      <c r="D24" s="18"/>
      <c r="E24" s="13"/>
      <c r="F24" s="13"/>
      <c r="G24" s="13"/>
      <c r="H24" s="13"/>
      <c r="I24" s="72">
        <f t="shared" si="0"/>
        <v>35.699324759400476</v>
      </c>
      <c r="J24" s="13">
        <f t="shared" si="10"/>
        <v>6.5</v>
      </c>
      <c r="K24" s="13">
        <f t="shared" si="1"/>
        <v>10.196314300430803</v>
      </c>
      <c r="L24" s="13">
        <f t="shared" si="8"/>
        <v>0.26848953318600088</v>
      </c>
      <c r="M24" s="13">
        <f t="shared" si="2"/>
        <v>2.6332018146464645E-2</v>
      </c>
      <c r="N24" s="13">
        <f t="shared" si="3"/>
        <v>1.145698536011303</v>
      </c>
      <c r="O24" s="13">
        <f t="shared" si="3"/>
        <v>0.11236398783459393</v>
      </c>
      <c r="P24" s="13">
        <f t="shared" si="9"/>
        <v>0.34140214519096551</v>
      </c>
      <c r="Q24" s="13">
        <f t="shared" si="4"/>
        <v>1.5848326076713177</v>
      </c>
      <c r="R24" s="21">
        <f t="shared" si="5"/>
        <v>1.1728742689083616</v>
      </c>
      <c r="S24" s="13">
        <f t="shared" si="6"/>
        <v>0.23482220794778083</v>
      </c>
      <c r="T24" s="22">
        <f t="shared" si="7"/>
        <v>0.40042179144459999</v>
      </c>
      <c r="U24" s="22"/>
      <c r="V24" s="19"/>
      <c r="X24"/>
    </row>
    <row r="25" spans="3:24">
      <c r="C25" s="17"/>
      <c r="D25" s="18"/>
      <c r="E25" s="13"/>
      <c r="F25" s="13"/>
      <c r="G25" s="13"/>
      <c r="H25" s="13"/>
      <c r="I25" s="72">
        <f t="shared" si="0"/>
        <v>35.220434996496166</v>
      </c>
      <c r="J25" s="13">
        <f t="shared" si="10"/>
        <v>7</v>
      </c>
      <c r="K25" s="13">
        <f t="shared" si="1"/>
        <v>10.274247004117095</v>
      </c>
      <c r="L25" s="13">
        <f t="shared" si="8"/>
        <v>0.28914257420030864</v>
      </c>
      <c r="M25" s="13">
        <f t="shared" si="2"/>
        <v>2.8142458915426452E-2</v>
      </c>
      <c r="N25" s="13">
        <f t="shared" si="3"/>
        <v>1.2338291926275571</v>
      </c>
      <c r="O25" s="13">
        <f t="shared" si="3"/>
        <v>0.12008950068390775</v>
      </c>
      <c r="P25" s="13">
        <f t="shared" si="9"/>
        <v>0.3337713257801555</v>
      </c>
      <c r="Q25" s="13">
        <f t="shared" si="4"/>
        <v>1.7255824497006367</v>
      </c>
      <c r="R25" s="21">
        <f t="shared" si="5"/>
        <v>1.1240232645706874</v>
      </c>
      <c r="S25" s="13">
        <f t="shared" si="6"/>
        <v>0.21084806924212079</v>
      </c>
      <c r="T25" s="22">
        <f t="shared" si="7"/>
        <v>0.37516673522349681</v>
      </c>
      <c r="U25" s="22"/>
      <c r="V25" s="19"/>
      <c r="X25"/>
    </row>
    <row r="26" spans="3:24">
      <c r="C26" s="17"/>
      <c r="D26" s="18"/>
      <c r="E26" s="13"/>
      <c r="F26" s="13"/>
      <c r="G26" s="13"/>
      <c r="H26" s="13"/>
      <c r="I26" s="72">
        <f t="shared" si="0"/>
        <v>34.726447031963019</v>
      </c>
      <c r="J26" s="13">
        <f t="shared" si="10"/>
        <v>7.5</v>
      </c>
      <c r="K26" s="13">
        <f t="shared" si="1"/>
        <v>10.29665799958377</v>
      </c>
      <c r="L26" s="13">
        <f t="shared" si="8"/>
        <v>0.3097956152146164</v>
      </c>
      <c r="M26" s="13">
        <f t="shared" si="2"/>
        <v>3.0087006408015059E-2</v>
      </c>
      <c r="N26" s="13">
        <f t="shared" si="3"/>
        <v>1.3219598492438112</v>
      </c>
      <c r="O26" s="13">
        <f t="shared" si="3"/>
        <v>0.12838727374428185</v>
      </c>
      <c r="P26" s="13">
        <f t="shared" si="9"/>
        <v>0.34711551087114362</v>
      </c>
      <c r="Q26" s="13">
        <f t="shared" si="4"/>
        <v>1.8542939320571177</v>
      </c>
      <c r="R26" s="21">
        <f t="shared" si="5"/>
        <v>1.0843110138685241</v>
      </c>
      <c r="S26" s="13">
        <f t="shared" si="6"/>
        <v>0.20405712484711919</v>
      </c>
      <c r="T26" s="22">
        <f t="shared" si="7"/>
        <v>0.37638117152218042</v>
      </c>
      <c r="U26" s="22"/>
      <c r="V26" s="19"/>
      <c r="X26"/>
    </row>
    <row r="27" spans="3:24">
      <c r="C27" s="17"/>
      <c r="D27" s="18"/>
      <c r="E27" s="13"/>
      <c r="F27" s="13"/>
      <c r="G27" s="13"/>
      <c r="H27" s="13"/>
      <c r="I27" s="72">
        <f t="shared" si="0"/>
        <v>34.220190200320296</v>
      </c>
      <c r="J27" s="13">
        <f t="shared" si="10"/>
        <v>8</v>
      </c>
      <c r="K27" s="13">
        <f t="shared" si="1"/>
        <v>10.273336527712923</v>
      </c>
      <c r="L27" s="13">
        <f t="shared" si="8"/>
        <v>0.33044865622892416</v>
      </c>
      <c r="M27" s="13">
        <f t="shared" si="2"/>
        <v>3.2165660624230472E-2</v>
      </c>
      <c r="N27" s="13">
        <f t="shared" si="3"/>
        <v>1.4100905058600652</v>
      </c>
      <c r="O27" s="13">
        <f t="shared" si="3"/>
        <v>0.13725730701571626</v>
      </c>
      <c r="P27" s="13">
        <f t="shared" si="9"/>
        <v>0.38190732544918321</v>
      </c>
      <c r="Q27" s="13">
        <f t="shared" si="4"/>
        <v>1.9718543220200435</v>
      </c>
      <c r="R27" s="21">
        <f t="shared" si="5"/>
        <v>1.0514914468614494</v>
      </c>
      <c r="S27" s="13">
        <f t="shared" si="6"/>
        <v>0.21112491211981441</v>
      </c>
      <c r="T27" s="22">
        <f t="shared" si="7"/>
        <v>0.40157228620354807</v>
      </c>
      <c r="U27" s="22"/>
      <c r="V27" s="19"/>
      <c r="X27"/>
    </row>
    <row r="28" spans="3:24">
      <c r="C28" s="17"/>
      <c r="D28" s="18"/>
      <c r="E28" s="13"/>
      <c r="F28" s="13"/>
      <c r="G28" s="13"/>
      <c r="H28" s="13"/>
      <c r="I28" s="72">
        <f t="shared" si="0"/>
        <v>33.703830858598728</v>
      </c>
      <c r="J28" s="13">
        <f t="shared" si="10"/>
        <v>8.5</v>
      </c>
      <c r="K28" s="13">
        <f t="shared" si="1"/>
        <v>10.212851005648041</v>
      </c>
      <c r="L28" s="13">
        <f t="shared" si="8"/>
        <v>0.35110169724323192</v>
      </c>
      <c r="M28" s="13">
        <f t="shared" si="2"/>
        <v>3.4378421564072677E-2</v>
      </c>
      <c r="N28" s="13">
        <f t="shared" si="3"/>
        <v>1.4982211624763193</v>
      </c>
      <c r="O28" s="13">
        <f t="shared" si="3"/>
        <v>0.14669960049821093</v>
      </c>
      <c r="P28" s="13">
        <f t="shared" si="9"/>
        <v>0.43774699947159479</v>
      </c>
      <c r="Q28" s="13">
        <f t="shared" si="4"/>
        <v>2.0775077151018913</v>
      </c>
      <c r="R28" s="21">
        <f t="shared" si="5"/>
        <v>1.0244053432668054</v>
      </c>
      <c r="S28" s="13">
        <f t="shared" si="6"/>
        <v>0.2296872311265433</v>
      </c>
      <c r="T28" s="22">
        <f t="shared" si="7"/>
        <v>0.44843036525771318</v>
      </c>
      <c r="U28" s="22"/>
      <c r="V28" s="19"/>
      <c r="X28"/>
    </row>
    <row r="29" spans="3:24">
      <c r="C29" s="17"/>
      <c r="D29" s="18"/>
      <c r="E29" s="13"/>
      <c r="F29" s="13"/>
      <c r="G29" s="13"/>
      <c r="H29" s="13"/>
      <c r="I29" s="72">
        <f t="shared" si="0"/>
        <v>33.179055844315648</v>
      </c>
      <c r="J29" s="13">
        <f t="shared" si="10"/>
        <v>9</v>
      </c>
      <c r="K29" s="13">
        <f t="shared" si="1"/>
        <v>10.122581634530647</v>
      </c>
      <c r="L29" s="13">
        <f t="shared" si="8"/>
        <v>0.37175473825753969</v>
      </c>
      <c r="M29" s="13">
        <f t="shared" si="2"/>
        <v>3.6725289227541688E-2</v>
      </c>
      <c r="N29" s="13">
        <f t="shared" si="3"/>
        <v>1.5863518190925734</v>
      </c>
      <c r="O29" s="13">
        <f t="shared" si="3"/>
        <v>0.15671415419176588</v>
      </c>
      <c r="P29" s="13">
        <f t="shared" si="9"/>
        <v>0.51353680774927224</v>
      </c>
      <c r="Q29" s="13">
        <f t="shared" si="4"/>
        <v>2.1693495378213195</v>
      </c>
      <c r="R29" s="21">
        <f t="shared" si="5"/>
        <v>1.0024861722024034</v>
      </c>
      <c r="S29" s="13">
        <f t="shared" si="6"/>
        <v>0.25804673190988614</v>
      </c>
      <c r="T29" s="22">
        <f t="shared" si="7"/>
        <v>0.51481354868560947</v>
      </c>
      <c r="U29" s="22"/>
      <c r="V29" s="19"/>
      <c r="X29"/>
    </row>
    <row r="30" spans="3:24">
      <c r="C30" s="17"/>
      <c r="D30" s="18"/>
      <c r="E30" s="13"/>
      <c r="F30" s="13"/>
      <c r="G30" s="13"/>
      <c r="H30" s="13"/>
      <c r="I30" s="72">
        <f t="shared" si="0"/>
        <v>32.647198236579101</v>
      </c>
      <c r="J30" s="13">
        <f t="shared" si="10"/>
        <v>9.5</v>
      </c>
      <c r="K30" s="13">
        <f t="shared" si="1"/>
        <v>10.008803264928913</v>
      </c>
      <c r="L30" s="13">
        <f t="shared" si="8"/>
        <v>0.39240777927184745</v>
      </c>
      <c r="M30" s="13">
        <f t="shared" si="2"/>
        <v>3.9206263614637499E-2</v>
      </c>
      <c r="N30" s="13">
        <f t="shared" si="3"/>
        <v>1.6744824757088275</v>
      </c>
      <c r="O30" s="13">
        <f t="shared" si="3"/>
        <v>0.16730096809638112</v>
      </c>
      <c r="P30" s="13">
        <f t="shared" si="9"/>
        <v>0.60750048559081371</v>
      </c>
      <c r="Q30" s="13">
        <f t="shared" si="4"/>
        <v>2.2447315059655857</v>
      </c>
      <c r="R30" s="21">
        <f t="shared" si="5"/>
        <v>0.98550982116178998</v>
      </c>
      <c r="S30" s="13">
        <f t="shared" si="6"/>
        <v>0.29501122912051447</v>
      </c>
      <c r="T30" s="22">
        <f t="shared" si="7"/>
        <v>0.59869769491030334</v>
      </c>
      <c r="U30" s="22"/>
      <c r="V30" s="19"/>
      <c r="X30"/>
    </row>
    <row r="31" spans="3:24">
      <c r="C31" s="17"/>
      <c r="D31" s="18"/>
      <c r="E31" s="13"/>
      <c r="F31" s="13"/>
      <c r="G31" s="13"/>
      <c r="H31" s="13"/>
      <c r="I31" s="72">
        <f t="shared" si="0"/>
        <v>32.10932552669869</v>
      </c>
      <c r="J31" s="13">
        <f t="shared" si="10"/>
        <v>10</v>
      </c>
      <c r="K31" s="13">
        <f t="shared" si="1"/>
        <v>9.8767943259289481</v>
      </c>
      <c r="L31" s="13">
        <f t="shared" si="8"/>
        <v>0.41306082028615521</v>
      </c>
      <c r="M31" s="13">
        <f t="shared" si="2"/>
        <v>4.1821344725360102E-2</v>
      </c>
      <c r="N31" s="13">
        <f t="shared" si="3"/>
        <v>1.7626131323250815</v>
      </c>
      <c r="O31" s="13">
        <f t="shared" si="3"/>
        <v>0.17846004221205661</v>
      </c>
      <c r="P31" s="13">
        <f t="shared" si="9"/>
        <v>0.71714727547466062</v>
      </c>
      <c r="Q31" s="13">
        <f t="shared" si="4"/>
        <v>2.3006039682772146</v>
      </c>
      <c r="R31" s="21">
        <f t="shared" si="5"/>
        <v>0.9734692228038242</v>
      </c>
      <c r="S31" s="13">
        <f t="shared" si="6"/>
        <v>0.33979955673385559</v>
      </c>
      <c r="T31" s="22">
        <f t="shared" si="7"/>
        <v>0.69812080089219786</v>
      </c>
      <c r="U31" s="22"/>
      <c r="V31" s="19"/>
      <c r="X31"/>
    </row>
    <row r="32" spans="3:24">
      <c r="C32" s="17"/>
      <c r="D32" s="18"/>
      <c r="E32" s="13"/>
      <c r="F32" s="13"/>
      <c r="G32" s="13"/>
      <c r="H32" s="13"/>
      <c r="I32" s="72">
        <f t="shared" si="0"/>
        <v>31.566302679819863</v>
      </c>
      <c r="J32" s="13">
        <f t="shared" si="10"/>
        <v>10.5</v>
      </c>
      <c r="K32" s="13">
        <f t="shared" si="1"/>
        <v>9.7309553283760373</v>
      </c>
      <c r="L32" s="13">
        <f t="shared" si="8"/>
        <v>0.43371386130046297</v>
      </c>
      <c r="M32" s="13">
        <f t="shared" si="2"/>
        <v>4.4570532559709518E-2</v>
      </c>
      <c r="N32" s="13">
        <f t="shared" ref="N32:O33" si="11">$N$4*L32</f>
        <v>1.8507437889413356</v>
      </c>
      <c r="O32" s="13">
        <f t="shared" si="11"/>
        <v>0.19019137653879245</v>
      </c>
      <c r="P32" s="13">
        <f t="shared" si="9"/>
        <v>0.83923231831948431</v>
      </c>
      <c r="Q32" s="13">
        <f t="shared" si="4"/>
        <v>2.3338180591415734</v>
      </c>
      <c r="R32" s="21">
        <f t="shared" si="5"/>
        <v>0.96651736152253664</v>
      </c>
      <c r="S32" s="13">
        <f t="shared" si="6"/>
        <v>0.39198687310119412</v>
      </c>
      <c r="T32" s="22">
        <f t="shared" si="7"/>
        <v>0.81113260600658954</v>
      </c>
      <c r="U32" s="22"/>
      <c r="V32" s="19"/>
      <c r="X32"/>
    </row>
    <row r="33" spans="1:24" ht="18.75" customHeight="1">
      <c r="B33"/>
      <c r="C33" s="17"/>
      <c r="D33" s="18"/>
      <c r="E33" s="13"/>
      <c r="F33" s="13"/>
      <c r="G33" s="13"/>
      <c r="H33" s="13"/>
      <c r="I33" s="72">
        <f t="shared" si="0"/>
        <v>31.018838048852501</v>
      </c>
      <c r="J33" s="13">
        <f t="shared" si="10"/>
        <v>11</v>
      </c>
      <c r="K33" s="13">
        <f t="shared" si="1"/>
        <v>9.5749264055760683</v>
      </c>
      <c r="L33" s="13">
        <f t="shared" si="8"/>
        <v>0.45436690231477073</v>
      </c>
      <c r="M33" s="13">
        <f t="shared" si="2"/>
        <v>4.7453827117685726E-2</v>
      </c>
      <c r="N33" s="13">
        <f t="shared" si="11"/>
        <v>1.9388744455575897</v>
      </c>
      <c r="O33" s="13">
        <f t="shared" si="11"/>
        <v>0.20249497107658854</v>
      </c>
      <c r="P33" s="13">
        <f t="shared" si="9"/>
        <v>0.96974058701344734</v>
      </c>
      <c r="Q33" s="13">
        <f t="shared" si="4"/>
        <v>2.3414013166152432</v>
      </c>
      <c r="R33" s="21">
        <f t="shared" si="5"/>
        <v>0.96495092904033242</v>
      </c>
      <c r="S33" s="13">
        <f t="shared" si="6"/>
        <v>0.45147741965065635</v>
      </c>
      <c r="T33" s="22">
        <f t="shared" si="7"/>
        <v>0.93575208036674329</v>
      </c>
      <c r="U33" s="22"/>
      <c r="V33" s="19"/>
      <c r="W33"/>
      <c r="X33"/>
    </row>
    <row r="34" spans="1:24">
      <c r="A34"/>
      <c r="B34"/>
      <c r="C34" s="17"/>
      <c r="D34" s="18"/>
      <c r="E34" s="13"/>
      <c r="F34" s="13"/>
      <c r="G34" s="13"/>
      <c r="H34" s="13"/>
      <c r="I34" s="72">
        <f t="shared" ref="I34:I38" si="12">0.5*ATAN(K34)*180/PI()-J34</f>
        <v>30.467517343021569</v>
      </c>
      <c r="J34" s="13">
        <f t="shared" si="10"/>
        <v>11.5</v>
      </c>
      <c r="K34" s="13">
        <f t="shared" ref="K34:K38" si="13">L34/M34</f>
        <v>9.4116976819167864</v>
      </c>
      <c r="L34" s="13">
        <f t="shared" ref="L34:L38" si="14">$H$11*J34+$G$11</f>
        <v>0.47501994332907849</v>
      </c>
      <c r="M34" s="13">
        <f t="shared" ref="M34:M38" si="15">0.015+0.1572*(L34^2)</f>
        <v>5.0471228399288741E-2</v>
      </c>
      <c r="N34" s="13">
        <f t="shared" ref="N34:N38" si="16">$N$4*L34</f>
        <v>2.0270051021738436</v>
      </c>
      <c r="O34" s="13">
        <f t="shared" ref="O34:O38" si="17">$N$4*M34</f>
        <v>0.21537082582544492</v>
      </c>
      <c r="P34" s="13">
        <f t="shared" si="9"/>
        <v>1.1039085757781442</v>
      </c>
      <c r="Q34" s="13">
        <f t="shared" ref="Q34:Q38" si="18">P34*TAN(I34+J34)</f>
        <v>2.3208126323028737</v>
      </c>
      <c r="R34" s="21">
        <f t="shared" ref="R34:R38" si="19">IF(ISERROR(SQRT(2*$E$8/Q34)),0,SQRT(2*$E$8/Q34))</f>
        <v>0.96922167505705936</v>
      </c>
      <c r="S34" s="13">
        <f t="shared" ref="S34:S38" si="20">0.5*P34*R34^2</f>
        <v>0.51850070025118311</v>
      </c>
      <c r="T34" s="22">
        <f t="shared" ref="T34:T38" si="21">R34*P34</f>
        <v>1.0699321189255457</v>
      </c>
      <c r="U34" s="22"/>
      <c r="V34" s="19"/>
      <c r="W34"/>
      <c r="X34"/>
    </row>
    <row r="35" spans="1:24">
      <c r="A35"/>
      <c r="B35"/>
      <c r="C35" s="17"/>
      <c r="D35" s="18"/>
      <c r="E35" s="13"/>
      <c r="F35" s="13"/>
      <c r="G35" s="13"/>
      <c r="H35" s="13"/>
      <c r="I35" s="72">
        <f t="shared" si="12"/>
        <v>29.912829125058558</v>
      </c>
      <c r="J35" s="13">
        <f t="shared" si="10"/>
        <v>12</v>
      </c>
      <c r="K35" s="13">
        <f t="shared" si="13"/>
        <v>9.2437092468413837</v>
      </c>
      <c r="L35" s="13">
        <f t="shared" si="14"/>
        <v>0.49567298434338625</v>
      </c>
      <c r="M35" s="13">
        <f t="shared" si="15"/>
        <v>5.3622736404518555E-2</v>
      </c>
      <c r="N35" s="13">
        <f t="shared" si="16"/>
        <v>2.1151357587900979</v>
      </c>
      <c r="O35" s="13">
        <f t="shared" si="17"/>
        <v>0.22881894078536158</v>
      </c>
      <c r="P35" s="13">
        <f t="shared" si="9"/>
        <v>1.2362905500385806</v>
      </c>
      <c r="Q35" s="13">
        <f t="shared" si="18"/>
        <v>2.2701766409916755</v>
      </c>
      <c r="R35" s="21">
        <f t="shared" si="19"/>
        <v>0.97997124467108088</v>
      </c>
      <c r="S35" s="13">
        <f t="shared" si="20"/>
        <v>0.59363188369707365</v>
      </c>
      <c r="T35" s="22">
        <f t="shared" si="21"/>
        <v>1.2115291890964031</v>
      </c>
      <c r="U35" s="22"/>
      <c r="V35" s="19"/>
      <c r="W35"/>
      <c r="X35"/>
    </row>
    <row r="36" spans="1:24">
      <c r="A36"/>
      <c r="B36"/>
      <c r="C36" s="17"/>
      <c r="D36" s="18"/>
      <c r="E36" s="13"/>
      <c r="F36" s="13"/>
      <c r="G36" s="13"/>
      <c r="H36" s="13"/>
      <c r="I36" s="72">
        <f t="shared" si="12"/>
        <v>29.355184202759524</v>
      </c>
      <c r="J36" s="13">
        <f t="shared" si="10"/>
        <v>12.5</v>
      </c>
      <c r="K36" s="13">
        <f t="shared" si="13"/>
        <v>9.0729394732873079</v>
      </c>
      <c r="L36" s="13">
        <f t="shared" si="14"/>
        <v>0.51632602535769401</v>
      </c>
      <c r="M36" s="13">
        <f t="shared" si="15"/>
        <v>5.6908351133375161E-2</v>
      </c>
      <c r="N36" s="13">
        <f t="shared" si="16"/>
        <v>2.2032664154063517</v>
      </c>
      <c r="O36" s="13">
        <f t="shared" si="17"/>
        <v>0.24283931595633848</v>
      </c>
      <c r="P36" s="13">
        <f t="shared" si="9"/>
        <v>1.3608714221507527</v>
      </c>
      <c r="Q36" s="13">
        <f t="shared" si="18"/>
        <v>2.1884938095673507</v>
      </c>
      <c r="R36" s="21">
        <f t="shared" si="19"/>
        <v>0.99809182040105204</v>
      </c>
      <c r="S36" s="13">
        <f t="shared" si="20"/>
        <v>0.67784140155890582</v>
      </c>
      <c r="T36" s="22">
        <f t="shared" si="21"/>
        <v>1.3582746350662134</v>
      </c>
      <c r="U36" s="22"/>
      <c r="V36" s="19"/>
      <c r="W36"/>
      <c r="X36"/>
    </row>
    <row r="37" spans="1:24">
      <c r="A37"/>
      <c r="B37"/>
      <c r="C37" s="17"/>
      <c r="D37" s="18"/>
      <c r="E37" s="13"/>
      <c r="F37" s="13"/>
      <c r="G37" s="13"/>
      <c r="H37" s="13"/>
      <c r="I37" s="72">
        <f t="shared" si="12"/>
        <v>28.794930554755972</v>
      </c>
      <c r="J37" s="13">
        <f t="shared" si="10"/>
        <v>13</v>
      </c>
      <c r="K37" s="13">
        <f t="shared" si="13"/>
        <v>8.900981638486396</v>
      </c>
      <c r="L37" s="13">
        <f t="shared" si="14"/>
        <v>0.53697906637200177</v>
      </c>
      <c r="M37" s="13">
        <f t="shared" si="15"/>
        <v>6.032807258585858E-2</v>
      </c>
      <c r="N37" s="13">
        <f t="shared" si="16"/>
        <v>2.291397072022606</v>
      </c>
      <c r="O37" s="13">
        <f t="shared" si="17"/>
        <v>0.25743195133837571</v>
      </c>
      <c r="P37" s="13">
        <f t="shared" si="9"/>
        <v>1.4712248677808271</v>
      </c>
      <c r="Q37" s="13">
        <f t="shared" si="18"/>
        <v>2.0758201944468992</v>
      </c>
      <c r="R37" s="21">
        <f t="shared" si="19"/>
        <v>1.024821649551209</v>
      </c>
      <c r="S37" s="13">
        <f t="shared" si="20"/>
        <v>0.77258388329929795</v>
      </c>
      <c r="T37" s="22">
        <f t="shared" si="21"/>
        <v>1.5077430958599065</v>
      </c>
      <c r="U37" s="22"/>
      <c r="V37" s="19"/>
      <c r="W37"/>
      <c r="X37"/>
    </row>
    <row r="38" spans="1:24" ht="15" thickBot="1">
      <c r="B38"/>
      <c r="C38" s="23"/>
      <c r="D38" s="24"/>
      <c r="E38" s="25"/>
      <c r="F38" s="25"/>
      <c r="G38" s="25"/>
      <c r="H38" s="25"/>
      <c r="I38" s="75">
        <f t="shared" si="12"/>
        <v>28.232364945714771</v>
      </c>
      <c r="J38" s="25">
        <f t="shared" si="10"/>
        <v>13.5</v>
      </c>
      <c r="K38" s="25">
        <f t="shared" si="13"/>
        <v>8.7291095088749788</v>
      </c>
      <c r="L38" s="25">
        <f t="shared" si="14"/>
        <v>0.55763210738630953</v>
      </c>
      <c r="M38" s="25">
        <f t="shared" si="15"/>
        <v>6.3881900761968785E-2</v>
      </c>
      <c r="N38" s="25">
        <f t="shared" si="16"/>
        <v>2.3795277286388599</v>
      </c>
      <c r="O38" s="25">
        <f t="shared" si="17"/>
        <v>0.27259684693147318</v>
      </c>
      <c r="P38" s="13">
        <f t="shared" si="9"/>
        <v>1.5607125102419301</v>
      </c>
      <c r="Q38" s="25">
        <f t="shared" si="18"/>
        <v>1.9334097802414132</v>
      </c>
      <c r="R38" s="26">
        <f t="shared" si="19"/>
        <v>1.0618940860712582</v>
      </c>
      <c r="S38" s="25">
        <f t="shared" si="20"/>
        <v>0.87994457908689994</v>
      </c>
      <c r="T38" s="27">
        <f t="shared" si="21"/>
        <v>1.6573113846833336</v>
      </c>
      <c r="U38" s="27"/>
      <c r="V38" s="28"/>
      <c r="W38"/>
      <c r="X38"/>
    </row>
    <row r="39" spans="1:24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2:24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2:24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2:24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2:24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2:24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2:24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2:24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2:24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2:24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2:24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4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2:24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2:24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2:24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2:24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2:24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2:24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2:24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2:24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2:24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2:24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2:24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2:24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2:24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2:24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2:24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2:24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2:24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2:24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2:24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2:24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2:24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2:24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2:24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2:24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2:24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2:24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2:24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2:24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2:24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2:24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2:24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2:24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2:24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2:24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2:24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2:24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2:24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2:24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2:24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2:24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2:24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2:24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2:24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2:24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2:24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2:24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2:24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2:24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2:24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2:24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2:24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2:24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2:24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2:24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2:24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2:24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2:24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2:24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2:24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2:24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2:24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2:24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2:24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2:24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2:24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2:24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2:24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2:24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2:24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2:24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2:24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2:24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2:24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2:24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2:24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2:24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2:24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2:24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2:24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2:24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2:24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2:24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2:24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2:24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2:24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2:24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2:24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2:24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2:24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2:24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2:24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2:24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2:24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2:24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2:24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2:24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2:24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2:24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2:24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2:24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2:24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2:24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2:24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2:24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2:24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2:24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2:24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2:24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2:24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2:24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2:24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2:24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2:24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2:24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2:24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2:24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2:24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2:24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2:24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2:24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2:24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2:24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2:24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2:24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2:24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2:24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2:24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2:24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2:24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2:24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2:24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2:24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2:24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2:24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2:24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2:24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2:24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2:24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2:24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2:24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2:24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2:24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2:24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2:24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2:24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2:24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2:24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2:24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2:24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2:24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2:24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2:24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2:24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2:24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2:24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2:24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2:24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2:24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2:24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2:24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2:24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2:24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2:24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2:24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2:24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2:24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2:24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2:24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2:24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2:24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2:24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2:24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2:24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2:24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2:24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2:24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2:24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2:24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2:24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2:24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2:24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2:24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2:24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2:24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2:24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2:24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2:24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2:24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2:24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2:24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2:24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2:24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2:24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2:24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2:24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2:24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2:24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2:24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2:24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2:24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2:24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2:24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2:24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2:24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2:24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2:24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2:24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2:24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2:24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2:24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2:24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2:24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2:24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2:24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2:24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2:24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2:24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2:24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2:24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2:24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2:24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2:24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2:24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2:24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2:24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2:24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2:24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2:24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2:24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2:24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2:24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2:24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2:24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2:24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2:24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2:24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2:24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2:24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2:24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2:24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2:24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2:24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2:24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2:24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2:24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2:24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2:24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2:24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2:24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2:24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2:24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2:24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2:24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2:24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2:24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2:24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2:24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2:24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2:24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2:24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2:24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2:24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2:24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2:24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2:24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2:24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2:24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2:24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2:24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2:24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2:24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2:24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2:24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2:24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2:24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2:24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2:24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2:24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2:24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2:24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2:24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2:24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2:24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2:24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2:24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2:24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2:24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2:24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2:24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2:24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2:24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2:24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2:24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2:24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2:24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2:24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2:24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2:24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2:24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2:24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2:24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2:24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2:24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2:24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2:24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2:24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2:24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2:24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2:24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2:24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2:24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2:24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2:24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2:24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2:24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2:24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2:24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2:24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2:24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2:24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2:24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2:24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2:24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2:24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2:24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2:24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2:24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2:24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2:24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2:24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2:24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2:24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2:24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2:24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2:24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2:24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2:24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2:24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2:24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2:24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2:24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2:24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2:24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2:24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2:24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2:24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2:24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2:24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2:24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2:24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2:24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2:24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2:24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2:24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2:24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2:24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2:24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2:24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2:24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2:24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2:24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2:24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2:24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2:24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2:24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2:24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2:24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2:24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2:24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2:24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2:24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2:24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2:24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2:24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2:24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2:24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2:24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2:24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2:24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2:24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2:24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2:24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2:24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2:24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2:24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2:24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2:24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2:24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2:24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2:24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2:24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2:24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2:24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2:24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2:24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2:24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2:24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2:24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2:24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2:24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2:24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2:24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2:24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2:24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2:24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2:24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2:24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2:24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2:24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2:24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2:24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2:24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2:24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2:24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2:24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2:24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2:24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2:24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2:24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2:24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2:24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2:24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2:24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2:24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2:24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2:24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2:24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2:24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2:24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2:24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2:24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2:24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2:24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2:24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2:24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2:24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2:24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2:24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2:24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2:24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2:24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2:24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2:24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2:24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2:24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2:24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2:24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2:24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2:24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2:24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2:24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2:24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2:24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2:24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2:24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2:24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2:24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2:24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2:24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2:24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2:24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2:24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2:24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2:24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2:24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2:24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2:24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2:24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2:24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2:24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2:24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2:24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2:24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2:24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2:24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2:24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2:24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2:24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2:24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2:24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2:24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2:24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2:24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2:24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2:24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2:24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2:24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2:24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2:24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2:24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2:24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2:24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2:24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2:24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2:24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2:24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2:24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2:24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2:24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2:24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2:24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2:24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2:24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2:24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2:24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2:24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2:24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2:24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2:24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2:24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2:24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2:24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2:24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2:24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2:24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2:24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2:24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2:24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2:24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2:24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2:24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2:24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2:24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2:24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2:24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2:24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2:24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2:24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2:24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2:24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2:24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2:24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2:24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2:24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2:24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2:24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2:24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2:24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2:24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2:24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2:24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2:24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2:24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2:24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2:24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2:24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2:24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2:24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2:24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2:24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2:24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2:24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2:24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2:24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2:24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2:24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2:24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2:24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2:24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2:24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2:24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2:24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2:24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2:24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2:24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2:24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2:24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2:24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2:24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2:24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2:24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2:24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2:24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2:24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2:24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2:24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2:24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2:24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2:24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2:24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2:24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2:24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2:24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2:24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2:24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2:24"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2:24"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2:24"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2:24"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2:24"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</sheetData>
  <mergeCells count="2">
    <mergeCell ref="C2:D2"/>
    <mergeCell ref="H2:P2"/>
  </mergeCells>
  <conditionalFormatting sqref="U34:U38">
    <cfRule type="cellIs" dxfId="22" priority="22" operator="greaterThan">
      <formula>0</formula>
    </cfRule>
  </conditionalFormatting>
  <conditionalFormatting sqref="S11:S38">
    <cfRule type="cellIs" dxfId="21" priority="4" operator="greaterThan">
      <formula>0</formula>
    </cfRule>
  </conditionalFormatting>
  <conditionalFormatting sqref="T11:U33 T34:T38">
    <cfRule type="cellIs" dxfId="20" priority="3" operator="greaterThan">
      <formula>0</formula>
    </cfRule>
  </conditionalFormatting>
  <conditionalFormatting sqref="K11:K38">
    <cfRule type="cellIs" dxfId="19" priority="1" operator="equal">
      <formula>"max($K$11:$K$32)"</formula>
    </cfRule>
    <cfRule type="cellIs" dxfId="18" priority="2" operator="equal">
      <formula>"max($K$11:$K$32)"</formula>
    </cfRule>
  </conditionalFormatting>
  <conditionalFormatting sqref="T11:T38">
    <cfRule type="top10" dxfId="17" priority="5" rank="1"/>
    <cfRule type="top10" dxfId="16" priority="6" rank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B42"/>
  <sheetViews>
    <sheetView zoomScale="85" zoomScaleNormal="85" zoomScalePageLayoutView="85" workbookViewId="0">
      <selection activeCell="K5" sqref="K5"/>
    </sheetView>
  </sheetViews>
  <sheetFormatPr baseColWidth="10" defaultColWidth="8.83203125" defaultRowHeight="14" x14ac:dyDescent="0"/>
  <cols>
    <col min="1" max="1" width="8.83203125" style="52"/>
    <col min="2" max="2" width="10.5" style="52" customWidth="1"/>
    <col min="3" max="3" width="10.1640625" style="52" customWidth="1"/>
    <col min="4" max="4" width="8.83203125" style="52"/>
    <col min="5" max="5" width="11.6640625" style="52" customWidth="1"/>
    <col min="6" max="6" width="10" style="52" customWidth="1"/>
    <col min="7" max="17" width="8.83203125" style="52"/>
    <col min="18" max="18" width="9.1640625" style="52" customWidth="1"/>
    <col min="19" max="26" width="8.83203125" style="52"/>
  </cols>
  <sheetData>
    <row r="1" spans="2:28" ht="15" thickBot="1"/>
    <row r="2" spans="2:28" ht="18.75" customHeight="1">
      <c r="G2" s="135" t="s">
        <v>66</v>
      </c>
      <c r="H2" s="136"/>
      <c r="I2" s="136"/>
      <c r="J2" s="136"/>
      <c r="K2" s="137"/>
      <c r="L2" s="135" t="s">
        <v>93</v>
      </c>
      <c r="M2" s="136"/>
      <c r="N2" s="136"/>
      <c r="O2" s="136"/>
      <c r="P2" s="137"/>
      <c r="AA2" s="52"/>
    </row>
    <row r="3" spans="2:28" ht="17" thickBot="1">
      <c r="G3" s="115" t="s">
        <v>31</v>
      </c>
      <c r="H3" s="86" t="s">
        <v>65</v>
      </c>
      <c r="I3" s="114" t="s">
        <v>4</v>
      </c>
      <c r="J3" s="86" t="s">
        <v>64</v>
      </c>
      <c r="K3" s="87" t="s">
        <v>62</v>
      </c>
      <c r="L3" s="111" t="s">
        <v>3</v>
      </c>
      <c r="M3" s="112" t="s">
        <v>59</v>
      </c>
      <c r="N3" s="112" t="s">
        <v>60</v>
      </c>
      <c r="O3" s="116" t="s">
        <v>94</v>
      </c>
      <c r="P3" s="113" t="s">
        <v>61</v>
      </c>
      <c r="Q3" s="85"/>
      <c r="R3" s="85"/>
      <c r="S3" s="85"/>
      <c r="AA3" s="52"/>
    </row>
    <row r="4" spans="2:28" ht="16" thickTop="1" thickBot="1">
      <c r="G4" s="118">
        <v>3</v>
      </c>
      <c r="H4" s="119">
        <v>0.3</v>
      </c>
      <c r="I4" s="119">
        <f>SBT!B6</f>
        <v>0.495</v>
      </c>
      <c r="J4" s="119">
        <f>SBT!C6</f>
        <v>0.03</v>
      </c>
      <c r="K4" s="120">
        <v>0.1</v>
      </c>
      <c r="L4" s="84" t="s">
        <v>2</v>
      </c>
      <c r="M4" s="77">
        <f>NACA00122!D8</f>
        <v>1.6573113846833336</v>
      </c>
      <c r="N4" s="77">
        <f>NACA00122!H8</f>
        <v>0.12912515013972417</v>
      </c>
      <c r="O4" s="77">
        <f>NACA00122!K8</f>
        <v>0.16786269518164143</v>
      </c>
      <c r="P4" s="78">
        <v>0</v>
      </c>
      <c r="Q4" s="85"/>
      <c r="R4" s="85"/>
      <c r="S4" s="85"/>
      <c r="AA4" s="52"/>
    </row>
    <row r="5" spans="2:28">
      <c r="F5" s="77"/>
      <c r="G5" s="77"/>
      <c r="I5" s="77"/>
      <c r="J5" s="77"/>
      <c r="K5" s="78"/>
      <c r="L5" s="84">
        <v>0.4</v>
      </c>
      <c r="M5" s="77">
        <f>MAX('.40c'!D8,'.40c'!D35,'.40c'!D63,'.40c'!D91,'.40c'!D119)</f>
        <v>1.6086304448061093</v>
      </c>
      <c r="N5" s="77">
        <f>VLOOKUP(MAX('.40c'!D8,'.40c'!D35,'.40c'!D63,'.40c'!D91,'.40c'!D119),'.40c'!D8:I119,5,FALSE)</f>
        <v>7.0211505117875272E-2</v>
      </c>
      <c r="O5" s="77">
        <f>VLOOKUP(MAX('.40c'!D8,'.40c'!D35,'.40c'!D63,'.40c'!D91,'.40c'!D119),'.40c'!D8:K119,8,FALSE)</f>
        <v>9.1274956653237857E-2</v>
      </c>
      <c r="P5" s="78">
        <f>INDEX('.40c'!C8:C143,MATCH(MAX('.40c'!D8,'.40c'!D35,'.40c'!D63,'.40c'!D91,'.40c'!D119),'.40c'!D8:D143,0))</f>
        <v>8</v>
      </c>
      <c r="Q5" s="85"/>
      <c r="R5" s="85"/>
      <c r="S5" s="85"/>
      <c r="AA5" s="52"/>
    </row>
    <row r="6" spans="2:28">
      <c r="F6" s="77"/>
      <c r="G6" s="77"/>
      <c r="I6" s="77"/>
      <c r="J6" s="77"/>
      <c r="K6" s="78"/>
      <c r="L6" s="84">
        <v>0.5</v>
      </c>
      <c r="M6" s="77">
        <f>MAX('.50c'!D8,'.50c'!D35,'.50c'!D63,'.50c'!D91,'.50c'!D119)</f>
        <v>2.3925828331444516</v>
      </c>
      <c r="N6" s="77">
        <f>VLOOKUP(MAX('.50c'!D8,'.50c'!D35,'.50c'!D63,'.50c'!D91,'.50c'!D119),'.50c'!D8:I119,5,FALSE)</f>
        <v>0.20165268165924352</v>
      </c>
      <c r="O6" s="77">
        <f>VLOOKUP(MAX('.50c'!D8,'.50c'!D35,'.50c'!D63,'.50c'!D91,'.50c'!D119),'.50c'!D8:K119,8,FALSE)</f>
        <v>0.26214848615701658</v>
      </c>
      <c r="P6" s="78">
        <f>INDEX('.50c'!C8:C143,MATCH(MAX('.50c'!D8,'.50c'!D35,'.50c'!D63,'.50c'!D91,'.50c'!D119),'.50c'!D8:D143,0))</f>
        <v>20</v>
      </c>
      <c r="S6" s="85"/>
      <c r="AA6" s="52"/>
    </row>
    <row r="7" spans="2:28">
      <c r="F7" s="77"/>
      <c r="G7" s="77"/>
      <c r="I7" s="77"/>
      <c r="J7" s="77"/>
      <c r="K7" s="78"/>
      <c r="L7" s="84">
        <v>0.6</v>
      </c>
      <c r="M7" s="77">
        <f>MAX('.60c'!D8,'.60c'!D35,'.60c'!D63,'.60c'!D91,'.60c'!D119)</f>
        <v>2.324655463560914</v>
      </c>
      <c r="N7" s="77">
        <f>VLOOKUP(MAX('.60c'!D8,'.60c'!D35,'.60c'!D63,'.60c'!D91,'.60c'!D119),'.60c'!D8:I119,5,FALSE)</f>
        <v>0.16535764166224673</v>
      </c>
      <c r="O7" s="77">
        <f>VLOOKUP(MAX('.60c'!D8,'.60c'!D35,'.60c'!D63,'.60c'!D91,'.60c'!D119),'.60c'!D8:K119,8,FALSE)</f>
        <v>0.21496493416092075</v>
      </c>
      <c r="P7" s="78">
        <f>INDEX('.60c'!C8:C143,MATCH(MAX('.60c'!D8,'.60c'!D35,'.60c'!D63,'.60c'!D91,'.60c'!D119),'.60c'!D8:D143,0))</f>
        <v>8</v>
      </c>
      <c r="S7" s="85"/>
      <c r="AA7" s="52"/>
    </row>
    <row r="8" spans="2:28">
      <c r="F8" s="77"/>
      <c r="G8" s="77"/>
      <c r="I8" s="77"/>
      <c r="J8" s="77"/>
      <c r="K8" s="78"/>
      <c r="L8" s="84">
        <v>0.7</v>
      </c>
      <c r="M8" s="77">
        <f>MAX('.70c'!D8,'.70c'!D35,'.70c'!D63,'.70c'!D91,'.70c'!D119)</f>
        <v>2.3273735945273857</v>
      </c>
      <c r="N8" s="77">
        <f>VLOOKUP(MAX('.70c'!D8,'.70c'!D35,'.70c'!D63,'.70c'!D91,'.70c'!D119),'.70c'!D8:I119,5,FALSE)</f>
        <v>0.15811377392440346</v>
      </c>
      <c r="O8" s="77">
        <f>VLOOKUP(MAX('.70c'!D8,'.70c'!D35,'.70c'!D63,'.70c'!D91,'.70c'!D119),'.70c'!D8:K119,8,FALSE)</f>
        <v>0.20554790610172449</v>
      </c>
      <c r="P8" s="78">
        <f>INDEX('.70c'!C8:C143,MATCH(MAX('.70c'!D8,'.70c'!D35,'.70c'!D63,'.70c'!D91,'.70c'!D119),'.70c'!D8:D143,0))</f>
        <v>4</v>
      </c>
      <c r="S8" s="85"/>
      <c r="AA8" s="52"/>
    </row>
    <row r="9" spans="2:28" ht="15" thickBot="1">
      <c r="B9" s="85"/>
      <c r="C9" s="85"/>
      <c r="D9" s="85"/>
      <c r="E9" s="85"/>
      <c r="F9" s="77"/>
      <c r="G9" s="77"/>
      <c r="I9" s="77"/>
      <c r="J9" s="77"/>
      <c r="K9" s="78"/>
      <c r="L9" s="88">
        <v>0.8</v>
      </c>
      <c r="M9" s="79">
        <f>MAX('.80c'!D8,'.80c'!D35,'.80c'!D63,'.80c'!D91,'.80c'!D119)</f>
        <v>2.2711729913427101</v>
      </c>
      <c r="N9" s="79">
        <f>VLOOKUP(MAX('.80c'!D8,'.80c'!D35,'.80c'!D63,'.80c'!D91,'.80c'!D119),'.80c'!D8:I119,5,FALSE)</f>
        <v>0.15289879696904407</v>
      </c>
      <c r="O9" s="79">
        <f>VLOOKUP(MAX('.80c'!D8,'.80c'!D35,'.80c'!D63,'.80c'!D91,'.80c'!D119),'.80c'!D8:K119,8,FALSE)</f>
        <v>0.1987684360597573</v>
      </c>
      <c r="P9" s="80">
        <f>INDEX('.80c'!C8:C143,MATCH(MAX('.80c'!D8,'.80c'!D35,'.80c'!D63,'.80c'!D91,'.80c'!D119),'.80c'!D8:D143,0))</f>
        <v>4</v>
      </c>
      <c r="S9" s="85"/>
      <c r="AA9" s="52"/>
    </row>
    <row r="10" spans="2:28">
      <c r="R10" s="85"/>
    </row>
    <row r="11" spans="2:28">
      <c r="R11" s="85"/>
    </row>
    <row r="12" spans="2:28">
      <c r="R12" s="85"/>
    </row>
    <row r="13" spans="2:28" ht="15" thickBot="1">
      <c r="R13" s="85"/>
    </row>
    <row r="14" spans="2:28" ht="17" thickBot="1">
      <c r="C14" s="105" t="s">
        <v>31</v>
      </c>
      <c r="D14" s="106" t="s">
        <v>65</v>
      </c>
      <c r="E14" s="15"/>
      <c r="F14" s="15"/>
      <c r="G14" s="15"/>
      <c r="H14" s="15"/>
      <c r="I14" s="15"/>
      <c r="J14" s="16"/>
      <c r="K14" s="6"/>
      <c r="L14" s="105" t="s">
        <v>31</v>
      </c>
      <c r="M14" s="106" t="s">
        <v>65</v>
      </c>
      <c r="N14" s="15"/>
      <c r="O14" s="15"/>
      <c r="P14" s="15"/>
      <c r="Q14" s="15"/>
      <c r="R14" s="15"/>
      <c r="S14" s="16"/>
      <c r="T14" s="85"/>
      <c r="AA14" s="52"/>
      <c r="AB14" s="52"/>
    </row>
    <row r="15" spans="2:28" ht="16" thickTop="1" thickBot="1">
      <c r="C15" s="39">
        <v>3</v>
      </c>
      <c r="D15" s="37">
        <v>0.3</v>
      </c>
      <c r="E15" s="13"/>
      <c r="F15" s="13"/>
      <c r="G15" s="13"/>
      <c r="H15" s="13"/>
      <c r="I15" s="13"/>
      <c r="J15" s="56"/>
      <c r="K15" s="6"/>
      <c r="L15" s="39">
        <v>4</v>
      </c>
      <c r="M15" s="37">
        <v>0.3</v>
      </c>
      <c r="N15" s="13"/>
      <c r="O15" s="13"/>
      <c r="P15" s="13"/>
      <c r="Q15" s="13"/>
      <c r="R15" s="13"/>
      <c r="S15" s="56"/>
      <c r="AA15" s="52"/>
      <c r="AB15" s="52"/>
    </row>
    <row r="16" spans="2:28">
      <c r="C16" s="54"/>
      <c r="D16" s="13"/>
      <c r="E16" s="13"/>
      <c r="F16" s="13"/>
      <c r="G16" s="13"/>
      <c r="H16" s="13"/>
      <c r="I16" s="13"/>
      <c r="J16" s="56"/>
      <c r="K16" s="6"/>
      <c r="L16" s="54"/>
      <c r="M16" s="13"/>
      <c r="N16" s="13"/>
      <c r="O16" s="13"/>
      <c r="P16" s="13"/>
      <c r="Q16" s="13"/>
      <c r="R16" s="13"/>
      <c r="S16" s="56"/>
      <c r="AA16" s="52"/>
      <c r="AB16" s="52"/>
    </row>
    <row r="17" spans="3:28" ht="17" thickBot="1">
      <c r="C17" s="107" t="s">
        <v>4</v>
      </c>
      <c r="D17" s="108" t="s">
        <v>64</v>
      </c>
      <c r="E17" s="108" t="s">
        <v>62</v>
      </c>
      <c r="F17" s="108" t="s">
        <v>3</v>
      </c>
      <c r="G17" s="108" t="s">
        <v>59</v>
      </c>
      <c r="H17" s="108" t="s">
        <v>60</v>
      </c>
      <c r="I17" s="117" t="s">
        <v>94</v>
      </c>
      <c r="J17" s="109" t="s">
        <v>61</v>
      </c>
      <c r="K17" s="6"/>
      <c r="L17" s="107" t="s">
        <v>4</v>
      </c>
      <c r="M17" s="108" t="s">
        <v>64</v>
      </c>
      <c r="N17" s="108" t="s">
        <v>62</v>
      </c>
      <c r="O17" s="108" t="s">
        <v>3</v>
      </c>
      <c r="P17" s="108" t="s">
        <v>59</v>
      </c>
      <c r="Q17" s="108" t="s">
        <v>60</v>
      </c>
      <c r="R17" s="117" t="s">
        <v>94</v>
      </c>
      <c r="S17" s="109" t="s">
        <v>61</v>
      </c>
      <c r="AA17" s="52"/>
      <c r="AB17" s="52"/>
    </row>
    <row r="18" spans="3:28" ht="15" thickTop="1">
      <c r="C18" s="54">
        <v>0.495</v>
      </c>
      <c r="D18" s="13">
        <v>0.03</v>
      </c>
      <c r="E18" s="13">
        <v>0.1</v>
      </c>
      <c r="F18" s="13">
        <v>0.7</v>
      </c>
      <c r="G18" s="13">
        <v>2.3273735945273857</v>
      </c>
      <c r="H18" s="13">
        <v>0.15811377392440346</v>
      </c>
      <c r="I18" s="13">
        <v>0.20554790610172449</v>
      </c>
      <c r="J18" s="56">
        <v>4</v>
      </c>
      <c r="K18" s="6"/>
      <c r="L18" s="54">
        <v>0.66</v>
      </c>
      <c r="M18" s="13">
        <v>0.03</v>
      </c>
      <c r="N18" s="13">
        <v>0.1</v>
      </c>
      <c r="O18" s="13">
        <v>0.6</v>
      </c>
      <c r="P18" s="13">
        <v>2.2392780870880613</v>
      </c>
      <c r="Q18" s="13">
        <v>0.20785761271096739</v>
      </c>
      <c r="R18" s="13">
        <v>0.27021489652425762</v>
      </c>
      <c r="S18" s="56">
        <v>4</v>
      </c>
      <c r="AA18" s="52"/>
      <c r="AB18" s="52"/>
    </row>
    <row r="19" spans="3:28">
      <c r="C19" s="84">
        <v>0.53999999999999992</v>
      </c>
      <c r="D19" s="77">
        <v>0.06</v>
      </c>
      <c r="E19" s="55">
        <v>0.2</v>
      </c>
      <c r="F19" s="55">
        <v>0.7</v>
      </c>
      <c r="G19" s="77">
        <v>2.2860033177035066</v>
      </c>
      <c r="H19" s="77">
        <v>0.18207869034938073</v>
      </c>
      <c r="I19" s="77">
        <v>0.23670229745419497</v>
      </c>
      <c r="J19" s="78">
        <v>4</v>
      </c>
      <c r="K19" s="6"/>
      <c r="L19" s="54">
        <v>0.72</v>
      </c>
      <c r="M19" s="13">
        <v>0.06</v>
      </c>
      <c r="N19" s="13">
        <v>0.2</v>
      </c>
      <c r="O19" s="13">
        <v>0.6</v>
      </c>
      <c r="P19" s="13">
        <v>2.1870496334391833</v>
      </c>
      <c r="Q19" s="13">
        <v>0.23856357291234589</v>
      </c>
      <c r="R19" s="13">
        <v>0.31013264478604968</v>
      </c>
      <c r="S19" s="56">
        <v>4</v>
      </c>
      <c r="AA19" s="52"/>
      <c r="AB19" s="52"/>
    </row>
    <row r="20" spans="3:28">
      <c r="C20" s="84">
        <v>0.58499999999999996</v>
      </c>
      <c r="D20" s="77">
        <v>0.09</v>
      </c>
      <c r="E20" s="77">
        <v>0.3</v>
      </c>
      <c r="F20" s="77">
        <v>0.7</v>
      </c>
      <c r="G20" s="77">
        <v>2.24578706119296</v>
      </c>
      <c r="H20" s="77">
        <v>0.20546605033712753</v>
      </c>
      <c r="I20" s="77">
        <v>0.26710586543826581</v>
      </c>
      <c r="J20" s="78">
        <v>4</v>
      </c>
      <c r="K20" s="6"/>
      <c r="L20" s="54">
        <v>0.78</v>
      </c>
      <c r="M20" s="13">
        <v>0.09</v>
      </c>
      <c r="N20" s="13">
        <v>0.3</v>
      </c>
      <c r="O20" s="13">
        <v>0.6</v>
      </c>
      <c r="P20" s="13">
        <v>2.1365725182922826</v>
      </c>
      <c r="Q20" s="13">
        <v>0.26835730562223448</v>
      </c>
      <c r="R20" s="13">
        <v>0.34886449730890484</v>
      </c>
      <c r="S20" s="56">
        <v>4</v>
      </c>
      <c r="AA20" s="52"/>
      <c r="AB20" s="52"/>
    </row>
    <row r="21" spans="3:28">
      <c r="C21" s="54">
        <v>0.62999999999999989</v>
      </c>
      <c r="D21" s="13">
        <v>0.12</v>
      </c>
      <c r="E21" s="13">
        <v>0.4</v>
      </c>
      <c r="F21" s="13">
        <v>0.7</v>
      </c>
      <c r="G21" s="13">
        <v>2.2066495168100015</v>
      </c>
      <c r="H21" s="13">
        <v>0.22830711374595525</v>
      </c>
      <c r="I21" s="13">
        <v>0.29679924786974182</v>
      </c>
      <c r="J21" s="56">
        <v>4</v>
      </c>
      <c r="K21" s="6"/>
      <c r="L21" s="54">
        <v>0.84</v>
      </c>
      <c r="M21" s="13">
        <v>0.12</v>
      </c>
      <c r="N21" s="13">
        <v>0.4</v>
      </c>
      <c r="O21" s="13">
        <v>0.6</v>
      </c>
      <c r="P21" s="13">
        <v>2.0877049093605393</v>
      </c>
      <c r="Q21" s="13">
        <v>0.29729883209171004</v>
      </c>
      <c r="R21" s="13">
        <v>0.38648848171922306</v>
      </c>
      <c r="S21" s="56">
        <v>4</v>
      </c>
      <c r="AA21" s="52"/>
      <c r="AB21" s="52"/>
    </row>
    <row r="22" spans="3:28">
      <c r="C22" s="54">
        <v>0.67499999999999993</v>
      </c>
      <c r="D22" s="13">
        <v>0.15</v>
      </c>
      <c r="E22" s="13">
        <v>0.5</v>
      </c>
      <c r="F22" s="13">
        <v>0.7</v>
      </c>
      <c r="G22" s="13">
        <v>2.1685221756536923</v>
      </c>
      <c r="H22" s="13">
        <v>0.2506304624052812</v>
      </c>
      <c r="I22" s="13">
        <v>0.32581960112686559</v>
      </c>
      <c r="J22" s="56">
        <v>4</v>
      </c>
      <c r="K22" s="6"/>
      <c r="L22" s="54">
        <v>0.89999999999999991</v>
      </c>
      <c r="M22" s="13">
        <v>0.15</v>
      </c>
      <c r="N22" s="13">
        <v>0.5</v>
      </c>
      <c r="O22" s="13">
        <v>0.6</v>
      </c>
      <c r="P22" s="13">
        <v>2.0403202652406138</v>
      </c>
      <c r="Q22" s="13">
        <v>0.32544197386795315</v>
      </c>
      <c r="R22" s="13">
        <v>0.42307456602833909</v>
      </c>
      <c r="S22" s="56">
        <v>4</v>
      </c>
      <c r="AA22" s="52"/>
      <c r="AB22" s="52"/>
    </row>
    <row r="23" spans="3:28">
      <c r="C23" s="54">
        <v>0.72</v>
      </c>
      <c r="D23" s="13">
        <v>0.18</v>
      </c>
      <c r="E23" s="13">
        <v>0.6</v>
      </c>
      <c r="F23" s="13">
        <v>0.7</v>
      </c>
      <c r="G23" s="13">
        <v>2.1313424995892487</v>
      </c>
      <c r="H23" s="13">
        <v>0.27246230988903786</v>
      </c>
      <c r="I23" s="13">
        <v>0.35420100285574924</v>
      </c>
      <c r="J23" s="56">
        <v>4</v>
      </c>
      <c r="K23" s="6"/>
      <c r="L23" s="54">
        <v>0.96</v>
      </c>
      <c r="M23" s="13">
        <v>0.18</v>
      </c>
      <c r="N23" s="13">
        <v>0.6</v>
      </c>
      <c r="O23" s="13">
        <v>0.4</v>
      </c>
      <c r="P23" s="13">
        <v>2.0139495499479145</v>
      </c>
      <c r="Q23" s="13">
        <v>0.46332292156920696</v>
      </c>
      <c r="R23" s="13">
        <v>0.60231979803996905</v>
      </c>
      <c r="S23" s="56">
        <v>4</v>
      </c>
      <c r="AA23" s="52"/>
      <c r="AB23" s="52"/>
    </row>
    <row r="24" spans="3:28">
      <c r="C24" s="54">
        <v>0.7649999999999999</v>
      </c>
      <c r="D24" s="13">
        <v>0.21</v>
      </c>
      <c r="E24" s="13">
        <v>0.7</v>
      </c>
      <c r="F24" s="13">
        <v>0.4</v>
      </c>
      <c r="G24" s="13">
        <v>2.1092134688948829</v>
      </c>
      <c r="H24" s="13">
        <v>0.30263504220883325</v>
      </c>
      <c r="I24" s="13">
        <v>0.39342555487148323</v>
      </c>
      <c r="J24" s="56">
        <v>8</v>
      </c>
      <c r="K24" s="6"/>
      <c r="L24" s="54">
        <v>1.02</v>
      </c>
      <c r="M24" s="13">
        <v>0.21</v>
      </c>
      <c r="N24" s="13">
        <v>0.7</v>
      </c>
      <c r="O24" s="13">
        <v>0.4</v>
      </c>
      <c r="P24" s="13">
        <v>1.9778842107508539</v>
      </c>
      <c r="Q24" s="13">
        <v>0.55374169857749433</v>
      </c>
      <c r="R24" s="13">
        <v>0.7198642081507427</v>
      </c>
      <c r="S24" s="56">
        <v>4</v>
      </c>
      <c r="AA24" s="52"/>
      <c r="AB24" s="52"/>
    </row>
    <row r="25" spans="3:28">
      <c r="C25" s="54">
        <v>0.80999999999999994</v>
      </c>
      <c r="D25" s="13">
        <v>0.24</v>
      </c>
      <c r="E25" s="13">
        <v>0.8</v>
      </c>
      <c r="F25" s="13">
        <v>0.4</v>
      </c>
      <c r="G25" s="13">
        <v>2.1396509929809535</v>
      </c>
      <c r="H25" s="13">
        <v>0.35984684703825476</v>
      </c>
      <c r="I25" s="13">
        <v>0.46780090114973122</v>
      </c>
      <c r="J25" s="56">
        <v>8</v>
      </c>
      <c r="K25" s="6"/>
      <c r="L25" s="54">
        <v>1.08</v>
      </c>
      <c r="M25" s="13">
        <v>0.24</v>
      </c>
      <c r="N25" s="13">
        <v>0.8</v>
      </c>
      <c r="O25" s="13">
        <v>0.6</v>
      </c>
      <c r="P25" s="13">
        <v>1.9059835004023236</v>
      </c>
      <c r="Q25" s="13">
        <v>0.40554334453650859</v>
      </c>
      <c r="R25" s="13">
        <v>0.52720634789746124</v>
      </c>
      <c r="S25" s="56">
        <v>4</v>
      </c>
      <c r="AA25" s="52"/>
      <c r="AB25" s="52"/>
    </row>
    <row r="26" spans="3:28">
      <c r="C26" s="54">
        <v>0.85499999999999987</v>
      </c>
      <c r="D26" s="13">
        <v>0.27</v>
      </c>
      <c r="E26" s="13">
        <v>0.9</v>
      </c>
      <c r="F26" s="13">
        <v>0.4</v>
      </c>
      <c r="G26" s="13">
        <v>2.1509065503052414</v>
      </c>
      <c r="H26" s="13">
        <v>0.42231314991061369</v>
      </c>
      <c r="I26" s="13">
        <v>0.54900709488379784</v>
      </c>
      <c r="J26" s="56">
        <v>8</v>
      </c>
      <c r="K26" s="6"/>
      <c r="L26" s="54">
        <v>1.1399999999999999</v>
      </c>
      <c r="M26" s="13">
        <v>0.27</v>
      </c>
      <c r="N26" s="13">
        <v>0.9</v>
      </c>
      <c r="O26" s="13">
        <v>0.6</v>
      </c>
      <c r="P26" s="13">
        <v>1.8635000980418046</v>
      </c>
      <c r="Q26" s="13">
        <v>0.43093433744689658</v>
      </c>
      <c r="R26" s="13">
        <v>0.56021463868096555</v>
      </c>
      <c r="S26" s="56">
        <v>4</v>
      </c>
      <c r="W26" s="52" t="s">
        <v>95</v>
      </c>
      <c r="AA26" s="52"/>
      <c r="AB26" s="52"/>
    </row>
    <row r="27" spans="3:28" ht="15" thickBot="1">
      <c r="C27" s="39">
        <v>0.89999999999999991</v>
      </c>
      <c r="D27" s="25">
        <v>0.3</v>
      </c>
      <c r="E27" s="25">
        <v>1</v>
      </c>
      <c r="F27" s="25">
        <v>0.4</v>
      </c>
      <c r="G27" s="25">
        <v>2.1420103856245079</v>
      </c>
      <c r="H27" s="25">
        <v>0.48181286164110754</v>
      </c>
      <c r="I27" s="25">
        <v>0.62635672013343979</v>
      </c>
      <c r="J27" s="37">
        <v>4</v>
      </c>
      <c r="K27" s="6"/>
      <c r="L27" s="39">
        <v>1.2</v>
      </c>
      <c r="M27" s="25">
        <v>0.3</v>
      </c>
      <c r="N27" s="25">
        <v>1</v>
      </c>
      <c r="O27" s="25">
        <v>0.6</v>
      </c>
      <c r="P27" s="25">
        <v>1.8220297815105455</v>
      </c>
      <c r="Q27" s="25">
        <v>0.45572854401137064</v>
      </c>
      <c r="R27" s="25">
        <v>0.59244710721478189</v>
      </c>
      <c r="S27" s="37">
        <v>4</v>
      </c>
      <c r="W27" s="52" t="s">
        <v>96</v>
      </c>
      <c r="AA27" s="52"/>
      <c r="AB27" s="52"/>
    </row>
    <row r="28" spans="3:28" ht="15" thickBot="1"/>
    <row r="29" spans="3:28" ht="17" thickBot="1">
      <c r="C29" s="105" t="s">
        <v>31</v>
      </c>
      <c r="D29" s="106" t="s">
        <v>65</v>
      </c>
      <c r="E29" s="15"/>
      <c r="F29" s="15"/>
      <c r="G29" s="15"/>
      <c r="H29" s="15"/>
      <c r="I29" s="15"/>
      <c r="J29" s="16"/>
      <c r="L29" s="105" t="s">
        <v>31</v>
      </c>
      <c r="M29" s="106" t="s">
        <v>65</v>
      </c>
      <c r="N29" s="15"/>
      <c r="O29" s="15"/>
      <c r="P29" s="15"/>
      <c r="Q29" s="15"/>
      <c r="R29" s="15"/>
      <c r="S29" s="16"/>
      <c r="AA29" s="52"/>
      <c r="AB29" s="52"/>
    </row>
    <row r="30" spans="3:28" ht="16" thickTop="1" thickBot="1">
      <c r="C30" s="39">
        <v>5</v>
      </c>
      <c r="D30" s="37">
        <v>0.3</v>
      </c>
      <c r="E30" s="13"/>
      <c r="F30" s="13"/>
      <c r="G30" s="13"/>
      <c r="H30" s="13"/>
      <c r="I30" s="13"/>
      <c r="J30" s="56"/>
      <c r="L30" s="39">
        <v>6</v>
      </c>
      <c r="M30" s="37">
        <v>0.3</v>
      </c>
      <c r="N30" s="13"/>
      <c r="O30" s="13"/>
      <c r="P30" s="13"/>
      <c r="Q30" s="13"/>
      <c r="R30" s="13"/>
      <c r="S30" s="56"/>
      <c r="AA30" s="52"/>
      <c r="AB30" s="52"/>
    </row>
    <row r="31" spans="3:28">
      <c r="C31" s="54"/>
      <c r="D31" s="13"/>
      <c r="E31" s="13"/>
      <c r="F31" s="13"/>
      <c r="G31" s="13"/>
      <c r="H31" s="13"/>
      <c r="I31" s="13"/>
      <c r="J31" s="56"/>
      <c r="L31" s="54"/>
      <c r="M31" s="13"/>
      <c r="N31" s="13"/>
      <c r="O31" s="13"/>
      <c r="P31" s="13"/>
      <c r="Q31" s="13"/>
      <c r="R31" s="13"/>
      <c r="S31" s="56"/>
      <c r="X31" s="85"/>
      <c r="Y31" s="85"/>
      <c r="Z31" s="85"/>
      <c r="AA31" s="52"/>
      <c r="AB31" s="52"/>
    </row>
    <row r="32" spans="3:28" ht="17" thickBot="1">
      <c r="C32" s="107" t="s">
        <v>4</v>
      </c>
      <c r="D32" s="108" t="s">
        <v>64</v>
      </c>
      <c r="E32" s="108" t="s">
        <v>62</v>
      </c>
      <c r="F32" s="108" t="s">
        <v>3</v>
      </c>
      <c r="G32" s="108" t="s">
        <v>59</v>
      </c>
      <c r="H32" s="108" t="s">
        <v>60</v>
      </c>
      <c r="I32" s="117" t="s">
        <v>94</v>
      </c>
      <c r="J32" s="109" t="s">
        <v>61</v>
      </c>
      <c r="L32" s="107" t="s">
        <v>4</v>
      </c>
      <c r="M32" s="108" t="s">
        <v>64</v>
      </c>
      <c r="N32" s="108" t="s">
        <v>62</v>
      </c>
      <c r="O32" s="108" t="s">
        <v>3</v>
      </c>
      <c r="P32" s="108" t="s">
        <v>59</v>
      </c>
      <c r="Q32" s="108" t="s">
        <v>60</v>
      </c>
      <c r="R32" s="117" t="s">
        <v>94</v>
      </c>
      <c r="S32" s="109" t="s">
        <v>61</v>
      </c>
      <c r="X32" s="85"/>
      <c r="Y32" s="85"/>
      <c r="Z32" s="85"/>
      <c r="AA32" s="52"/>
      <c r="AB32" s="52"/>
    </row>
    <row r="33" spans="2:28" ht="15" thickTop="1">
      <c r="C33" s="54">
        <v>0.82500000000000007</v>
      </c>
      <c r="D33" s="13">
        <v>0.03</v>
      </c>
      <c r="E33" s="13">
        <v>0.1</v>
      </c>
      <c r="F33" s="13" t="s">
        <v>2</v>
      </c>
      <c r="G33" s="13">
        <v>2.1531431936971925</v>
      </c>
      <c r="H33" s="13">
        <v>0.25187332602247459</v>
      </c>
      <c r="I33" s="13">
        <v>0.32743532382921697</v>
      </c>
      <c r="J33" s="56">
        <v>0</v>
      </c>
      <c r="L33" s="54">
        <v>0.99</v>
      </c>
      <c r="M33" s="13">
        <v>0.03</v>
      </c>
      <c r="N33" s="13">
        <v>0.1</v>
      </c>
      <c r="O33" s="13" t="s">
        <v>2</v>
      </c>
      <c r="P33" s="13">
        <v>2.0501216957303408</v>
      </c>
      <c r="Q33" s="13">
        <v>0.31040145528337604</v>
      </c>
      <c r="R33" s="13">
        <v>0.40352189186838888</v>
      </c>
      <c r="S33" s="56">
        <v>0</v>
      </c>
      <c r="X33" s="85"/>
      <c r="Y33" s="85"/>
      <c r="Z33" s="85"/>
      <c r="AA33" s="52"/>
      <c r="AB33" s="52"/>
    </row>
    <row r="34" spans="2:28">
      <c r="C34" s="54">
        <v>0.89999999999999991</v>
      </c>
      <c r="D34" s="13">
        <v>0.06</v>
      </c>
      <c r="E34" s="13">
        <v>0.2</v>
      </c>
      <c r="F34" s="13" t="s">
        <v>2</v>
      </c>
      <c r="G34" s="13">
        <v>2.0920660306210568</v>
      </c>
      <c r="H34" s="13">
        <v>0.28826096703484366</v>
      </c>
      <c r="I34" s="13">
        <v>0.37473925714529677</v>
      </c>
      <c r="J34" s="56">
        <v>0</v>
      </c>
      <c r="L34" s="54">
        <v>1.0799999999999998</v>
      </c>
      <c r="M34" s="13">
        <v>0.06</v>
      </c>
      <c r="N34" s="13">
        <v>0.2</v>
      </c>
      <c r="O34" s="13" t="s">
        <v>2</v>
      </c>
      <c r="P34" s="13">
        <v>1.9780302124765823</v>
      </c>
      <c r="Q34" s="13">
        <v>0.35417245599393204</v>
      </c>
      <c r="R34" s="13">
        <v>0.46042419279211166</v>
      </c>
      <c r="S34" s="56">
        <v>0</v>
      </c>
      <c r="X34" s="85"/>
      <c r="Y34" s="85"/>
      <c r="Z34" s="85"/>
      <c r="AA34" s="52"/>
      <c r="AB34" s="52"/>
    </row>
    <row r="35" spans="2:28">
      <c r="C35" s="54">
        <v>0.97500000000000009</v>
      </c>
      <c r="D35" s="13">
        <v>0.09</v>
      </c>
      <c r="E35" s="13">
        <v>0.3</v>
      </c>
      <c r="F35" s="13" t="s">
        <v>2</v>
      </c>
      <c r="G35" s="13">
        <v>2.0332979535613624</v>
      </c>
      <c r="H35" s="13">
        <v>0.32339909578809894</v>
      </c>
      <c r="I35" s="13">
        <v>0.42041882452452867</v>
      </c>
      <c r="J35" s="56">
        <v>0</v>
      </c>
      <c r="L35" s="54">
        <v>1.17</v>
      </c>
      <c r="M35" s="13">
        <v>0.09</v>
      </c>
      <c r="N35" s="13">
        <v>0.3</v>
      </c>
      <c r="O35" s="13" t="s">
        <v>2</v>
      </c>
      <c r="P35" s="13">
        <v>1.9088942335585912</v>
      </c>
      <c r="Q35" s="13">
        <v>0.39623562788295269</v>
      </c>
      <c r="R35" s="13">
        <v>0.51510631624783854</v>
      </c>
      <c r="S35" s="56">
        <v>0</v>
      </c>
      <c r="X35" s="85"/>
      <c r="Y35" s="85"/>
      <c r="Z35" s="85"/>
      <c r="AA35" s="52"/>
      <c r="AB35" s="52"/>
    </row>
    <row r="36" spans="2:28">
      <c r="C36" s="54">
        <v>1.0499999999999998</v>
      </c>
      <c r="D36" s="13">
        <v>0.12</v>
      </c>
      <c r="E36" s="13">
        <v>0.4</v>
      </c>
      <c r="F36" s="13" t="s">
        <v>2</v>
      </c>
      <c r="G36" s="13">
        <v>1.97662146682746</v>
      </c>
      <c r="H36" s="13">
        <v>0.35738137148596077</v>
      </c>
      <c r="I36" s="13">
        <v>0.46459578293174902</v>
      </c>
      <c r="J36" s="56">
        <v>0</v>
      </c>
      <c r="L36" s="54">
        <v>1.2599999999999998</v>
      </c>
      <c r="M36" s="13">
        <v>0.12</v>
      </c>
      <c r="N36" s="13">
        <v>0.4</v>
      </c>
      <c r="O36" s="13" t="s">
        <v>2</v>
      </c>
      <c r="P36" s="13">
        <v>1.8423829558435807</v>
      </c>
      <c r="Q36" s="13">
        <v>0.43673555467658925</v>
      </c>
      <c r="R36" s="13">
        <v>0.56775622107956603</v>
      </c>
      <c r="S36" s="56">
        <v>0</v>
      </c>
      <c r="X36" s="85"/>
      <c r="Y36" s="85"/>
      <c r="Z36" s="85"/>
      <c r="AA36" s="52"/>
      <c r="AB36" s="52"/>
    </row>
    <row r="37" spans="2:28">
      <c r="C37" s="54">
        <v>1.125</v>
      </c>
      <c r="D37" s="13">
        <v>0.15</v>
      </c>
      <c r="E37" s="13">
        <v>0.5</v>
      </c>
      <c r="F37" s="13" t="s">
        <v>2</v>
      </c>
      <c r="G37" s="13">
        <v>1.9218452712414309</v>
      </c>
      <c r="H37" s="13">
        <v>0.39029050893608946</v>
      </c>
      <c r="I37" s="13">
        <v>0.50737766161691633</v>
      </c>
      <c r="J37" s="56">
        <v>0</v>
      </c>
      <c r="L37" s="54">
        <v>1.3499999999999999</v>
      </c>
      <c r="M37" s="13">
        <v>0.15</v>
      </c>
      <c r="N37" s="13">
        <v>0.5</v>
      </c>
      <c r="O37" s="13" t="s">
        <v>2</v>
      </c>
      <c r="P37" s="13">
        <v>1.7782086766938576</v>
      </c>
      <c r="Q37" s="13">
        <v>0.47579785002539116</v>
      </c>
      <c r="R37" s="13">
        <v>0.61853720503300857</v>
      </c>
      <c r="S37" s="56">
        <v>0</v>
      </c>
      <c r="AA37" s="52"/>
      <c r="AB37" s="52"/>
    </row>
    <row r="38" spans="2:28">
      <c r="C38" s="54">
        <v>1.2000000000000002</v>
      </c>
      <c r="D38" s="13">
        <v>0.18</v>
      </c>
      <c r="E38" s="13">
        <v>0.6</v>
      </c>
      <c r="F38" s="13" t="s">
        <v>2</v>
      </c>
      <c r="G38" s="13">
        <v>1.8687998774665702</v>
      </c>
      <c r="H38" s="13">
        <v>0.42219998427499039</v>
      </c>
      <c r="I38" s="13">
        <v>0.54885997955748755</v>
      </c>
      <c r="J38" s="56">
        <v>0</v>
      </c>
      <c r="L38" s="54">
        <v>1.44</v>
      </c>
      <c r="M38" s="13">
        <v>0.18</v>
      </c>
      <c r="N38" s="13">
        <v>0.6</v>
      </c>
      <c r="O38" s="13" t="s">
        <v>2</v>
      </c>
      <c r="P38" s="13">
        <v>1.7161184437911334</v>
      </c>
      <c r="Q38" s="13">
        <v>0.51353245937550673</v>
      </c>
      <c r="R38" s="13">
        <v>0.66759219718815876</v>
      </c>
      <c r="S38" s="56">
        <v>0</v>
      </c>
      <c r="AA38" s="52"/>
      <c r="AB38" s="52"/>
    </row>
    <row r="39" spans="2:28">
      <c r="B39" s="6"/>
      <c r="C39" s="54">
        <v>1.2749999999999999</v>
      </c>
      <c r="D39" s="13">
        <v>0.21</v>
      </c>
      <c r="E39" s="13">
        <v>0.7</v>
      </c>
      <c r="F39" s="13" t="s">
        <v>2</v>
      </c>
      <c r="G39" s="13">
        <v>1.8173340744615467</v>
      </c>
      <c r="H39" s="13">
        <v>0.45317541370149433</v>
      </c>
      <c r="I39" s="13">
        <v>0.58912803781194267</v>
      </c>
      <c r="J39" s="56">
        <v>0</v>
      </c>
      <c r="L39" s="54">
        <v>1.5299999999999998</v>
      </c>
      <c r="M39" s="13">
        <v>0.21</v>
      </c>
      <c r="N39" s="13">
        <v>0.7</v>
      </c>
      <c r="O39" s="13" t="s">
        <v>2</v>
      </c>
      <c r="P39" s="13">
        <v>1.6558874627508888</v>
      </c>
      <c r="Q39" s="13">
        <v>0.55003625839091952</v>
      </c>
      <c r="R39" s="13">
        <v>0.71504713590819535</v>
      </c>
      <c r="S39" s="56">
        <v>0</v>
      </c>
      <c r="AA39" s="52"/>
      <c r="AB39" s="52"/>
    </row>
    <row r="40" spans="2:28">
      <c r="C40" s="54">
        <v>1.35</v>
      </c>
      <c r="D40" s="13">
        <v>0.24</v>
      </c>
      <c r="E40" s="13">
        <v>0.8</v>
      </c>
      <c r="F40" s="13" t="s">
        <v>2</v>
      </c>
      <c r="G40" s="13">
        <v>1.7673120545152525</v>
      </c>
      <c r="H40" s="13">
        <v>0.48327567868813348</v>
      </c>
      <c r="I40" s="13">
        <v>0.62825838229457354</v>
      </c>
      <c r="J40" s="56">
        <v>0</v>
      </c>
      <c r="L40" s="54">
        <v>1.6199999999999999</v>
      </c>
      <c r="M40" s="13">
        <v>0.24</v>
      </c>
      <c r="N40" s="13">
        <v>0.8</v>
      </c>
      <c r="O40" s="13" t="s">
        <v>2</v>
      </c>
      <c r="P40" s="13">
        <v>1.5973137977994678</v>
      </c>
      <c r="Q40" s="13">
        <v>0.58539512279010542</v>
      </c>
      <c r="R40" s="13">
        <v>0.76101365962713707</v>
      </c>
      <c r="S40" s="56">
        <v>0</v>
      </c>
      <c r="AA40" s="52"/>
      <c r="AB40" s="52"/>
    </row>
    <row r="41" spans="2:28">
      <c r="C41" s="54">
        <v>1.4249999999999998</v>
      </c>
      <c r="D41" s="13">
        <v>0.27</v>
      </c>
      <c r="E41" s="13">
        <v>0.9</v>
      </c>
      <c r="F41" s="13" t="s">
        <v>2</v>
      </c>
      <c r="G41" s="13">
        <v>1.7186110475170082</v>
      </c>
      <c r="H41" s="13">
        <v>0.51255385239727835</v>
      </c>
      <c r="I41" s="13">
        <v>0.66632000811646186</v>
      </c>
      <c r="J41" s="56">
        <v>0</v>
      </c>
      <c r="L41" s="54">
        <v>1.7099999999999997</v>
      </c>
      <c r="M41" s="13">
        <v>0.27</v>
      </c>
      <c r="N41" s="13">
        <v>0.9</v>
      </c>
      <c r="O41" s="13" t="s">
        <v>2</v>
      </c>
      <c r="P41" s="13">
        <v>1.5402140293075846</v>
      </c>
      <c r="Q41" s="13">
        <v>0.61968559531023404</v>
      </c>
      <c r="R41" s="13">
        <v>0.80559127390330432</v>
      </c>
      <c r="S41" s="56">
        <v>0</v>
      </c>
      <c r="AA41" s="52"/>
      <c r="AB41" s="52"/>
    </row>
    <row r="42" spans="2:28" ht="15" thickBot="1">
      <c r="C42" s="39">
        <v>1.5</v>
      </c>
      <c r="D42" s="25">
        <v>0.3</v>
      </c>
      <c r="E42" s="25">
        <v>1</v>
      </c>
      <c r="F42" s="25" t="s">
        <v>2</v>
      </c>
      <c r="G42" s="25">
        <v>1.671119353537565</v>
      </c>
      <c r="H42" s="25">
        <v>0.54105796859528366</v>
      </c>
      <c r="I42" s="25">
        <v>0.70337535917386873</v>
      </c>
      <c r="J42" s="37">
        <v>0</v>
      </c>
      <c r="L42" s="39">
        <v>1.7999999999999998</v>
      </c>
      <c r="M42" s="25">
        <v>0.3</v>
      </c>
      <c r="N42" s="25">
        <v>1</v>
      </c>
      <c r="O42" s="25" t="s">
        <v>2</v>
      </c>
      <c r="P42" s="25">
        <v>1.4844196185305913</v>
      </c>
      <c r="Q42" s="25">
        <v>0.65297624164284984</v>
      </c>
      <c r="R42" s="25">
        <v>0.84886911413570487</v>
      </c>
      <c r="S42" s="37">
        <v>0</v>
      </c>
      <c r="AA42" s="52"/>
      <c r="AB42" s="52"/>
    </row>
  </sheetData>
  <mergeCells count="2">
    <mergeCell ref="G2:K2"/>
    <mergeCell ref="L2:P2"/>
  </mergeCells>
  <conditionalFormatting sqref="M4:M9">
    <cfRule type="top10" dxfId="15" priority="21" rank="1"/>
  </conditionalFormatting>
  <conditionalFormatting sqref="P18:P27">
    <cfRule type="top10" dxfId="14" priority="8" rank="1"/>
  </conditionalFormatting>
  <conditionalFormatting sqref="G18 G21:G27">
    <cfRule type="top10" dxfId="13" priority="6" rank="1"/>
  </conditionalFormatting>
  <conditionalFormatting sqref="G33:G42">
    <cfRule type="top10" dxfId="12" priority="5" rank="1"/>
  </conditionalFormatting>
  <conditionalFormatting sqref="P33:P42">
    <cfRule type="top10" dxfId="11" priority="3" rank="1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1B8B0216-34B9-4032-BDAD-93D031AAE00B}">
            <xm:f>SBT!$D$16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L33:L42</xm:sqref>
        </x14:conditionalFormatting>
        <x14:conditionalFormatting xmlns:xm="http://schemas.microsoft.com/office/excel/2006/main">
          <x14:cfRule type="cellIs" priority="11" operator="greaterThan" id="{7B6661F8-0ECC-41E3-906C-C75802C7F2E8}">
            <xm:f>SBT!$D$16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C18 C21:C27</xm:sqref>
        </x14:conditionalFormatting>
        <x14:conditionalFormatting xmlns:xm="http://schemas.microsoft.com/office/excel/2006/main">
          <x14:cfRule type="cellIs" priority="10" operator="greaterThan" id="{F25E13EB-DCE7-418D-9A31-219467A087A4}">
            <xm:f>SBT!$D$16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L18:L27</xm:sqref>
        </x14:conditionalFormatting>
        <x14:conditionalFormatting xmlns:xm="http://schemas.microsoft.com/office/excel/2006/main">
          <x14:cfRule type="cellIs" priority="9" operator="greaterThan" id="{D4BB1B35-AD56-427C-99F2-48D2E4A0FF06}">
            <xm:f>SBT!$D$16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C33:C42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50"/>
  <sheetViews>
    <sheetView zoomScale="85" zoomScaleNormal="85" zoomScalePageLayoutView="85" workbookViewId="0">
      <selection activeCell="O4" sqref="O4"/>
    </sheetView>
  </sheetViews>
  <sheetFormatPr baseColWidth="10" defaultColWidth="8.83203125" defaultRowHeight="14" x14ac:dyDescent="0"/>
  <cols>
    <col min="1" max="1" width="5.5" style="5" customWidth="1"/>
    <col min="2" max="2" width="15.5" style="5" bestFit="1" customWidth="1"/>
    <col min="3" max="3" width="13.1640625" style="5" customWidth="1"/>
    <col min="4" max="4" width="12" style="6" customWidth="1"/>
    <col min="5" max="5" width="9.33203125" style="6" bestFit="1" customWidth="1"/>
    <col min="6" max="6" width="9.1640625" style="6" customWidth="1"/>
    <col min="7" max="7" width="13.83203125" style="6" customWidth="1"/>
    <col min="8" max="8" width="13.6640625" style="6" customWidth="1"/>
    <col min="9" max="9" width="16.83203125" style="74" customWidth="1"/>
    <col min="10" max="10" width="8" style="6" bestFit="1" customWidth="1"/>
    <col min="11" max="11" width="8.1640625" style="6" customWidth="1"/>
    <col min="12" max="12" width="14.83203125" style="6" bestFit="1" customWidth="1"/>
    <col min="13" max="13" width="15.5" style="6" bestFit="1" customWidth="1"/>
    <col min="14" max="14" width="16.1640625" style="6" bestFit="1" customWidth="1"/>
    <col min="15" max="15" width="8.83203125" style="6" customWidth="1"/>
    <col min="16" max="17" width="5.83203125" style="6" bestFit="1" customWidth="1"/>
    <col min="18" max="18" width="9.83203125" style="6" customWidth="1"/>
    <col min="19" max="19" width="9.1640625" style="6" bestFit="1" customWidth="1"/>
    <col min="20" max="21" width="6.5" style="6" bestFit="1" customWidth="1"/>
    <col min="22" max="22" width="8" style="5" bestFit="1" customWidth="1"/>
    <col min="23" max="23" width="10" style="5" bestFit="1" customWidth="1"/>
    <col min="24" max="24" width="12.6640625" style="5" bestFit="1" customWidth="1"/>
    <col min="25" max="26" width="12" bestFit="1" customWidth="1"/>
    <col min="27" max="28" width="12.6640625" bestFit="1" customWidth="1"/>
  </cols>
  <sheetData>
    <row r="1" spans="3:29" ht="15" thickBot="1"/>
    <row r="2" spans="3:29" ht="15" thickBot="1">
      <c r="C2" s="130" t="s">
        <v>58</v>
      </c>
      <c r="D2" s="131"/>
      <c r="E2" s="11"/>
      <c r="F2" s="13"/>
      <c r="G2" s="13"/>
      <c r="H2" s="132" t="s">
        <v>38</v>
      </c>
      <c r="I2" s="133"/>
      <c r="J2" s="133"/>
      <c r="K2" s="133"/>
      <c r="L2" s="133"/>
      <c r="M2" s="133"/>
      <c r="N2" s="133"/>
      <c r="O2" s="133"/>
      <c r="P2" s="134"/>
      <c r="Q2" s="13"/>
      <c r="R2"/>
      <c r="S2"/>
      <c r="T2"/>
      <c r="U2"/>
      <c r="V2" s="13"/>
      <c r="W2" s="13"/>
      <c r="X2" s="6"/>
      <c r="Y2" s="52"/>
      <c r="Z2" s="52"/>
      <c r="AA2" s="52"/>
      <c r="AB2" s="52"/>
    </row>
    <row r="3" spans="3:29" ht="18" thickBot="1">
      <c r="C3" s="18"/>
      <c r="D3" s="13"/>
      <c r="E3" s="13"/>
      <c r="F3" s="13"/>
      <c r="G3" s="13"/>
      <c r="H3" s="101" t="s">
        <v>4</v>
      </c>
      <c r="I3" s="102" t="s">
        <v>5</v>
      </c>
      <c r="J3" s="103" t="s">
        <v>6</v>
      </c>
      <c r="K3" s="103" t="s">
        <v>31</v>
      </c>
      <c r="L3" s="103" t="s">
        <v>87</v>
      </c>
      <c r="M3" s="103" t="s">
        <v>23</v>
      </c>
      <c r="N3" s="103" t="s">
        <v>26</v>
      </c>
      <c r="O3" s="104" t="s">
        <v>15</v>
      </c>
      <c r="P3" s="66" t="s">
        <v>88</v>
      </c>
      <c r="R3"/>
      <c r="S3"/>
      <c r="T3"/>
      <c r="U3"/>
      <c r="Y3" s="5"/>
      <c r="Z3" s="6"/>
      <c r="AA3" s="52"/>
      <c r="AB3" s="52"/>
      <c r="AC3" s="52"/>
    </row>
    <row r="4" spans="3:29" ht="16" thickTop="1" thickBot="1">
      <c r="C4" s="18"/>
      <c r="D4" s="13"/>
      <c r="E4" s="13"/>
      <c r="F4" s="13"/>
      <c r="G4" s="13"/>
      <c r="H4" s="39">
        <f>SBT!B6</f>
        <v>0.495</v>
      </c>
      <c r="I4" s="75">
        <f>SBT!C9</f>
        <v>0.3</v>
      </c>
      <c r="J4" s="25">
        <f>SBT!D6</f>
        <v>8.1674999999999998E-2</v>
      </c>
      <c r="K4" s="25">
        <f>SBT!E6</f>
        <v>3</v>
      </c>
      <c r="L4" s="25">
        <f>SBT!D9</f>
        <v>0.17999999999999997</v>
      </c>
      <c r="M4" s="25">
        <f>SBT!B16</f>
        <v>1.2192000000000001</v>
      </c>
      <c r="N4" s="25">
        <f>SBT!C16</f>
        <v>4.2671999999999999</v>
      </c>
      <c r="O4" s="25">
        <f>0.5*SBT!$B$26*$J$4*SBT!$C$26^2</f>
        <v>1.81898811084375</v>
      </c>
      <c r="P4" s="37">
        <f>(SBT!$B$12*SBT!$E$23+SBT!$D$23)*0.5*9.81</f>
        <v>1.0079372950819674</v>
      </c>
      <c r="R4"/>
      <c r="S4"/>
      <c r="T4"/>
      <c r="U4"/>
      <c r="X4" s="6"/>
      <c r="Y4" s="5"/>
      <c r="Z4" s="5"/>
    </row>
    <row r="5" spans="3:29">
      <c r="C5" s="18"/>
      <c r="D5" s="13"/>
      <c r="E5" s="13"/>
      <c r="F5" s="13"/>
      <c r="G5" s="13"/>
      <c r="H5" s="13"/>
      <c r="I5" s="72"/>
      <c r="J5" s="13"/>
      <c r="K5" s="13"/>
      <c r="L5" s="13"/>
      <c r="M5" s="13"/>
      <c r="N5" s="13"/>
      <c r="O5" s="13"/>
      <c r="R5"/>
      <c r="S5"/>
      <c r="T5"/>
      <c r="U5"/>
      <c r="X5" s="6"/>
      <c r="Y5" s="5"/>
      <c r="Z5" s="5"/>
    </row>
    <row r="6" spans="3:29" ht="15" thickBot="1">
      <c r="C6" s="18"/>
      <c r="D6" s="13"/>
      <c r="E6" s="13"/>
      <c r="F6" s="34"/>
      <c r="G6" s="13"/>
      <c r="H6" s="13"/>
      <c r="I6" s="72"/>
      <c r="J6" s="13"/>
      <c r="K6" s="13"/>
      <c r="L6" s="13"/>
      <c r="M6" s="13"/>
      <c r="N6" s="13"/>
      <c r="O6" s="13"/>
      <c r="P6" s="13"/>
      <c r="Q6" s="13"/>
      <c r="R6" s="13"/>
      <c r="S6" s="13"/>
      <c r="T6" s="18"/>
      <c r="U6" s="18"/>
      <c r="V6" s="18"/>
      <c r="W6" s="13"/>
      <c r="X6" s="6"/>
      <c r="Y6" s="5"/>
      <c r="Z6" s="5"/>
    </row>
    <row r="7" spans="3:29" ht="17" thickBot="1">
      <c r="C7" s="42" t="s">
        <v>36</v>
      </c>
      <c r="D7" s="43" t="s">
        <v>37</v>
      </c>
      <c r="E7" s="35" t="s">
        <v>24</v>
      </c>
      <c r="F7" s="36" t="s">
        <v>29</v>
      </c>
      <c r="G7" s="36" t="s">
        <v>30</v>
      </c>
      <c r="H7" s="97" t="s">
        <v>56</v>
      </c>
      <c r="I7" s="36" t="s">
        <v>77</v>
      </c>
      <c r="J7" s="36" t="s">
        <v>80</v>
      </c>
      <c r="K7" s="36" t="s">
        <v>81</v>
      </c>
      <c r="L7" s="110" t="s">
        <v>92</v>
      </c>
      <c r="M7" s="36" t="s">
        <v>89</v>
      </c>
      <c r="N7" s="36" t="s">
        <v>90</v>
      </c>
      <c r="O7" s="38" t="s">
        <v>91</v>
      </c>
      <c r="P7" s="15"/>
      <c r="Q7" s="15"/>
      <c r="R7" s="15"/>
      <c r="S7" s="15"/>
      <c r="T7" s="40"/>
      <c r="U7" s="40"/>
      <c r="V7" s="16"/>
      <c r="W7" s="6"/>
      <c r="Y7" s="5"/>
    </row>
    <row r="8" spans="3:29" ht="16" thickTop="1" thickBot="1">
      <c r="C8" s="44">
        <v>0</v>
      </c>
      <c r="D8" s="45">
        <f>MAX(T11:T38)</f>
        <v>2.3023992292682967</v>
      </c>
      <c r="E8" s="25">
        <f>$M$4-H8</f>
        <v>1.0385609977000061</v>
      </c>
      <c r="F8" s="25">
        <f>MAX(N11:N38)</f>
        <v>3.3809358301836441</v>
      </c>
      <c r="G8" s="25">
        <f>F8*$L$4</f>
        <v>0.60856844943305577</v>
      </c>
      <c r="H8" s="75">
        <f>(-N8+SQRT(N8^2-4*$P$4*O8))/(2*$P$4)</f>
        <v>0.18063900229999388</v>
      </c>
      <c r="I8" s="25">
        <f>$H$4*SBT!$C$23</f>
        <v>4.4225409836065571E-2</v>
      </c>
      <c r="J8" s="25">
        <f>I8+SBT!$B$23</f>
        <v>0.19422540983606557</v>
      </c>
      <c r="K8" s="25">
        <f>SBT!$B$12*H8</f>
        <v>0.23483070298999206</v>
      </c>
      <c r="L8" s="25">
        <f>(F8*$L$4-(SBT!$F$23*K8+0.5*SBT!$E$23*K8^2)*9.81)/(J8*9.81)</f>
        <v>0.10177993960801866</v>
      </c>
      <c r="M8" s="79">
        <f>J8+SBT!$F$23+2*SBT!$G$23+H8*SBT!$D$23+K8*SBT!$E$23</f>
        <v>0.68684524416115456</v>
      </c>
      <c r="N8" s="25">
        <f>(SBT!$G$23+(SBT!$F$23+J8)*0.5)*9.81</f>
        <v>3.1869031352459021</v>
      </c>
      <c r="O8" s="37">
        <f>-F8*$L$4</f>
        <v>-0.60856844943305577</v>
      </c>
      <c r="P8" s="13"/>
      <c r="Q8" s="13"/>
      <c r="R8" s="13"/>
      <c r="S8" s="13"/>
      <c r="T8" s="13"/>
      <c r="U8" s="13"/>
      <c r="V8" s="19"/>
      <c r="X8"/>
    </row>
    <row r="9" spans="3:29">
      <c r="C9" s="41"/>
      <c r="D9" s="13"/>
      <c r="E9" s="13"/>
      <c r="F9" s="13"/>
      <c r="G9" s="13"/>
      <c r="H9" s="13"/>
      <c r="I9" s="76"/>
      <c r="J9" s="18"/>
      <c r="K9" s="18"/>
      <c r="L9" s="13"/>
      <c r="M9" s="13"/>
      <c r="N9" s="13"/>
      <c r="O9" s="13"/>
      <c r="P9" s="13"/>
      <c r="Q9" s="13"/>
      <c r="R9" s="13"/>
      <c r="S9" s="13"/>
      <c r="T9" s="13"/>
      <c r="U9" s="13"/>
      <c r="V9" s="19"/>
      <c r="X9"/>
    </row>
    <row r="10" spans="3:29" ht="17" thickBot="1">
      <c r="C10" s="47" t="s">
        <v>40</v>
      </c>
      <c r="D10" s="48" t="s">
        <v>42</v>
      </c>
      <c r="E10" s="30" t="s">
        <v>35</v>
      </c>
      <c r="F10" s="29" t="s">
        <v>34</v>
      </c>
      <c r="G10" s="29" t="s">
        <v>41</v>
      </c>
      <c r="H10" s="29" t="s">
        <v>7</v>
      </c>
      <c r="I10" s="70" t="s">
        <v>16</v>
      </c>
      <c r="J10" s="71" t="s">
        <v>17</v>
      </c>
      <c r="K10" s="29" t="s">
        <v>18</v>
      </c>
      <c r="L10" s="46" t="s">
        <v>39</v>
      </c>
      <c r="M10" s="31" t="s">
        <v>10</v>
      </c>
      <c r="N10" s="31" t="s">
        <v>13</v>
      </c>
      <c r="O10" s="31" t="s">
        <v>14</v>
      </c>
      <c r="P10" s="31" t="s">
        <v>8</v>
      </c>
      <c r="Q10" s="31" t="s">
        <v>9</v>
      </c>
      <c r="R10" s="31" t="s">
        <v>19</v>
      </c>
      <c r="S10" s="31" t="s">
        <v>25</v>
      </c>
      <c r="T10" s="32" t="s">
        <v>27</v>
      </c>
      <c r="U10" s="32"/>
      <c r="V10" s="33"/>
      <c r="X10"/>
    </row>
    <row r="11" spans="3:29" ht="15" thickTop="1">
      <c r="C11" s="49">
        <f>2*PI()</f>
        <v>6.2831853071795862</v>
      </c>
      <c r="D11" s="10">
        <v>0</v>
      </c>
      <c r="E11" s="7">
        <f>$K$4/(2+SQRT(4+$K$4^2))</f>
        <v>0.53518375848799637</v>
      </c>
      <c r="F11" s="7">
        <f>C11*E11</f>
        <v>3.362658727972927</v>
      </c>
      <c r="G11" s="12">
        <f>D11*E11</f>
        <v>0</v>
      </c>
      <c r="H11" s="14">
        <f>F11*PI()/180</f>
        <v>5.8689466424051921E-2</v>
      </c>
      <c r="I11" s="72">
        <f t="shared" ref="I11:I38" si="0">0.5*ATAN(K11)*180/PI()-J11</f>
        <v>0</v>
      </c>
      <c r="J11" s="13">
        <v>0</v>
      </c>
      <c r="K11" s="13">
        <f t="shared" ref="K11:K38" si="1">L11/M11</f>
        <v>0</v>
      </c>
      <c r="L11" s="13">
        <f>$H$11*J11+$G$11</f>
        <v>0</v>
      </c>
      <c r="M11" s="13">
        <f t="shared" ref="M11:M38" si="2">0.015+0.1572*(L11^2)</f>
        <v>1.4999999999999999E-2</v>
      </c>
      <c r="N11" s="13">
        <f t="shared" ref="N11:O31" si="3">$N$4*L11</f>
        <v>0</v>
      </c>
      <c r="O11" s="13">
        <f t="shared" si="3"/>
        <v>6.4007999999999995E-2</v>
      </c>
      <c r="P11" s="13">
        <f>((N11*COS(I11+J11)+O11*SIN(I11+J11))*SIN(J11+I11)-O11)/$M$8</f>
        <v>-9.3191298249685181E-2</v>
      </c>
      <c r="Q11" s="13">
        <f t="shared" ref="Q11:Q38" si="4">P11*TAN(I11+J11)</f>
        <v>0</v>
      </c>
      <c r="R11" s="21">
        <f t="shared" ref="R11:R38" si="5">IF(ISERROR(SQRT(2*$E$8/Q11)),0,SQRT(2*$E$8/Q11))</f>
        <v>0</v>
      </c>
      <c r="S11" s="13">
        <f t="shared" ref="S11:S38" si="6">0.5*P11*R11^2</f>
        <v>0</v>
      </c>
      <c r="T11" s="22">
        <f t="shared" ref="T11:T38" si="7">R11*P11</f>
        <v>0</v>
      </c>
      <c r="U11" s="22"/>
      <c r="V11" s="19"/>
      <c r="X11"/>
    </row>
    <row r="12" spans="3:29">
      <c r="C12" s="17"/>
      <c r="D12" s="18"/>
      <c r="E12" s="13"/>
      <c r="F12" s="13"/>
      <c r="G12" s="13"/>
      <c r="H12" s="13"/>
      <c r="I12" s="72">
        <f t="shared" si="0"/>
        <v>30.85815658615747</v>
      </c>
      <c r="J12" s="13">
        <f>J11+0.5</f>
        <v>0.5</v>
      </c>
      <c r="K12" s="13">
        <f t="shared" si="1"/>
        <v>1.9388187396220391</v>
      </c>
      <c r="L12" s="13">
        <f t="shared" ref="L12:L38" si="8">$H$11*J12+$G$11</f>
        <v>2.9344733212025961E-2</v>
      </c>
      <c r="M12" s="13">
        <f t="shared" si="2"/>
        <v>1.5135367021337198E-2</v>
      </c>
      <c r="N12" s="13">
        <f t="shared" si="3"/>
        <v>0.12521984556235718</v>
      </c>
      <c r="O12" s="13">
        <f t="shared" si="3"/>
        <v>6.4585638153450087E-2</v>
      </c>
      <c r="P12" s="13">
        <f t="shared" ref="P12:P38" si="9">((N12*COS(I12+J12)+O12*SIN(I12+J12))*SIN(J12+I12)-O12)/$M$8</f>
        <v>-0.10422754251636222</v>
      </c>
      <c r="Q12" s="13">
        <f t="shared" si="4"/>
        <v>6.0279271871425052E-3</v>
      </c>
      <c r="R12" s="21">
        <f t="shared" si="5"/>
        <v>18.562950366904715</v>
      </c>
      <c r="S12" s="13">
        <f t="shared" si="6"/>
        <v>-17.95752622468661</v>
      </c>
      <c r="T12" s="22">
        <f t="shared" si="7"/>
        <v>-1.934770698595683</v>
      </c>
      <c r="U12" s="22"/>
      <c r="V12" s="19"/>
      <c r="X12"/>
    </row>
    <row r="13" spans="3:29">
      <c r="C13" s="20"/>
      <c r="D13" s="11"/>
      <c r="E13" s="13"/>
      <c r="F13" s="13"/>
      <c r="G13" s="13"/>
      <c r="H13" s="13"/>
      <c r="I13" s="72">
        <f t="shared" si="0"/>
        <v>36.584013482212178</v>
      </c>
      <c r="J13" s="13">
        <f t="shared" ref="J13:J38" si="10">J12+0.5</f>
        <v>1</v>
      </c>
      <c r="K13" s="13">
        <f t="shared" si="1"/>
        <v>3.7763141874209087</v>
      </c>
      <c r="L13" s="13">
        <f t="shared" si="8"/>
        <v>5.8689466424051921E-2</v>
      </c>
      <c r="M13" s="13">
        <f t="shared" si="2"/>
        <v>1.5541468085348795E-2</v>
      </c>
      <c r="N13" s="13">
        <f t="shared" si="3"/>
        <v>0.25043969112471437</v>
      </c>
      <c r="O13" s="13">
        <f t="shared" si="3"/>
        <v>6.6318552613800374E-2</v>
      </c>
      <c r="P13" s="13">
        <f t="shared" si="9"/>
        <v>-0.13687967833442566</v>
      </c>
      <c r="Q13" s="13">
        <f t="shared" si="4"/>
        <v>1.5824567759403323E-2</v>
      </c>
      <c r="R13" s="21">
        <f t="shared" si="5"/>
        <v>11.456845966272184</v>
      </c>
      <c r="S13" s="13">
        <f t="shared" si="6"/>
        <v>-8.9833667154278825</v>
      </c>
      <c r="T13" s="22">
        <f t="shared" si="7"/>
        <v>-1.5682093905903987</v>
      </c>
      <c r="U13" s="22"/>
      <c r="V13" s="19"/>
      <c r="X13"/>
    </row>
    <row r="14" spans="3:29">
      <c r="C14" s="17"/>
      <c r="D14" s="18"/>
      <c r="E14" s="13"/>
      <c r="F14" s="13"/>
      <c r="G14" s="13"/>
      <c r="H14" s="13"/>
      <c r="I14" s="72">
        <f t="shared" si="0"/>
        <v>38.280797476274643</v>
      </c>
      <c r="J14" s="13">
        <f t="shared" si="10"/>
        <v>1.5</v>
      </c>
      <c r="K14" s="13">
        <f t="shared" si="1"/>
        <v>5.4280770678472496</v>
      </c>
      <c r="L14" s="13">
        <f t="shared" si="8"/>
        <v>8.8034199636077878E-2</v>
      </c>
      <c r="M14" s="13">
        <f t="shared" si="2"/>
        <v>1.6218303192034787E-2</v>
      </c>
      <c r="N14" s="13">
        <f t="shared" si="3"/>
        <v>0.37565953668707153</v>
      </c>
      <c r="O14" s="13">
        <f t="shared" si="3"/>
        <v>6.9206743381050845E-2</v>
      </c>
      <c r="P14" s="13">
        <f t="shared" si="9"/>
        <v>-0.25736723440301551</v>
      </c>
      <c r="Q14" s="13">
        <f t="shared" si="4"/>
        <v>0.45915237368148715</v>
      </c>
      <c r="R14" s="21">
        <f t="shared" si="5"/>
        <v>2.1269270050473734</v>
      </c>
      <c r="S14" s="13">
        <f t="shared" si="6"/>
        <v>-0.58214132618708103</v>
      </c>
      <c r="T14" s="22">
        <f t="shared" si="7"/>
        <v>-0.54740132106613115</v>
      </c>
      <c r="U14" s="22"/>
      <c r="V14" s="19"/>
      <c r="X14"/>
    </row>
    <row r="15" spans="3:29">
      <c r="C15" s="17"/>
      <c r="D15" s="13"/>
      <c r="E15" s="13"/>
      <c r="F15" s="13"/>
      <c r="G15" s="13"/>
      <c r="H15" s="13"/>
      <c r="I15" s="72">
        <f t="shared" si="0"/>
        <v>38.839930510951319</v>
      </c>
      <c r="J15" s="13">
        <f t="shared" si="10"/>
        <v>2</v>
      </c>
      <c r="K15" s="13">
        <f t="shared" si="1"/>
        <v>6.8379241388768071</v>
      </c>
      <c r="L15" s="13">
        <f t="shared" si="8"/>
        <v>0.11737893284810384</v>
      </c>
      <c r="M15" s="13">
        <f t="shared" si="2"/>
        <v>1.7165872341395182E-2</v>
      </c>
      <c r="N15" s="13">
        <f t="shared" si="3"/>
        <v>0.50087938224942874</v>
      </c>
      <c r="O15" s="13">
        <f t="shared" si="3"/>
        <v>7.3250210455201512E-2</v>
      </c>
      <c r="P15" s="13">
        <f t="shared" si="9"/>
        <v>-0.10721169074526007</v>
      </c>
      <c r="Q15" s="13">
        <f t="shared" si="4"/>
        <v>8.2980333794164558E-5</v>
      </c>
      <c r="R15" s="21">
        <f t="shared" si="5"/>
        <v>158.21345463846336</v>
      </c>
      <c r="S15" s="13">
        <f t="shared" si="6"/>
        <v>-1341.8345698837379</v>
      </c>
      <c r="T15" s="22">
        <f t="shared" si="7"/>
        <v>-16.962331970438168</v>
      </c>
      <c r="U15" s="22"/>
      <c r="V15" s="19"/>
      <c r="X15"/>
    </row>
    <row r="16" spans="3:29">
      <c r="C16" s="17"/>
      <c r="D16" s="13"/>
      <c r="E16" s="13"/>
      <c r="F16" s="13"/>
      <c r="G16" s="13"/>
      <c r="H16" s="13"/>
      <c r="I16" s="72">
        <f t="shared" si="0"/>
        <v>38.929087628269507</v>
      </c>
      <c r="J16" s="13">
        <f t="shared" si="10"/>
        <v>2.5</v>
      </c>
      <c r="K16" s="13">
        <f t="shared" si="1"/>
        <v>7.9809761277206039</v>
      </c>
      <c r="L16" s="13">
        <f t="shared" si="8"/>
        <v>0.14672366606012979</v>
      </c>
      <c r="M16" s="13">
        <f t="shared" si="2"/>
        <v>1.8384175533429969E-2</v>
      </c>
      <c r="N16" s="13">
        <f t="shared" si="3"/>
        <v>0.62609922781178584</v>
      </c>
      <c r="O16" s="13">
        <f t="shared" si="3"/>
        <v>7.8448953836252361E-2</v>
      </c>
      <c r="P16" s="13">
        <f t="shared" si="9"/>
        <v>0.34181960570456149</v>
      </c>
      <c r="Q16" s="13">
        <f t="shared" si="4"/>
        <v>0.22806766652534807</v>
      </c>
      <c r="R16" s="21">
        <f t="shared" si="5"/>
        <v>3.0178603752809439</v>
      </c>
      <c r="S16" s="13">
        <f t="shared" si="6"/>
        <v>1.5565578240109559</v>
      </c>
      <c r="T16" s="22">
        <f t="shared" si="7"/>
        <v>1.0315638435499521</v>
      </c>
      <c r="U16" s="22"/>
      <c r="V16" s="19"/>
      <c r="X16"/>
    </row>
    <row r="17" spans="3:24">
      <c r="C17" s="17"/>
      <c r="D17" s="13"/>
      <c r="E17" s="13"/>
      <c r="F17" s="13"/>
      <c r="G17" s="13"/>
      <c r="H17" s="13" t="s">
        <v>97</v>
      </c>
      <c r="I17" s="72">
        <f t="shared" si="0"/>
        <v>38.780079969009563</v>
      </c>
      <c r="J17" s="13">
        <f t="shared" si="10"/>
        <v>3</v>
      </c>
      <c r="K17" s="13">
        <f t="shared" si="1"/>
        <v>8.8595840705952487</v>
      </c>
      <c r="L17" s="13">
        <f t="shared" si="8"/>
        <v>0.17606839927215576</v>
      </c>
      <c r="M17" s="13">
        <f t="shared" si="2"/>
        <v>1.9873212768139154E-2</v>
      </c>
      <c r="N17" s="13">
        <f t="shared" si="3"/>
        <v>0.75131907337414305</v>
      </c>
      <c r="O17" s="13">
        <f t="shared" si="3"/>
        <v>8.4802973524203393E-2</v>
      </c>
      <c r="P17" s="13">
        <f t="shared" si="9"/>
        <v>0.47818292651211664</v>
      </c>
      <c r="Q17" s="13">
        <f t="shared" si="4"/>
        <v>0.65388675788788331</v>
      </c>
      <c r="R17" s="21">
        <f t="shared" si="5"/>
        <v>1.7822955843737347</v>
      </c>
      <c r="S17" s="13">
        <f t="shared" si="6"/>
        <v>0.7594925745945208</v>
      </c>
      <c r="T17" s="22">
        <f t="shared" si="7"/>
        <v>0.85226331844545555</v>
      </c>
      <c r="U17" s="22"/>
      <c r="V17" s="19"/>
      <c r="X17"/>
    </row>
    <row r="18" spans="3:24">
      <c r="C18" s="17"/>
      <c r="D18" s="13"/>
      <c r="E18" s="13"/>
      <c r="F18" s="13"/>
      <c r="G18" s="13"/>
      <c r="H18" s="13"/>
      <c r="I18" s="72">
        <f t="shared" si="0"/>
        <v>38.494041931838083</v>
      </c>
      <c r="J18" s="13">
        <f t="shared" si="10"/>
        <v>3.5</v>
      </c>
      <c r="K18" s="13">
        <f t="shared" si="1"/>
        <v>9.4953674468546083</v>
      </c>
      <c r="L18" s="13">
        <f t="shared" si="8"/>
        <v>0.20541313248418172</v>
      </c>
      <c r="M18" s="13">
        <f t="shared" si="2"/>
        <v>2.1632984045522739E-2</v>
      </c>
      <c r="N18" s="13">
        <f t="shared" si="3"/>
        <v>0.87653891893650027</v>
      </c>
      <c r="O18" s="13">
        <f t="shared" si="3"/>
        <v>9.2312269519054635E-2</v>
      </c>
      <c r="P18" s="13">
        <f t="shared" si="9"/>
        <v>0.4508862574359136</v>
      </c>
      <c r="Q18" s="13">
        <f t="shared" si="4"/>
        <v>1.0165900124006233</v>
      </c>
      <c r="R18" s="21">
        <f t="shared" si="5"/>
        <v>1.4294141700284451</v>
      </c>
      <c r="S18" s="13">
        <f t="shared" si="6"/>
        <v>0.46063100724948369</v>
      </c>
      <c r="T18" s="22">
        <f t="shared" si="7"/>
        <v>0.64450320544998829</v>
      </c>
      <c r="U18" s="22"/>
      <c r="V18" s="19"/>
      <c r="X18"/>
    </row>
    <row r="19" spans="3:24">
      <c r="C19" s="17"/>
      <c r="D19" s="13"/>
      <c r="E19" s="13"/>
      <c r="F19" s="13"/>
      <c r="G19" s="13"/>
      <c r="H19" s="13"/>
      <c r="I19" s="72">
        <f t="shared" si="0"/>
        <v>38.122026338188014</v>
      </c>
      <c r="J19" s="13">
        <f t="shared" si="10"/>
        <v>4</v>
      </c>
      <c r="K19" s="13">
        <f t="shared" si="1"/>
        <v>9.920678310345485</v>
      </c>
      <c r="L19" s="13">
        <f t="shared" si="8"/>
        <v>0.23475786569620768</v>
      </c>
      <c r="M19" s="13">
        <f t="shared" si="2"/>
        <v>2.3663489365580721E-2</v>
      </c>
      <c r="N19" s="13">
        <f t="shared" si="3"/>
        <v>1.0017587644988575</v>
      </c>
      <c r="O19" s="13">
        <f t="shared" si="3"/>
        <v>0.10097684182080605</v>
      </c>
      <c r="P19" s="13">
        <f t="shared" si="9"/>
        <v>0.38702416591568634</v>
      </c>
      <c r="Q19" s="13">
        <f t="shared" si="4"/>
        <v>1.2994340336852184</v>
      </c>
      <c r="R19" s="21">
        <f t="shared" si="5"/>
        <v>1.26431090455895</v>
      </c>
      <c r="S19" s="13">
        <f t="shared" si="6"/>
        <v>0.30932559365670564</v>
      </c>
      <c r="T19" s="22">
        <f t="shared" si="7"/>
        <v>0.48931887329503454</v>
      </c>
      <c r="U19" s="22"/>
      <c r="V19" s="19"/>
      <c r="X19"/>
    </row>
    <row r="20" spans="3:24">
      <c r="C20" s="17"/>
      <c r="D20" s="18"/>
      <c r="E20" s="13"/>
      <c r="F20" s="13"/>
      <c r="G20" s="13"/>
      <c r="H20" s="13"/>
      <c r="I20" s="72">
        <f t="shared" si="0"/>
        <v>37.692560799738274</v>
      </c>
      <c r="J20" s="13">
        <f t="shared" si="10"/>
        <v>4.5</v>
      </c>
      <c r="K20" s="13">
        <f t="shared" si="1"/>
        <v>10.171590917498952</v>
      </c>
      <c r="L20" s="13">
        <f t="shared" si="8"/>
        <v>0.26410259890823362</v>
      </c>
      <c r="M20" s="13">
        <f t="shared" si="2"/>
        <v>2.5964728728313097E-2</v>
      </c>
      <c r="N20" s="13">
        <f t="shared" si="3"/>
        <v>1.1269786100612145</v>
      </c>
      <c r="O20" s="13">
        <f t="shared" si="3"/>
        <v>0.11079669042945764</v>
      </c>
      <c r="P20" s="13">
        <f t="shared" si="9"/>
        <v>0.34025760112344217</v>
      </c>
      <c r="Q20" s="13">
        <f t="shared" si="4"/>
        <v>1.5292015716744354</v>
      </c>
      <c r="R20" s="21">
        <f t="shared" si="5"/>
        <v>1.1654633863442683</v>
      </c>
      <c r="S20" s="13">
        <f t="shared" si="6"/>
        <v>0.23108678426927914</v>
      </c>
      <c r="T20" s="22">
        <f t="shared" si="7"/>
        <v>0.39655777603470421</v>
      </c>
      <c r="U20" s="22"/>
      <c r="V20" s="19"/>
      <c r="X20"/>
    </row>
    <row r="21" spans="3:24">
      <c r="C21" s="17"/>
      <c r="D21" s="22"/>
      <c r="E21" s="13"/>
      <c r="F21" s="13"/>
      <c r="G21" s="13"/>
      <c r="H21" s="13"/>
      <c r="I21" s="72">
        <f t="shared" si="0"/>
        <v>37.222827796963799</v>
      </c>
      <c r="J21" s="13">
        <f t="shared" si="10"/>
        <v>5</v>
      </c>
      <c r="K21" s="13">
        <f t="shared" si="1"/>
        <v>10.283155031201481</v>
      </c>
      <c r="L21" s="13">
        <f t="shared" si="8"/>
        <v>0.29344733212025959</v>
      </c>
      <c r="M21" s="13">
        <f t="shared" si="2"/>
        <v>2.8536702133719876E-2</v>
      </c>
      <c r="N21" s="13">
        <f t="shared" si="3"/>
        <v>1.2521984556235717</v>
      </c>
      <c r="O21" s="13">
        <f t="shared" si="3"/>
        <v>0.12177181534500946</v>
      </c>
      <c r="P21" s="13">
        <f t="shared" si="9"/>
        <v>0.32963105320074898</v>
      </c>
      <c r="Q21" s="13">
        <f t="shared" si="4"/>
        <v>1.726321971084922</v>
      </c>
      <c r="R21" s="21">
        <f t="shared" si="5"/>
        <v>1.0969077461270895</v>
      </c>
      <c r="S21" s="13">
        <f t="shared" si="6"/>
        <v>0.19830712996714389</v>
      </c>
      <c r="T21" s="22">
        <f t="shared" si="7"/>
        <v>0.3615748556199323</v>
      </c>
      <c r="U21" s="22"/>
      <c r="V21" s="19"/>
      <c r="X21"/>
    </row>
    <row r="22" spans="3:24">
      <c r="C22" s="17"/>
      <c r="D22" s="18"/>
      <c r="E22" s="13"/>
      <c r="F22" s="13"/>
      <c r="G22" s="13"/>
      <c r="H22" s="13"/>
      <c r="I22" s="72">
        <f t="shared" si="0"/>
        <v>36.723791633880779</v>
      </c>
      <c r="J22" s="13">
        <f t="shared" si="10"/>
        <v>5.5</v>
      </c>
      <c r="K22" s="13">
        <f t="shared" si="1"/>
        <v>10.286747572188023</v>
      </c>
      <c r="L22" s="13">
        <f t="shared" si="8"/>
        <v>0.32279206533228555</v>
      </c>
      <c r="M22" s="13">
        <f t="shared" si="2"/>
        <v>3.1379409581801049E-2</v>
      </c>
      <c r="N22" s="13">
        <f t="shared" si="3"/>
        <v>1.3774183011859289</v>
      </c>
      <c r="O22" s="13">
        <f t="shared" si="3"/>
        <v>0.13390221656746143</v>
      </c>
      <c r="P22" s="13">
        <f t="shared" si="9"/>
        <v>0.36086801722302236</v>
      </c>
      <c r="Q22" s="13">
        <f t="shared" si="4"/>
        <v>1.8998519203000286</v>
      </c>
      <c r="R22" s="21">
        <f t="shared" si="5"/>
        <v>1.0456133662060674</v>
      </c>
      <c r="S22" s="13">
        <f t="shared" si="6"/>
        <v>0.19726982087423869</v>
      </c>
      <c r="T22" s="22">
        <f t="shared" si="7"/>
        <v>0.3773284222446735</v>
      </c>
      <c r="U22" s="22"/>
      <c r="V22" s="19"/>
      <c r="X22"/>
    </row>
    <row r="23" spans="3:24">
      <c r="C23" s="17"/>
      <c r="D23" s="18"/>
      <c r="E23" s="13"/>
      <c r="F23" s="13"/>
      <c r="G23" s="13"/>
      <c r="H23" s="13"/>
      <c r="I23" s="72">
        <f t="shared" si="0"/>
        <v>36.202777118999869</v>
      </c>
      <c r="J23" s="13">
        <f t="shared" si="10"/>
        <v>6</v>
      </c>
      <c r="K23" s="13">
        <f t="shared" si="1"/>
        <v>10.208979182485741</v>
      </c>
      <c r="L23" s="13">
        <f t="shared" si="8"/>
        <v>0.35213679854431151</v>
      </c>
      <c r="M23" s="13">
        <f t="shared" si="2"/>
        <v>3.4492851072556618E-2</v>
      </c>
      <c r="N23" s="13">
        <f t="shared" si="3"/>
        <v>1.5026381467482861</v>
      </c>
      <c r="O23" s="13">
        <f t="shared" si="3"/>
        <v>0.1471878940968136</v>
      </c>
      <c r="P23" s="13">
        <f t="shared" si="9"/>
        <v>0.43428462772417686</v>
      </c>
      <c r="Q23" s="13">
        <f t="shared" si="4"/>
        <v>2.0503642097582424</v>
      </c>
      <c r="R23" s="21">
        <f t="shared" si="5"/>
        <v>1.0065039790331969</v>
      </c>
      <c r="S23" s="13">
        <f t="shared" si="6"/>
        <v>0.21997607747365899</v>
      </c>
      <c r="T23" s="22">
        <f t="shared" si="7"/>
        <v>0.43710920583733465</v>
      </c>
      <c r="U23" s="22"/>
      <c r="V23" s="19"/>
      <c r="X23"/>
    </row>
    <row r="24" spans="3:24">
      <c r="C24" s="17"/>
      <c r="D24" s="18"/>
      <c r="E24" s="13"/>
      <c r="F24" s="13"/>
      <c r="G24" s="13"/>
      <c r="H24" s="13"/>
      <c r="I24" s="72">
        <f t="shared" si="0"/>
        <v>35.664863885553949</v>
      </c>
      <c r="J24" s="13">
        <f t="shared" si="10"/>
        <v>6.5</v>
      </c>
      <c r="K24" s="13">
        <f t="shared" si="1"/>
        <v>10.071580742719732</v>
      </c>
      <c r="L24" s="13">
        <f t="shared" si="8"/>
        <v>0.38148153175633748</v>
      </c>
      <c r="M24" s="13">
        <f t="shared" si="2"/>
        <v>3.7877026605986588E-2</v>
      </c>
      <c r="N24" s="13">
        <f t="shared" si="3"/>
        <v>1.6278579923106433</v>
      </c>
      <c r="O24" s="13">
        <f t="shared" si="3"/>
        <v>0.16162884793306598</v>
      </c>
      <c r="P24" s="13">
        <f t="shared" si="9"/>
        <v>0.54709711794356475</v>
      </c>
      <c r="Q24" s="13">
        <f t="shared" si="4"/>
        <v>2.1730670512193218</v>
      </c>
      <c r="R24" s="21">
        <f t="shared" si="5"/>
        <v>0.97767483977237868</v>
      </c>
      <c r="S24" s="13">
        <f t="shared" si="6"/>
        <v>0.26147086825114269</v>
      </c>
      <c r="T24" s="22">
        <f t="shared" si="7"/>
        <v>0.53488308712540478</v>
      </c>
      <c r="U24" s="22"/>
      <c r="V24" s="19"/>
      <c r="X24"/>
    </row>
    <row r="25" spans="3:24">
      <c r="C25" s="17"/>
      <c r="D25" s="18"/>
      <c r="E25" s="13"/>
      <c r="F25" s="13"/>
      <c r="G25" s="13"/>
      <c r="H25" s="13"/>
      <c r="I25" s="72">
        <f t="shared" si="0"/>
        <v>35.113685584382026</v>
      </c>
      <c r="J25" s="13">
        <f t="shared" si="10"/>
        <v>7</v>
      </c>
      <c r="K25" s="13">
        <f t="shared" si="1"/>
        <v>9.8918158586961411</v>
      </c>
      <c r="L25" s="13">
        <f t="shared" si="8"/>
        <v>0.41082626496836344</v>
      </c>
      <c r="M25" s="13">
        <f t="shared" si="2"/>
        <v>4.1531936182090959E-2</v>
      </c>
      <c r="N25" s="13">
        <f t="shared" si="3"/>
        <v>1.7530778378730005</v>
      </c>
      <c r="O25" s="13">
        <f t="shared" si="3"/>
        <v>0.17722507807621854</v>
      </c>
      <c r="P25" s="13">
        <f t="shared" si="9"/>
        <v>0.69376003381578277</v>
      </c>
      <c r="Q25" s="13">
        <f t="shared" si="4"/>
        <v>2.2602166321070207</v>
      </c>
      <c r="R25" s="21">
        <f t="shared" si="5"/>
        <v>0.95864093329895439</v>
      </c>
      <c r="S25" s="13">
        <f t="shared" si="6"/>
        <v>0.31878011277725754</v>
      </c>
      <c r="T25" s="22">
        <f t="shared" si="7"/>
        <v>0.66506676630267614</v>
      </c>
      <c r="U25" s="22"/>
      <c r="V25" s="19"/>
      <c r="X25"/>
    </row>
    <row r="26" spans="3:24">
      <c r="C26" s="17"/>
      <c r="D26" s="18"/>
      <c r="E26" s="13"/>
      <c r="F26" s="13"/>
      <c r="G26" s="13"/>
      <c r="H26" s="13"/>
      <c r="I26" s="72">
        <f t="shared" si="0"/>
        <v>34.551910508892192</v>
      </c>
      <c r="J26" s="13">
        <f t="shared" si="10"/>
        <v>7.5</v>
      </c>
      <c r="K26" s="13">
        <f t="shared" si="1"/>
        <v>9.6831155575943733</v>
      </c>
      <c r="L26" s="13">
        <f t="shared" si="8"/>
        <v>0.44017099818038941</v>
      </c>
      <c r="M26" s="13">
        <f t="shared" si="2"/>
        <v>4.545757980086973E-2</v>
      </c>
      <c r="N26" s="13">
        <f t="shared" si="3"/>
        <v>1.8782976834353575</v>
      </c>
      <c r="O26" s="13">
        <f t="shared" si="3"/>
        <v>0.19397658452627131</v>
      </c>
      <c r="P26" s="13">
        <f t="shared" si="9"/>
        <v>0.86578754555923465</v>
      </c>
      <c r="Q26" s="13">
        <f t="shared" si="4"/>
        <v>2.303023389065979</v>
      </c>
      <c r="R26" s="21">
        <f t="shared" si="5"/>
        <v>0.94968991912418055</v>
      </c>
      <c r="S26" s="13">
        <f t="shared" si="6"/>
        <v>0.39043163060402508</v>
      </c>
      <c r="T26" s="22">
        <f t="shared" si="7"/>
        <v>0.82222970412087237</v>
      </c>
      <c r="U26" s="22"/>
      <c r="V26" s="19"/>
      <c r="X26"/>
    </row>
    <row r="27" spans="3:24">
      <c r="C27" s="17"/>
      <c r="D27" s="18"/>
      <c r="E27" s="13"/>
      <c r="F27" s="13"/>
      <c r="G27" s="13"/>
      <c r="H27" s="13"/>
      <c r="I27" s="72">
        <f t="shared" si="0"/>
        <v>33.981542524186445</v>
      </c>
      <c r="J27" s="13">
        <f t="shared" si="10"/>
        <v>8</v>
      </c>
      <c r="K27" s="13">
        <f t="shared" si="1"/>
        <v>9.4557565073978438</v>
      </c>
      <c r="L27" s="13">
        <f t="shared" si="8"/>
        <v>0.46951573139241537</v>
      </c>
      <c r="M27" s="13">
        <f t="shared" si="2"/>
        <v>4.9653957462322887E-2</v>
      </c>
      <c r="N27" s="13">
        <f t="shared" si="3"/>
        <v>2.003517528997715</v>
      </c>
      <c r="O27" s="13">
        <f t="shared" si="3"/>
        <v>0.21188336728322421</v>
      </c>
      <c r="P27" s="13">
        <f t="shared" si="9"/>
        <v>1.0516288189908269</v>
      </c>
      <c r="Q27" s="13">
        <f t="shared" si="4"/>
        <v>2.29327594816003</v>
      </c>
      <c r="R27" s="21">
        <f t="shared" si="5"/>
        <v>0.95170608089126374</v>
      </c>
      <c r="S27" s="13">
        <f t="shared" si="6"/>
        <v>0.4762534907050695</v>
      </c>
      <c r="T27" s="22">
        <f t="shared" si="7"/>
        <v>1.0008415418740682</v>
      </c>
      <c r="U27" s="22"/>
      <c r="V27" s="19"/>
      <c r="X27"/>
    </row>
    <row r="28" spans="3:24">
      <c r="C28" s="17"/>
      <c r="D28" s="18"/>
      <c r="E28" s="13"/>
      <c r="F28" s="13"/>
      <c r="G28" s="13"/>
      <c r="H28" s="13"/>
      <c r="I28" s="72">
        <f t="shared" si="0"/>
        <v>33.404116062063416</v>
      </c>
      <c r="J28" s="13">
        <f t="shared" si="10"/>
        <v>8.5</v>
      </c>
      <c r="K28" s="13">
        <f t="shared" si="1"/>
        <v>9.2174909381443637</v>
      </c>
      <c r="L28" s="13">
        <f t="shared" si="8"/>
        <v>0.49886046460444133</v>
      </c>
      <c r="M28" s="13">
        <f t="shared" si="2"/>
        <v>5.4121069166450445E-2</v>
      </c>
      <c r="N28" s="13">
        <f t="shared" si="3"/>
        <v>2.1287373745600719</v>
      </c>
      <c r="O28" s="13">
        <f t="shared" si="3"/>
        <v>0.23094542634707732</v>
      </c>
      <c r="P28" s="13">
        <f t="shared" si="9"/>
        <v>1.2368239414082929</v>
      </c>
      <c r="Q28" s="13">
        <f t="shared" si="4"/>
        <v>2.2247826976318943</v>
      </c>
      <c r="R28" s="21">
        <f t="shared" si="5"/>
        <v>0.9662448744522919</v>
      </c>
      <c r="S28" s="13">
        <f t="shared" si="6"/>
        <v>0.57736744713787902</v>
      </c>
      <c r="T28" s="22">
        <f t="shared" si="7"/>
        <v>1.1950747939856448</v>
      </c>
      <c r="U28" s="22"/>
      <c r="V28" s="19"/>
      <c r="X28"/>
    </row>
    <row r="29" spans="3:24">
      <c r="C29" s="17"/>
      <c r="D29" s="18"/>
      <c r="E29" s="13"/>
      <c r="F29" s="13"/>
      <c r="G29" s="13"/>
      <c r="H29" s="13"/>
      <c r="I29" s="72">
        <f t="shared" si="0"/>
        <v>32.820826266056585</v>
      </c>
      <c r="J29" s="13">
        <f t="shared" si="10"/>
        <v>9</v>
      </c>
      <c r="K29" s="13">
        <f t="shared" si="1"/>
        <v>8.9740899674237635</v>
      </c>
      <c r="L29" s="13">
        <f t="shared" si="8"/>
        <v>0.52820519781646724</v>
      </c>
      <c r="M29" s="13">
        <f t="shared" si="2"/>
        <v>5.8858914913252396E-2</v>
      </c>
      <c r="N29" s="13">
        <f t="shared" si="3"/>
        <v>2.2539572201224289</v>
      </c>
      <c r="O29" s="13">
        <f t="shared" si="3"/>
        <v>0.25116276171783064</v>
      </c>
      <c r="P29" s="13">
        <f t="shared" si="9"/>
        <v>1.4045207657070522</v>
      </c>
      <c r="Q29" s="13">
        <f t="shared" si="4"/>
        <v>2.0946331602418038</v>
      </c>
      <c r="R29" s="21">
        <f t="shared" si="5"/>
        <v>0.9958112195106269</v>
      </c>
      <c r="S29" s="13">
        <f t="shared" si="6"/>
        <v>0.69638947545101548</v>
      </c>
      <c r="T29" s="22">
        <f t="shared" si="7"/>
        <v>1.3986375365267392</v>
      </c>
      <c r="U29" s="22"/>
      <c r="V29" s="19"/>
      <c r="X29"/>
    </row>
    <row r="30" spans="3:24">
      <c r="C30" s="17"/>
      <c r="D30" s="18"/>
      <c r="E30" s="13"/>
      <c r="F30" s="13"/>
      <c r="G30" s="13"/>
      <c r="H30" s="13"/>
      <c r="I30" s="72">
        <f t="shared" si="0"/>
        <v>32.232618121009651</v>
      </c>
      <c r="J30" s="13">
        <f t="shared" si="10"/>
        <v>9.5</v>
      </c>
      <c r="K30" s="13">
        <f t="shared" si="1"/>
        <v>8.729791791953156</v>
      </c>
      <c r="L30" s="13">
        <f t="shared" si="8"/>
        <v>0.55754993102849326</v>
      </c>
      <c r="M30" s="13">
        <f t="shared" si="2"/>
        <v>6.3867494702728761E-2</v>
      </c>
      <c r="N30" s="13">
        <f t="shared" si="3"/>
        <v>2.3791770656847864</v>
      </c>
      <c r="O30" s="13">
        <f t="shared" si="3"/>
        <v>0.27253537339548417</v>
      </c>
      <c r="P30" s="13">
        <f t="shared" si="9"/>
        <v>1.5363575537343259</v>
      </c>
      <c r="Q30" s="13">
        <f t="shared" si="4"/>
        <v>1.9042250702179579</v>
      </c>
      <c r="R30" s="21">
        <f t="shared" si="5"/>
        <v>1.0444120238823309</v>
      </c>
      <c r="S30" s="13">
        <f t="shared" si="6"/>
        <v>0.8379267024604552</v>
      </c>
      <c r="T30" s="22">
        <f t="shared" si="7"/>
        <v>1.6045903021025743</v>
      </c>
      <c r="U30" s="22"/>
      <c r="V30" s="19"/>
      <c r="X30"/>
    </row>
    <row r="31" spans="3:24">
      <c r="C31" s="17"/>
      <c r="D31" s="18"/>
      <c r="E31" s="13"/>
      <c r="F31" s="13"/>
      <c r="G31" s="13"/>
      <c r="H31" s="13"/>
      <c r="I31" s="72">
        <f t="shared" si="0"/>
        <v>31.640248891810927</v>
      </c>
      <c r="J31" s="13">
        <f t="shared" si="10"/>
        <v>10</v>
      </c>
      <c r="K31" s="13">
        <f t="shared" si="1"/>
        <v>8.4876609156078953</v>
      </c>
      <c r="L31" s="13">
        <f t="shared" si="8"/>
        <v>0.58689466424051917</v>
      </c>
      <c r="M31" s="13">
        <f t="shared" si="2"/>
        <v>6.9146808534879506E-2</v>
      </c>
      <c r="N31" s="13">
        <f t="shared" si="3"/>
        <v>2.5043969112471434</v>
      </c>
      <c r="O31" s="13">
        <f t="shared" si="3"/>
        <v>0.2950632613800378</v>
      </c>
      <c r="P31" s="13">
        <f t="shared" si="9"/>
        <v>1.6136665058822812</v>
      </c>
      <c r="Q31" s="13">
        <f t="shared" si="4"/>
        <v>1.6599793481410017</v>
      </c>
      <c r="R31" s="21">
        <f t="shared" si="5"/>
        <v>1.1186124787778626</v>
      </c>
      <c r="S31" s="13">
        <f t="shared" si="6"/>
        <v>1.0095855097119146</v>
      </c>
      <c r="T31" s="22">
        <f t="shared" si="7"/>
        <v>1.805067490065791</v>
      </c>
      <c r="U31" s="22"/>
      <c r="V31" s="19"/>
      <c r="X31"/>
    </row>
    <row r="32" spans="3:24">
      <c r="C32" s="17"/>
      <c r="D32" s="18"/>
      <c r="E32" s="13"/>
      <c r="F32" s="13"/>
      <c r="G32" s="13"/>
      <c r="H32" s="13"/>
      <c r="I32" s="72">
        <f t="shared" si="0"/>
        <v>31.044332751141283</v>
      </c>
      <c r="J32" s="13">
        <f t="shared" si="10"/>
        <v>10.5</v>
      </c>
      <c r="K32" s="13">
        <f t="shared" si="1"/>
        <v>8.2498705711594447</v>
      </c>
      <c r="L32" s="13">
        <f t="shared" si="8"/>
        <v>0.61623939745254519</v>
      </c>
      <c r="M32" s="13">
        <f t="shared" si="2"/>
        <v>7.4696856409704665E-2</v>
      </c>
      <c r="N32" s="13">
        <f t="shared" ref="N32:O38" si="11">$N$4*L32</f>
        <v>2.6296167568095008</v>
      </c>
      <c r="O32" s="13">
        <f t="shared" si="11"/>
        <v>0.31874642567149175</v>
      </c>
      <c r="P32" s="13">
        <f t="shared" si="9"/>
        <v>1.6189149345208167</v>
      </c>
      <c r="Q32" s="13">
        <f t="shared" si="4"/>
        <v>1.3736650886213511</v>
      </c>
      <c r="R32" s="21">
        <f t="shared" si="5"/>
        <v>1.2296756461694225</v>
      </c>
      <c r="S32" s="13">
        <f t="shared" si="6"/>
        <v>1.2239824128272934</v>
      </c>
      <c r="T32" s="22">
        <f t="shared" si="7"/>
        <v>1.9907402682002135</v>
      </c>
      <c r="U32" s="22"/>
      <c r="V32" s="19"/>
      <c r="X32"/>
    </row>
    <row r="33" spans="1:24" ht="18.75" customHeight="1">
      <c r="B33"/>
      <c r="C33" s="17"/>
      <c r="D33" s="18"/>
      <c r="E33" s="13"/>
      <c r="F33" s="13"/>
      <c r="G33" s="13"/>
      <c r="H33" s="13"/>
      <c r="I33" s="72">
        <f t="shared" si="0"/>
        <v>30.445373253558692</v>
      </c>
      <c r="J33" s="13">
        <f t="shared" si="10"/>
        <v>11</v>
      </c>
      <c r="K33" s="13">
        <f t="shared" si="1"/>
        <v>8.0179218377105581</v>
      </c>
      <c r="L33" s="13">
        <f t="shared" si="8"/>
        <v>0.6455841306645711</v>
      </c>
      <c r="M33" s="13">
        <f t="shared" si="2"/>
        <v>8.0517638327204197E-2</v>
      </c>
      <c r="N33" s="13">
        <f t="shared" si="11"/>
        <v>2.7548366023718578</v>
      </c>
      <c r="O33" s="13">
        <f t="shared" si="11"/>
        <v>0.34358486626984575</v>
      </c>
      <c r="P33" s="13">
        <f t="shared" si="9"/>
        <v>1.5372709178084343</v>
      </c>
      <c r="Q33" s="13">
        <f t="shared" si="4"/>
        <v>1.0622738155253744</v>
      </c>
      <c r="R33" s="21">
        <f t="shared" si="5"/>
        <v>1.3983399456258525</v>
      </c>
      <c r="S33" s="13">
        <f t="shared" si="6"/>
        <v>1.5029548830069934</v>
      </c>
      <c r="T33" s="22">
        <f t="shared" si="7"/>
        <v>2.1496273316204504</v>
      </c>
      <c r="U33" s="22"/>
      <c r="V33" s="19"/>
      <c r="W33"/>
      <c r="X33"/>
    </row>
    <row r="34" spans="1:24">
      <c r="A34"/>
      <c r="B34"/>
      <c r="C34" s="17"/>
      <c r="D34" s="18"/>
      <c r="E34" s="13"/>
      <c r="F34" s="13"/>
      <c r="G34" s="13"/>
      <c r="H34" s="13"/>
      <c r="I34" s="72">
        <f t="shared" si="0"/>
        <v>29.843787349062275</v>
      </c>
      <c r="J34" s="13">
        <f t="shared" si="10"/>
        <v>11.5</v>
      </c>
      <c r="K34" s="13">
        <f t="shared" si="1"/>
        <v>7.792812081239278</v>
      </c>
      <c r="L34" s="13">
        <f t="shared" si="8"/>
        <v>0.67492886387659712</v>
      </c>
      <c r="M34" s="13">
        <f t="shared" si="2"/>
        <v>8.6609154287378157E-2</v>
      </c>
      <c r="N34" s="13">
        <f t="shared" si="11"/>
        <v>2.8800564479342152</v>
      </c>
      <c r="O34" s="13">
        <f t="shared" si="11"/>
        <v>0.36957858317510006</v>
      </c>
      <c r="P34" s="13">
        <f t="shared" si="9"/>
        <v>1.358159494803973</v>
      </c>
      <c r="Q34" s="13">
        <f t="shared" si="4"/>
        <v>0.74741170444475491</v>
      </c>
      <c r="R34" s="21">
        <f t="shared" si="5"/>
        <v>1.6670593244350078</v>
      </c>
      <c r="S34" s="13">
        <f t="shared" si="6"/>
        <v>1.8872215561665855</v>
      </c>
      <c r="T34" s="22">
        <f t="shared" si="7"/>
        <v>2.264132449882903</v>
      </c>
      <c r="U34" s="22"/>
      <c r="V34" s="19"/>
      <c r="W34"/>
      <c r="X34"/>
    </row>
    <row r="35" spans="1:24">
      <c r="A35"/>
      <c r="B35"/>
      <c r="C35" s="17"/>
      <c r="D35" s="18"/>
      <c r="E35" s="13"/>
      <c r="F35" s="13"/>
      <c r="G35" s="13"/>
      <c r="H35" s="13"/>
      <c r="I35" s="72">
        <f t="shared" si="0"/>
        <v>29.239923400268772</v>
      </c>
      <c r="J35" s="13">
        <f t="shared" si="10"/>
        <v>12</v>
      </c>
      <c r="K35" s="13">
        <f t="shared" si="1"/>
        <v>7.5751635942822793</v>
      </c>
      <c r="L35" s="13">
        <f t="shared" si="8"/>
        <v>0.70427359708862303</v>
      </c>
      <c r="M35" s="13">
        <f t="shared" si="2"/>
        <v>9.2971404290226489E-2</v>
      </c>
      <c r="N35" s="13">
        <f t="shared" si="11"/>
        <v>3.0052762934965722</v>
      </c>
      <c r="O35" s="13">
        <f t="shared" si="11"/>
        <v>0.39672757638725448</v>
      </c>
      <c r="P35" s="13">
        <f t="shared" si="9"/>
        <v>1.0766654705890961</v>
      </c>
      <c r="Q35" s="13">
        <f t="shared" si="4"/>
        <v>0.45421587881298892</v>
      </c>
      <c r="R35" s="21">
        <f t="shared" si="5"/>
        <v>2.1384536721592289</v>
      </c>
      <c r="S35" s="13">
        <f t="shared" si="6"/>
        <v>2.4617870433026838</v>
      </c>
      <c r="T35" s="22">
        <f t="shared" si="7"/>
        <v>2.3023992292682967</v>
      </c>
      <c r="U35" s="22"/>
      <c r="V35" s="19"/>
      <c r="W35"/>
      <c r="X35"/>
    </row>
    <row r="36" spans="1:24">
      <c r="A36"/>
      <c r="B36"/>
      <c r="C36" s="17"/>
      <c r="D36" s="18"/>
      <c r="E36" s="13"/>
      <c r="F36" s="13"/>
      <c r="G36" s="13"/>
      <c r="H36" s="13"/>
      <c r="I36" s="72">
        <f t="shared" si="0"/>
        <v>28.634074880003396</v>
      </c>
      <c r="J36" s="13">
        <f t="shared" si="10"/>
        <v>12.5</v>
      </c>
      <c r="K36" s="13">
        <f t="shared" si="1"/>
        <v>7.3653213734694889</v>
      </c>
      <c r="L36" s="13">
        <f t="shared" si="8"/>
        <v>0.73361833030064905</v>
      </c>
      <c r="M36" s="13">
        <f t="shared" si="2"/>
        <v>9.960438833574925E-2</v>
      </c>
      <c r="N36" s="13">
        <f t="shared" si="11"/>
        <v>3.1304961390589296</v>
      </c>
      <c r="O36" s="13">
        <f t="shared" si="11"/>
        <v>0.42503184590630921</v>
      </c>
      <c r="P36" s="13">
        <f t="shared" si="9"/>
        <v>0.69464102026000285</v>
      </c>
      <c r="Q36" s="13">
        <f t="shared" si="4"/>
        <v>0.20984203057588469</v>
      </c>
      <c r="R36" s="21">
        <f t="shared" si="5"/>
        <v>3.1461886664572596</v>
      </c>
      <c r="S36" s="13">
        <f t="shared" si="6"/>
        <v>3.4379531548790014</v>
      </c>
      <c r="T36" s="22">
        <f t="shared" si="7"/>
        <v>2.1854717051983288</v>
      </c>
      <c r="U36" s="22"/>
      <c r="V36" s="19"/>
      <c r="W36"/>
      <c r="X36"/>
    </row>
    <row r="37" spans="1:24">
      <c r="A37"/>
      <c r="B37"/>
      <c r="C37" s="17"/>
      <c r="D37" s="18"/>
      <c r="E37" s="13"/>
      <c r="F37" s="13"/>
      <c r="G37" s="13"/>
      <c r="H37" s="13"/>
      <c r="I37" s="72">
        <f t="shared" si="0"/>
        <v>28.026490910881904</v>
      </c>
      <c r="J37" s="13">
        <f t="shared" si="10"/>
        <v>13</v>
      </c>
      <c r="K37" s="13">
        <f t="shared" si="1"/>
        <v>7.1634271712217483</v>
      </c>
      <c r="L37" s="13">
        <f t="shared" si="8"/>
        <v>0.76296306351267495</v>
      </c>
      <c r="M37" s="13">
        <f t="shared" si="2"/>
        <v>0.10650810642394636</v>
      </c>
      <c r="N37" s="13">
        <f t="shared" si="11"/>
        <v>3.2557159846212866</v>
      </c>
      <c r="O37" s="13">
        <f t="shared" si="11"/>
        <v>0.45449139173226388</v>
      </c>
      <c r="P37" s="13">
        <f t="shared" si="9"/>
        <v>0.22139100074576118</v>
      </c>
      <c r="Q37" s="13">
        <f t="shared" si="4"/>
        <v>4.1611305628849252E-2</v>
      </c>
      <c r="R37" s="21">
        <f t="shared" si="5"/>
        <v>7.065214164449694</v>
      </c>
      <c r="S37" s="13">
        <f t="shared" si="6"/>
        <v>5.5256150976649643</v>
      </c>
      <c r="T37" s="22">
        <f t="shared" si="7"/>
        <v>1.5641748343506447</v>
      </c>
      <c r="U37" s="22"/>
      <c r="V37" s="19"/>
      <c r="W37"/>
      <c r="X37"/>
    </row>
    <row r="38" spans="1:24" ht="15" thickBot="1">
      <c r="B38"/>
      <c r="C38" s="23"/>
      <c r="D38" s="24"/>
      <c r="E38" s="25"/>
      <c r="F38" s="25"/>
      <c r="G38" s="25"/>
      <c r="H38" s="25"/>
      <c r="I38" s="75">
        <f t="shared" si="0"/>
        <v>27.417384464728691</v>
      </c>
      <c r="J38" s="25">
        <f t="shared" si="10"/>
        <v>13.5</v>
      </c>
      <c r="K38" s="25">
        <f t="shared" si="1"/>
        <v>6.9694754129117253</v>
      </c>
      <c r="L38" s="25">
        <f t="shared" si="8"/>
        <v>0.79230779672470097</v>
      </c>
      <c r="M38" s="25">
        <f t="shared" si="2"/>
        <v>0.11368255855481792</v>
      </c>
      <c r="N38" s="25">
        <f t="shared" si="11"/>
        <v>3.3809358301836441</v>
      </c>
      <c r="O38" s="25">
        <f t="shared" si="11"/>
        <v>0.48510621386511898</v>
      </c>
      <c r="P38" s="13">
        <f t="shared" si="9"/>
        <v>-0.32616437049288999</v>
      </c>
      <c r="Q38" s="25">
        <f t="shared" si="4"/>
        <v>-2.5059407690031996E-2</v>
      </c>
      <c r="R38" s="26">
        <f t="shared" si="5"/>
        <v>0</v>
      </c>
      <c r="S38" s="25">
        <f t="shared" si="6"/>
        <v>0</v>
      </c>
      <c r="T38" s="27">
        <f t="shared" si="7"/>
        <v>0</v>
      </c>
      <c r="U38" s="27"/>
      <c r="V38" s="28"/>
      <c r="W38"/>
      <c r="X38"/>
    </row>
    <row r="39" spans="1:24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2:24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2:24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2:24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2:24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2:24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2:24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2:24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2:24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2:24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2:24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4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2:24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2:24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2:24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2:24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2:24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2:24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2:24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2:24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2:24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2:24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2:24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2:24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2:24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2:24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2:24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2:24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2:24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2:24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2:24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2:24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2:24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2:24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2:24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2:24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2:24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2:24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2:24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2:24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2:24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2:24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2:24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2:24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2:24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2:24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2:24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2:24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2:24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2:24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2:24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2:24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2:24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2:24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2:24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2:24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2:24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2:24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2:24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2:24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2:24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2:24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2:24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2:24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2:24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2:24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2:24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2:24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2:24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2:24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2:24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2:24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2:24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2:24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2:24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2:24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2:24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2:24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2:24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2:24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2:24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2:24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2:24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2:24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2:24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2:24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2:24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2:24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2:24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2:24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2:24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2:24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2:24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2:24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2:24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2:24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2:24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2:24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2:24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2:24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2:24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2:24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2:24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2:24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2:24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2:24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2:24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2:24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2:24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2:24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2:24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2:24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2:24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2:24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2:24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2:24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2:24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2:24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2:24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2:24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2:24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2:24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2:24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2:24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2:24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2:24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2:24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2:24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2:24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2:24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2:24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2:24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2:24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2:24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2:24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2:24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2:24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2:24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2:24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2:24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2:24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2:24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2:24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2:24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2:24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2:24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2:24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2:24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2:24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2:24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2:24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2:24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2:24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2:24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2:24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2:24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2:24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2:24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2:24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2:24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2:24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2:24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2:24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2:24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2:24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2:24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2:24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2:24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2:24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2:24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2:24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2:24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2:24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2:24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2:24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2:24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2:24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2:24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2:24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2:24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2:24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2:24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2:24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2:24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2:24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2:24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2:24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2:24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2:24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2:24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2:24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2:24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2:24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2:24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2:24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2:24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2:24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2:24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2:24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2:24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2:24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2:24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2:24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2:24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2:24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2:24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2:24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2:24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2:24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2:24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2:24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2:24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2:24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2:24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2:24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2:24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2:24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2:24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2:24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2:24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2:24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2:24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2:24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2:24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2:24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2:24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2:24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2:24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2:24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2:24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2:24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2:24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2:24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2:24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2:24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2:24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2:24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2:24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2:24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2:24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2:24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2:24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2:24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2:24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2:24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2:24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2:24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2:24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2:24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2:24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2:24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2:24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2:24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2:24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2:24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2:24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2:24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2:24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2:24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2:24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2:24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2:24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2:24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2:24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2:24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2:24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2:24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2:24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2:24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2:24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2:24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2:24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2:24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2:24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2:24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2:24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2:24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2:24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2:24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2:24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2:24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2:24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2:24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2:24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2:24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2:24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2:24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2:24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2:24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2:24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2:24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2:24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2:24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2:24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2:24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2:24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2:24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2:24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2:24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2:24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2:24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2:24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2:24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2:24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2:24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2:24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2:24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2:24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2:24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2:24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2:24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2:24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2:24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2:24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2:24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2:24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2:24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2:24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2:24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2:24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2:24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2:24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2:24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2:24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2:24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2:24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2:24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2:24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2:24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2:24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2:24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2:24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2:24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2:24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2:24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2:24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2:24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2:24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2:24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2:24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2:24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2:24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2:24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2:24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2:24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2:24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2:24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2:24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2:24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2:24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2:24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2:24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2:24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2:24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2:24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2:24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2:24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2:24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2:24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2:24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2:24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2:24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2:24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2:24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2:24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2:24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2:24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2:24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2:24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2:24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2:24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2:24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2:24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2:24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2:24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2:24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2:24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2:24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2:24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2:24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2:24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2:24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2:24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2:24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2:24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2:24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2:24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2:24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2:24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2:24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2:24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2:24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2:24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2:24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2:24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2:24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2:24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2:24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2:24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2:24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2:24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2:24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2:24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2:24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2:24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2:24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2:24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2:24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2:24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2:24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2:24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2:24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2:24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2:24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2:24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2:24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2:24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2:24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2:24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2:24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2:24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2:24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2:24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2:24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2:24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2:24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2:24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2:24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2:24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2:24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2:24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2:24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2:24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2:24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2:24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2:24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2:24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2:24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2:24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2:24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2:24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2:24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2:24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2:24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2:24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2:24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2:24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2:24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2:24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2:24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2:24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2:24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2:24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2:24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2:24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2:24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2:24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2:24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2:24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2:24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2:24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2:24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2:24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2:24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2:24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2:24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2:24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2:24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2:24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2:24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2:24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2:24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2:24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2:24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2:24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2:24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2:24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2:24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2:24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2:24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2:24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2:24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2:24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2:24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2:24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2:24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2:24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2:24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2:24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2:24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2:24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2:24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2:24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2:24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2:24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2:24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2:24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2:24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2:24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2:24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2:24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2:24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2:24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2:24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2:24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2:24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2:24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2:24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2:24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2:24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2:24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2:24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2:24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2:24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2:24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2:24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2:24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2:24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2:24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2:24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2:24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2:24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2:24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2:24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2:24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2:24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2:24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2:24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2:24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2:24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2:24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2:24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2:24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2:24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2:24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2:24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2:24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2:24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2:24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2:24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2:24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2:24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2:24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2:24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2:24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2:24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2:24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2:24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2:24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2:24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2:24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2:24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2:24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2:24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2:24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2:24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2:24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2:24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2:24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2:24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2:24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2:24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2:24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2:24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2:24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2:24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2:24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2:24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2:24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2:24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2:24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2:24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2:24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2:24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2:24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2:24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2:24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2:24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2:24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2:24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2:24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2:24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2:24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2:24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2:24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2:24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2:24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2:24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2:24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2:24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2:24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2:24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2:24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2:24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2:24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2:24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2:24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2:24"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2:24"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2:24"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2:24"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2:24"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</sheetData>
  <mergeCells count="2">
    <mergeCell ref="C2:D2"/>
    <mergeCell ref="H2:P2"/>
  </mergeCells>
  <conditionalFormatting sqref="U34:U38">
    <cfRule type="cellIs" dxfId="6" priority="7" operator="greaterThan">
      <formula>0</formula>
    </cfRule>
  </conditionalFormatting>
  <conditionalFormatting sqref="S11:S38">
    <cfRule type="cellIs" dxfId="5" priority="4" operator="greaterThan">
      <formula>0</formula>
    </cfRule>
  </conditionalFormatting>
  <conditionalFormatting sqref="T11:U33 T34:T38">
    <cfRule type="cellIs" dxfId="4" priority="3" operator="greaterThan">
      <formula>0</formula>
    </cfRule>
  </conditionalFormatting>
  <conditionalFormatting sqref="K11:K38">
    <cfRule type="cellIs" dxfId="3" priority="1" operator="equal">
      <formula>"max($K$11:$K$32)"</formula>
    </cfRule>
    <cfRule type="cellIs" dxfId="2" priority="2" operator="equal">
      <formula>"max($K$11:$K$32)"</formula>
    </cfRule>
  </conditionalFormatting>
  <conditionalFormatting sqref="T11:T38">
    <cfRule type="top10" dxfId="1" priority="5" rank="1"/>
    <cfRule type="top10" dxfId="0" priority="6" rank="1"/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SBT</vt:lpstr>
      <vt:lpstr>.40c</vt:lpstr>
      <vt:lpstr>.50c</vt:lpstr>
      <vt:lpstr>.60c</vt:lpstr>
      <vt:lpstr>.70c</vt:lpstr>
      <vt:lpstr>.80c</vt:lpstr>
      <vt:lpstr>NACA00122</vt:lpstr>
      <vt:lpstr>Results</vt:lpstr>
      <vt:lpstr>Thin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2016-04-05T07:57:52Z</dcterms:created>
  <dcterms:modified xsi:type="dcterms:W3CDTF">2016-04-20T12:00:50Z</dcterms:modified>
</cp:coreProperties>
</file>