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ncar\OneDrive\@DOUTORADO\@@TU-Berlin\@Artigos\CAP 1\Data\"/>
    </mc:Choice>
  </mc:AlternateContent>
  <bookViews>
    <workbookView xWindow="825" yWindow="-105" windowWidth="22320" windowHeight="13170" tabRatio="601" activeTab="2"/>
  </bookViews>
  <sheets>
    <sheet name="general" sheetId="1" r:id="rId1"/>
    <sheet name="equations" sheetId="8" r:id="rId2"/>
    <sheet name="Analysis" sheetId="6" r:id="rId3"/>
    <sheet name="CN" sheetId="7" r:id="rId4"/>
    <sheet name="statisics" sheetId="10" r:id="rId5"/>
  </sheets>
  <definedNames>
    <definedName name="_xlchart.v1.0" hidden="1">general!$A$1</definedName>
    <definedName name="_xlchart.v1.1" hidden="1">general!$A$1:$AP$1</definedName>
    <definedName name="_xlchart.v1.10" hidden="1">general!$L$3:$L$32</definedName>
    <definedName name="_xlchart.v1.11" hidden="1">general!$N$1</definedName>
    <definedName name="_xlchart.v1.12" hidden="1">general!$R$3:$R$32</definedName>
    <definedName name="_xlchart.v1.13" hidden="1">general!$T$1</definedName>
    <definedName name="_xlchart.v1.14" hidden="1">general!$X$3:$X$32</definedName>
    <definedName name="_xlchart.v1.15" hidden="1">general!$Z$1</definedName>
    <definedName name="_xlchart.v1.2" hidden="1">general!$AD$3:$AD$32</definedName>
    <definedName name="_xlchart.v1.3" hidden="1">general!$AF$1</definedName>
    <definedName name="_xlchart.v1.4" hidden="1">general!$AJ$3:$AJ$32</definedName>
    <definedName name="_xlchart.v1.5" hidden="1">general!$AL$1</definedName>
    <definedName name="_xlchart.v1.6" hidden="1">general!$AP$3:$AP$32</definedName>
    <definedName name="_xlchart.v1.7" hidden="1">general!$AR$14</definedName>
    <definedName name="_xlchart.v1.8" hidden="1">general!$E$3:$E$62</definedName>
    <definedName name="_xlchart.v1.9" hidden="1">general!$G$1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T49" i="1" l="1"/>
  <c r="BS49" i="1"/>
  <c r="BT41" i="1"/>
  <c r="BT48" i="1"/>
  <c r="BS48" i="1"/>
  <c r="BR42" i="1"/>
  <c r="BR43" i="1"/>
  <c r="BR44" i="1"/>
  <c r="BR45" i="1"/>
  <c r="BR46" i="1"/>
  <c r="BR47" i="1"/>
  <c r="BR41" i="1"/>
  <c r="BT42" i="1"/>
  <c r="BT43" i="1"/>
  <c r="BT44" i="1"/>
  <c r="BT45" i="1"/>
  <c r="BT46" i="1"/>
  <c r="BT47" i="1"/>
  <c r="BS42" i="1"/>
  <c r="BS43" i="1"/>
  <c r="BS44" i="1"/>
  <c r="BS45" i="1"/>
  <c r="BS46" i="1"/>
  <c r="BS47" i="1"/>
  <c r="BS41" i="1"/>
  <c r="G14" i="8" l="1"/>
  <c r="H14" i="8"/>
  <c r="I14" i="8"/>
  <c r="J14" i="8"/>
  <c r="G15" i="8"/>
  <c r="H15" i="8"/>
  <c r="I15" i="8"/>
  <c r="J15" i="8"/>
  <c r="G16" i="8"/>
  <c r="H16" i="8"/>
  <c r="I16" i="8"/>
  <c r="J16" i="8"/>
  <c r="H13" i="8"/>
  <c r="I13" i="8"/>
  <c r="J13" i="8"/>
  <c r="G13" i="8"/>
  <c r="I4" i="1" l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" i="1"/>
  <c r="L3" i="1" s="1"/>
  <c r="BX22" i="1" l="1"/>
  <c r="BX23" i="1"/>
  <c r="BX24" i="1"/>
  <c r="BX25" i="1"/>
  <c r="BX26" i="1"/>
  <c r="BX27" i="1"/>
  <c r="BW22" i="1"/>
  <c r="BW23" i="1"/>
  <c r="BW24" i="1"/>
  <c r="BW25" i="1"/>
  <c r="BW26" i="1"/>
  <c r="BW27" i="1"/>
  <c r="BU80" i="1"/>
  <c r="BV70" i="1"/>
  <c r="BV69" i="1"/>
  <c r="BX21" i="1"/>
  <c r="BW21" i="1"/>
  <c r="BV28" i="1"/>
  <c r="BV80" i="1" l="1"/>
  <c r="BX28" i="1" a="1"/>
  <c r="BX28" i="1" s="1"/>
  <c r="AY5" i="1" l="1"/>
  <c r="AY4" i="1"/>
  <c r="AY3" i="1"/>
  <c r="AY2" i="1"/>
  <c r="AY8" i="1"/>
  <c r="AY9" i="1"/>
  <c r="AY11" i="1"/>
  <c r="AX4" i="1"/>
  <c r="AX3" i="1"/>
  <c r="AX2" i="1"/>
  <c r="BQ23" i="1" l="1"/>
  <c r="BQ24" i="1"/>
  <c r="BQ25" i="1"/>
  <c r="BQ26" i="1"/>
  <c r="BQ27" i="1"/>
  <c r="BQ28" i="1"/>
  <c r="BQ29" i="1"/>
  <c r="BI34" i="1"/>
  <c r="BH34" i="1"/>
  <c r="BH32" i="1"/>
  <c r="BH30" i="1"/>
  <c r="BH28" i="1"/>
  <c r="BH26" i="1"/>
  <c r="BH24" i="1"/>
  <c r="BH22" i="1"/>
  <c r="BH10" i="1"/>
  <c r="BJ34" i="1" l="1"/>
  <c r="BH8" i="1" l="1"/>
  <c r="BH6" i="1"/>
  <c r="BH4" i="1"/>
  <c r="S20" i="10"/>
  <c r="T20" i="10"/>
  <c r="S21" i="10"/>
  <c r="T21" i="10"/>
  <c r="S22" i="10"/>
  <c r="T22" i="10"/>
  <c r="S23" i="10"/>
  <c r="T23" i="10"/>
  <c r="S24" i="10"/>
  <c r="T24" i="10"/>
  <c r="S25" i="10"/>
  <c r="T25" i="10"/>
  <c r="T19" i="10"/>
  <c r="S19" i="10"/>
  <c r="T13" i="10"/>
  <c r="T12" i="10"/>
  <c r="Q24" i="10" s="1"/>
  <c r="T11" i="10"/>
  <c r="T10" i="10"/>
  <c r="T9" i="10"/>
  <c r="T8" i="10"/>
  <c r="T7" i="10"/>
  <c r="AA7" i="10"/>
  <c r="AA10" i="10"/>
  <c r="AA8" i="10"/>
  <c r="AA9" i="10"/>
  <c r="AA11" i="10"/>
  <c r="AA12" i="10"/>
  <c r="AA13" i="10"/>
  <c r="W8" i="10"/>
  <c r="W9" i="10"/>
  <c r="W10" i="10"/>
  <c r="W11" i="10"/>
  <c r="W12" i="10"/>
  <c r="W13" i="10"/>
  <c r="W7" i="10"/>
  <c r="R13" i="10"/>
  <c r="Q13" i="10"/>
  <c r="Q25" i="10" s="1"/>
  <c r="R12" i="10"/>
  <c r="Q12" i="10"/>
  <c r="R11" i="10"/>
  <c r="Q11" i="10"/>
  <c r="Q23" i="10" s="1"/>
  <c r="R10" i="10"/>
  <c r="Q10" i="10"/>
  <c r="R9" i="10"/>
  <c r="Q9" i="10"/>
  <c r="Q21" i="10" s="1"/>
  <c r="R8" i="10"/>
  <c r="Q8" i="10"/>
  <c r="R7" i="10"/>
  <c r="Q7" i="10"/>
  <c r="Q19" i="10" s="1"/>
  <c r="F10" i="10"/>
  <c r="F8" i="10"/>
  <c r="S7" i="10" s="1"/>
  <c r="F7" i="10"/>
  <c r="F6" i="10"/>
  <c r="F3" i="10"/>
  <c r="F4" i="10"/>
  <c r="S8" i="10" s="1"/>
  <c r="F5" i="10"/>
  <c r="F11" i="10"/>
  <c r="F12" i="10"/>
  <c r="S9" i="10" s="1"/>
  <c r="F13" i="10"/>
  <c r="F14" i="10"/>
  <c r="F15" i="10"/>
  <c r="F16" i="10"/>
  <c r="S10" i="10" s="1"/>
  <c r="F17" i="10"/>
  <c r="F18" i="10"/>
  <c r="F19" i="10"/>
  <c r="F20" i="10"/>
  <c r="S11" i="10" s="1"/>
  <c r="F21" i="10"/>
  <c r="F22" i="10"/>
  <c r="F23" i="10"/>
  <c r="F24" i="10"/>
  <c r="S12" i="10" s="1"/>
  <c r="F25" i="10"/>
  <c r="F26" i="10"/>
  <c r="F27" i="10"/>
  <c r="F28" i="10"/>
  <c r="S13" i="10" s="1"/>
  <c r="F29" i="10"/>
  <c r="F2" i="10"/>
  <c r="D27" i="8"/>
  <c r="B27" i="8" s="1"/>
  <c r="D29" i="8"/>
  <c r="B29" i="8" s="1"/>
  <c r="D26" i="8"/>
  <c r="B26" i="8" s="1"/>
  <c r="D23" i="8"/>
  <c r="E22" i="8" s="1"/>
  <c r="C23" i="8"/>
  <c r="E21" i="8" s="1"/>
  <c r="C22" i="8"/>
  <c r="D21" i="8" s="1"/>
  <c r="B23" i="8"/>
  <c r="E20" i="8" s="1"/>
  <c r="B22" i="8"/>
  <c r="D20" i="8" s="1"/>
  <c r="B21" i="8"/>
  <c r="C20" i="8" s="1"/>
  <c r="P15" i="8"/>
  <c r="Q22" i="10" l="1"/>
  <c r="R20" i="10"/>
  <c r="R24" i="10"/>
  <c r="R23" i="10"/>
  <c r="Q20" i="10"/>
  <c r="R19" i="10"/>
  <c r="R22" i="10"/>
  <c r="R25" i="10"/>
  <c r="R21" i="10"/>
  <c r="G5" i="8" l="1"/>
  <c r="D28" i="8" s="1"/>
  <c r="B28" i="8" s="1"/>
  <c r="BJ18" i="6" l="1"/>
  <c r="BJ19" i="6"/>
  <c r="BJ20" i="6"/>
  <c r="BE17" i="6"/>
  <c r="BJ17" i="6" s="1"/>
  <c r="BE21" i="6" l="1"/>
  <c r="BJ21" i="6" s="1"/>
  <c r="BE22" i="6"/>
  <c r="BJ22" i="6" s="1"/>
  <c r="BE23" i="6"/>
  <c r="BE24" i="6"/>
  <c r="BJ24" i="6" s="1"/>
  <c r="BE25" i="6"/>
  <c r="BJ25" i="6" s="1"/>
  <c r="BF22" i="6"/>
  <c r="BF24" i="6" l="1"/>
  <c r="BF25" i="6"/>
  <c r="BF23" i="6"/>
  <c r="BJ23" i="6"/>
  <c r="BF21" i="6"/>
  <c r="U37" i="6"/>
  <c r="BI6" i="6" l="1"/>
  <c r="BK6" i="6" l="1"/>
  <c r="BJ2" i="6"/>
  <c r="AC34" i="6"/>
  <c r="AA34" i="6"/>
  <c r="Z34" i="6"/>
  <c r="AC33" i="6"/>
  <c r="AA33" i="6"/>
  <c r="Z33" i="6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" i="6"/>
  <c r="BG6" i="6" l="1"/>
  <c r="BH6" i="6" s="1"/>
  <c r="AB34" i="6"/>
  <c r="AB33" i="6"/>
  <c r="AY34" i="6"/>
  <c r="AX34" i="6"/>
  <c r="AY33" i="6"/>
  <c r="AX33" i="6"/>
  <c r="AS34" i="6"/>
  <c r="AR34" i="6"/>
  <c r="AS33" i="6"/>
  <c r="AR33" i="6"/>
  <c r="AM34" i="6"/>
  <c r="AL34" i="6"/>
  <c r="AM33" i="6"/>
  <c r="AL33" i="6"/>
  <c r="AG34" i="6"/>
  <c r="AF34" i="6"/>
  <c r="AG33" i="6"/>
  <c r="AF33" i="6"/>
  <c r="U34" i="6"/>
  <c r="T34" i="6"/>
  <c r="U33" i="6"/>
  <c r="T33" i="6"/>
  <c r="O34" i="6"/>
  <c r="N34" i="6"/>
  <c r="O33" i="6"/>
  <c r="N33" i="6"/>
  <c r="I33" i="6"/>
  <c r="BH17" i="6" s="1"/>
  <c r="I34" i="6"/>
  <c r="H34" i="6"/>
  <c r="H33" i="6"/>
  <c r="C33" i="6"/>
  <c r="B33" i="6"/>
  <c r="B34" i="6" s="1"/>
  <c r="BJ4" i="6"/>
  <c r="BJ3" i="6"/>
  <c r="BA32" i="6"/>
  <c r="AU32" i="6"/>
  <c r="AO32" i="6"/>
  <c r="AI32" i="6"/>
  <c r="AH32" i="6"/>
  <c r="W32" i="6"/>
  <c r="V32" i="6"/>
  <c r="Q32" i="6"/>
  <c r="P32" i="6"/>
  <c r="K32" i="6"/>
  <c r="J32" i="6"/>
  <c r="E32" i="6"/>
  <c r="D32" i="6"/>
  <c r="BA31" i="6"/>
  <c r="AU31" i="6"/>
  <c r="AO31" i="6"/>
  <c r="AI31" i="6"/>
  <c r="AH31" i="6"/>
  <c r="W31" i="6"/>
  <c r="V31" i="6"/>
  <c r="Q31" i="6"/>
  <c r="P31" i="6"/>
  <c r="K31" i="6"/>
  <c r="J31" i="6"/>
  <c r="E31" i="6"/>
  <c r="D31" i="6"/>
  <c r="BA30" i="6"/>
  <c r="AU30" i="6"/>
  <c r="AO30" i="6"/>
  <c r="AI30" i="6"/>
  <c r="AH30" i="6"/>
  <c r="W30" i="6"/>
  <c r="V30" i="6"/>
  <c r="Q30" i="6"/>
  <c r="P30" i="6"/>
  <c r="K30" i="6"/>
  <c r="J30" i="6"/>
  <c r="E30" i="6"/>
  <c r="D30" i="6"/>
  <c r="BA29" i="6"/>
  <c r="AU29" i="6"/>
  <c r="AO29" i="6"/>
  <c r="AI29" i="6"/>
  <c r="AH29" i="6"/>
  <c r="W29" i="6"/>
  <c r="V29" i="6"/>
  <c r="Q29" i="6"/>
  <c r="P29" i="6"/>
  <c r="K29" i="6"/>
  <c r="J29" i="6"/>
  <c r="E29" i="6"/>
  <c r="D29" i="6"/>
  <c r="BA28" i="6"/>
  <c r="AU28" i="6"/>
  <c r="AO28" i="6"/>
  <c r="AI28" i="6"/>
  <c r="AH28" i="6"/>
  <c r="W28" i="6"/>
  <c r="V28" i="6"/>
  <c r="Q28" i="6"/>
  <c r="P28" i="6"/>
  <c r="K28" i="6"/>
  <c r="J28" i="6"/>
  <c r="E28" i="6"/>
  <c r="D28" i="6"/>
  <c r="BA27" i="6"/>
  <c r="AU27" i="6"/>
  <c r="AO27" i="6"/>
  <c r="AI27" i="6"/>
  <c r="AH27" i="6"/>
  <c r="W27" i="6"/>
  <c r="V27" i="6"/>
  <c r="Q27" i="6"/>
  <c r="P27" i="6"/>
  <c r="K27" i="6"/>
  <c r="J27" i="6"/>
  <c r="E27" i="6"/>
  <c r="D27" i="6"/>
  <c r="BA26" i="6"/>
  <c r="AU26" i="6"/>
  <c r="AO26" i="6"/>
  <c r="AI26" i="6"/>
  <c r="AH26" i="6"/>
  <c r="W26" i="6"/>
  <c r="V26" i="6"/>
  <c r="Q26" i="6"/>
  <c r="P26" i="6"/>
  <c r="K26" i="6"/>
  <c r="J26" i="6"/>
  <c r="E26" i="6"/>
  <c r="D26" i="6"/>
  <c r="BA25" i="6"/>
  <c r="AU25" i="6"/>
  <c r="AO25" i="6"/>
  <c r="AI25" i="6"/>
  <c r="AH25" i="6"/>
  <c r="W25" i="6"/>
  <c r="V25" i="6"/>
  <c r="Q25" i="6"/>
  <c r="P25" i="6"/>
  <c r="K25" i="6"/>
  <c r="J25" i="6"/>
  <c r="E25" i="6"/>
  <c r="D25" i="6"/>
  <c r="BA24" i="6"/>
  <c r="AU24" i="6"/>
  <c r="AO24" i="6"/>
  <c r="AI24" i="6"/>
  <c r="AH24" i="6"/>
  <c r="W24" i="6"/>
  <c r="V24" i="6"/>
  <c r="Q24" i="6"/>
  <c r="P24" i="6"/>
  <c r="K24" i="6"/>
  <c r="J24" i="6"/>
  <c r="E24" i="6"/>
  <c r="D24" i="6"/>
  <c r="BA23" i="6"/>
  <c r="AU23" i="6"/>
  <c r="AO23" i="6"/>
  <c r="AI23" i="6"/>
  <c r="AH23" i="6"/>
  <c r="W23" i="6"/>
  <c r="V23" i="6"/>
  <c r="Q23" i="6"/>
  <c r="P23" i="6"/>
  <c r="K23" i="6"/>
  <c r="J23" i="6"/>
  <c r="E23" i="6"/>
  <c r="D23" i="6"/>
  <c r="BA22" i="6"/>
  <c r="AU22" i="6"/>
  <c r="AO22" i="6"/>
  <c r="AI22" i="6"/>
  <c r="AH22" i="6"/>
  <c r="W22" i="6"/>
  <c r="V22" i="6"/>
  <c r="Q22" i="6"/>
  <c r="P22" i="6"/>
  <c r="K22" i="6"/>
  <c r="J22" i="6"/>
  <c r="E22" i="6"/>
  <c r="D22" i="6"/>
  <c r="BA21" i="6"/>
  <c r="AU21" i="6"/>
  <c r="AO21" i="6"/>
  <c r="AI21" i="6"/>
  <c r="AH21" i="6"/>
  <c r="W21" i="6"/>
  <c r="V21" i="6"/>
  <c r="Q21" i="6"/>
  <c r="P21" i="6"/>
  <c r="K21" i="6"/>
  <c r="J21" i="6"/>
  <c r="E21" i="6"/>
  <c r="D21" i="6"/>
  <c r="BA20" i="6"/>
  <c r="AU20" i="6"/>
  <c r="AO20" i="6"/>
  <c r="AI20" i="6"/>
  <c r="AH20" i="6"/>
  <c r="W20" i="6"/>
  <c r="V20" i="6"/>
  <c r="Q20" i="6"/>
  <c r="P20" i="6"/>
  <c r="K20" i="6"/>
  <c r="J20" i="6"/>
  <c r="E20" i="6"/>
  <c r="D20" i="6"/>
  <c r="BA19" i="6"/>
  <c r="AU19" i="6"/>
  <c r="AO19" i="6"/>
  <c r="AI19" i="6"/>
  <c r="AH19" i="6"/>
  <c r="W19" i="6"/>
  <c r="V19" i="6"/>
  <c r="Q19" i="6"/>
  <c r="P19" i="6"/>
  <c r="K19" i="6"/>
  <c r="J19" i="6"/>
  <c r="E19" i="6"/>
  <c r="D19" i="6"/>
  <c r="BA18" i="6"/>
  <c r="AU18" i="6"/>
  <c r="AO18" i="6"/>
  <c r="AI18" i="6"/>
  <c r="AH18" i="6"/>
  <c r="W18" i="6"/>
  <c r="V18" i="6"/>
  <c r="Q18" i="6"/>
  <c r="P18" i="6"/>
  <c r="K18" i="6"/>
  <c r="J18" i="6"/>
  <c r="E18" i="6"/>
  <c r="D18" i="6"/>
  <c r="BA17" i="6"/>
  <c r="AU17" i="6"/>
  <c r="AO17" i="6"/>
  <c r="AI17" i="6"/>
  <c r="AH17" i="6"/>
  <c r="W17" i="6"/>
  <c r="V17" i="6"/>
  <c r="Q17" i="6"/>
  <c r="P17" i="6"/>
  <c r="K17" i="6"/>
  <c r="J17" i="6"/>
  <c r="E17" i="6"/>
  <c r="D17" i="6"/>
  <c r="BA16" i="6"/>
  <c r="AU16" i="6"/>
  <c r="AO16" i="6"/>
  <c r="AI16" i="6"/>
  <c r="AH16" i="6"/>
  <c r="W16" i="6"/>
  <c r="V16" i="6"/>
  <c r="Q16" i="6"/>
  <c r="P16" i="6"/>
  <c r="K16" i="6"/>
  <c r="J16" i="6"/>
  <c r="E16" i="6"/>
  <c r="D16" i="6"/>
  <c r="BA15" i="6"/>
  <c r="AU15" i="6"/>
  <c r="AO15" i="6"/>
  <c r="AI15" i="6"/>
  <c r="AH15" i="6"/>
  <c r="W15" i="6"/>
  <c r="V15" i="6"/>
  <c r="Q15" i="6"/>
  <c r="P15" i="6"/>
  <c r="K15" i="6"/>
  <c r="J15" i="6"/>
  <c r="E15" i="6"/>
  <c r="D15" i="6"/>
  <c r="BA14" i="6"/>
  <c r="AU14" i="6"/>
  <c r="AO14" i="6"/>
  <c r="AI14" i="6"/>
  <c r="AH14" i="6"/>
  <c r="W14" i="6"/>
  <c r="V14" i="6"/>
  <c r="Q14" i="6"/>
  <c r="P14" i="6"/>
  <c r="K14" i="6"/>
  <c r="J14" i="6"/>
  <c r="E14" i="6"/>
  <c r="D14" i="6"/>
  <c r="BA13" i="6"/>
  <c r="AU13" i="6"/>
  <c r="AO13" i="6"/>
  <c r="AI13" i="6"/>
  <c r="AH13" i="6"/>
  <c r="W13" i="6"/>
  <c r="V13" i="6"/>
  <c r="Q13" i="6"/>
  <c r="P13" i="6"/>
  <c r="K13" i="6"/>
  <c r="J13" i="6"/>
  <c r="E13" i="6"/>
  <c r="D13" i="6"/>
  <c r="BE12" i="6"/>
  <c r="BF12" i="6" s="1"/>
  <c r="BA12" i="6"/>
  <c r="AU12" i="6"/>
  <c r="AO12" i="6"/>
  <c r="AI12" i="6"/>
  <c r="AH12" i="6"/>
  <c r="W12" i="6"/>
  <c r="V12" i="6"/>
  <c r="Q12" i="6"/>
  <c r="P12" i="6"/>
  <c r="K12" i="6"/>
  <c r="J12" i="6"/>
  <c r="E12" i="6"/>
  <c r="D12" i="6"/>
  <c r="BE11" i="6"/>
  <c r="AZ32" i="6" s="1"/>
  <c r="BA11" i="6"/>
  <c r="AU11" i="6"/>
  <c r="AO11" i="6"/>
  <c r="AI11" i="6"/>
  <c r="AH11" i="6"/>
  <c r="W11" i="6"/>
  <c r="V11" i="6"/>
  <c r="Q11" i="6"/>
  <c r="P11" i="6"/>
  <c r="K11" i="6"/>
  <c r="J11" i="6"/>
  <c r="E11" i="6"/>
  <c r="D11" i="6"/>
  <c r="BE10" i="6"/>
  <c r="BF10" i="6" s="1"/>
  <c r="BA10" i="6"/>
  <c r="AU10" i="6"/>
  <c r="AO10" i="6"/>
  <c r="AI10" i="6"/>
  <c r="AH10" i="6"/>
  <c r="W10" i="6"/>
  <c r="V10" i="6"/>
  <c r="Q10" i="6"/>
  <c r="P10" i="6"/>
  <c r="K10" i="6"/>
  <c r="J10" i="6"/>
  <c r="E10" i="6"/>
  <c r="D10" i="6"/>
  <c r="BE9" i="6"/>
  <c r="AT11" i="6" s="1"/>
  <c r="BA9" i="6"/>
  <c r="AU9" i="6"/>
  <c r="AO9" i="6"/>
  <c r="AI9" i="6"/>
  <c r="AH9" i="6"/>
  <c r="W9" i="6"/>
  <c r="V9" i="6"/>
  <c r="Q9" i="6"/>
  <c r="P9" i="6"/>
  <c r="K9" i="6"/>
  <c r="J9" i="6"/>
  <c r="E9" i="6"/>
  <c r="D9" i="6"/>
  <c r="BE8" i="6"/>
  <c r="AN32" i="6" s="1"/>
  <c r="BA8" i="6"/>
  <c r="AU8" i="6"/>
  <c r="AO8" i="6"/>
  <c r="AI8" i="6"/>
  <c r="AH8" i="6"/>
  <c r="W8" i="6"/>
  <c r="V8" i="6"/>
  <c r="Q8" i="6"/>
  <c r="P8" i="6"/>
  <c r="K8" i="6"/>
  <c r="J8" i="6"/>
  <c r="E8" i="6"/>
  <c r="D8" i="6"/>
  <c r="BA7" i="6"/>
  <c r="AU7" i="6"/>
  <c r="AO7" i="6"/>
  <c r="AI7" i="6"/>
  <c r="AH7" i="6"/>
  <c r="W7" i="6"/>
  <c r="V7" i="6"/>
  <c r="Q7" i="6"/>
  <c r="P7" i="6"/>
  <c r="K7" i="6"/>
  <c r="J7" i="6"/>
  <c r="E7" i="6"/>
  <c r="D7" i="6"/>
  <c r="BA6" i="6"/>
  <c r="AU6" i="6"/>
  <c r="AO6" i="6"/>
  <c r="AI6" i="6"/>
  <c r="AH6" i="6"/>
  <c r="W6" i="6"/>
  <c r="V6" i="6"/>
  <c r="Q6" i="6"/>
  <c r="P6" i="6"/>
  <c r="K6" i="6"/>
  <c r="J6" i="6"/>
  <c r="E6" i="6"/>
  <c r="D6" i="6"/>
  <c r="BI5" i="6"/>
  <c r="BA5" i="6"/>
  <c r="AU5" i="6"/>
  <c r="AO5" i="6"/>
  <c r="AI5" i="6"/>
  <c r="AH5" i="6"/>
  <c r="W5" i="6"/>
  <c r="V5" i="6"/>
  <c r="Q5" i="6"/>
  <c r="P5" i="6"/>
  <c r="K5" i="6"/>
  <c r="J5" i="6"/>
  <c r="E5" i="6"/>
  <c r="D5" i="6"/>
  <c r="BA4" i="6"/>
  <c r="AU4" i="6"/>
  <c r="AO4" i="6"/>
  <c r="AI4" i="6"/>
  <c r="AH4" i="6"/>
  <c r="W4" i="6"/>
  <c r="V4" i="6"/>
  <c r="Q4" i="6"/>
  <c r="P4" i="6"/>
  <c r="K4" i="6"/>
  <c r="J4" i="6"/>
  <c r="E4" i="6"/>
  <c r="D4" i="6"/>
  <c r="BG3" i="6"/>
  <c r="BH3" i="6" s="1"/>
  <c r="BA3" i="6"/>
  <c r="AU3" i="6"/>
  <c r="AO3" i="6"/>
  <c r="AI3" i="6"/>
  <c r="AH3" i="6"/>
  <c r="W3" i="6"/>
  <c r="V3" i="6"/>
  <c r="Q3" i="6"/>
  <c r="P3" i="6"/>
  <c r="K3" i="6"/>
  <c r="J3" i="6"/>
  <c r="E3" i="6"/>
  <c r="D3" i="6"/>
  <c r="AZ8" i="6" l="1"/>
  <c r="BI21" i="6"/>
  <c r="BI22" i="6"/>
  <c r="BI24" i="6"/>
  <c r="BH19" i="6"/>
  <c r="BJ7" i="6"/>
  <c r="E33" i="6"/>
  <c r="Q34" i="6"/>
  <c r="BA34" i="6"/>
  <c r="AN4" i="6"/>
  <c r="AN3" i="6"/>
  <c r="AI34" i="6"/>
  <c r="BK7" i="6"/>
  <c r="BI7" i="6"/>
  <c r="BG2" i="6"/>
  <c r="BH2" i="6" s="1"/>
  <c r="BK2" i="6"/>
  <c r="BK8" i="6"/>
  <c r="P34" i="6"/>
  <c r="AU34" i="6"/>
  <c r="BK9" i="6"/>
  <c r="AT5" i="6"/>
  <c r="C34" i="6"/>
  <c r="BH18" i="6" s="1"/>
  <c r="AH34" i="6"/>
  <c r="BG7" i="6"/>
  <c r="BH7" i="6" s="1"/>
  <c r="K34" i="6"/>
  <c r="W34" i="6"/>
  <c r="AO34" i="6"/>
  <c r="AN5" i="6"/>
  <c r="AN6" i="6"/>
  <c r="J34" i="6"/>
  <c r="V34" i="6"/>
  <c r="K33" i="6"/>
  <c r="D33" i="6"/>
  <c r="D34" i="6" s="1"/>
  <c r="J33" i="6"/>
  <c r="P33" i="6"/>
  <c r="V33" i="6"/>
  <c r="AH33" i="6"/>
  <c r="Q33" i="6"/>
  <c r="W33" i="6"/>
  <c r="AI33" i="6"/>
  <c r="AO33" i="6"/>
  <c r="AU33" i="6"/>
  <c r="BA33" i="6"/>
  <c r="AZ3" i="6"/>
  <c r="AZ4" i="6"/>
  <c r="AZ6" i="6"/>
  <c r="AT9" i="6"/>
  <c r="BK5" i="6"/>
  <c r="AZ12" i="6"/>
  <c r="AN8" i="6"/>
  <c r="AN12" i="6"/>
  <c r="BG5" i="6"/>
  <c r="BH5" i="6" s="1"/>
  <c r="AN11" i="6"/>
  <c r="AT7" i="6"/>
  <c r="AT10" i="6"/>
  <c r="AT14" i="6"/>
  <c r="AT24" i="6"/>
  <c r="AT28" i="6"/>
  <c r="AZ5" i="6"/>
  <c r="BK11" i="6"/>
  <c r="AN9" i="6"/>
  <c r="BF9" i="6"/>
  <c r="AT16" i="6"/>
  <c r="AT18" i="6"/>
  <c r="AT20" i="6"/>
  <c r="AT22" i="6"/>
  <c r="AT26" i="6"/>
  <c r="AT30" i="6"/>
  <c r="AT32" i="6"/>
  <c r="AT3" i="6"/>
  <c r="AT8" i="6"/>
  <c r="AZ9" i="6"/>
  <c r="BF11" i="6"/>
  <c r="BK3" i="6"/>
  <c r="BK4" i="6"/>
  <c r="AT4" i="6"/>
  <c r="AT6" i="6"/>
  <c r="AN7" i="6"/>
  <c r="AZ7" i="6"/>
  <c r="BF8" i="6"/>
  <c r="AZ10" i="6"/>
  <c r="AZ11" i="6"/>
  <c r="AT13" i="6"/>
  <c r="AT15" i="6"/>
  <c r="AT17" i="6"/>
  <c r="AT19" i="6"/>
  <c r="AT21" i="6"/>
  <c r="AT23" i="6"/>
  <c r="AT25" i="6"/>
  <c r="AT27" i="6"/>
  <c r="AT29" i="6"/>
  <c r="AT31" i="6"/>
  <c r="AT12" i="6"/>
  <c r="AN13" i="6"/>
  <c r="AZ13" i="6"/>
  <c r="AN10" i="6"/>
  <c r="AN14" i="6"/>
  <c r="AZ14" i="6"/>
  <c r="AN15" i="6"/>
  <c r="AZ15" i="6"/>
  <c r="AN16" i="6"/>
  <c r="AZ16" i="6"/>
  <c r="AN17" i="6"/>
  <c r="AZ17" i="6"/>
  <c r="AN18" i="6"/>
  <c r="AZ18" i="6"/>
  <c r="AN19" i="6"/>
  <c r="AZ19" i="6"/>
  <c r="AN20" i="6"/>
  <c r="AZ20" i="6"/>
  <c r="AN21" i="6"/>
  <c r="AZ21" i="6"/>
  <c r="AN22" i="6"/>
  <c r="AZ22" i="6"/>
  <c r="AN23" i="6"/>
  <c r="AZ23" i="6"/>
  <c r="AN24" i="6"/>
  <c r="AZ24" i="6"/>
  <c r="AN25" i="6"/>
  <c r="AZ25" i="6"/>
  <c r="AN26" i="6"/>
  <c r="AZ26" i="6"/>
  <c r="AN27" i="6"/>
  <c r="AZ27" i="6"/>
  <c r="AN28" i="6"/>
  <c r="AZ28" i="6"/>
  <c r="AN29" i="6"/>
  <c r="AZ29" i="6"/>
  <c r="AN30" i="6"/>
  <c r="AZ30" i="6"/>
  <c r="AN31" i="6"/>
  <c r="AZ31" i="6"/>
  <c r="E34" i="6" l="1"/>
  <c r="T43" i="6"/>
  <c r="U40" i="6"/>
  <c r="U46" i="6"/>
  <c r="U42" i="6"/>
  <c r="U43" i="6"/>
  <c r="T42" i="6"/>
  <c r="T40" i="6"/>
  <c r="AN33" i="6"/>
  <c r="BH21" i="6" s="1"/>
  <c r="AN34" i="6"/>
  <c r="BI9" i="6"/>
  <c r="BJ9" i="6"/>
  <c r="U45" i="6"/>
  <c r="T45" i="6"/>
  <c r="T41" i="6"/>
  <c r="U41" i="6"/>
  <c r="AT34" i="6"/>
  <c r="AT33" i="6"/>
  <c r="BH22" i="6" s="1"/>
  <c r="BI8" i="6"/>
  <c r="BJ8" i="6"/>
  <c r="AZ34" i="6"/>
  <c r="AZ33" i="6"/>
  <c r="BH25" i="6" s="1"/>
  <c r="BI11" i="6"/>
  <c r="BJ11" i="6"/>
  <c r="BG10" i="6"/>
  <c r="BG8" i="6"/>
  <c r="BH8" i="6" s="1"/>
  <c r="BG11" i="6"/>
  <c r="BH11" i="6" s="1"/>
  <c r="BG12" i="6"/>
  <c r="BG9" i="6"/>
  <c r="BH9" i="6" s="1"/>
  <c r="V42" i="6" l="1"/>
  <c r="BH23" i="6"/>
  <c r="BH24" i="6"/>
  <c r="V40" i="6"/>
  <c r="V43" i="6"/>
  <c r="U44" i="6"/>
  <c r="T46" i="6"/>
  <c r="V46" i="6" s="1"/>
  <c r="V45" i="6"/>
  <c r="T44" i="6"/>
  <c r="BG4" i="6" s="1"/>
  <c r="BH4" i="6" s="1"/>
  <c r="V41" i="6"/>
  <c r="T47" i="6"/>
  <c r="U47" i="6"/>
  <c r="BH10" i="6"/>
  <c r="U48" i="6"/>
  <c r="T48" i="6"/>
  <c r="U49" i="6"/>
  <c r="T49" i="6"/>
  <c r="BH12" i="6"/>
  <c r="U50" i="6"/>
  <c r="T50" i="6"/>
  <c r="BI20" i="6" l="1"/>
  <c r="V44" i="6"/>
  <c r="V48" i="6"/>
  <c r="V49" i="6"/>
  <c r="V47" i="6"/>
  <c r="BH20" i="6" s="1"/>
  <c r="V50" i="6"/>
  <c r="BJ5" i="6"/>
  <c r="BJ6" i="6" s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" i="1"/>
  <c r="AJ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" i="1"/>
  <c r="AV12" i="1"/>
  <c r="AW12" i="1" s="1"/>
  <c r="AV11" i="1"/>
  <c r="AO4" i="1" l="1"/>
  <c r="BH15" i="1"/>
  <c r="BH16" i="1" s="1"/>
  <c r="BD11" i="1"/>
  <c r="BD12" i="1" s="1"/>
  <c r="AO19" i="1"/>
  <c r="AO7" i="1"/>
  <c r="BD8" i="1"/>
  <c r="BD9" i="1"/>
  <c r="BD10" i="1" s="1"/>
  <c r="AO23" i="1"/>
  <c r="AO31" i="1"/>
  <c r="AO15" i="1"/>
  <c r="AO27" i="1"/>
  <c r="AO11" i="1"/>
  <c r="AO30" i="1"/>
  <c r="AO26" i="1"/>
  <c r="AO22" i="1"/>
  <c r="AO18" i="1"/>
  <c r="AO14" i="1"/>
  <c r="AO10" i="1"/>
  <c r="AO6" i="1"/>
  <c r="AW11" i="1"/>
  <c r="BA11" i="1" s="1"/>
  <c r="AO3" i="1"/>
  <c r="AO29" i="1"/>
  <c r="AO25" i="1"/>
  <c r="AO21" i="1"/>
  <c r="AO17" i="1"/>
  <c r="AO13" i="1"/>
  <c r="AO9" i="1"/>
  <c r="AO5" i="1"/>
  <c r="AO32" i="1"/>
  <c r="AO28" i="1"/>
  <c r="AO24" i="1"/>
  <c r="AO20" i="1"/>
  <c r="AO16" i="1"/>
  <c r="AO12" i="1"/>
  <c r="AO8" i="1"/>
  <c r="BI15" i="1" l="1"/>
  <c r="BI16" i="1" s="1"/>
  <c r="AX11" i="1"/>
  <c r="AZ11" i="1" s="1"/>
  <c r="BB11" i="1" s="1"/>
  <c r="AX12" i="1"/>
  <c r="AZ12" i="1" s="1"/>
  <c r="BB12" i="1" s="1"/>
  <c r="AX6" i="1" l="1"/>
  <c r="AZ6" i="1" s="1"/>
  <c r="BA6" i="1"/>
  <c r="BB6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" i="1"/>
  <c r="AX5" i="1" l="1"/>
  <c r="BI9" i="1"/>
  <c r="BI10" i="1" s="1"/>
  <c r="BI27" i="1"/>
  <c r="BI28" i="1" s="1"/>
  <c r="BJ28" i="1" s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30" i="1"/>
  <c r="BQ31" i="1"/>
  <c r="BQ32" i="1"/>
  <c r="BQ3" i="1"/>
  <c r="BA7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AV10" i="1"/>
  <c r="AW10" i="1" s="1"/>
  <c r="AV9" i="1"/>
  <c r="AV8" i="1"/>
  <c r="AW9" i="1" l="1"/>
  <c r="BH13" i="1"/>
  <c r="BH14" i="1" s="1"/>
  <c r="AC6" i="1"/>
  <c r="BH11" i="1"/>
  <c r="BH12" i="1" s="1"/>
  <c r="AI11" i="1"/>
  <c r="BD7" i="1"/>
  <c r="AI4" i="1"/>
  <c r="AI7" i="1"/>
  <c r="AI27" i="1"/>
  <c r="AI23" i="1"/>
  <c r="AI19" i="1"/>
  <c r="AX7" i="1"/>
  <c r="AZ7" i="1" s="1"/>
  <c r="BB7" i="1" s="1"/>
  <c r="AI31" i="1"/>
  <c r="AI15" i="1"/>
  <c r="AC3" i="1"/>
  <c r="AC29" i="1"/>
  <c r="AC25" i="1"/>
  <c r="AC21" i="1"/>
  <c r="AC17" i="1"/>
  <c r="AC13" i="1"/>
  <c r="AC9" i="1"/>
  <c r="AC5" i="1"/>
  <c r="AC32" i="1"/>
  <c r="AC28" i="1"/>
  <c r="AC24" i="1"/>
  <c r="AC20" i="1"/>
  <c r="AC16" i="1"/>
  <c r="AC12" i="1"/>
  <c r="AC8" i="1"/>
  <c r="AC4" i="1"/>
  <c r="AI30" i="1"/>
  <c r="AI26" i="1"/>
  <c r="AI22" i="1"/>
  <c r="AI18" i="1"/>
  <c r="AI14" i="1"/>
  <c r="AI10" i="1"/>
  <c r="AI6" i="1"/>
  <c r="BA9" i="1"/>
  <c r="AC31" i="1"/>
  <c r="AC27" i="1"/>
  <c r="AC23" i="1"/>
  <c r="AC19" i="1"/>
  <c r="AC15" i="1"/>
  <c r="AC11" i="1"/>
  <c r="AC7" i="1"/>
  <c r="AI3" i="1"/>
  <c r="AI29" i="1"/>
  <c r="AI25" i="1"/>
  <c r="AI21" i="1"/>
  <c r="AI17" i="1"/>
  <c r="AI13" i="1"/>
  <c r="AI9" i="1"/>
  <c r="AI5" i="1"/>
  <c r="AW8" i="1"/>
  <c r="BA8" i="1" s="1"/>
  <c r="AC30" i="1"/>
  <c r="AC26" i="1"/>
  <c r="AC22" i="1"/>
  <c r="AC18" i="1"/>
  <c r="AC14" i="1"/>
  <c r="AC10" i="1"/>
  <c r="AI32" i="1"/>
  <c r="AI28" i="1"/>
  <c r="AI24" i="1"/>
  <c r="AI20" i="1"/>
  <c r="AI16" i="1"/>
  <c r="AI12" i="1"/>
  <c r="AI8" i="1"/>
  <c r="AX8" i="1" l="1"/>
  <c r="BI13" i="1"/>
  <c r="BI14" i="1" s="1"/>
  <c r="BI11" i="1"/>
  <c r="BI12" i="1" s="1"/>
  <c r="BI29" i="1"/>
  <c r="BI30" i="1" s="1"/>
  <c r="BJ30" i="1" s="1"/>
  <c r="BI31" i="1"/>
  <c r="BI32" i="1" s="1"/>
  <c r="BJ32" i="1" s="1"/>
  <c r="AX9" i="1"/>
  <c r="AZ9" i="1" s="1"/>
  <c r="BB9" i="1" s="1"/>
  <c r="AX10" i="1"/>
  <c r="AZ10" i="1" s="1"/>
  <c r="BB10" i="1" s="1"/>
  <c r="AZ8" i="1"/>
  <c r="BB8" i="1" s="1"/>
  <c r="BA5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" i="1" l="1"/>
  <c r="BD5" i="1" l="1"/>
  <c r="BD6" i="1" s="1"/>
  <c r="AZ5" i="1"/>
  <c r="BB5" i="1" s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AZ2" i="1"/>
  <c r="BB2" i="1" s="1"/>
  <c r="AZ4" i="1"/>
  <c r="BB4" i="1" s="1"/>
  <c r="AZ3" i="1"/>
  <c r="BB3" i="1" s="1"/>
  <c r="BI21" i="1" l="1"/>
  <c r="BI3" i="1"/>
  <c r="BI4" i="1" s="1"/>
  <c r="BI23" i="1"/>
  <c r="BI24" i="1" s="1"/>
  <c r="BJ24" i="1" s="1"/>
  <c r="BI5" i="1"/>
  <c r="BI6" i="1" s="1"/>
  <c r="BI7" i="1"/>
  <c r="BI8" i="1" s="1"/>
  <c r="BI25" i="1"/>
  <c r="BI26" i="1" s="1"/>
  <c r="BJ26" i="1" s="1"/>
  <c r="BB1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BI22" i="1" l="1"/>
  <c r="BI35" i="1" s="1"/>
  <c r="BD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BJ22" i="1" l="1"/>
  <c r="BJ35" i="1" s="1"/>
  <c r="BI36" i="1"/>
  <c r="BD3" i="1"/>
  <c r="BD2" i="1"/>
</calcChain>
</file>

<file path=xl/comments1.xml><?xml version="1.0" encoding="utf-8"?>
<comments xmlns="http://schemas.openxmlformats.org/spreadsheetml/2006/main">
  <authors>
    <author>Pedro Alencar</author>
  </authors>
  <commentList>
    <comment ref="AW1" authorId="0" shapeId="0">
      <text>
        <r>
          <rPr>
            <b/>
            <sz val="9"/>
            <color indexed="81"/>
            <rFont val="Tahoma"/>
            <family val="2"/>
          </rPr>
          <t>Pedro Alencar:</t>
        </r>
        <r>
          <rPr>
            <sz val="9"/>
            <color indexed="81"/>
            <rFont val="Tahoma"/>
            <family val="2"/>
          </rPr>
          <t xml:space="preserve">
ton.km-2.yr-1</t>
        </r>
      </text>
    </comment>
  </commentList>
</comments>
</file>

<file path=xl/comments2.xml><?xml version="1.0" encoding="utf-8"?>
<comments xmlns="http://schemas.openxmlformats.org/spreadsheetml/2006/main">
  <authors>
    <author>Pedro Alencar</author>
  </authors>
  <commentList>
    <comment ref="BF1" authorId="0" shapeId="0">
      <text>
        <r>
          <rPr>
            <b/>
            <sz val="9"/>
            <color indexed="81"/>
            <rFont val="Tahoma"/>
            <family val="2"/>
          </rPr>
          <t>Pedro Alencar:</t>
        </r>
        <r>
          <rPr>
            <sz val="9"/>
            <color indexed="81"/>
            <rFont val="Tahoma"/>
            <family val="2"/>
          </rPr>
          <t xml:space="preserve">
ton.km-2.yr-1</t>
        </r>
      </text>
    </comment>
    <comment ref="BF16" authorId="0" shapeId="0">
      <text>
        <r>
          <rPr>
            <b/>
            <sz val="9"/>
            <color indexed="81"/>
            <rFont val="Tahoma"/>
            <family val="2"/>
          </rPr>
          <t>Pedro Alencar:</t>
        </r>
        <r>
          <rPr>
            <sz val="9"/>
            <color indexed="81"/>
            <rFont val="Tahoma"/>
            <family val="2"/>
          </rPr>
          <t xml:space="preserve">
ton.km-2.yr-1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<sst xmlns="http://schemas.openxmlformats.org/spreadsheetml/2006/main" count="472" uniqueCount="148">
  <si>
    <t>i</t>
  </si>
  <si>
    <t>Ger</t>
  </si>
  <si>
    <t>Sed</t>
  </si>
  <si>
    <t>SDR</t>
  </si>
  <si>
    <t>Canabrava</t>
  </si>
  <si>
    <t>Acarape</t>
  </si>
  <si>
    <t>Rate</t>
  </si>
  <si>
    <t>Várzea da Volta</t>
  </si>
  <si>
    <t>Rate_o</t>
  </si>
  <si>
    <t>Rate_m</t>
  </si>
  <si>
    <t>Periodo (anos)</t>
  </si>
  <si>
    <t>Área (km-2)</t>
  </si>
  <si>
    <t>Error_PH</t>
  </si>
  <si>
    <t>Error_Manner</t>
  </si>
  <si>
    <t>Measured</t>
  </si>
  <si>
    <t>Modelled  (PoME)</t>
  </si>
  <si>
    <t>Modelled  (Manner)</t>
  </si>
  <si>
    <t>μ</t>
  </si>
  <si>
    <t>σ</t>
  </si>
  <si>
    <t>CV</t>
  </si>
  <si>
    <t>Col 4</t>
  </si>
  <si>
    <t>Col 8</t>
  </si>
  <si>
    <t>Size</t>
  </si>
  <si>
    <t>Skewness</t>
  </si>
  <si>
    <t>Kurtosis</t>
  </si>
  <si>
    <t>K-S Dist.</t>
  </si>
  <si>
    <t>K-S Prob.</t>
  </si>
  <si>
    <t>SWilk W</t>
  </si>
  <si>
    <t>SWilk Prob</t>
  </si>
  <si>
    <t>Aiuaba</t>
  </si>
  <si>
    <t xml:space="preserve"> </t>
  </si>
  <si>
    <t>Sumé 2</t>
  </si>
  <si>
    <t>Sumé 4</t>
  </si>
  <si>
    <t>Ger (kg)</t>
  </si>
  <si>
    <t>SY (kg)</t>
  </si>
  <si>
    <t>Sumé 4+gully</t>
  </si>
  <si>
    <t>Gilbués</t>
  </si>
  <si>
    <t>Watershed</t>
  </si>
  <si>
    <t>Aiuaba (2003-2009)</t>
  </si>
  <si>
    <t>Aiuaba - 17</t>
  </si>
  <si>
    <t>Aiuaba (2003-2019)</t>
  </si>
  <si>
    <t>Aiuaba - 7</t>
  </si>
  <si>
    <t>Aiuaba (2010-2019)</t>
  </si>
  <si>
    <t>Gilbués + gully</t>
  </si>
  <si>
    <t>--</t>
  </si>
  <si>
    <t>SDR_m</t>
  </si>
  <si>
    <t>SDR_o</t>
  </si>
  <si>
    <t xml:space="preserve">Sd = </t>
  </si>
  <si>
    <t xml:space="preserve">E = </t>
  </si>
  <si>
    <t>inf</t>
  </si>
  <si>
    <t>sup</t>
  </si>
  <si>
    <t>Sumé MB2</t>
  </si>
  <si>
    <t>Sumé MB4</t>
  </si>
  <si>
    <t>Column1</t>
  </si>
  <si>
    <t>IC p = 95%</t>
  </si>
  <si>
    <t>CN</t>
  </si>
  <si>
    <t>Reason</t>
  </si>
  <si>
    <t>From aiuaba (same scale)</t>
  </si>
  <si>
    <t>From Snyder's unit hydrogram</t>
  </si>
  <si>
    <t>Based on measured data</t>
  </si>
  <si>
    <t>Small area</t>
  </si>
  <si>
    <t>Multiplicator</t>
  </si>
  <si>
    <t>d</t>
  </si>
  <si>
    <t>Sobral</t>
  </si>
  <si>
    <t>Sumé</t>
  </si>
  <si>
    <t>B3</t>
  </si>
  <si>
    <t>G2</t>
  </si>
  <si>
    <t>G3</t>
  </si>
  <si>
    <t>a</t>
  </si>
  <si>
    <t>b</t>
  </si>
  <si>
    <t>c</t>
  </si>
  <si>
    <t>b2</t>
  </si>
  <si>
    <t>=</t>
  </si>
  <si>
    <t>a1</t>
  </si>
  <si>
    <t>a2</t>
  </si>
  <si>
    <t>a3</t>
  </si>
  <si>
    <t>a4</t>
  </si>
  <si>
    <t>b1</t>
  </si>
  <si>
    <t>b3</t>
  </si>
  <si>
    <t>b4</t>
  </si>
  <si>
    <t>c1</t>
  </si>
  <si>
    <t>c2</t>
  </si>
  <si>
    <t>c3</t>
  </si>
  <si>
    <t>c4</t>
  </si>
  <si>
    <t>I</t>
  </si>
  <si>
    <t>J</t>
  </si>
  <si>
    <t>H</t>
  </si>
  <si>
    <t>parameter</t>
  </si>
  <si>
    <t>integral</t>
  </si>
  <si>
    <t xml:space="preserve">   </t>
  </si>
  <si>
    <t>Col 3</t>
  </si>
  <si>
    <t>Col 9</t>
  </si>
  <si>
    <t>Col 13</t>
  </si>
  <si>
    <t>Col 14</t>
  </si>
  <si>
    <t>Col 18</t>
  </si>
  <si>
    <t>Col 19</t>
  </si>
  <si>
    <t>Col 23</t>
  </si>
  <si>
    <t>Col 24</t>
  </si>
  <si>
    <t>Col 28</t>
  </si>
  <si>
    <t>Col 29</t>
  </si>
  <si>
    <t>Col 33</t>
  </si>
  <si>
    <t>Col 34</t>
  </si>
  <si>
    <t>Varzea daVolta</t>
  </si>
  <si>
    <t>Data</t>
  </si>
  <si>
    <t>CV (%)</t>
  </si>
  <si>
    <t>Deposition rate</t>
  </si>
  <si>
    <t xml:space="preserve">(ton yr-1km-2) </t>
  </si>
  <si>
    <t>(%)</t>
  </si>
  <si>
    <t>C.I.</t>
  </si>
  <si>
    <t>C.I. of Mean 95</t>
  </si>
  <si>
    <t>C.I. of Mean 99</t>
  </si>
  <si>
    <t>Lower limit</t>
  </si>
  <si>
    <t>Upper limit</t>
  </si>
  <si>
    <t>Acarape
(η = 0.98)</t>
  </si>
  <si>
    <t>Aiuaba
(η = 1.00)</t>
  </si>
  <si>
    <t>Sumé 2
(η = 1.00)</t>
  </si>
  <si>
    <t>Sumé 4
(η = 1.00)</t>
  </si>
  <si>
    <t>Gilbués
(η = 1.00)</t>
  </si>
  <si>
    <t>Várzea da Volta
(η = 0.95)</t>
  </si>
  <si>
    <r>
      <t>Canabrava
(</t>
    </r>
    <r>
      <rPr>
        <sz val="11"/>
        <color theme="1"/>
        <rFont val="Calibri"/>
        <family val="2"/>
      </rPr>
      <t>η = 0.98</t>
    </r>
    <r>
      <rPr>
        <sz val="11"/>
        <color theme="1"/>
        <rFont val="Calibri"/>
        <family val="2"/>
        <scheme val="minor"/>
      </rPr>
      <t>)</t>
    </r>
  </si>
  <si>
    <t>usando erosividade WS</t>
  </si>
  <si>
    <t>usando erosividade PA</t>
  </si>
  <si>
    <t>Canabrava
(η = 0.98)</t>
  </si>
  <si>
    <t>rate_gross</t>
  </si>
  <si>
    <t>Spain 61 30–13,000 NA 0.09–0.621 0.481,a 0.351,a de Vente et al. (2008)</t>
  </si>
  <si>
    <t>0.42–0.842 0.452,a 0.442,a</t>
  </si>
  <si>
    <t>Spain 58 30–13,000 NA 0.842 NA NA Boix-Fayos et al. (2008)</t>
  </si>
  <si>
    <t>Spainb 1 2.84 0.50 0.85 0.86 NA Alatorre et al. (2012)</t>
  </si>
  <si>
    <t>Italy 40 11–661 0.501,a 0.141,a NA NA Van Rompaey et al. (2005)</t>
  </si>
  <si>
    <t>Ethiopia 9 0.7–24 0.681 0.501 NA NA Haregeweyn et al. (2012)</t>
  </si>
  <si>
    <t>0.842 0.832</t>
  </si>
  <si>
    <t>Belgium 21 0.07–49 NA NA 0.961 0.891 Van Rompaey et al. (2001)</t>
  </si>
  <si>
    <t>0.772 0.802 0.702</t>
  </si>
  <si>
    <t>Belgium 19 0.07–49 0.821 0.791 NA NA Verstraeten (2006)</t>
  </si>
  <si>
    <t>0.972 0.952</t>
  </si>
  <si>
    <t>Meuse River 5g 33,000 NA NA 0.582 0.512 Ward et al. (2009)</t>
  </si>
  <si>
    <t>Australia 26 0.4–9.8 0.561 0.561 NA NA Verstraeten et al. (2007)</t>
  </si>
  <si>
    <t>NA</t>
  </si>
  <si>
    <t>0.09–0.621</t>
  </si>
  <si>
    <t>0.481,a</t>
  </si>
  <si>
    <t>0.351,a</t>
  </si>
  <si>
    <t>0.42–0.842</t>
  </si>
  <si>
    <t>0.452,a</t>
  </si>
  <si>
    <t>0.442,a</t>
  </si>
  <si>
    <t>0.141,a</t>
  </si>
  <si>
    <t>r</t>
  </si>
  <si>
    <t>nse</t>
  </si>
  <si>
    <t>Ger_new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</si>
</sst>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"/>
    <numFmt numFmtId="165" formatCode="0.0%"/>
    <numFmt numFmtId="166" formatCode="\(0.0%\)"/>
    <numFmt numFmtId="167" formatCode="0.000"/>
    <numFmt numFmtId="168" formatCode="0.0000000"/>
    <numFmt numFmtId="169" formatCode="0.0000"/>
    <numFmt numFmtId="170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/>
      <top/>
      <bottom style="thick">
        <color rgb="FF666666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1" fontId="0" fillId="0" borderId="0" xfId="1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0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8" xfId="0" applyFont="1" applyFill="1" applyBorder="1" applyAlignment="1">
      <alignment horizontal="left"/>
    </xf>
    <xf numFmtId="165" fontId="6" fillId="0" borderId="0" xfId="1" quotePrefix="1" applyNumberFormat="1" applyFont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8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7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quotePrefix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7" xfId="0" applyBorder="1"/>
    <xf numFmtId="167" fontId="0" fillId="0" borderId="7" xfId="0" applyNumberFormat="1" applyBorder="1"/>
    <xf numFmtId="167" fontId="10" fillId="0" borderId="7" xfId="0" applyNumberFormat="1" applyFont="1" applyBorder="1"/>
    <xf numFmtId="0" fontId="10" fillId="0" borderId="0" xfId="0" applyFont="1" applyAlignment="1"/>
    <xf numFmtId="169" fontId="1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0" fontId="5" fillId="0" borderId="0" xfId="1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9" fontId="4" fillId="0" borderId="20" xfId="1" applyFont="1" applyBorder="1" applyAlignment="1">
      <alignment horizontal="center" vertical="center"/>
    </xf>
    <xf numFmtId="165" fontId="4" fillId="0" borderId="20" xfId="1" applyNumberFormat="1" applyFont="1" applyBorder="1" applyAlignment="1">
      <alignment horizontal="center" vertical="center"/>
    </xf>
    <xf numFmtId="2" fontId="4" fillId="0" borderId="20" xfId="1" applyNumberFormat="1" applyFont="1" applyBorder="1" applyAlignment="1">
      <alignment horizontal="center" vertical="center"/>
    </xf>
    <xf numFmtId="164" fontId="4" fillId="0" borderId="20" xfId="2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43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3">
    <cellStyle name="Komma" xfId="2" builtinId="3"/>
    <cellStyle name="Prozent" xfId="1" builtinId="5"/>
    <cellStyle name="Standard" xfId="0" builtinId="0"/>
  </cellStyles>
  <dxfs count="22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D30-4D65-97FE-508914DED2BE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D30-4D65-97FE-508914DED2BE}"/>
              </c:ext>
            </c:extLst>
          </c:dPt>
          <c:xVal>
            <c:numRef>
              <c:f>general!$AW$43:$AW$49</c:f>
              <c:numCache>
                <c:formatCode>0.0</c:formatCode>
                <c:ptCount val="7"/>
                <c:pt idx="0">
                  <c:v>704</c:v>
                </c:pt>
                <c:pt idx="1">
                  <c:v>233</c:v>
                </c:pt>
                <c:pt idx="2">
                  <c:v>164</c:v>
                </c:pt>
                <c:pt idx="3">
                  <c:v>4.5999999999999996</c:v>
                </c:pt>
                <c:pt idx="4">
                  <c:v>16.96105919003115</c:v>
                </c:pt>
                <c:pt idx="5">
                  <c:v>3857.2118055555561</c:v>
                </c:pt>
                <c:pt idx="6">
                  <c:v>2517.8313253012002</c:v>
                </c:pt>
              </c:numCache>
            </c:numRef>
          </c:xVal>
          <c:yVal>
            <c:numRef>
              <c:f>general!$AX$43:$AX$49</c:f>
              <c:numCache>
                <c:formatCode>0.0</c:formatCode>
                <c:ptCount val="7"/>
                <c:pt idx="0">
                  <c:v>664.48074208509797</c:v>
                </c:pt>
                <c:pt idx="1">
                  <c:v>189.50212231462231</c:v>
                </c:pt>
                <c:pt idx="2">
                  <c:v>418.18930041152265</c:v>
                </c:pt>
                <c:pt idx="3">
                  <c:v>5.0125552389212409</c:v>
                </c:pt>
                <c:pt idx="4">
                  <c:v>13.094340602284527</c:v>
                </c:pt>
                <c:pt idx="5">
                  <c:v>2345.6250000000005</c:v>
                </c:pt>
                <c:pt idx="6">
                  <c:v>2141.7429718875501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0-4D65-97FE-508914DED2BE}"/>
            </c:ext>
          </c:extLst>
        </c:ser>
        <c:ser>
          <c:idx val="1"/>
          <c:order val="1"/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general!$AU$35:$AU$36</c:f>
              <c:numCache>
                <c:formatCode>General</c:formatCode>
                <c:ptCount val="2"/>
                <c:pt idx="0">
                  <c:v>1</c:v>
                </c:pt>
                <c:pt idx="1">
                  <c:v>10000</c:v>
                </c:pt>
              </c:numCache>
            </c:numRef>
          </c:xVal>
          <c:yVal>
            <c:numRef>
              <c:f>general!$AU$35:$AU$36</c:f>
              <c:numCache>
                <c:formatCode>General</c:formatCode>
                <c:ptCount val="2"/>
                <c:pt idx="0">
                  <c:v>1</c:v>
                </c:pt>
                <c:pt idx="1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30-4D65-97FE-508914DED2B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general!$AW$50:$AW$51</c:f>
              <c:numCache>
                <c:formatCode>0.0</c:formatCode>
                <c:ptCount val="2"/>
                <c:pt idx="0">
                  <c:v>3857.2118055555561</c:v>
                </c:pt>
                <c:pt idx="1">
                  <c:v>2517.8313253012047</c:v>
                </c:pt>
              </c:numCache>
            </c:numRef>
          </c:xVal>
          <c:yVal>
            <c:numRef>
              <c:f>general!$AX$50:$AX$51</c:f>
              <c:numCache>
                <c:formatCode>0.0</c:formatCode>
                <c:ptCount val="2"/>
                <c:pt idx="0">
                  <c:v>3104.1319444444448</c:v>
                </c:pt>
                <c:pt idx="1">
                  <c:v>2362.4417670682724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1-4F8F-A61E-0177FD3F7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803568"/>
        <c:axId val="689803896"/>
      </c:scatterChart>
      <c:valAx>
        <c:axId val="689803568"/>
        <c:scaling>
          <c:logBase val="10"/>
          <c:orientation val="minMax"/>
          <c:max val="1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</a:t>
                </a:r>
                <a:r>
                  <a:rPr lang="en-GB" baseline="0"/>
                  <a:t> siltation rate                        (ton.km-2.yr-1)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3116022394001441"/>
              <c:y val="0.83872242077497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03896"/>
        <c:crosses val="autoZero"/>
        <c:crossBetween val="midCat"/>
      </c:valAx>
      <c:valAx>
        <c:axId val="689803896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Modelled</a:t>
                </a:r>
                <a:r>
                  <a:rPr lang="en-GB" baseline="0"/>
                  <a:t> silatation rate              (ton.km-2.yr-1)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0356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general!$BU$21:$BU$27</c:f>
              <c:numCache>
                <c:formatCode>General</c:formatCode>
                <c:ptCount val="7"/>
                <c:pt idx="0">
                  <c:v>704</c:v>
                </c:pt>
                <c:pt idx="1">
                  <c:v>164</c:v>
                </c:pt>
                <c:pt idx="2">
                  <c:v>233</c:v>
                </c:pt>
                <c:pt idx="3">
                  <c:v>4</c:v>
                </c:pt>
                <c:pt idx="4">
                  <c:v>16.96105919003115</c:v>
                </c:pt>
                <c:pt idx="5">
                  <c:v>3857.2118055555561</c:v>
                </c:pt>
                <c:pt idx="6">
                  <c:v>2517.8313253012047</c:v>
                </c:pt>
              </c:numCache>
            </c:numRef>
          </c:xVal>
          <c:yVal>
            <c:numRef>
              <c:f>general!$BV$21:$BV$27</c:f>
              <c:numCache>
                <c:formatCode>General</c:formatCode>
                <c:ptCount val="7"/>
                <c:pt idx="0">
                  <c:v>664.48074208509786</c:v>
                </c:pt>
                <c:pt idx="1">
                  <c:v>418</c:v>
                </c:pt>
                <c:pt idx="2">
                  <c:v>190.75617513117516</c:v>
                </c:pt>
                <c:pt idx="3">
                  <c:v>5.1215256267294427</c:v>
                </c:pt>
                <c:pt idx="4">
                  <c:v>13.284787123572171</c:v>
                </c:pt>
                <c:pt idx="5" formatCode="0.0">
                  <c:v>3104.1319444444448</c:v>
                </c:pt>
                <c:pt idx="6" formatCode="0.0">
                  <c:v>2362.4417670682724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3-43DE-9401-EEE5E1E7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95968"/>
        <c:axId val="669494984"/>
      </c:scatterChart>
      <c:valAx>
        <c:axId val="6694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94984"/>
        <c:crosses val="autoZero"/>
        <c:crossBetween val="midCat"/>
      </c:valAx>
      <c:valAx>
        <c:axId val="66949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9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_xlchart.v1.10</cx:f>
      </cx:numDim>
    </cx:data>
    <cx:data id="1">
      <cx:numDim type="val">
        <cx:f>_xlchart.v1.8</cx:f>
      </cx:numDim>
    </cx:data>
    <cx:data id="2">
      <cx:strDim type="cat">
        <cx:f>_xlchart.v1.1</cx:f>
      </cx:strDim>
      <cx:numDim type="val">
        <cx:f>_xlchart.v1.12</cx:f>
      </cx:numDim>
    </cx:data>
    <cx:data id="3">
      <cx:numDim type="val">
        <cx:f>_xlchart.v1.14</cx:f>
      </cx:numDim>
    </cx:data>
    <cx:data id="4">
      <cx:numDim type="val">
        <cx:f>_xlchart.v1.2</cx:f>
      </cx:numDim>
    </cx:data>
    <cx:data id="5">
      <cx:numDim type="val">
        <cx:f>_xlchart.v1.4</cx:f>
      </cx:numDim>
    </cx:data>
    <cx:data id="6">
      <cx:numDim type="val">
        <cx:f>_xlchart.v1.6</cx:f>
      </cx:numDim>
    </cx:data>
  </cx:chartData>
  <cx:chart>
    <cx:title pos="t" align="ctr" overlay="0">
      <cx:tx>
        <cx:txData>
          <cx:v>SDR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SDR</a:t>
          </a:r>
        </a:p>
      </cx:txPr>
    </cx:title>
    <cx:plotArea>
      <cx:plotAreaRegion>
        <cx:series layoutId="boxWhisker" uniqueId="{EE271840-57EE-4334-BE3C-DE4ECE1EAEB6}" formatIdx="0">
          <cx:tx>
            <cx:txData>
              <cx:f>_xlchart.v1.9</cx:f>
              <cx:v>Canabrava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B927-412D-9E5B-F9D39CCB58A0}" formatIdx="1">
          <cx:tx>
            <cx:txData>
              <cx:f>_xlchart.v1.0</cx:f>
              <cx:v>Acarape</cx:v>
            </cx:txData>
          </cx:tx>
          <cx:dataId val="1"/>
          <cx:layoutPr>
            <cx:statistics quartileMethod="exclusive"/>
          </cx:layoutPr>
        </cx:series>
        <cx:series layoutId="boxWhisker" uniqueId="{00000002-B927-412D-9E5B-F9D39CCB58A0}" formatIdx="2">
          <cx:tx>
            <cx:txData>
              <cx:f>_xlchart.v1.11</cx:f>
              <cx:v>Várzea da Volta</cx:v>
            </cx:txData>
          </cx:tx>
          <cx:dataId val="2"/>
          <cx:layoutPr>
            <cx:statistics quartileMethod="exclusive"/>
          </cx:layoutPr>
        </cx:series>
        <cx:series layoutId="boxWhisker" uniqueId="{00000000-2171-4B65-AE76-53B72C2EC5F1}" formatIdx="3">
          <cx:tx>
            <cx:txData>
              <cx:f>_xlchart.v1.13</cx:f>
              <cx:v>Aiuaba</cx:v>
            </cx:txData>
          </cx:tx>
          <cx:dataId val="3"/>
          <cx:layoutPr>
            <cx:statistics quartileMethod="exclusive"/>
          </cx:layoutPr>
        </cx:series>
        <cx:series layoutId="boxWhisker" uniqueId="{00000001-86FB-4685-A8B1-563E80978930}" formatIdx="5">
          <cx:tx>
            <cx:txData>
              <cx:f>_xlchart.v1.15</cx:f>
              <cx:v>Sumé MB2</cx:v>
            </cx:txData>
          </cx:tx>
          <cx:dataId val="4"/>
          <cx:layoutPr>
            <cx:statistics quartileMethod="exclusive"/>
          </cx:layoutPr>
        </cx:series>
        <cx:series layoutId="boxWhisker" uniqueId="{00000002-86FB-4685-A8B1-563E80978930}" formatIdx="6">
          <cx:tx>
            <cx:txData>
              <cx:f>_xlchart.v1.3</cx:f>
              <cx:v>Sumé MB4</cx:v>
            </cx:txData>
          </cx:tx>
          <cx:dataId val="5"/>
          <cx:layoutPr>
            <cx:statistics quartileMethod="exclusive"/>
          </cx:layoutPr>
        </cx:series>
        <cx:series layoutId="boxWhisker" uniqueId="{00000003-86FB-4685-A8B1-563E80978930}" formatIdx="7">
          <cx:tx>
            <cx:txData>
              <cx:f>_xlchart.v1.5</cx:f>
              <cx:v>Gilbués</cx:v>
            </cx:txData>
          </cx:tx>
          <cx:dataId val="6"/>
          <cx:layoutPr>
            <cx:statistics quartileMethod="exclusive"/>
          </cx:layoutPr>
        </cx:series>
      </cx:plotAreaRegion>
      <cx:axis id="0">
        <cx:catScaling gapWidth="0.150000006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2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110521</xdr:colOff>
      <xdr:row>14</xdr:row>
      <xdr:rowOff>43640</xdr:rowOff>
    </xdr:from>
    <xdr:to>
      <xdr:col>47</xdr:col>
      <xdr:colOff>233083</xdr:colOff>
      <xdr:row>29</xdr:row>
      <xdr:rowOff>43640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6AB8CC-0FBC-42D6-A242-50B728CB8C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47</xdr:col>
      <xdr:colOff>586614</xdr:colOff>
      <xdr:row>13</xdr:row>
      <xdr:rowOff>118334</xdr:rowOff>
    </xdr:from>
    <xdr:to>
      <xdr:col>53</xdr:col>
      <xdr:colOff>528918</xdr:colOff>
      <xdr:row>33</xdr:row>
      <xdr:rowOff>35859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4D380-020A-49D8-8298-F756C239E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694765</xdr:colOff>
      <xdr:row>3</xdr:row>
      <xdr:rowOff>103094</xdr:rowOff>
    </xdr:from>
    <xdr:to>
      <xdr:col>68</xdr:col>
      <xdr:colOff>174812</xdr:colOff>
      <xdr:row>18</xdr:row>
      <xdr:rowOff>156882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E1343C-6627-4F2E-8180-D3F120F30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0</xdr:row>
      <xdr:rowOff>106680</xdr:rowOff>
    </xdr:from>
    <xdr:to>
      <xdr:col>18</xdr:col>
      <xdr:colOff>61232</xdr:colOff>
      <xdr:row>5</xdr:row>
      <xdr:rowOff>53415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F0FE8-4A1C-4CBB-B9A1-D1E90AD11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920" y="106680"/>
          <a:ext cx="3139712" cy="8611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T1:BA12" totalsRowShown="0" headerRowDxfId="21">
  <autoFilter ref="AT1:BA12"/>
  <tableColumns count="8">
    <tableColumn id="1" name="Watershed" dataDxfId="20"/>
    <tableColumn id="2" name="Periodo (anos)" dataDxfId="19"/>
    <tableColumn id="3" name="Área (km-2)" dataDxfId="18"/>
    <tableColumn id="4" name="Rate_o" dataDxfId="17"/>
    <tableColumn id="5" name="Rate_m"/>
    <tableColumn id="8" name="rate_gross"/>
    <tableColumn id="6" name="Error_PH" dataDxfId="16">
      <calculatedColumnFormula>(AX2-AW2)/AW2</calculatedColumnFormula>
    </tableColumn>
    <tableColumn id="7" name="Error_Manner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C1:BI12" totalsRowShown="0" headerRowDxfId="14">
  <autoFilter ref="BC1:BI12"/>
  <tableColumns count="7">
    <tableColumn id="1" name="Watershed" dataDxfId="13"/>
    <tableColumn id="2" name="Periodo (anos)" dataDxfId="12"/>
    <tableColumn id="3" name="Área (km-2)" dataDxfId="11"/>
    <tableColumn id="4" name="Rate_o" dataDxfId="10"/>
    <tableColumn id="5" name="Rate_m"/>
    <tableColumn id="6" name="Error_PH" dataDxfId="9">
      <calculatedColumnFormula>(BG2-BF2)/BF2</calculatedColumnFormula>
    </tableColumn>
    <tableColumn id="7" name="Error_Manner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BC16:BJ25" totalsRowShown="0" headerRowDxfId="7">
  <autoFilter ref="BC16:BJ25"/>
  <tableColumns count="8">
    <tableColumn id="1" name="Watershed" dataDxfId="6"/>
    <tableColumn id="2" name="Periodo (anos)" dataDxfId="5"/>
    <tableColumn id="3" name="Área (km-2)" dataDxfId="4"/>
    <tableColumn id="4" name="Rate_o" dataDxfId="3"/>
    <tableColumn id="5" name="Rate_m"/>
    <tableColumn id="6" name="Error_PH" dataDxfId="2">
      <calculatedColumnFormula>(BG17-BF17)/BF17</calculatedColumnFormula>
    </tableColumn>
    <tableColumn id="7" name="Error_Manner" dataDxfId="1"/>
    <tableColumn id="8" name="Column1" dataDxfId="0">
      <calculatedColumnFormula>Table135[[#This Row],[Área (km-2)]]*100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82"/>
  <sheetViews>
    <sheetView zoomScale="55" zoomScaleNormal="55" workbookViewId="0">
      <selection activeCell="AB6" sqref="AB6"/>
    </sheetView>
  </sheetViews>
  <sheetFormatPr baseColWidth="10" defaultColWidth="8.85546875" defaultRowHeight="15" x14ac:dyDescent="0.25"/>
  <cols>
    <col min="1" max="1" width="7.85546875" style="2" customWidth="1"/>
    <col min="2" max="3" width="9" style="3" bestFit="1" customWidth="1"/>
    <col min="4" max="4" width="7.85546875" style="3" customWidth="1"/>
    <col min="5" max="5" width="7.85546875" style="2" customWidth="1"/>
    <col min="6" max="6" width="2.7109375" style="28" customWidth="1"/>
    <col min="7" max="7" width="3" style="2" bestFit="1" customWidth="1"/>
    <col min="8" max="8" width="8.85546875" style="2"/>
    <col min="9" max="9" width="8.85546875" style="100"/>
    <col min="10" max="12" width="8.85546875" style="2"/>
    <col min="13" max="13" width="2.7109375" style="2" customWidth="1"/>
    <col min="14" max="14" width="3" style="2" bestFit="1" customWidth="1"/>
    <col min="15" max="18" width="8.85546875" style="2"/>
    <col min="19" max="19" width="2.28515625" style="14" customWidth="1"/>
    <col min="20" max="20" width="8.85546875" style="14"/>
    <col min="21" max="21" width="9.5703125" style="14" bestFit="1" customWidth="1"/>
    <col min="22" max="23" width="8.85546875" style="14"/>
    <col min="24" max="24" width="8.85546875" style="2"/>
    <col min="25" max="25" width="2.85546875" style="20" customWidth="1"/>
    <col min="26" max="30" width="8.85546875" style="20"/>
    <col min="31" max="31" width="2.85546875" style="20" customWidth="1"/>
    <col min="32" max="32" width="8.85546875" style="20"/>
    <col min="33" max="33" width="10.28515625" style="20" bestFit="1" customWidth="1"/>
    <col min="34" max="36" width="8.85546875" style="20"/>
    <col min="37" max="37" width="2.7109375" style="20" customWidth="1"/>
    <col min="38" max="38" width="8.85546875" style="28"/>
    <col min="39" max="39" width="9.5703125" style="28" bestFit="1" customWidth="1"/>
    <col min="40" max="44" width="8.85546875" style="28"/>
    <col min="45" max="45" width="8.7109375" style="2" customWidth="1"/>
    <col min="46" max="46" width="18.7109375" style="2" bestFit="1" customWidth="1"/>
    <col min="47" max="47" width="15.85546875" style="2" customWidth="1"/>
    <col min="48" max="48" width="13" style="2" customWidth="1"/>
    <col min="49" max="49" width="10.7109375" style="2" bestFit="1" customWidth="1"/>
    <col min="50" max="50" width="9.28515625" style="2" customWidth="1"/>
    <col min="51" max="51" width="15.42578125" style="94" bestFit="1" customWidth="1"/>
    <col min="52" max="52" width="10.7109375" style="2" customWidth="1"/>
    <col min="53" max="53" width="15.28515625" style="2" customWidth="1"/>
    <col min="54" max="57" width="8.85546875" style="2"/>
    <col min="58" max="58" width="14.85546875" style="2" bestFit="1" customWidth="1"/>
    <col min="59" max="61" width="13.7109375" style="61" customWidth="1"/>
    <col min="62" max="62" width="20.85546875" style="61" bestFit="1" customWidth="1"/>
    <col min="63" max="64" width="8.85546875" style="61"/>
    <col min="65" max="65" width="8.85546875" style="2"/>
    <col min="66" max="67" width="8.85546875" style="20"/>
    <col min="68" max="68" width="10.7109375" style="20" bestFit="1" customWidth="1"/>
    <col min="69" max="69" width="10.5703125" style="20" bestFit="1" customWidth="1"/>
    <col min="70" max="70" width="10.7109375" style="20" bestFit="1" customWidth="1"/>
    <col min="71" max="16384" width="8.85546875" style="2"/>
  </cols>
  <sheetData>
    <row r="1" spans="1:70" x14ac:dyDescent="0.25">
      <c r="A1" s="106" t="s">
        <v>5</v>
      </c>
      <c r="B1" s="106"/>
      <c r="C1" s="106"/>
      <c r="D1" s="106"/>
      <c r="E1" s="106"/>
      <c r="F1" s="27"/>
      <c r="G1" s="106" t="s">
        <v>4</v>
      </c>
      <c r="H1" s="106"/>
      <c r="I1" s="106"/>
      <c r="J1" s="106"/>
      <c r="K1" s="106"/>
      <c r="L1" s="106"/>
      <c r="N1" s="106" t="s">
        <v>7</v>
      </c>
      <c r="O1" s="106"/>
      <c r="P1" s="106"/>
      <c r="Q1" s="106"/>
      <c r="R1" s="106"/>
      <c r="S1" s="13"/>
      <c r="T1" s="106" t="s">
        <v>29</v>
      </c>
      <c r="U1" s="106"/>
      <c r="V1" s="106"/>
      <c r="W1" s="106"/>
      <c r="X1" s="106"/>
      <c r="Y1" s="19"/>
      <c r="Z1" s="106" t="s">
        <v>51</v>
      </c>
      <c r="AA1" s="106"/>
      <c r="AB1" s="106"/>
      <c r="AC1" s="106"/>
      <c r="AD1" s="106"/>
      <c r="AE1" s="19"/>
      <c r="AF1" s="106" t="s">
        <v>52</v>
      </c>
      <c r="AG1" s="106"/>
      <c r="AH1" s="106"/>
      <c r="AI1" s="106"/>
      <c r="AJ1" s="106"/>
      <c r="AK1" s="19"/>
      <c r="AL1" s="106" t="s">
        <v>36</v>
      </c>
      <c r="AM1" s="106"/>
      <c r="AN1" s="106"/>
      <c r="AO1" s="106"/>
      <c r="AP1" s="106"/>
      <c r="AQ1" s="27"/>
      <c r="AR1" s="27"/>
      <c r="AT1" s="2" t="s">
        <v>37</v>
      </c>
      <c r="AU1" s="2" t="s">
        <v>10</v>
      </c>
      <c r="AV1" s="2" t="s">
        <v>11</v>
      </c>
      <c r="AW1" s="2" t="s">
        <v>8</v>
      </c>
      <c r="AX1" s="2" t="s">
        <v>9</v>
      </c>
      <c r="AY1" s="94" t="s">
        <v>123</v>
      </c>
      <c r="AZ1" s="2" t="s">
        <v>12</v>
      </c>
      <c r="BA1" s="2" t="s">
        <v>13</v>
      </c>
      <c r="BD1" s="2" t="s">
        <v>3</v>
      </c>
      <c r="BF1" s="114" t="s">
        <v>120</v>
      </c>
      <c r="BG1" s="114"/>
      <c r="BH1" s="114"/>
      <c r="BI1" s="114"/>
      <c r="BN1" s="106" t="s">
        <v>39</v>
      </c>
      <c r="BO1" s="106"/>
      <c r="BP1" s="106"/>
      <c r="BQ1" s="106"/>
      <c r="BR1" s="106"/>
    </row>
    <row r="2" spans="1:70" ht="30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G2" s="2" t="s">
        <v>0</v>
      </c>
      <c r="H2" s="2" t="s">
        <v>1</v>
      </c>
      <c r="I2" s="100" t="s">
        <v>147</v>
      </c>
      <c r="J2" s="2" t="s">
        <v>2</v>
      </c>
      <c r="K2" s="2" t="s">
        <v>6</v>
      </c>
      <c r="L2" s="2" t="s">
        <v>3</v>
      </c>
      <c r="N2" s="2" t="s">
        <v>0</v>
      </c>
      <c r="O2" s="2" t="s">
        <v>1</v>
      </c>
      <c r="P2" s="2" t="s">
        <v>2</v>
      </c>
      <c r="Q2" s="2" t="s">
        <v>6</v>
      </c>
      <c r="R2" s="2" t="s">
        <v>3</v>
      </c>
      <c r="T2" s="14" t="s">
        <v>0</v>
      </c>
      <c r="U2" s="14" t="s">
        <v>1</v>
      </c>
      <c r="V2" s="14" t="s">
        <v>2</v>
      </c>
      <c r="W2" s="14" t="s">
        <v>6</v>
      </c>
      <c r="X2" s="14" t="s">
        <v>3</v>
      </c>
      <c r="Z2" s="20" t="s">
        <v>0</v>
      </c>
      <c r="AA2" s="20" t="s">
        <v>33</v>
      </c>
      <c r="AB2" s="20" t="s">
        <v>34</v>
      </c>
      <c r="AC2" s="20" t="s">
        <v>6</v>
      </c>
      <c r="AD2" s="20" t="s">
        <v>3</v>
      </c>
      <c r="AF2" s="20" t="s">
        <v>0</v>
      </c>
      <c r="AG2" s="20" t="s">
        <v>33</v>
      </c>
      <c r="AH2" s="20" t="s">
        <v>34</v>
      </c>
      <c r="AI2" s="20" t="s">
        <v>6</v>
      </c>
      <c r="AJ2" s="20" t="s">
        <v>3</v>
      </c>
      <c r="AL2" s="28" t="s">
        <v>0</v>
      </c>
      <c r="AM2" s="28" t="s">
        <v>33</v>
      </c>
      <c r="AN2" s="28" t="s">
        <v>34</v>
      </c>
      <c r="AO2" s="28" t="s">
        <v>6</v>
      </c>
      <c r="AP2" s="28" t="s">
        <v>3</v>
      </c>
      <c r="AT2" s="5" t="s">
        <v>4</v>
      </c>
      <c r="AU2" s="2">
        <v>57</v>
      </c>
      <c r="AV2" s="2">
        <v>2.9</v>
      </c>
      <c r="AW2" s="2">
        <v>704</v>
      </c>
      <c r="AX2" s="6">
        <f>AVERAGE(J3:J62)/$AV2/$AU2/1000</f>
        <v>664.48074208509797</v>
      </c>
      <c r="AY2" s="6">
        <f>AVERAGE(H3:H62)/$AV2/$AU2/1000</f>
        <v>825.28735632183918</v>
      </c>
      <c r="AZ2" s="7">
        <f t="shared" ref="AZ2:AZ12" si="0">(AX2-AW2)/AW2</f>
        <v>-5.6135309538213107E-2</v>
      </c>
      <c r="BA2" s="7">
        <v>-0.20399999999999999</v>
      </c>
      <c r="BB2" s="2">
        <f>ABS(AZ2/BA2)</f>
        <v>0.27517308597163287</v>
      </c>
      <c r="BD2" s="6">
        <f>AVERAGE(L3:L32)</f>
        <v>13.885904274556831</v>
      </c>
      <c r="BF2" s="60"/>
      <c r="BG2" s="59" t="s">
        <v>14</v>
      </c>
      <c r="BH2" s="59" t="s">
        <v>16</v>
      </c>
      <c r="BI2" s="59" t="s">
        <v>15</v>
      </c>
      <c r="BN2" s="20" t="s">
        <v>0</v>
      </c>
      <c r="BO2" s="20" t="s">
        <v>1</v>
      </c>
      <c r="BP2" s="20" t="s">
        <v>2</v>
      </c>
      <c r="BQ2" s="20" t="s">
        <v>6</v>
      </c>
      <c r="BR2" s="20" t="s">
        <v>3</v>
      </c>
    </row>
    <row r="3" spans="1:70" ht="14.45" customHeight="1" x14ac:dyDescent="0.25">
      <c r="A3" s="2">
        <v>1</v>
      </c>
      <c r="B3" s="3">
        <v>34180000000</v>
      </c>
      <c r="C3" s="3">
        <v>2813000000</v>
      </c>
      <c r="D3" s="4">
        <f t="shared" ref="D3:D34" si="1">C3/$AV$3/$AU$3/1000</f>
        <v>182.75727650727652</v>
      </c>
      <c r="E3" s="1">
        <f>100*C3/B3</f>
        <v>8.2299590403744887</v>
      </c>
      <c r="F3" s="27"/>
      <c r="G3" s="2">
        <v>1</v>
      </c>
      <c r="H3" s="3">
        <v>129900000</v>
      </c>
      <c r="I3" s="99">
        <f>H3*5.8</f>
        <v>753420000</v>
      </c>
      <c r="J3" s="3">
        <v>104300000</v>
      </c>
      <c r="K3" s="4">
        <f t="shared" ref="K3:K32" si="2">J3/$AV$2/$AU$2/1000</f>
        <v>630.9739866908651</v>
      </c>
      <c r="L3" s="1">
        <f>100*J3/I3</f>
        <v>13.843540123702583</v>
      </c>
      <c r="N3" s="2">
        <v>1</v>
      </c>
      <c r="O3" s="3">
        <v>91760000000</v>
      </c>
      <c r="P3" s="3">
        <v>5404000000</v>
      </c>
      <c r="Q3" s="4">
        <f t="shared" ref="Q3:Q32" si="3">P3/$AV$4/$AU$4/1000</f>
        <v>430.42612504978098</v>
      </c>
      <c r="R3" s="1">
        <f>100*P3/O3</f>
        <v>5.8892763731473412</v>
      </c>
      <c r="S3" s="13"/>
      <c r="T3" s="14">
        <v>1</v>
      </c>
      <c r="U3" s="3">
        <v>2576000</v>
      </c>
      <c r="V3" s="3">
        <v>403800</v>
      </c>
      <c r="W3" s="17">
        <f t="shared" ref="W3:W32" si="4">V3/7/$AV$5/1000</f>
        <v>5.0030975096022789</v>
      </c>
      <c r="X3" s="13">
        <f>100*V3/U3</f>
        <v>15.675465838509316</v>
      </c>
      <c r="Y3" s="19"/>
      <c r="Z3" s="22">
        <v>1</v>
      </c>
      <c r="AA3" s="23">
        <v>3634</v>
      </c>
      <c r="AB3" s="23">
        <v>995</v>
      </c>
      <c r="AC3" s="17">
        <f t="shared" ref="AC3:AC32" si="5">AB3/$AV$8/$AU$8/1000</f>
        <v>15.498442367601244</v>
      </c>
      <c r="AD3" s="27">
        <f>100*AB3/AA3</f>
        <v>27.380297193175565</v>
      </c>
      <c r="AE3" s="19"/>
      <c r="AF3" s="22">
        <v>1</v>
      </c>
      <c r="AG3" s="23">
        <v>346800</v>
      </c>
      <c r="AH3" s="23">
        <v>61690</v>
      </c>
      <c r="AI3" s="6">
        <f t="shared" ref="AI3:AI32" si="6">AH3/$AV$9/$AU$9/1000</f>
        <v>2142.0138888888891</v>
      </c>
      <c r="AJ3" s="27">
        <f t="shared" ref="AJ3:AJ32" si="7">100*AH3/AG3</f>
        <v>17.788350634371394</v>
      </c>
      <c r="AK3" s="19"/>
      <c r="AL3" s="22">
        <v>1</v>
      </c>
      <c r="AM3" s="23">
        <v>2750</v>
      </c>
      <c r="AN3" s="23">
        <v>971</v>
      </c>
      <c r="AO3" s="6">
        <f>AN3/$AV$11/$AU$11/1000</f>
        <v>2339.7590361445782</v>
      </c>
      <c r="AP3" s="27">
        <f t="shared" ref="AP3:AP32" si="8">100*AN3/AM3</f>
        <v>35.309090909090912</v>
      </c>
      <c r="AQ3" s="27"/>
      <c r="AR3" s="27"/>
      <c r="AT3" s="5" t="s">
        <v>5</v>
      </c>
      <c r="AU3" s="2">
        <v>74</v>
      </c>
      <c r="AV3" s="2">
        <v>208</v>
      </c>
      <c r="AW3" s="2">
        <v>233</v>
      </c>
      <c r="AX3" s="6">
        <f>AVERAGE(C3:C62)/$AV3/$AU3/1000</f>
        <v>186.96292446292449</v>
      </c>
      <c r="AY3" s="6">
        <f>AVERAGE(B3:B62)/$AV3/$AU3/1000</f>
        <v>2318.6070686070684</v>
      </c>
      <c r="AZ3" s="7">
        <f t="shared" si="0"/>
        <v>-0.19758401518058158</v>
      </c>
      <c r="BA3" s="7">
        <v>0.47899999999999998</v>
      </c>
      <c r="BB3" s="2">
        <f t="shared" ref="BB3:BB11" si="9">ABS(AZ3/BA3)</f>
        <v>0.41249272480288429</v>
      </c>
      <c r="BD3" s="6">
        <f>AVERAGE(E3:E62)</f>
        <v>8.0903954164202698</v>
      </c>
      <c r="BF3" s="107" t="s">
        <v>119</v>
      </c>
      <c r="BG3" s="113">
        <v>704</v>
      </c>
      <c r="BH3" s="9">
        <v>560</v>
      </c>
      <c r="BI3" s="9">
        <f>AVERAGE($K$3:$K$32)</f>
        <v>664.48074208509786</v>
      </c>
      <c r="BN3" s="20">
        <v>1</v>
      </c>
      <c r="BO3" s="3">
        <v>5411000</v>
      </c>
      <c r="BP3" s="3">
        <v>691300</v>
      </c>
      <c r="BQ3" s="17">
        <f t="shared" ref="BQ3:BQ32" si="10">BP3/$AU$7/$AV$7/1000</f>
        <v>3.5268608744451817</v>
      </c>
      <c r="BR3" s="19">
        <f t="shared" ref="BR3:BR32" si="11">100*BP3/BO3</f>
        <v>12.775827019035299</v>
      </c>
    </row>
    <row r="4" spans="1:70" x14ac:dyDescent="0.25">
      <c r="A4" s="2">
        <v>2</v>
      </c>
      <c r="B4" s="3">
        <v>37750000000</v>
      </c>
      <c r="C4" s="3">
        <v>2752000000</v>
      </c>
      <c r="D4" s="4">
        <f t="shared" si="1"/>
        <v>178.7941787941788</v>
      </c>
      <c r="E4" s="1">
        <f t="shared" ref="E4:E62" si="12">100*C4/B4</f>
        <v>7.290066225165563</v>
      </c>
      <c r="F4" s="27"/>
      <c r="G4" s="2">
        <v>2</v>
      </c>
      <c r="H4" s="3">
        <v>140300000</v>
      </c>
      <c r="I4" s="99">
        <f t="shared" ref="I4:I32" si="13">H4*5.8</f>
        <v>813740000</v>
      </c>
      <c r="J4" s="3">
        <v>111600000</v>
      </c>
      <c r="K4" s="4">
        <f t="shared" si="2"/>
        <v>675.13611615245009</v>
      </c>
      <c r="L4" s="98">
        <f t="shared" ref="L4:L32" si="14">100*J4/I4</f>
        <v>13.714454248285692</v>
      </c>
      <c r="N4" s="2">
        <v>2</v>
      </c>
      <c r="O4" s="3">
        <v>84690000000</v>
      </c>
      <c r="P4" s="3">
        <v>5603000000</v>
      </c>
      <c r="Q4" s="4">
        <f t="shared" si="3"/>
        <v>446.27638391079245</v>
      </c>
      <c r="R4" s="1">
        <f t="shared" ref="R4:R32" si="15">100*P4/O4</f>
        <v>6.6158932577636085</v>
      </c>
      <c r="S4" s="13"/>
      <c r="T4" s="14">
        <v>2</v>
      </c>
      <c r="U4" s="3">
        <v>2563000</v>
      </c>
      <c r="V4" s="3">
        <v>413500</v>
      </c>
      <c r="W4" s="17">
        <f t="shared" si="4"/>
        <v>5.123280882170735</v>
      </c>
      <c r="X4" s="18">
        <f t="shared" ref="X4:X32" si="16">100*V4/U4</f>
        <v>16.133437378072571</v>
      </c>
      <c r="Y4" s="19"/>
      <c r="Z4" s="22">
        <v>2</v>
      </c>
      <c r="AA4" s="23">
        <v>3713</v>
      </c>
      <c r="AB4" s="23">
        <v>790.4</v>
      </c>
      <c r="AC4" s="17">
        <f t="shared" si="5"/>
        <v>12.311526479750777</v>
      </c>
      <c r="AD4" s="27">
        <f t="shared" ref="AD4:AD32" si="17">100*AB4/AA4</f>
        <v>21.287368704551575</v>
      </c>
      <c r="AE4" s="19"/>
      <c r="AF4" s="22">
        <v>2</v>
      </c>
      <c r="AG4" s="23">
        <v>348900</v>
      </c>
      <c r="AH4" s="23">
        <v>55430</v>
      </c>
      <c r="AI4" s="6">
        <f t="shared" si="6"/>
        <v>1924.6527777777781</v>
      </c>
      <c r="AJ4" s="27">
        <f t="shared" si="7"/>
        <v>15.88707366007452</v>
      </c>
      <c r="AK4" s="19"/>
      <c r="AL4" s="22">
        <v>2</v>
      </c>
      <c r="AM4" s="23">
        <v>3153</v>
      </c>
      <c r="AN4" s="23">
        <v>836.5</v>
      </c>
      <c r="AO4" s="6">
        <f t="shared" ref="AO4:AO32" si="18">AN4/$AV$11/$AU$11/1000</f>
        <v>2015.6626506024097</v>
      </c>
      <c r="AP4" s="27">
        <f t="shared" si="8"/>
        <v>26.530288614018396</v>
      </c>
      <c r="AQ4" s="27"/>
      <c r="AR4" s="27"/>
      <c r="AT4" s="5" t="s">
        <v>7</v>
      </c>
      <c r="AU4" s="2">
        <v>81</v>
      </c>
      <c r="AV4" s="2">
        <v>155</v>
      </c>
      <c r="AW4" s="2">
        <v>164</v>
      </c>
      <c r="AX4" s="6">
        <f>AVERAGE(P3:P62)/$AV4/$AU4/1000</f>
        <v>418.18930041152265</v>
      </c>
      <c r="AY4" s="6">
        <f>AVERAGE(O3:O62)/$AV4/$AU4/1000</f>
        <v>7141.3248373821843</v>
      </c>
      <c r="AZ4" s="7">
        <f t="shared" si="0"/>
        <v>1.5499347586068455</v>
      </c>
      <c r="BA4" s="8">
        <v>1.8160000000000001</v>
      </c>
      <c r="BB4" s="2">
        <f t="shared" si="9"/>
        <v>0.85348830319760216</v>
      </c>
      <c r="BD4" s="6">
        <f>AVERAGE(R3:R32)</f>
        <v>5.869267686373222</v>
      </c>
      <c r="BF4" s="108"/>
      <c r="BG4" s="112"/>
      <c r="BH4" s="10">
        <f>ABS(BH3-BG3)/BG3</f>
        <v>0.20454545454545456</v>
      </c>
      <c r="BI4" s="10">
        <f>ABS(BI3-BG3)/BG3</f>
        <v>5.6135309538213267E-2</v>
      </c>
      <c r="BN4" s="20">
        <v>2</v>
      </c>
      <c r="BO4" s="3">
        <v>5781000</v>
      </c>
      <c r="BP4" s="3">
        <v>683300</v>
      </c>
      <c r="BQ4" s="17">
        <f t="shared" si="10"/>
        <v>3.4860466302739659</v>
      </c>
      <c r="BR4" s="19">
        <f t="shared" si="11"/>
        <v>11.819754367756444</v>
      </c>
    </row>
    <row r="5" spans="1:70" x14ac:dyDescent="0.25">
      <c r="A5" s="2">
        <v>3</v>
      </c>
      <c r="B5" s="3">
        <v>35160000000</v>
      </c>
      <c r="C5" s="3">
        <v>3151000000</v>
      </c>
      <c r="D5" s="4">
        <f t="shared" si="1"/>
        <v>204.716735966736</v>
      </c>
      <c r="E5" s="1">
        <f t="shared" si="12"/>
        <v>8.9618885096700804</v>
      </c>
      <c r="F5" s="27"/>
      <c r="G5" s="2">
        <v>3</v>
      </c>
      <c r="H5" s="3">
        <v>138100000</v>
      </c>
      <c r="I5" s="99">
        <f t="shared" si="13"/>
        <v>800980000</v>
      </c>
      <c r="J5" s="3">
        <v>111600000</v>
      </c>
      <c r="K5" s="4">
        <f t="shared" si="2"/>
        <v>675.13611615245009</v>
      </c>
      <c r="L5" s="98">
        <f t="shared" si="14"/>
        <v>13.93293215810632</v>
      </c>
      <c r="N5" s="2">
        <v>3</v>
      </c>
      <c r="O5" s="3">
        <v>95900000000</v>
      </c>
      <c r="P5" s="3">
        <v>4927000000</v>
      </c>
      <c r="Q5" s="4">
        <f t="shared" si="3"/>
        <v>392.43329350856231</v>
      </c>
      <c r="R5" s="1">
        <f t="shared" si="15"/>
        <v>5.1376433785192912</v>
      </c>
      <c r="S5" s="13"/>
      <c r="T5" s="14">
        <v>3</v>
      </c>
      <c r="U5" s="3">
        <v>2881000</v>
      </c>
      <c r="V5" s="3">
        <v>356600</v>
      </c>
      <c r="W5" s="17">
        <f t="shared" si="4"/>
        <v>4.4182876966918601</v>
      </c>
      <c r="X5" s="18">
        <f t="shared" si="16"/>
        <v>12.377646650468588</v>
      </c>
      <c r="Y5" s="19"/>
      <c r="Z5" s="22">
        <v>3</v>
      </c>
      <c r="AA5" s="23">
        <v>3445</v>
      </c>
      <c r="AB5" s="23">
        <v>974.1</v>
      </c>
      <c r="AC5" s="17">
        <f t="shared" si="5"/>
        <v>15.17289719626168</v>
      </c>
      <c r="AD5" s="27">
        <f t="shared" si="17"/>
        <v>28.275761973875181</v>
      </c>
      <c r="AE5" s="19"/>
      <c r="AF5" s="22">
        <v>3</v>
      </c>
      <c r="AG5" s="23">
        <v>333700</v>
      </c>
      <c r="AH5" s="23">
        <v>70470</v>
      </c>
      <c r="AI5" s="6">
        <f t="shared" si="6"/>
        <v>2446.8750000000005</v>
      </c>
      <c r="AJ5" s="27">
        <f t="shared" si="7"/>
        <v>21.117770452502249</v>
      </c>
      <c r="AK5" s="19"/>
      <c r="AL5" s="22">
        <v>3</v>
      </c>
      <c r="AM5" s="23">
        <v>3052</v>
      </c>
      <c r="AN5" s="23">
        <v>989.9</v>
      </c>
      <c r="AO5" s="6">
        <f t="shared" si="18"/>
        <v>2385.3012048192768</v>
      </c>
      <c r="AP5" s="27">
        <f t="shared" si="8"/>
        <v>32.434469200524248</v>
      </c>
      <c r="AQ5" s="27"/>
      <c r="AR5" s="27"/>
      <c r="AT5" s="5" t="s">
        <v>38</v>
      </c>
      <c r="AU5" s="2">
        <v>7</v>
      </c>
      <c r="AV5" s="2">
        <v>11.53</v>
      </c>
      <c r="AW5" s="6">
        <v>3.9780000000000002</v>
      </c>
      <c r="AX5" s="17">
        <f>AVERAGE($W3:$W32)</f>
        <v>5.0125552389212409</v>
      </c>
      <c r="AY5" s="75">
        <f>AVERAGE($U3:$U32)/Table1[[#This Row],[Área (km-2)]]/Table1[[#This Row],[Periodo (anos)]]</f>
        <v>34197.745013009539</v>
      </c>
      <c r="AZ5" s="7">
        <f t="shared" si="0"/>
        <v>0.26006919027683273</v>
      </c>
      <c r="BA5" s="7">
        <f>(AW5-(AVERAGE(U3:U32)*0.036)/AU5/AV5/1000)/AW5</f>
        <v>0.69051814467864669</v>
      </c>
      <c r="BB5" s="28">
        <f t="shared" si="9"/>
        <v>0.37662904629083094</v>
      </c>
      <c r="BD5" s="6">
        <f>AVERAGE(X3:X32)</f>
        <v>14.813062389669538</v>
      </c>
      <c r="BF5" s="107" t="s">
        <v>113</v>
      </c>
      <c r="BG5" s="111">
        <v>233</v>
      </c>
      <c r="BH5" s="11">
        <v>345</v>
      </c>
      <c r="BI5" s="9">
        <f>AVERAGE(D3:D62)</f>
        <v>186.96292446292449</v>
      </c>
      <c r="BN5" s="20">
        <v>3</v>
      </c>
      <c r="BO5" s="3">
        <v>5416000</v>
      </c>
      <c r="BP5" s="3">
        <v>735200</v>
      </c>
      <c r="BQ5" s="17">
        <f t="shared" si="10"/>
        <v>3.7508290393347279</v>
      </c>
      <c r="BR5" s="19">
        <f t="shared" si="11"/>
        <v>13.574593796159528</v>
      </c>
    </row>
    <row r="6" spans="1:70" x14ac:dyDescent="0.25">
      <c r="A6" s="2">
        <v>4</v>
      </c>
      <c r="B6" s="3">
        <v>33290000000</v>
      </c>
      <c r="C6" s="3">
        <v>2961000000</v>
      </c>
      <c r="D6" s="4">
        <f t="shared" si="1"/>
        <v>192.37266112266113</v>
      </c>
      <c r="E6" s="1">
        <f t="shared" si="12"/>
        <v>8.8945629318113539</v>
      </c>
      <c r="F6" s="27"/>
      <c r="G6" s="2">
        <v>4</v>
      </c>
      <c r="H6" s="3">
        <v>126700000</v>
      </c>
      <c r="I6" s="99">
        <f t="shared" si="13"/>
        <v>734860000</v>
      </c>
      <c r="J6" s="3">
        <v>104000000</v>
      </c>
      <c r="K6" s="4">
        <f t="shared" si="2"/>
        <v>629.15910465819729</v>
      </c>
      <c r="L6" s="98">
        <f t="shared" si="14"/>
        <v>14.152355550717143</v>
      </c>
      <c r="N6" s="2">
        <v>4</v>
      </c>
      <c r="O6" s="3">
        <v>85520000000</v>
      </c>
      <c r="P6" s="3">
        <v>5084000000</v>
      </c>
      <c r="Q6" s="4">
        <f t="shared" si="3"/>
        <v>404.93827160493828</v>
      </c>
      <c r="R6" s="1">
        <f t="shared" si="15"/>
        <v>5.944808231992516</v>
      </c>
      <c r="S6" s="13"/>
      <c r="T6" s="14">
        <v>4</v>
      </c>
      <c r="U6" s="3">
        <v>2503000</v>
      </c>
      <c r="V6" s="3">
        <v>39500</v>
      </c>
      <c r="W6" s="17">
        <f t="shared" si="4"/>
        <v>0.48940651716020322</v>
      </c>
      <c r="X6" s="18">
        <f t="shared" si="16"/>
        <v>1.5781062724730324</v>
      </c>
      <c r="Y6" s="19"/>
      <c r="Z6" s="22">
        <v>4</v>
      </c>
      <c r="AA6" s="23">
        <v>3431</v>
      </c>
      <c r="AB6" s="23">
        <v>858</v>
      </c>
      <c r="AC6" s="17">
        <f t="shared" si="5"/>
        <v>13.364485981308409</v>
      </c>
      <c r="AD6" s="27">
        <f t="shared" si="17"/>
        <v>25.007286505392013</v>
      </c>
      <c r="AE6" s="19"/>
      <c r="AF6" s="22">
        <v>4</v>
      </c>
      <c r="AG6" s="23">
        <v>287900</v>
      </c>
      <c r="AH6" s="23">
        <v>75480</v>
      </c>
      <c r="AI6" s="6">
        <f t="shared" si="6"/>
        <v>2620.8333333333335</v>
      </c>
      <c r="AJ6" s="27">
        <f t="shared" si="7"/>
        <v>26.217436609934005</v>
      </c>
      <c r="AK6" s="19"/>
      <c r="AL6" s="22">
        <v>4</v>
      </c>
      <c r="AM6" s="23">
        <v>2872</v>
      </c>
      <c r="AN6" s="23">
        <v>840.7</v>
      </c>
      <c r="AO6" s="6">
        <f t="shared" si="18"/>
        <v>2025.7831325301206</v>
      </c>
      <c r="AP6" s="27">
        <f t="shared" si="8"/>
        <v>29.272284122562674</v>
      </c>
      <c r="AQ6" s="27"/>
      <c r="AR6" s="27"/>
      <c r="AT6" s="5" t="s">
        <v>42</v>
      </c>
      <c r="AU6" s="21">
        <v>10</v>
      </c>
      <c r="AV6" s="21">
        <v>11.53</v>
      </c>
      <c r="AW6" s="29">
        <v>3.9780000000000002</v>
      </c>
      <c r="AX6" s="17">
        <f>330926.666666667/Table1[[#This Row],[Área (km-2)]]/Table1[[#This Row],[Periodo (anos)]]/1000</f>
        <v>2.8701358774212231</v>
      </c>
      <c r="AY6" s="17"/>
      <c r="AZ6" s="7">
        <f t="shared" si="0"/>
        <v>-0.27849776837073331</v>
      </c>
      <c r="BA6" s="7">
        <f>(AW6-(AVERAGE(U3:U32)*0.036)/AU6/AV6/1000)/AW6</f>
        <v>0.7833627012750527</v>
      </c>
      <c r="BB6" s="28">
        <f t="shared" si="9"/>
        <v>0.35551573736843994</v>
      </c>
      <c r="BD6" s="6">
        <f>(17*BD7-7*BD5)/10</f>
        <v>12.852406620166169</v>
      </c>
      <c r="BF6" s="108"/>
      <c r="BG6" s="112"/>
      <c r="BH6" s="10">
        <f>ABS(BH5-BG5)/BG5</f>
        <v>0.48068669527896996</v>
      </c>
      <c r="BI6" s="10">
        <f>ABS(BI5-BG5)/BG5</f>
        <v>0.19758401518058158</v>
      </c>
      <c r="BN6" s="20">
        <v>4</v>
      </c>
      <c r="BO6" s="3">
        <v>5412000</v>
      </c>
      <c r="BP6" s="3">
        <v>686500</v>
      </c>
      <c r="BQ6" s="17">
        <f t="shared" si="10"/>
        <v>3.5023723279424521</v>
      </c>
      <c r="BR6" s="19">
        <f t="shared" si="11"/>
        <v>12.684774575018478</v>
      </c>
    </row>
    <row r="7" spans="1:70" x14ac:dyDescent="0.25">
      <c r="A7" s="2">
        <v>5</v>
      </c>
      <c r="B7" s="3">
        <v>37300000000</v>
      </c>
      <c r="C7" s="3">
        <v>2951000000</v>
      </c>
      <c r="D7" s="4">
        <f t="shared" si="1"/>
        <v>191.72297297297297</v>
      </c>
      <c r="E7" s="1">
        <f t="shared" si="12"/>
        <v>7.911528150134048</v>
      </c>
      <c r="F7" s="27"/>
      <c r="G7" s="2">
        <v>5</v>
      </c>
      <c r="H7" s="3">
        <v>132600000</v>
      </c>
      <c r="I7" s="99">
        <f t="shared" si="13"/>
        <v>769080000</v>
      </c>
      <c r="J7" s="3">
        <v>108100000</v>
      </c>
      <c r="K7" s="4">
        <f t="shared" si="2"/>
        <v>653.9624924379915</v>
      </c>
      <c r="L7" s="98">
        <f t="shared" si="14"/>
        <v>14.05575492796588</v>
      </c>
      <c r="N7" s="2">
        <v>5</v>
      </c>
      <c r="O7" s="3">
        <v>89870000000</v>
      </c>
      <c r="P7" s="3">
        <v>4865000000</v>
      </c>
      <c r="Q7" s="4">
        <f t="shared" si="3"/>
        <v>387.49502190362404</v>
      </c>
      <c r="R7" s="1">
        <f t="shared" si="15"/>
        <v>5.4133748748191834</v>
      </c>
      <c r="S7" s="13"/>
      <c r="T7" s="14">
        <v>5</v>
      </c>
      <c r="U7" s="3">
        <v>2933000</v>
      </c>
      <c r="V7" s="3">
        <v>412900</v>
      </c>
      <c r="W7" s="17">
        <f t="shared" si="4"/>
        <v>5.1158468591252628</v>
      </c>
      <c r="X7" s="18">
        <f t="shared" si="16"/>
        <v>14.077736106375724</v>
      </c>
      <c r="Y7" s="19"/>
      <c r="Z7" s="22">
        <v>5</v>
      </c>
      <c r="AA7" s="23">
        <v>3404</v>
      </c>
      <c r="AB7" s="23">
        <v>861.3</v>
      </c>
      <c r="AC7" s="17">
        <f t="shared" si="5"/>
        <v>13.415887850467289</v>
      </c>
      <c r="AD7" s="27">
        <f t="shared" si="17"/>
        <v>25.302585193889541</v>
      </c>
      <c r="AE7" s="19"/>
      <c r="AF7" s="22">
        <v>5</v>
      </c>
      <c r="AG7" s="23">
        <v>333600</v>
      </c>
      <c r="AH7" s="23">
        <v>64800</v>
      </c>
      <c r="AI7" s="6">
        <f t="shared" si="6"/>
        <v>2250.0000000000005</v>
      </c>
      <c r="AJ7" s="27">
        <f t="shared" si="7"/>
        <v>19.424460431654676</v>
      </c>
      <c r="AK7" s="19"/>
      <c r="AL7" s="22">
        <v>5</v>
      </c>
      <c r="AM7" s="23">
        <v>3244</v>
      </c>
      <c r="AN7" s="23">
        <v>873</v>
      </c>
      <c r="AO7" s="6">
        <f t="shared" si="18"/>
        <v>2103.6144578313256</v>
      </c>
      <c r="AP7" s="27">
        <f t="shared" si="8"/>
        <v>26.911220715166461</v>
      </c>
      <c r="AQ7" s="27"/>
      <c r="AR7" s="27"/>
      <c r="AT7" s="5" t="s">
        <v>40</v>
      </c>
      <c r="AU7" s="20">
        <v>17</v>
      </c>
      <c r="AV7" s="20">
        <v>11.53</v>
      </c>
      <c r="AW7" s="29">
        <v>3.9780000000000002</v>
      </c>
      <c r="AX7" s="17">
        <f>AVERAGE(BQ3:BQ32)</f>
        <v>3.7523085556859352</v>
      </c>
      <c r="AY7" s="17"/>
      <c r="AZ7" s="7">
        <f t="shared" si="0"/>
        <v>-5.6734903045265198E-2</v>
      </c>
      <c r="BA7" s="7">
        <f>(AW7-(AVERAGE(U4:U33)*0.036)/AU7/AV7/1000)/AW7</f>
        <v>0.87227319522842395</v>
      </c>
      <c r="BB7" s="28">
        <f t="shared" si="9"/>
        <v>6.5042584543031745E-2</v>
      </c>
      <c r="BD7" s="6">
        <f>AVERAGE(BR3:BR32)</f>
        <v>13.659735466432261</v>
      </c>
      <c r="BF7" s="107" t="s">
        <v>118</v>
      </c>
      <c r="BG7" s="111">
        <v>164</v>
      </c>
      <c r="BH7" s="11">
        <v>462</v>
      </c>
      <c r="BI7" s="11">
        <f>AVERAGE(Q3:Q32)</f>
        <v>418.18930041152265</v>
      </c>
      <c r="BN7" s="20">
        <v>5</v>
      </c>
      <c r="BO7" s="3">
        <v>5280000</v>
      </c>
      <c r="BP7" s="3">
        <v>706500</v>
      </c>
      <c r="BQ7" s="17">
        <f t="shared" si="10"/>
        <v>3.6044079383704912</v>
      </c>
      <c r="BR7" s="19">
        <f t="shared" si="11"/>
        <v>13.380681818181818</v>
      </c>
    </row>
    <row r="8" spans="1:70" x14ac:dyDescent="0.25">
      <c r="A8" s="2">
        <v>6</v>
      </c>
      <c r="B8" s="3">
        <v>36190000000</v>
      </c>
      <c r="C8" s="3">
        <v>2873000000</v>
      </c>
      <c r="D8" s="4">
        <f t="shared" si="1"/>
        <v>186.65540540540542</v>
      </c>
      <c r="E8" s="1">
        <f t="shared" si="12"/>
        <v>7.9386570875932581</v>
      </c>
      <c r="F8" s="27"/>
      <c r="G8" s="2">
        <v>6</v>
      </c>
      <c r="H8" s="3">
        <v>150000000</v>
      </c>
      <c r="I8" s="99">
        <f t="shared" si="13"/>
        <v>870000000</v>
      </c>
      <c r="J8" s="3">
        <v>118900000</v>
      </c>
      <c r="K8" s="4">
        <f t="shared" si="2"/>
        <v>719.29824561403507</v>
      </c>
      <c r="L8" s="98">
        <f t="shared" si="14"/>
        <v>13.666666666666666</v>
      </c>
      <c r="N8" s="2">
        <v>6</v>
      </c>
      <c r="O8" s="3">
        <v>94730000000</v>
      </c>
      <c r="P8" s="3">
        <v>5122000000</v>
      </c>
      <c r="Q8" s="4">
        <f t="shared" si="3"/>
        <v>407.96495420151331</v>
      </c>
      <c r="R8" s="1">
        <f t="shared" si="15"/>
        <v>5.4069460572152437</v>
      </c>
      <c r="S8" s="13"/>
      <c r="T8" s="14">
        <v>6</v>
      </c>
      <c r="U8" s="3">
        <v>3252000</v>
      </c>
      <c r="V8" s="3">
        <v>447900</v>
      </c>
      <c r="W8" s="17">
        <f t="shared" si="4"/>
        <v>5.5494982034444309</v>
      </c>
      <c r="X8" s="18">
        <f t="shared" si="16"/>
        <v>13.773062730627306</v>
      </c>
      <c r="Y8" s="19"/>
      <c r="Z8" s="22">
        <v>6</v>
      </c>
      <c r="AA8" s="23">
        <v>3711</v>
      </c>
      <c r="AB8" s="23">
        <v>966.3</v>
      </c>
      <c r="AC8" s="17">
        <f t="shared" si="5"/>
        <v>15.051401869158877</v>
      </c>
      <c r="AD8" s="27">
        <f t="shared" si="17"/>
        <v>26.038803556992725</v>
      </c>
      <c r="AE8" s="19"/>
      <c r="AF8" s="22">
        <v>6</v>
      </c>
      <c r="AG8" s="23">
        <v>334300</v>
      </c>
      <c r="AH8" s="23">
        <v>64610</v>
      </c>
      <c r="AI8" s="6">
        <f t="shared" si="6"/>
        <v>2243.4027777777778</v>
      </c>
      <c r="AJ8" s="27">
        <f t="shared" si="7"/>
        <v>19.326951839664972</v>
      </c>
      <c r="AK8" s="19"/>
      <c r="AL8" s="22">
        <v>6</v>
      </c>
      <c r="AM8" s="23">
        <v>3554</v>
      </c>
      <c r="AN8" s="23">
        <v>705.5</v>
      </c>
      <c r="AO8" s="6">
        <f t="shared" si="18"/>
        <v>1700</v>
      </c>
      <c r="AP8" s="27">
        <f t="shared" si="8"/>
        <v>19.850872256612266</v>
      </c>
      <c r="AQ8" s="27"/>
      <c r="AR8" s="27"/>
      <c r="AT8" s="5" t="s">
        <v>31</v>
      </c>
      <c r="AU8" s="21">
        <v>6</v>
      </c>
      <c r="AV8" s="21">
        <f>1.07/100</f>
        <v>1.0700000000000001E-2</v>
      </c>
      <c r="AW8" s="6">
        <f>1088.9/AV8/AU8/1000</f>
        <v>16.96105919003115</v>
      </c>
      <c r="AX8" s="17">
        <f>AVERAGE(AC3:AC32)</f>
        <v>13.094340602284527</v>
      </c>
      <c r="AY8" s="17">
        <f>AVERAGE(AA3:AA32)</f>
        <v>3570.1666666666665</v>
      </c>
      <c r="AZ8" s="7">
        <f t="shared" si="0"/>
        <v>-0.22797624514035564</v>
      </c>
      <c r="BA8" s="7">
        <f>(AW8-(AVERAGE(AA3:AA32)*0.274)/AU8/AV8/1000)/AW8</f>
        <v>0.10163865674840042</v>
      </c>
      <c r="BB8" s="28">
        <f>ABS(AZ8/BA8)</f>
        <v>2.2430072615451357</v>
      </c>
      <c r="BD8" s="6">
        <f>AVERAGE(AD3:AD32)</f>
        <v>23.512825888070569</v>
      </c>
      <c r="BF8" s="108"/>
      <c r="BG8" s="112"/>
      <c r="BH8" s="10">
        <f>ABS(BH7-BG7)/BG7</f>
        <v>1.8170731707317074</v>
      </c>
      <c r="BI8" s="10">
        <f>ABS(BI7-BG7)/BG7</f>
        <v>1.5499347586068455</v>
      </c>
      <c r="BN8" s="20">
        <v>6</v>
      </c>
      <c r="BO8" s="3">
        <v>5141000</v>
      </c>
      <c r="BP8" s="3">
        <v>810800</v>
      </c>
      <c r="BQ8" s="17">
        <f t="shared" si="10"/>
        <v>4.1365236467527176</v>
      </c>
      <c r="BR8" s="19">
        <f t="shared" si="11"/>
        <v>15.771250729430072</v>
      </c>
    </row>
    <row r="9" spans="1:70" x14ac:dyDescent="0.25">
      <c r="A9" s="2">
        <v>7</v>
      </c>
      <c r="B9" s="3">
        <v>37400000000</v>
      </c>
      <c r="C9" s="3">
        <v>2916000000</v>
      </c>
      <c r="D9" s="4">
        <f t="shared" si="1"/>
        <v>189.44906444906445</v>
      </c>
      <c r="E9" s="1">
        <f t="shared" si="12"/>
        <v>7.7967914438502675</v>
      </c>
      <c r="F9" s="27"/>
      <c r="G9" s="2">
        <v>7</v>
      </c>
      <c r="H9" s="3">
        <v>140200000</v>
      </c>
      <c r="I9" s="99">
        <f t="shared" si="13"/>
        <v>813160000</v>
      </c>
      <c r="J9" s="3">
        <v>111900000</v>
      </c>
      <c r="K9" s="4">
        <f t="shared" si="2"/>
        <v>676.95099818511812</v>
      </c>
      <c r="L9" s="98">
        <f t="shared" si="14"/>
        <v>13.761129421024153</v>
      </c>
      <c r="N9" s="2">
        <v>7</v>
      </c>
      <c r="O9" s="3">
        <v>92000000000</v>
      </c>
      <c r="P9" s="3">
        <v>5124000000</v>
      </c>
      <c r="Q9" s="4">
        <f t="shared" si="3"/>
        <v>408.1242532855436</v>
      </c>
      <c r="R9" s="1">
        <f t="shared" si="15"/>
        <v>5.5695652173913039</v>
      </c>
      <c r="S9" s="13"/>
      <c r="T9" s="14">
        <v>7</v>
      </c>
      <c r="U9" s="3">
        <v>2570000</v>
      </c>
      <c r="V9" s="3">
        <v>333500</v>
      </c>
      <c r="W9" s="17">
        <f t="shared" si="4"/>
        <v>4.1320778094412098</v>
      </c>
      <c r="X9" s="18">
        <f t="shared" si="16"/>
        <v>12.976653696498055</v>
      </c>
      <c r="Y9" s="19"/>
      <c r="Z9" s="22">
        <v>7</v>
      </c>
      <c r="AA9" s="23">
        <v>3714</v>
      </c>
      <c r="AB9" s="23">
        <v>890.6</v>
      </c>
      <c r="AC9" s="17">
        <f t="shared" si="5"/>
        <v>13.87227414330218</v>
      </c>
      <c r="AD9" s="27">
        <f t="shared" si="17"/>
        <v>23.97953688745288</v>
      </c>
      <c r="AE9" s="19"/>
      <c r="AF9" s="22">
        <v>7</v>
      </c>
      <c r="AG9" s="23">
        <v>330900</v>
      </c>
      <c r="AH9" s="23">
        <v>71920</v>
      </c>
      <c r="AI9" s="6">
        <f t="shared" si="6"/>
        <v>2497.2222222222226</v>
      </c>
      <c r="AJ9" s="27">
        <f t="shared" si="7"/>
        <v>21.734663040193411</v>
      </c>
      <c r="AK9" s="19"/>
      <c r="AL9" s="22">
        <v>7</v>
      </c>
      <c r="AM9" s="23">
        <v>3178</v>
      </c>
      <c r="AN9" s="23">
        <v>916.2</v>
      </c>
      <c r="AO9" s="6">
        <f t="shared" si="18"/>
        <v>2207.7108433734943</v>
      </c>
      <c r="AP9" s="27">
        <f t="shared" si="8"/>
        <v>28.82945248584015</v>
      </c>
      <c r="AQ9" s="27"/>
      <c r="AR9" s="27"/>
      <c r="AT9" s="5" t="s">
        <v>32</v>
      </c>
      <c r="AU9" s="21">
        <v>6</v>
      </c>
      <c r="AV9" s="21">
        <f>0.48/100</f>
        <v>4.7999999999999996E-3</v>
      </c>
      <c r="AW9" s="6">
        <f>111087.7/AV9/AU9/1000</f>
        <v>3857.2118055555561</v>
      </c>
      <c r="AX9" s="6">
        <f>AVERAGE(AI3:AI32)</f>
        <v>2345.6250000000005</v>
      </c>
      <c r="AY9" s="6">
        <f>AVERAGE(AG3:AG32)</f>
        <v>332506.66666666669</v>
      </c>
      <c r="AZ9" s="7">
        <f t="shared" si="0"/>
        <v>-0.3918858703528833</v>
      </c>
      <c r="BA9" s="7">
        <f>(AW9-(AVERAGE(AG3:AG32)*0.87)/AU9/AV9/1000)/AW9</f>
        <v>-1.6040758787876606</v>
      </c>
      <c r="BB9" s="28">
        <f t="shared" si="9"/>
        <v>0.24430631713573642</v>
      </c>
      <c r="BD9" s="6">
        <f>AVERAGE(AJ3:AJ32)</f>
        <v>20.417620575153002</v>
      </c>
      <c r="BF9" s="107" t="s">
        <v>114</v>
      </c>
      <c r="BG9" s="111">
        <v>4</v>
      </c>
      <c r="BH9" s="11">
        <v>1.23</v>
      </c>
      <c r="BI9" s="11">
        <f>AVERAGE(W3:W32)</f>
        <v>5.0125552389212409</v>
      </c>
      <c r="BN9" s="20">
        <v>7</v>
      </c>
      <c r="BO9" s="3">
        <v>5347000</v>
      </c>
      <c r="BP9" s="3">
        <v>855300</v>
      </c>
      <c r="BQ9" s="17">
        <f t="shared" si="10"/>
        <v>4.3635528799551038</v>
      </c>
      <c r="BR9" s="19">
        <f t="shared" si="11"/>
        <v>15.995885543295305</v>
      </c>
    </row>
    <row r="10" spans="1:70" x14ac:dyDescent="0.25">
      <c r="A10" s="2">
        <v>8</v>
      </c>
      <c r="B10" s="3">
        <v>37390000000</v>
      </c>
      <c r="C10" s="3">
        <v>2940000000</v>
      </c>
      <c r="D10" s="4">
        <f t="shared" si="1"/>
        <v>191.008316008316</v>
      </c>
      <c r="E10" s="1">
        <f t="shared" si="12"/>
        <v>7.8630649906392085</v>
      </c>
      <c r="F10" s="27"/>
      <c r="G10" s="2">
        <v>8</v>
      </c>
      <c r="H10" s="3">
        <v>138200000</v>
      </c>
      <c r="I10" s="99">
        <f t="shared" si="13"/>
        <v>801560000</v>
      </c>
      <c r="J10" s="3">
        <v>113900000</v>
      </c>
      <c r="K10" s="4">
        <f t="shared" si="2"/>
        <v>689.0502117362372</v>
      </c>
      <c r="L10" s="98">
        <f t="shared" si="14"/>
        <v>14.209790907729927</v>
      </c>
      <c r="N10" s="2">
        <v>8</v>
      </c>
      <c r="O10" s="3">
        <v>88160000000</v>
      </c>
      <c r="P10" s="3">
        <v>5411000000</v>
      </c>
      <c r="Q10" s="4">
        <f t="shared" si="3"/>
        <v>430.9836718438869</v>
      </c>
      <c r="R10" s="1">
        <f t="shared" si="15"/>
        <v>6.1377041742286753</v>
      </c>
      <c r="S10" s="13"/>
      <c r="T10" s="14">
        <v>8</v>
      </c>
      <c r="U10" s="3">
        <v>2560000</v>
      </c>
      <c r="V10" s="3">
        <v>343100</v>
      </c>
      <c r="W10" s="17">
        <f t="shared" si="4"/>
        <v>4.2510221781687534</v>
      </c>
      <c r="X10" s="18">
        <f t="shared" si="16"/>
        <v>13.40234375</v>
      </c>
      <c r="Y10" s="19"/>
      <c r="Z10" s="22">
        <v>8</v>
      </c>
      <c r="AA10" s="23">
        <v>3384</v>
      </c>
      <c r="AB10" s="23">
        <v>710.8</v>
      </c>
      <c r="AC10" s="17">
        <f t="shared" si="5"/>
        <v>11.071651090342677</v>
      </c>
      <c r="AD10" s="27">
        <f t="shared" si="17"/>
        <v>21.004728132387708</v>
      </c>
      <c r="AE10" s="19"/>
      <c r="AF10" s="22">
        <v>8</v>
      </c>
      <c r="AG10" s="23">
        <v>337100</v>
      </c>
      <c r="AH10" s="23">
        <v>66370</v>
      </c>
      <c r="AI10" s="6">
        <f t="shared" si="6"/>
        <v>2304.5138888888891</v>
      </c>
      <c r="AJ10" s="27">
        <f t="shared" si="7"/>
        <v>19.68851972708395</v>
      </c>
      <c r="AK10" s="19"/>
      <c r="AL10" s="22">
        <v>8</v>
      </c>
      <c r="AM10" s="23">
        <v>2806</v>
      </c>
      <c r="AN10" s="23">
        <v>655.1</v>
      </c>
      <c r="AO10" s="6">
        <f t="shared" si="18"/>
        <v>1578.5542168674699</v>
      </c>
      <c r="AP10" s="27">
        <f t="shared" si="8"/>
        <v>23.346400570206701</v>
      </c>
      <c r="AQ10" s="27"/>
      <c r="AR10" s="27"/>
      <c r="AT10" s="24" t="s">
        <v>35</v>
      </c>
      <c r="AU10" s="25">
        <v>6</v>
      </c>
      <c r="AV10" s="25">
        <f>0.48/100</f>
        <v>4.7999999999999996E-3</v>
      </c>
      <c r="AW10" s="26">
        <f>111087.7/AV10/AU10/1000</f>
        <v>3857.2118055555561</v>
      </c>
      <c r="AX10" s="26">
        <f>AVERAGE(AI3:AI32) + 21845/$AV$9/$AU$9/1000</f>
        <v>3104.1319444444448</v>
      </c>
      <c r="AY10" s="26"/>
      <c r="AZ10" s="34">
        <f t="shared" si="0"/>
        <v>-0.19523943694936527</v>
      </c>
      <c r="BA10" s="38" t="s">
        <v>44</v>
      </c>
      <c r="BB10" s="28" t="e">
        <f>ABS(AZ10/BA10)</f>
        <v>#VALUE!</v>
      </c>
      <c r="BD10" s="6">
        <f>BD9</f>
        <v>20.417620575153002</v>
      </c>
      <c r="BF10" s="108"/>
      <c r="BG10" s="112"/>
      <c r="BH10" s="10">
        <f>ABS(BH9-BG9)/BG9</f>
        <v>0.6925</v>
      </c>
      <c r="BI10" s="10">
        <f>ABS(BI9-BG9)/BG9</f>
        <v>0.25313880973031022</v>
      </c>
      <c r="BN10" s="20">
        <v>8</v>
      </c>
      <c r="BO10" s="3">
        <v>5599000</v>
      </c>
      <c r="BP10" s="3">
        <v>593100</v>
      </c>
      <c r="BQ10" s="17">
        <f t="shared" si="10"/>
        <v>3.0258660272435085</v>
      </c>
      <c r="BR10" s="19">
        <f t="shared" si="11"/>
        <v>10.592963029112342</v>
      </c>
    </row>
    <row r="11" spans="1:70" x14ac:dyDescent="0.25">
      <c r="A11" s="2">
        <v>9</v>
      </c>
      <c r="B11" s="3">
        <v>36170000000</v>
      </c>
      <c r="C11" s="3">
        <v>2858000000</v>
      </c>
      <c r="D11" s="4">
        <f t="shared" si="1"/>
        <v>185.68087318087319</v>
      </c>
      <c r="E11" s="1">
        <f t="shared" si="12"/>
        <v>7.9015758916228922</v>
      </c>
      <c r="F11" s="27"/>
      <c r="G11" s="2">
        <v>9</v>
      </c>
      <c r="H11" s="3">
        <v>138100000</v>
      </c>
      <c r="I11" s="99">
        <f t="shared" si="13"/>
        <v>800980000</v>
      </c>
      <c r="J11" s="3">
        <v>108200000</v>
      </c>
      <c r="K11" s="4">
        <f t="shared" si="2"/>
        <v>654.56745311554755</v>
      </c>
      <c r="L11" s="98">
        <f t="shared" si="14"/>
        <v>13.508452146121002</v>
      </c>
      <c r="N11" s="2">
        <v>9</v>
      </c>
      <c r="O11" s="3">
        <v>91570000000</v>
      </c>
      <c r="P11" s="3">
        <v>5165000000</v>
      </c>
      <c r="Q11" s="4">
        <f t="shared" si="3"/>
        <v>411.38988450816407</v>
      </c>
      <c r="R11" s="1">
        <f t="shared" si="15"/>
        <v>5.6404936114447963</v>
      </c>
      <c r="S11" s="13"/>
      <c r="T11" s="14">
        <v>9</v>
      </c>
      <c r="U11" s="3">
        <v>2864000</v>
      </c>
      <c r="V11" s="3">
        <v>514300</v>
      </c>
      <c r="W11" s="17">
        <f t="shared" si="4"/>
        <v>6.3721967538099369</v>
      </c>
      <c r="X11" s="18">
        <f t="shared" si="16"/>
        <v>17.95740223463687</v>
      </c>
      <c r="Y11" s="19"/>
      <c r="Z11" s="22">
        <v>9</v>
      </c>
      <c r="AA11" s="23">
        <v>3428</v>
      </c>
      <c r="AB11" s="23">
        <v>631.1</v>
      </c>
      <c r="AC11" s="17">
        <f t="shared" si="5"/>
        <v>9.8302180685358245</v>
      </c>
      <c r="AD11" s="27">
        <f t="shared" si="17"/>
        <v>18.410151691948659</v>
      </c>
      <c r="AE11" s="19"/>
      <c r="AF11" s="22">
        <v>9</v>
      </c>
      <c r="AG11" s="23">
        <v>331500</v>
      </c>
      <c r="AH11" s="23">
        <v>67280</v>
      </c>
      <c r="AI11" s="6">
        <f t="shared" si="6"/>
        <v>2336.1111111111113</v>
      </c>
      <c r="AJ11" s="27">
        <f t="shared" si="7"/>
        <v>20.295625942684765</v>
      </c>
      <c r="AK11" s="19"/>
      <c r="AL11" s="22">
        <v>9</v>
      </c>
      <c r="AM11" s="23">
        <v>2765</v>
      </c>
      <c r="AN11" s="23">
        <v>955.3</v>
      </c>
      <c r="AO11" s="6">
        <f t="shared" si="18"/>
        <v>2301.9277108433735</v>
      </c>
      <c r="AP11" s="27">
        <f t="shared" si="8"/>
        <v>34.5497287522604</v>
      </c>
      <c r="AQ11" s="27"/>
      <c r="AR11" s="27"/>
      <c r="AT11" s="5" t="s">
        <v>36</v>
      </c>
      <c r="AU11" s="2">
        <v>1</v>
      </c>
      <c r="AV11" s="2">
        <f>415/1000000</f>
        <v>4.15E-4</v>
      </c>
      <c r="AW11" s="6">
        <f>(0.81*1290)/Table1[[#This Row],[Área (km-2)]]/Table1[[#This Row],[Periodo (anos)]]/1000</f>
        <v>2517.8313253012047</v>
      </c>
      <c r="AX11" s="6">
        <f>AVERAGE(AO3:AO32)</f>
        <v>2141.7429718875496</v>
      </c>
      <c r="AY11" s="6">
        <f>AVERAGE(AM3:AM32)</f>
        <v>3057.1666666666665</v>
      </c>
      <c r="AZ11" s="7">
        <f t="shared" si="0"/>
        <v>-0.14936995565763889</v>
      </c>
      <c r="BA11" s="7">
        <f>(AW11-(AVERAGE(AM3:AM32)*1)/Table1[[#This Row],[Periodo (anos)]]/Table1[[#This Row],[Área (km-2)]]/1000)/AW11</f>
        <v>-1.9257983220084856</v>
      </c>
      <c r="BB11" s="28">
        <f t="shared" si="9"/>
        <v>7.7562615955473202E-2</v>
      </c>
      <c r="BD11" s="6">
        <f>AVERAGE(AP3:AP32)</f>
        <v>29.731249690086738</v>
      </c>
      <c r="BF11" s="107" t="s">
        <v>115</v>
      </c>
      <c r="BG11" s="109">
        <v>16.96105919003115</v>
      </c>
      <c r="BH11" s="11">
        <f>AA33</f>
        <v>0</v>
      </c>
      <c r="BI11" s="11">
        <f>AVERAGE(AC3:AC32)</f>
        <v>13.094340602284527</v>
      </c>
      <c r="BN11" s="20">
        <v>9</v>
      </c>
      <c r="BO11" s="3">
        <v>6150000</v>
      </c>
      <c r="BP11" s="3">
        <v>710100</v>
      </c>
      <c r="BQ11" s="17">
        <f t="shared" si="10"/>
        <v>3.622774348247539</v>
      </c>
      <c r="BR11" s="19">
        <f t="shared" si="11"/>
        <v>11.546341463414635</v>
      </c>
    </row>
    <row r="12" spans="1:70" x14ac:dyDescent="0.25">
      <c r="A12" s="2">
        <v>10</v>
      </c>
      <c r="B12" s="3">
        <v>34780000000</v>
      </c>
      <c r="C12" s="3">
        <v>2847000000</v>
      </c>
      <c r="D12" s="4">
        <f t="shared" si="1"/>
        <v>184.96621621621622</v>
      </c>
      <c r="E12" s="1">
        <f t="shared" si="12"/>
        <v>8.185738930419781</v>
      </c>
      <c r="F12" s="27"/>
      <c r="G12" s="2">
        <v>10</v>
      </c>
      <c r="H12" s="3">
        <v>132300000</v>
      </c>
      <c r="I12" s="99">
        <f t="shared" si="13"/>
        <v>767340000</v>
      </c>
      <c r="J12" s="3">
        <v>106200000</v>
      </c>
      <c r="K12" s="4">
        <f t="shared" si="2"/>
        <v>642.46823956442836</v>
      </c>
      <c r="L12" s="98">
        <f t="shared" si="14"/>
        <v>13.840018766127141</v>
      </c>
      <c r="N12" s="2">
        <v>10</v>
      </c>
      <c r="O12" s="3">
        <v>95900000000</v>
      </c>
      <c r="P12" s="3">
        <v>5305000000</v>
      </c>
      <c r="Q12" s="4">
        <f t="shared" si="3"/>
        <v>422.54082039028276</v>
      </c>
      <c r="R12" s="1">
        <f t="shared" si="15"/>
        <v>5.5318039624608968</v>
      </c>
      <c r="S12" s="13"/>
      <c r="T12" s="14">
        <v>10</v>
      </c>
      <c r="U12" s="3">
        <v>2911000</v>
      </c>
      <c r="V12" s="3">
        <v>323400</v>
      </c>
      <c r="W12" s="17">
        <f t="shared" si="4"/>
        <v>4.0069384215091066</v>
      </c>
      <c r="X12" s="18">
        <f t="shared" si="16"/>
        <v>11.109584335279973</v>
      </c>
      <c r="Y12" s="19"/>
      <c r="Z12" s="22">
        <v>10</v>
      </c>
      <c r="AA12" s="23">
        <v>3715</v>
      </c>
      <c r="AB12" s="23">
        <v>941.8</v>
      </c>
      <c r="AC12" s="17">
        <f t="shared" si="5"/>
        <v>14.669781931464174</v>
      </c>
      <c r="AD12" s="27">
        <f t="shared" si="17"/>
        <v>25.351278600269179</v>
      </c>
      <c r="AE12" s="19"/>
      <c r="AF12" s="22">
        <v>10</v>
      </c>
      <c r="AG12" s="23">
        <v>311400</v>
      </c>
      <c r="AH12" s="23">
        <v>85790</v>
      </c>
      <c r="AI12" s="6">
        <f t="shared" si="6"/>
        <v>2978.8194444444443</v>
      </c>
      <c r="AJ12" s="27">
        <f t="shared" si="7"/>
        <v>27.549775208734747</v>
      </c>
      <c r="AK12" s="19"/>
      <c r="AL12" s="22">
        <v>10</v>
      </c>
      <c r="AM12" s="23">
        <v>3208</v>
      </c>
      <c r="AN12" s="23">
        <v>1416</v>
      </c>
      <c r="AO12" s="6">
        <f t="shared" si="18"/>
        <v>3412.0481927710844</v>
      </c>
      <c r="AP12" s="27">
        <f t="shared" si="8"/>
        <v>44.139650872817953</v>
      </c>
      <c r="AQ12" s="27"/>
      <c r="AR12" s="27"/>
      <c r="AT12" s="24" t="s">
        <v>43</v>
      </c>
      <c r="AU12" s="25">
        <v>1</v>
      </c>
      <c r="AV12" s="25">
        <f>415/1000000</f>
        <v>4.15E-4</v>
      </c>
      <c r="AW12" s="26">
        <f>(0.81*1290)/Table1[[#This Row],[Área (km-2)]]/Table1[[#This Row],[Periodo (anos)]]/1000</f>
        <v>2517.8313253012047</v>
      </c>
      <c r="AX12" s="26">
        <f>AVERAGE(AO3:AO32) + 0.071*1.29/Table1[[#This Row],[Periodo (anos)]]/Table1[[#This Row],[Área (km-2)]]</f>
        <v>2362.4417670682724</v>
      </c>
      <c r="AY12" s="26"/>
      <c r="AZ12" s="34">
        <f t="shared" si="0"/>
        <v>-6.1715634669984622E-2</v>
      </c>
      <c r="BA12" s="39" t="s">
        <v>44</v>
      </c>
      <c r="BB12" s="28" t="e">
        <f>ABS(AZ12/BA12)</f>
        <v>#VALUE!</v>
      </c>
      <c r="BD12" s="6">
        <f>BD11</f>
        <v>29.731249690086738</v>
      </c>
      <c r="BF12" s="108"/>
      <c r="BG12" s="110"/>
      <c r="BH12" s="10">
        <f>ABS(BH11-BG11)/BG11</f>
        <v>1</v>
      </c>
      <c r="BI12" s="10">
        <f>ABS(BI11-BG11)/BG11</f>
        <v>0.22797624514035564</v>
      </c>
      <c r="BN12" s="20">
        <v>10</v>
      </c>
      <c r="BO12" s="3">
        <v>5355000</v>
      </c>
      <c r="BP12" s="3">
        <v>740900</v>
      </c>
      <c r="BQ12" s="17">
        <f t="shared" si="10"/>
        <v>3.7799091883067191</v>
      </c>
      <c r="BR12" s="19">
        <f t="shared" si="11"/>
        <v>13.835667600373483</v>
      </c>
    </row>
    <row r="13" spans="1:70" x14ac:dyDescent="0.25">
      <c r="A13" s="2">
        <v>11</v>
      </c>
      <c r="B13" s="3">
        <v>35960000000</v>
      </c>
      <c r="C13" s="3">
        <v>2966000000</v>
      </c>
      <c r="D13" s="4">
        <f t="shared" si="1"/>
        <v>192.69750519750517</v>
      </c>
      <c r="E13" s="1">
        <f t="shared" si="12"/>
        <v>8.2480533926585089</v>
      </c>
      <c r="F13" s="27"/>
      <c r="G13" s="2">
        <v>11</v>
      </c>
      <c r="H13" s="3">
        <v>137700000</v>
      </c>
      <c r="I13" s="99">
        <f t="shared" si="13"/>
        <v>798660000</v>
      </c>
      <c r="J13" s="3">
        <v>111000000</v>
      </c>
      <c r="K13" s="4">
        <f t="shared" si="2"/>
        <v>671.50635208711435</v>
      </c>
      <c r="L13" s="98">
        <f t="shared" si="14"/>
        <v>13.898279618360755</v>
      </c>
      <c r="N13" s="2">
        <v>11</v>
      </c>
      <c r="O13" s="3">
        <v>85370000000</v>
      </c>
      <c r="P13" s="3">
        <v>4956000000</v>
      </c>
      <c r="Q13" s="4">
        <f t="shared" si="3"/>
        <v>394.74313022700113</v>
      </c>
      <c r="R13" s="1">
        <f t="shared" si="15"/>
        <v>5.8053180274100971</v>
      </c>
      <c r="S13" s="13"/>
      <c r="T13" s="14">
        <v>11</v>
      </c>
      <c r="U13" s="3">
        <v>2736000</v>
      </c>
      <c r="V13" s="3">
        <v>481000</v>
      </c>
      <c r="W13" s="17">
        <f t="shared" si="4"/>
        <v>5.9596084747862719</v>
      </c>
      <c r="X13" s="18">
        <f t="shared" si="16"/>
        <v>17.580409356725145</v>
      </c>
      <c r="Y13" s="19"/>
      <c r="Z13" s="22">
        <v>11</v>
      </c>
      <c r="AA13" s="23">
        <v>3280</v>
      </c>
      <c r="AB13" s="23">
        <v>697.5</v>
      </c>
      <c r="AC13" s="17">
        <f t="shared" si="5"/>
        <v>10.864485981308409</v>
      </c>
      <c r="AD13" s="27">
        <f t="shared" si="17"/>
        <v>21.265243902439025</v>
      </c>
      <c r="AE13" s="19"/>
      <c r="AF13" s="22">
        <v>11</v>
      </c>
      <c r="AG13" s="23">
        <v>327200</v>
      </c>
      <c r="AH13" s="23">
        <v>78960</v>
      </c>
      <c r="AI13" s="6">
        <f t="shared" si="6"/>
        <v>2741.666666666667</v>
      </c>
      <c r="AJ13" s="27">
        <f t="shared" si="7"/>
        <v>24.1320293398533</v>
      </c>
      <c r="AK13" s="19"/>
      <c r="AL13" s="22">
        <v>11</v>
      </c>
      <c r="AM13" s="23">
        <v>2472</v>
      </c>
      <c r="AN13" s="23">
        <v>672.9</v>
      </c>
      <c r="AO13" s="6">
        <f t="shared" si="18"/>
        <v>1621.4457831325301</v>
      </c>
      <c r="AP13" s="27">
        <f t="shared" si="8"/>
        <v>27.220873786407768</v>
      </c>
      <c r="AQ13" s="27"/>
      <c r="AR13" s="27"/>
      <c r="BB13" s="2" t="e">
        <f>AVERAGE(BB2:BB12)</f>
        <v>#VALUE!</v>
      </c>
      <c r="BF13" s="107" t="s">
        <v>116</v>
      </c>
      <c r="BG13" s="109">
        <v>3857.2118055555561</v>
      </c>
      <c r="BH13" s="11">
        <f>AG33</f>
        <v>0</v>
      </c>
      <c r="BI13" s="11">
        <f>AVERAGE(AI3:AI32)</f>
        <v>2345.6250000000005</v>
      </c>
      <c r="BN13" s="20">
        <v>11</v>
      </c>
      <c r="BO13" s="3">
        <v>5190000</v>
      </c>
      <c r="BP13" s="3">
        <v>774300</v>
      </c>
      <c r="BQ13" s="17">
        <f t="shared" si="10"/>
        <v>3.9503086577215449</v>
      </c>
      <c r="BR13" s="19">
        <f t="shared" si="11"/>
        <v>14.919075144508671</v>
      </c>
    </row>
    <row r="14" spans="1:70" x14ac:dyDescent="0.25">
      <c r="A14" s="2">
        <v>12</v>
      </c>
      <c r="B14" s="3">
        <v>33980000000</v>
      </c>
      <c r="C14" s="3">
        <v>2931000000</v>
      </c>
      <c r="D14" s="4">
        <f t="shared" si="1"/>
        <v>190.42359667359668</v>
      </c>
      <c r="E14" s="1">
        <f t="shared" si="12"/>
        <v>8.6256621542083582</v>
      </c>
      <c r="F14" s="27"/>
      <c r="G14" s="2">
        <v>12</v>
      </c>
      <c r="H14" s="3">
        <v>135200000</v>
      </c>
      <c r="I14" s="99">
        <f t="shared" si="13"/>
        <v>784160000</v>
      </c>
      <c r="J14" s="3">
        <v>112200000</v>
      </c>
      <c r="K14" s="4">
        <f t="shared" si="2"/>
        <v>678.76588021778593</v>
      </c>
      <c r="L14" s="98">
        <f t="shared" si="14"/>
        <v>14.308304427667823</v>
      </c>
      <c r="N14" s="2">
        <v>12</v>
      </c>
      <c r="O14" s="3">
        <v>91910000000</v>
      </c>
      <c r="P14" s="3">
        <v>4993000000</v>
      </c>
      <c r="Q14" s="4">
        <f t="shared" si="3"/>
        <v>397.69016328156118</v>
      </c>
      <c r="R14" s="1">
        <f t="shared" si="15"/>
        <v>5.4324883037754326</v>
      </c>
      <c r="S14" s="13"/>
      <c r="T14" s="14">
        <v>12</v>
      </c>
      <c r="U14" s="3">
        <v>2810000</v>
      </c>
      <c r="V14" s="3">
        <v>501100</v>
      </c>
      <c r="W14" s="17">
        <f t="shared" si="4"/>
        <v>6.2086482468095658</v>
      </c>
      <c r="X14" s="18">
        <f t="shared" si="16"/>
        <v>17.832740213523131</v>
      </c>
      <c r="Y14" s="19"/>
      <c r="Z14" s="22">
        <v>12</v>
      </c>
      <c r="AA14" s="23">
        <v>3254</v>
      </c>
      <c r="AB14" s="23">
        <v>717.5</v>
      </c>
      <c r="AC14" s="17">
        <f t="shared" si="5"/>
        <v>11.176012461059189</v>
      </c>
      <c r="AD14" s="27">
        <f t="shared" si="17"/>
        <v>22.049784880147509</v>
      </c>
      <c r="AE14" s="19"/>
      <c r="AF14" s="22">
        <v>12</v>
      </c>
      <c r="AG14" s="23">
        <v>331400</v>
      </c>
      <c r="AH14" s="23">
        <v>75040</v>
      </c>
      <c r="AI14" s="6">
        <f t="shared" si="6"/>
        <v>2605.5555555555557</v>
      </c>
      <c r="AJ14" s="27">
        <f t="shared" si="7"/>
        <v>22.643331321665659</v>
      </c>
      <c r="AK14" s="19"/>
      <c r="AL14" s="22">
        <v>12</v>
      </c>
      <c r="AM14" s="23">
        <v>3642</v>
      </c>
      <c r="AN14" s="23">
        <v>601.1</v>
      </c>
      <c r="AO14" s="6">
        <f t="shared" si="18"/>
        <v>1448.4337349397592</v>
      </c>
      <c r="AP14" s="27">
        <f t="shared" si="8"/>
        <v>16.504667764964307</v>
      </c>
      <c r="AQ14" s="27"/>
      <c r="AR14" s="27"/>
      <c r="BF14" s="108"/>
      <c r="BG14" s="110"/>
      <c r="BH14" s="10">
        <f>ABS(BH13-BG13)/BG13</f>
        <v>1</v>
      </c>
      <c r="BI14" s="10">
        <f>ABS(BI13-BG13)/BG13</f>
        <v>0.3918858703528833</v>
      </c>
      <c r="BN14" s="20">
        <v>12</v>
      </c>
      <c r="BO14" s="3">
        <v>5352000</v>
      </c>
      <c r="BP14" s="3">
        <v>701700</v>
      </c>
      <c r="BQ14" s="17">
        <f t="shared" si="10"/>
        <v>3.5799193918677621</v>
      </c>
      <c r="BR14" s="19">
        <f t="shared" si="11"/>
        <v>13.110986547085203</v>
      </c>
    </row>
    <row r="15" spans="1:70" x14ac:dyDescent="0.25">
      <c r="A15" s="2">
        <v>13</v>
      </c>
      <c r="B15" s="3">
        <v>36620000000</v>
      </c>
      <c r="C15" s="3">
        <v>2837000000</v>
      </c>
      <c r="D15" s="4">
        <f t="shared" si="1"/>
        <v>184.31652806652806</v>
      </c>
      <c r="E15" s="1">
        <f t="shared" si="12"/>
        <v>7.7471327143637359</v>
      </c>
      <c r="F15" s="27"/>
      <c r="G15" s="2">
        <v>13</v>
      </c>
      <c r="H15" s="3">
        <v>131100000</v>
      </c>
      <c r="I15" s="99">
        <f t="shared" si="13"/>
        <v>760380000</v>
      </c>
      <c r="J15" s="3">
        <v>106500000</v>
      </c>
      <c r="K15" s="4">
        <f t="shared" si="2"/>
        <v>644.28312159709617</v>
      </c>
      <c r="L15" s="98">
        <f t="shared" si="14"/>
        <v>14.006154817328177</v>
      </c>
      <c r="N15" s="2">
        <v>13</v>
      </c>
      <c r="O15" s="3">
        <v>90390000000</v>
      </c>
      <c r="P15" s="3">
        <v>5629000000</v>
      </c>
      <c r="Q15" s="4">
        <f t="shared" si="3"/>
        <v>448.34727200318599</v>
      </c>
      <c r="R15" s="1">
        <f t="shared" si="15"/>
        <v>6.2274587896891251</v>
      </c>
      <c r="S15" s="13"/>
      <c r="T15" s="14">
        <v>13</v>
      </c>
      <c r="U15" s="3">
        <v>2359000</v>
      </c>
      <c r="V15" s="3">
        <v>502400</v>
      </c>
      <c r="W15" s="17">
        <f t="shared" si="4"/>
        <v>6.224755296741419</v>
      </c>
      <c r="X15" s="18">
        <f t="shared" si="16"/>
        <v>21.297159813480288</v>
      </c>
      <c r="Y15" s="19"/>
      <c r="Z15" s="22">
        <v>13</v>
      </c>
      <c r="AA15" s="23">
        <v>3928</v>
      </c>
      <c r="AB15" s="23">
        <v>792.4</v>
      </c>
      <c r="AC15" s="17">
        <f t="shared" si="5"/>
        <v>12.342679127725855</v>
      </c>
      <c r="AD15" s="27">
        <f t="shared" si="17"/>
        <v>20.173116089613035</v>
      </c>
      <c r="AE15" s="19"/>
      <c r="AF15" s="22">
        <v>13</v>
      </c>
      <c r="AG15" s="23">
        <v>341700</v>
      </c>
      <c r="AH15" s="23">
        <v>59680</v>
      </c>
      <c r="AI15" s="6">
        <f t="shared" si="6"/>
        <v>2072.2222222222222</v>
      </c>
      <c r="AJ15" s="27">
        <f t="shared" si="7"/>
        <v>17.465613110916006</v>
      </c>
      <c r="AK15" s="19"/>
      <c r="AL15" s="22">
        <v>13</v>
      </c>
      <c r="AM15" s="23">
        <v>3087</v>
      </c>
      <c r="AN15" s="23">
        <v>876.9</v>
      </c>
      <c r="AO15" s="6">
        <f t="shared" si="18"/>
        <v>2113.0120481927711</v>
      </c>
      <c r="AP15" s="27">
        <f t="shared" si="8"/>
        <v>28.406219630709426</v>
      </c>
      <c r="AQ15" s="27"/>
      <c r="AR15" s="27"/>
      <c r="BA15" s="2" t="s">
        <v>30</v>
      </c>
      <c r="BF15" s="107" t="s">
        <v>117</v>
      </c>
      <c r="BG15" s="109">
        <v>2517.8313253012047</v>
      </c>
      <c r="BH15" s="11">
        <f>AM33</f>
        <v>0</v>
      </c>
      <c r="BI15" s="11">
        <f>AVERAGE(AO3:AO32)</f>
        <v>2141.7429718875496</v>
      </c>
      <c r="BN15" s="20">
        <v>13</v>
      </c>
      <c r="BO15" s="3">
        <v>5194000</v>
      </c>
      <c r="BP15" s="3">
        <v>664900</v>
      </c>
      <c r="BQ15" s="17">
        <f t="shared" si="10"/>
        <v>3.3921738686801692</v>
      </c>
      <c r="BR15" s="19">
        <f t="shared" si="11"/>
        <v>12.801309202926454</v>
      </c>
    </row>
    <row r="16" spans="1:70" x14ac:dyDescent="0.25">
      <c r="A16" s="2">
        <v>14</v>
      </c>
      <c r="B16" s="3">
        <v>37740000000</v>
      </c>
      <c r="C16" s="3">
        <v>2688000000</v>
      </c>
      <c r="D16" s="4">
        <f t="shared" si="1"/>
        <v>174.63617463617464</v>
      </c>
      <c r="E16" s="1">
        <f t="shared" si="12"/>
        <v>7.12241653418124</v>
      </c>
      <c r="F16" s="27"/>
      <c r="G16" s="2">
        <v>14</v>
      </c>
      <c r="H16" s="3">
        <v>136600000</v>
      </c>
      <c r="I16" s="99">
        <f t="shared" si="13"/>
        <v>792280000</v>
      </c>
      <c r="J16" s="3">
        <v>109500000</v>
      </c>
      <c r="K16" s="4">
        <f t="shared" si="2"/>
        <v>662.43194192377496</v>
      </c>
      <c r="L16" s="98">
        <f t="shared" si="14"/>
        <v>13.820871409097794</v>
      </c>
      <c r="N16" s="2">
        <v>14</v>
      </c>
      <c r="O16" s="3">
        <v>90530000000</v>
      </c>
      <c r="P16" s="3">
        <v>5378000000</v>
      </c>
      <c r="Q16" s="4">
        <f t="shared" si="3"/>
        <v>428.35523695738755</v>
      </c>
      <c r="R16" s="1">
        <f t="shared" si="15"/>
        <v>5.940572186015685</v>
      </c>
      <c r="S16" s="13"/>
      <c r="T16" s="14">
        <v>14</v>
      </c>
      <c r="U16" s="3">
        <v>2784000</v>
      </c>
      <c r="V16" s="3">
        <v>514700</v>
      </c>
      <c r="W16" s="17">
        <f t="shared" si="4"/>
        <v>6.3771527691735859</v>
      </c>
      <c r="X16" s="18">
        <f t="shared" si="16"/>
        <v>18.487787356321839</v>
      </c>
      <c r="Y16" s="19"/>
      <c r="Z16" s="22">
        <v>14</v>
      </c>
      <c r="AA16" s="23">
        <v>3773</v>
      </c>
      <c r="AB16" s="23">
        <v>829.1</v>
      </c>
      <c r="AC16" s="17">
        <f t="shared" si="5"/>
        <v>12.914330218068535</v>
      </c>
      <c r="AD16" s="27">
        <f t="shared" si="17"/>
        <v>21.97455605618871</v>
      </c>
      <c r="AE16" s="19"/>
      <c r="AF16" s="22">
        <v>14</v>
      </c>
      <c r="AG16" s="23">
        <v>347500</v>
      </c>
      <c r="AH16" s="23">
        <v>70600</v>
      </c>
      <c r="AI16" s="6">
        <f t="shared" si="6"/>
        <v>2451.3888888888891</v>
      </c>
      <c r="AJ16" s="27">
        <f t="shared" si="7"/>
        <v>20.31654676258993</v>
      </c>
      <c r="AK16" s="19"/>
      <c r="AL16" s="22">
        <v>14</v>
      </c>
      <c r="AM16" s="23">
        <v>3607</v>
      </c>
      <c r="AN16" s="23">
        <v>757.7</v>
      </c>
      <c r="AO16" s="6">
        <f t="shared" si="18"/>
        <v>1825.7831325301206</v>
      </c>
      <c r="AP16" s="27">
        <f t="shared" si="8"/>
        <v>21.006376490158026</v>
      </c>
      <c r="AQ16" s="27"/>
      <c r="AR16" s="27"/>
      <c r="BF16" s="108"/>
      <c r="BG16" s="110"/>
      <c r="BH16" s="10">
        <f>ABS(BH15-BG15)/BG15</f>
        <v>1</v>
      </c>
      <c r="BI16" s="10">
        <f>ABS(BI15-BG15)/BG15</f>
        <v>0.14936995565763889</v>
      </c>
      <c r="BN16" s="20">
        <v>14</v>
      </c>
      <c r="BO16" s="3">
        <v>5695000</v>
      </c>
      <c r="BP16" s="3">
        <v>740800</v>
      </c>
      <c r="BQ16" s="17">
        <f t="shared" si="10"/>
        <v>3.7793990102545791</v>
      </c>
      <c r="BR16" s="19">
        <f t="shared" si="11"/>
        <v>13.007901668129939</v>
      </c>
    </row>
    <row r="17" spans="1:76" x14ac:dyDescent="0.25">
      <c r="A17" s="2">
        <v>15</v>
      </c>
      <c r="B17" s="3">
        <v>36150000000</v>
      </c>
      <c r="C17" s="3">
        <v>2817000000</v>
      </c>
      <c r="D17" s="4">
        <f t="shared" si="1"/>
        <v>183.01715176715174</v>
      </c>
      <c r="E17" s="1">
        <f t="shared" si="12"/>
        <v>7.7925311203319501</v>
      </c>
      <c r="F17" s="27"/>
      <c r="G17" s="2">
        <v>15</v>
      </c>
      <c r="H17" s="3">
        <v>141600000</v>
      </c>
      <c r="I17" s="99">
        <f t="shared" si="13"/>
        <v>821280000</v>
      </c>
      <c r="J17" s="3">
        <v>113400000</v>
      </c>
      <c r="K17" s="4">
        <f t="shared" si="2"/>
        <v>686.02540834845729</v>
      </c>
      <c r="L17" s="98">
        <f t="shared" si="14"/>
        <v>13.80771478667446</v>
      </c>
      <c r="N17" s="2">
        <v>15</v>
      </c>
      <c r="O17" s="3">
        <v>83570000000</v>
      </c>
      <c r="P17" s="3">
        <v>5335000000</v>
      </c>
      <c r="Q17" s="4">
        <f t="shared" si="3"/>
        <v>424.93030665073672</v>
      </c>
      <c r="R17" s="1">
        <f t="shared" si="15"/>
        <v>6.3838698097403377</v>
      </c>
      <c r="S17" s="13"/>
      <c r="T17" s="14">
        <v>15</v>
      </c>
      <c r="U17" s="3">
        <v>2786000</v>
      </c>
      <c r="V17" s="3">
        <v>399800</v>
      </c>
      <c r="W17" s="17">
        <f t="shared" si="4"/>
        <v>4.9535373559658034</v>
      </c>
      <c r="X17" s="18">
        <f t="shared" si="16"/>
        <v>14.350323043790381</v>
      </c>
      <c r="Y17" s="19"/>
      <c r="Z17" s="22">
        <v>15</v>
      </c>
      <c r="AA17" s="23">
        <v>3525</v>
      </c>
      <c r="AB17" s="23">
        <v>757</v>
      </c>
      <c r="AC17" s="17">
        <f t="shared" si="5"/>
        <v>11.791277258566975</v>
      </c>
      <c r="AD17" s="27">
        <f t="shared" si="17"/>
        <v>21.475177304964539</v>
      </c>
      <c r="AE17" s="19"/>
      <c r="AF17" s="22">
        <v>15</v>
      </c>
      <c r="AG17" s="23">
        <v>325500</v>
      </c>
      <c r="AH17" s="23">
        <v>60660</v>
      </c>
      <c r="AI17" s="6">
        <f t="shared" si="6"/>
        <v>2106.2500000000005</v>
      </c>
      <c r="AJ17" s="27">
        <f t="shared" si="7"/>
        <v>18.635944700460829</v>
      </c>
      <c r="AK17" s="19"/>
      <c r="AL17" s="22">
        <v>15</v>
      </c>
      <c r="AM17" s="23">
        <v>2840</v>
      </c>
      <c r="AN17" s="23">
        <v>464.5</v>
      </c>
      <c r="AO17" s="6">
        <f t="shared" si="18"/>
        <v>1119.2771084337348</v>
      </c>
      <c r="AP17" s="27">
        <f t="shared" si="8"/>
        <v>16.3556338028169</v>
      </c>
      <c r="AQ17" s="27"/>
      <c r="AR17" s="27"/>
      <c r="BN17" s="20">
        <v>15</v>
      </c>
      <c r="BO17" s="3">
        <v>5619000</v>
      </c>
      <c r="BP17" s="3">
        <v>773800</v>
      </c>
      <c r="BQ17" s="17">
        <f t="shared" si="10"/>
        <v>3.9477577674608444</v>
      </c>
      <c r="BR17" s="19">
        <f t="shared" si="11"/>
        <v>13.771133653675031</v>
      </c>
    </row>
    <row r="18" spans="1:76" x14ac:dyDescent="0.25">
      <c r="A18" s="2">
        <v>16</v>
      </c>
      <c r="B18" s="3">
        <v>35480000000</v>
      </c>
      <c r="C18" s="3">
        <v>2780000000</v>
      </c>
      <c r="D18" s="4">
        <f t="shared" si="1"/>
        <v>180.61330561330561</v>
      </c>
      <c r="E18" s="1">
        <f t="shared" si="12"/>
        <v>7.8354002254791428</v>
      </c>
      <c r="F18" s="27"/>
      <c r="G18" s="2">
        <v>16</v>
      </c>
      <c r="H18" s="3">
        <v>133900000</v>
      </c>
      <c r="I18" s="99">
        <f t="shared" si="13"/>
        <v>776620000</v>
      </c>
      <c r="J18" s="3">
        <v>106300000</v>
      </c>
      <c r="K18" s="4">
        <f t="shared" si="2"/>
        <v>643.07320024198418</v>
      </c>
      <c r="L18" s="98">
        <f t="shared" si="14"/>
        <v>13.687517704926476</v>
      </c>
      <c r="N18" s="2">
        <v>16</v>
      </c>
      <c r="O18" s="3">
        <v>81490000000</v>
      </c>
      <c r="P18" s="3">
        <v>5519000000</v>
      </c>
      <c r="Q18" s="4">
        <f t="shared" si="3"/>
        <v>439.58582238152127</v>
      </c>
      <c r="R18" s="1">
        <f t="shared" si="15"/>
        <v>6.7726101362130322</v>
      </c>
      <c r="S18" s="13"/>
      <c r="T18" s="14">
        <v>16</v>
      </c>
      <c r="U18" s="3">
        <v>2527000</v>
      </c>
      <c r="V18" s="3">
        <v>440200</v>
      </c>
      <c r="W18" s="17">
        <f t="shared" si="4"/>
        <v>5.4540949076942145</v>
      </c>
      <c r="X18" s="18">
        <f t="shared" si="16"/>
        <v>17.41986545310645</v>
      </c>
      <c r="Y18" s="19"/>
      <c r="Z18" s="22">
        <v>16</v>
      </c>
      <c r="AA18" s="23">
        <v>3969</v>
      </c>
      <c r="AB18" s="23">
        <v>940.9</v>
      </c>
      <c r="AC18" s="17">
        <f t="shared" si="5"/>
        <v>14.655763239875387</v>
      </c>
      <c r="AD18" s="27">
        <f t="shared" si="17"/>
        <v>23.706223230032755</v>
      </c>
      <c r="AE18" s="19"/>
      <c r="AF18" s="22">
        <v>16</v>
      </c>
      <c r="AG18" s="23">
        <v>316900</v>
      </c>
      <c r="AH18" s="23">
        <v>65930</v>
      </c>
      <c r="AI18" s="6">
        <f t="shared" si="6"/>
        <v>2289.2361111111113</v>
      </c>
      <c r="AJ18" s="27">
        <f t="shared" si="7"/>
        <v>20.804670242978858</v>
      </c>
      <c r="AK18" s="19"/>
      <c r="AL18" s="22">
        <v>16</v>
      </c>
      <c r="AM18" s="23">
        <v>3876</v>
      </c>
      <c r="AN18" s="23">
        <v>670.6</v>
      </c>
      <c r="AO18" s="6">
        <f t="shared" si="18"/>
        <v>1615.9036144578313</v>
      </c>
      <c r="AP18" s="27">
        <f t="shared" si="8"/>
        <v>17.301341589267285</v>
      </c>
      <c r="AQ18" s="27"/>
      <c r="AR18" s="27"/>
      <c r="BN18" s="20">
        <v>16</v>
      </c>
      <c r="BO18" s="3">
        <v>6050000</v>
      </c>
      <c r="BP18" s="3">
        <v>681200</v>
      </c>
      <c r="BQ18" s="17">
        <f t="shared" si="10"/>
        <v>3.4753328911790216</v>
      </c>
      <c r="BR18" s="19">
        <f t="shared" si="11"/>
        <v>11.259504132231404</v>
      </c>
    </row>
    <row r="19" spans="1:76" x14ac:dyDescent="0.25">
      <c r="A19" s="2">
        <v>17</v>
      </c>
      <c r="B19" s="3">
        <v>33460000000</v>
      </c>
      <c r="C19" s="3">
        <v>2987000000</v>
      </c>
      <c r="D19" s="4">
        <f t="shared" si="1"/>
        <v>194.06185031185032</v>
      </c>
      <c r="E19" s="1">
        <f t="shared" si="12"/>
        <v>8.9270771069934245</v>
      </c>
      <c r="F19" s="27"/>
      <c r="G19" s="2">
        <v>17</v>
      </c>
      <c r="H19" s="3">
        <v>134400000</v>
      </c>
      <c r="I19" s="99">
        <f t="shared" si="13"/>
        <v>779520000</v>
      </c>
      <c r="J19" s="3">
        <v>109100000</v>
      </c>
      <c r="K19" s="4">
        <f t="shared" si="2"/>
        <v>660.0120992135511</v>
      </c>
      <c r="L19" s="98">
        <f t="shared" si="14"/>
        <v>13.995792282430214</v>
      </c>
      <c r="N19" s="2">
        <v>17</v>
      </c>
      <c r="O19" s="3">
        <v>90060000000</v>
      </c>
      <c r="P19" s="3">
        <v>5309000000</v>
      </c>
      <c r="Q19" s="4">
        <f t="shared" si="3"/>
        <v>422.85941855834329</v>
      </c>
      <c r="R19" s="1">
        <f t="shared" si="15"/>
        <v>5.8949589162780365</v>
      </c>
      <c r="S19" s="13"/>
      <c r="T19" s="14">
        <v>17</v>
      </c>
      <c r="U19" s="3">
        <v>2397000</v>
      </c>
      <c r="V19" s="3">
        <v>368800</v>
      </c>
      <c r="W19" s="17">
        <f t="shared" si="4"/>
        <v>4.5694461652831126</v>
      </c>
      <c r="X19" s="18">
        <f t="shared" si="16"/>
        <v>15.385899040467251</v>
      </c>
      <c r="Y19" s="19"/>
      <c r="Z19" s="22">
        <v>17</v>
      </c>
      <c r="AA19" s="23">
        <v>3155</v>
      </c>
      <c r="AB19" s="23">
        <v>672.3</v>
      </c>
      <c r="AC19" s="17">
        <f t="shared" si="5"/>
        <v>10.471962616822427</v>
      </c>
      <c r="AD19" s="27">
        <f t="shared" si="17"/>
        <v>21.30903328050713</v>
      </c>
      <c r="AE19" s="19"/>
      <c r="AF19" s="22">
        <v>17</v>
      </c>
      <c r="AG19" s="23">
        <v>319200</v>
      </c>
      <c r="AH19" s="23">
        <v>73680</v>
      </c>
      <c r="AI19" s="6">
        <f t="shared" si="6"/>
        <v>2558.3333333333335</v>
      </c>
      <c r="AJ19" s="27">
        <f t="shared" si="7"/>
        <v>23.082706766917294</v>
      </c>
      <c r="AK19" s="19"/>
      <c r="AL19" s="22">
        <v>17</v>
      </c>
      <c r="AM19" s="23">
        <v>2470</v>
      </c>
      <c r="AN19" s="23">
        <v>897.6</v>
      </c>
      <c r="AO19" s="6">
        <f t="shared" si="18"/>
        <v>2162.8915662650602</v>
      </c>
      <c r="AP19" s="27">
        <f t="shared" si="8"/>
        <v>36.340080971659916</v>
      </c>
      <c r="AQ19" s="27"/>
      <c r="AR19" s="27"/>
      <c r="BF19" s="114" t="s">
        <v>121</v>
      </c>
      <c r="BG19" s="114"/>
      <c r="BH19" s="114"/>
      <c r="BI19" s="114"/>
      <c r="BN19" s="20">
        <v>17</v>
      </c>
      <c r="BO19" s="3">
        <v>5347000</v>
      </c>
      <c r="BP19" s="3">
        <v>735800</v>
      </c>
      <c r="BQ19" s="17">
        <f t="shared" si="10"/>
        <v>3.7538901076475693</v>
      </c>
      <c r="BR19" s="19">
        <f t="shared" si="11"/>
        <v>13.760987469609127</v>
      </c>
    </row>
    <row r="20" spans="1:76" ht="30" x14ac:dyDescent="0.25">
      <c r="A20" s="2">
        <v>18</v>
      </c>
      <c r="B20" s="3">
        <v>39040000000</v>
      </c>
      <c r="C20" s="3">
        <v>2624000000</v>
      </c>
      <c r="D20" s="4">
        <f t="shared" si="1"/>
        <v>170.47817047817048</v>
      </c>
      <c r="E20" s="1">
        <f t="shared" si="12"/>
        <v>6.721311475409836</v>
      </c>
      <c r="F20" s="27"/>
      <c r="G20" s="2">
        <v>18</v>
      </c>
      <c r="H20" s="3">
        <v>138300000</v>
      </c>
      <c r="I20" s="99">
        <f t="shared" si="13"/>
        <v>802140000</v>
      </c>
      <c r="J20" s="3">
        <v>112900000</v>
      </c>
      <c r="K20" s="4">
        <f t="shared" si="2"/>
        <v>683.00060496067761</v>
      </c>
      <c r="L20" s="98">
        <f t="shared" si="14"/>
        <v>14.074849776846934</v>
      </c>
      <c r="N20" s="2">
        <v>18</v>
      </c>
      <c r="O20" s="3">
        <v>89470000000</v>
      </c>
      <c r="P20" s="3">
        <v>5355000000</v>
      </c>
      <c r="Q20" s="4">
        <f t="shared" si="3"/>
        <v>426.52329749103939</v>
      </c>
      <c r="R20" s="1">
        <f t="shared" si="15"/>
        <v>5.9852464513244659</v>
      </c>
      <c r="S20" s="13"/>
      <c r="T20" s="14">
        <v>18</v>
      </c>
      <c r="U20" s="3">
        <v>3141000</v>
      </c>
      <c r="V20" s="3">
        <v>380100</v>
      </c>
      <c r="W20" s="17">
        <f t="shared" si="4"/>
        <v>4.7094535993061584</v>
      </c>
      <c r="X20" s="18">
        <f t="shared" si="16"/>
        <v>12.101241642788921</v>
      </c>
      <c r="Y20" s="19"/>
      <c r="Z20" s="22">
        <v>18</v>
      </c>
      <c r="AA20" s="23">
        <v>3971</v>
      </c>
      <c r="AB20" s="23">
        <v>959</v>
      </c>
      <c r="AC20" s="17">
        <f t="shared" si="5"/>
        <v>14.937694704049841</v>
      </c>
      <c r="AD20" s="27">
        <f t="shared" si="17"/>
        <v>24.150088139007806</v>
      </c>
      <c r="AE20" s="19"/>
      <c r="AF20" s="22">
        <v>18</v>
      </c>
      <c r="AG20" s="23">
        <v>329700</v>
      </c>
      <c r="AH20" s="23">
        <v>58660</v>
      </c>
      <c r="AI20" s="6">
        <f t="shared" si="6"/>
        <v>2036.8055555555557</v>
      </c>
      <c r="AJ20" s="27">
        <f t="shared" si="7"/>
        <v>17.791932059447984</v>
      </c>
      <c r="AK20" s="19"/>
      <c r="AL20" s="22">
        <v>18</v>
      </c>
      <c r="AM20" s="23">
        <v>3614</v>
      </c>
      <c r="AN20" s="23">
        <v>896.9</v>
      </c>
      <c r="AO20" s="6">
        <f t="shared" si="18"/>
        <v>2161.2048192771081</v>
      </c>
      <c r="AP20" s="27">
        <f t="shared" si="8"/>
        <v>24.817376867736581</v>
      </c>
      <c r="AQ20" s="27"/>
      <c r="AR20" s="27"/>
      <c r="BF20" s="66"/>
      <c r="BG20" s="65" t="s">
        <v>14</v>
      </c>
      <c r="BH20" s="65" t="s">
        <v>16</v>
      </c>
      <c r="BI20" s="65" t="s">
        <v>15</v>
      </c>
      <c r="BN20" s="20">
        <v>18</v>
      </c>
      <c r="BO20" s="3">
        <v>4908000</v>
      </c>
      <c r="BP20" s="3">
        <v>797000</v>
      </c>
      <c r="BQ20" s="17">
        <f t="shared" si="10"/>
        <v>4.0661190755573697</v>
      </c>
      <c r="BR20" s="19">
        <f t="shared" si="11"/>
        <v>16.238793806030969</v>
      </c>
    </row>
    <row r="21" spans="1:76" x14ac:dyDescent="0.25">
      <c r="A21" s="2">
        <v>19</v>
      </c>
      <c r="B21" s="3">
        <v>35320000000</v>
      </c>
      <c r="C21" s="3">
        <v>2704000000</v>
      </c>
      <c r="D21" s="4">
        <f t="shared" si="1"/>
        <v>175.67567567567568</v>
      </c>
      <c r="E21" s="1">
        <f t="shared" si="12"/>
        <v>7.6557191392978483</v>
      </c>
      <c r="F21" s="27"/>
      <c r="G21" s="2">
        <v>19</v>
      </c>
      <c r="H21" s="3">
        <v>143200000</v>
      </c>
      <c r="I21" s="99">
        <f t="shared" si="13"/>
        <v>830560000</v>
      </c>
      <c r="J21" s="3">
        <v>114700000</v>
      </c>
      <c r="K21" s="4">
        <f t="shared" si="2"/>
        <v>693.88989715668481</v>
      </c>
      <c r="L21" s="98">
        <f t="shared" si="14"/>
        <v>13.809959545366981</v>
      </c>
      <c r="N21" s="2">
        <v>19</v>
      </c>
      <c r="O21" s="3">
        <v>92490000000</v>
      </c>
      <c r="P21" s="3">
        <v>5618000000</v>
      </c>
      <c r="Q21" s="4">
        <f t="shared" si="3"/>
        <v>447.47112704101949</v>
      </c>
      <c r="R21" s="1">
        <f t="shared" si="15"/>
        <v>6.0741701805600607</v>
      </c>
      <c r="S21" s="13"/>
      <c r="T21" s="14">
        <v>19</v>
      </c>
      <c r="U21" s="3">
        <v>2576000</v>
      </c>
      <c r="V21" s="3">
        <v>473500</v>
      </c>
      <c r="W21" s="17">
        <f t="shared" si="4"/>
        <v>5.8666831867178786</v>
      </c>
      <c r="X21" s="18">
        <f t="shared" si="16"/>
        <v>18.381211180124225</v>
      </c>
      <c r="Y21" s="19"/>
      <c r="Z21" s="22">
        <v>19</v>
      </c>
      <c r="AA21" s="23">
        <v>3567</v>
      </c>
      <c r="AB21" s="23">
        <v>851.9</v>
      </c>
      <c r="AC21" s="17">
        <f t="shared" si="5"/>
        <v>13.269470404984423</v>
      </c>
      <c r="AD21" s="27">
        <f t="shared" si="17"/>
        <v>23.882814690215866</v>
      </c>
      <c r="AE21" s="19"/>
      <c r="AF21" s="22">
        <v>19</v>
      </c>
      <c r="AG21" s="23">
        <v>318800</v>
      </c>
      <c r="AH21" s="23">
        <v>84750</v>
      </c>
      <c r="AI21" s="6">
        <f t="shared" si="6"/>
        <v>2942.7083333333335</v>
      </c>
      <c r="AJ21" s="27">
        <f t="shared" si="7"/>
        <v>26.584065244667503</v>
      </c>
      <c r="AK21" s="19"/>
      <c r="AL21" s="22">
        <v>19</v>
      </c>
      <c r="AM21" s="23">
        <v>2512</v>
      </c>
      <c r="AN21" s="23">
        <v>841.2</v>
      </c>
      <c r="AO21" s="6">
        <f t="shared" si="18"/>
        <v>2026.9879518072291</v>
      </c>
      <c r="AP21" s="27">
        <f t="shared" si="8"/>
        <v>33.487261146496813</v>
      </c>
      <c r="AQ21" s="27"/>
      <c r="AR21" s="27"/>
      <c r="BF21" s="107" t="s">
        <v>119</v>
      </c>
      <c r="BG21" s="113">
        <v>704</v>
      </c>
      <c r="BH21" s="6">
        <v>1042.0523299839299</v>
      </c>
      <c r="BI21" s="9">
        <f>AVERAGE($K$3:$K$32)</f>
        <v>664.48074208509786</v>
      </c>
      <c r="BN21" s="20">
        <v>19</v>
      </c>
      <c r="BO21" s="3">
        <v>4991000</v>
      </c>
      <c r="BP21" s="3">
        <v>707900</v>
      </c>
      <c r="BQ21" s="17">
        <f t="shared" si="10"/>
        <v>3.6115504311004543</v>
      </c>
      <c r="BR21" s="19">
        <f t="shared" si="11"/>
        <v>14.183530354638348</v>
      </c>
      <c r="BU21" s="2">
        <v>704</v>
      </c>
      <c r="BV21" s="2">
        <v>664.48074208509786</v>
      </c>
      <c r="BW21" s="2">
        <f>(BU21-BV21)^2</f>
        <v>1561.7717461445554</v>
      </c>
      <c r="BX21" s="2">
        <f>(BU21-AVERAGE($BU$21:$BU$27))^2</f>
        <v>134689.43935669333</v>
      </c>
    </row>
    <row r="22" spans="1:76" x14ac:dyDescent="0.25">
      <c r="A22" s="2">
        <v>20</v>
      </c>
      <c r="B22" s="3">
        <v>34100000000</v>
      </c>
      <c r="C22" s="3">
        <v>2977000000</v>
      </c>
      <c r="D22" s="4">
        <f t="shared" si="1"/>
        <v>193.41216216216216</v>
      </c>
      <c r="E22" s="1">
        <f t="shared" si="12"/>
        <v>8.7302052785923756</v>
      </c>
      <c r="F22" s="27"/>
      <c r="G22" s="2">
        <v>20</v>
      </c>
      <c r="H22" s="3">
        <v>128200000</v>
      </c>
      <c r="I22" s="99">
        <f t="shared" si="13"/>
        <v>743560000</v>
      </c>
      <c r="J22" s="3">
        <v>106000000</v>
      </c>
      <c r="K22" s="4">
        <f t="shared" si="2"/>
        <v>641.25831820931637</v>
      </c>
      <c r="L22" s="98">
        <f t="shared" si="14"/>
        <v>14.255742643498843</v>
      </c>
      <c r="N22" s="2">
        <v>20</v>
      </c>
      <c r="O22" s="3">
        <v>97290000000</v>
      </c>
      <c r="P22" s="3">
        <v>4997000000</v>
      </c>
      <c r="Q22" s="4">
        <f t="shared" si="3"/>
        <v>398.00876144962166</v>
      </c>
      <c r="R22" s="1">
        <f t="shared" si="15"/>
        <v>5.1361907698632949</v>
      </c>
      <c r="S22" s="13"/>
      <c r="T22" s="14">
        <v>20</v>
      </c>
      <c r="U22" s="3">
        <v>2664000</v>
      </c>
      <c r="V22" s="3">
        <v>376100</v>
      </c>
      <c r="W22" s="17">
        <f t="shared" si="4"/>
        <v>4.6598934456696819</v>
      </c>
      <c r="X22" s="18">
        <f t="shared" si="16"/>
        <v>14.117867867867869</v>
      </c>
      <c r="Y22" s="19"/>
      <c r="Z22" s="22">
        <v>20</v>
      </c>
      <c r="AA22" s="23">
        <v>3607</v>
      </c>
      <c r="AB22" s="23">
        <v>958.2</v>
      </c>
      <c r="AC22" s="17">
        <f t="shared" si="5"/>
        <v>14.925233644859812</v>
      </c>
      <c r="AD22" s="27">
        <f t="shared" si="17"/>
        <v>26.565012475741614</v>
      </c>
      <c r="AE22" s="19"/>
      <c r="AF22" s="22">
        <v>20</v>
      </c>
      <c r="AG22" s="23">
        <v>332500</v>
      </c>
      <c r="AH22" s="23">
        <v>74000</v>
      </c>
      <c r="AI22" s="6">
        <f t="shared" si="6"/>
        <v>2569.4444444444443</v>
      </c>
      <c r="AJ22" s="27">
        <f t="shared" si="7"/>
        <v>22.255639097744361</v>
      </c>
      <c r="AK22" s="19"/>
      <c r="AL22" s="22">
        <v>20</v>
      </c>
      <c r="AM22" s="23">
        <v>3443</v>
      </c>
      <c r="AN22" s="23">
        <v>676.9</v>
      </c>
      <c r="AO22" s="6">
        <f t="shared" si="18"/>
        <v>1631.0843373493976</v>
      </c>
      <c r="AP22" s="27">
        <f t="shared" si="8"/>
        <v>19.660180075515537</v>
      </c>
      <c r="AQ22" s="27"/>
      <c r="AR22" s="27"/>
      <c r="BF22" s="108"/>
      <c r="BG22" s="112"/>
      <c r="BH22" s="10">
        <f>ABS(BH21-BG21)/BG21</f>
        <v>0.48018796872717312</v>
      </c>
      <c r="BI22" s="10">
        <f>ABS(BI21-BG21)/BG21</f>
        <v>5.6135309538213267E-2</v>
      </c>
      <c r="BJ22" s="90">
        <f>BH22/BI22</f>
        <v>8.5541163427680473</v>
      </c>
      <c r="BN22" s="20">
        <v>20</v>
      </c>
      <c r="BO22" s="3">
        <v>5753000</v>
      </c>
      <c r="BP22" s="3">
        <v>657400</v>
      </c>
      <c r="BQ22" s="17">
        <f t="shared" si="10"/>
        <v>3.3539105147696548</v>
      </c>
      <c r="BR22" s="19">
        <f t="shared" si="11"/>
        <v>11.427081522683817</v>
      </c>
      <c r="BU22" s="2">
        <v>164</v>
      </c>
      <c r="BV22" s="2">
        <v>418</v>
      </c>
      <c r="BW22" s="97">
        <f t="shared" ref="BW22:BW27" si="19">(BU22-BV22)^2</f>
        <v>64516</v>
      </c>
      <c r="BX22" s="97">
        <f t="shared" ref="BX22:BX27" si="20">(BU22-AVERAGE($BU$21:$BU$27))^2</f>
        <v>822650.08582105546</v>
      </c>
    </row>
    <row r="23" spans="1:76" x14ac:dyDescent="0.25">
      <c r="A23" s="2">
        <v>21</v>
      </c>
      <c r="B23" s="3">
        <v>35540000000</v>
      </c>
      <c r="C23" s="3">
        <v>3176000000</v>
      </c>
      <c r="D23" s="4">
        <f t="shared" si="1"/>
        <v>206.34095634095635</v>
      </c>
      <c r="E23" s="1">
        <f t="shared" si="12"/>
        <v>8.9364096792346643</v>
      </c>
      <c r="F23" s="27"/>
      <c r="G23" s="2">
        <v>21</v>
      </c>
      <c r="H23" s="3">
        <v>141900000</v>
      </c>
      <c r="I23" s="99">
        <f t="shared" si="13"/>
        <v>823020000</v>
      </c>
      <c r="J23" s="3">
        <v>113900000</v>
      </c>
      <c r="K23" s="4">
        <f t="shared" si="2"/>
        <v>689.0502117362372</v>
      </c>
      <c r="L23" s="98">
        <f t="shared" si="14"/>
        <v>13.839274865738378</v>
      </c>
      <c r="N23" s="2">
        <v>21</v>
      </c>
      <c r="O23" s="3">
        <v>88390000000</v>
      </c>
      <c r="P23" s="3">
        <v>5647000000</v>
      </c>
      <c r="Q23" s="4">
        <f t="shared" si="3"/>
        <v>449.78096375945836</v>
      </c>
      <c r="R23" s="1">
        <f t="shared" si="15"/>
        <v>6.3887317569860844</v>
      </c>
      <c r="S23" s="13"/>
      <c r="T23" s="14">
        <v>21</v>
      </c>
      <c r="U23" s="3">
        <v>3086000</v>
      </c>
      <c r="V23" s="3">
        <v>272500</v>
      </c>
      <c r="W23" s="17">
        <f t="shared" si="4"/>
        <v>3.376285466484946</v>
      </c>
      <c r="X23" s="18">
        <f t="shared" si="16"/>
        <v>8.8302009073233965</v>
      </c>
      <c r="Y23" s="19"/>
      <c r="Z23" s="22">
        <v>21</v>
      </c>
      <c r="AA23" s="23">
        <v>3914</v>
      </c>
      <c r="AB23" s="23">
        <v>987.5</v>
      </c>
      <c r="AC23" s="17">
        <f t="shared" si="5"/>
        <v>15.381619937694703</v>
      </c>
      <c r="AD23" s="27">
        <f t="shared" si="17"/>
        <v>25.229943791517631</v>
      </c>
      <c r="AE23" s="19"/>
      <c r="AF23" s="22">
        <v>21</v>
      </c>
      <c r="AG23" s="23">
        <v>350100</v>
      </c>
      <c r="AH23" s="23">
        <v>59300</v>
      </c>
      <c r="AI23" s="6">
        <f t="shared" si="6"/>
        <v>2059.0277777777778</v>
      </c>
      <c r="AJ23" s="27">
        <f t="shared" si="7"/>
        <v>16.938017709225935</v>
      </c>
      <c r="AK23" s="19"/>
      <c r="AL23" s="22">
        <v>21</v>
      </c>
      <c r="AM23" s="23">
        <v>3403</v>
      </c>
      <c r="AN23" s="23">
        <v>841.2</v>
      </c>
      <c r="AO23" s="6">
        <f t="shared" si="18"/>
        <v>2026.9879518072291</v>
      </c>
      <c r="AP23" s="27">
        <f t="shared" si="8"/>
        <v>24.719365265941818</v>
      </c>
      <c r="AQ23" s="27"/>
      <c r="AR23" s="27"/>
      <c r="BF23" s="107" t="s">
        <v>113</v>
      </c>
      <c r="BG23" s="111">
        <v>233</v>
      </c>
      <c r="BH23" s="6">
        <v>472.84451079299544</v>
      </c>
      <c r="BI23" s="9">
        <f>AVERAGE(D21:D80)</f>
        <v>187.54331254331257</v>
      </c>
      <c r="BJ23" s="90"/>
      <c r="BK23" s="6"/>
      <c r="BN23" s="20">
        <v>21</v>
      </c>
      <c r="BO23" s="3">
        <v>4952000</v>
      </c>
      <c r="BP23" s="3">
        <v>928200</v>
      </c>
      <c r="BQ23" s="17">
        <f t="shared" si="10"/>
        <v>4.7354726799653077</v>
      </c>
      <c r="BR23" s="19">
        <f t="shared" si="11"/>
        <v>18.74394184168013</v>
      </c>
      <c r="BU23" s="2">
        <v>233</v>
      </c>
      <c r="BV23" s="2">
        <v>190.75617513117516</v>
      </c>
      <c r="BW23" s="97">
        <f t="shared" si="19"/>
        <v>1784.5407395479444</v>
      </c>
      <c r="BX23" s="97">
        <f t="shared" si="20"/>
        <v>702245.00321727584</v>
      </c>
    </row>
    <row r="24" spans="1:76" x14ac:dyDescent="0.25">
      <c r="A24" s="2">
        <v>22</v>
      </c>
      <c r="B24" s="3">
        <v>34850000000</v>
      </c>
      <c r="C24" s="3">
        <v>2943000000</v>
      </c>
      <c r="D24" s="4">
        <f t="shared" si="1"/>
        <v>191.20322245322245</v>
      </c>
      <c r="E24" s="1">
        <f t="shared" si="12"/>
        <v>8.4447632711621239</v>
      </c>
      <c r="F24" s="27"/>
      <c r="G24" s="2">
        <v>22</v>
      </c>
      <c r="H24" s="3">
        <v>139900000</v>
      </c>
      <c r="I24" s="99">
        <f t="shared" si="13"/>
        <v>811420000</v>
      </c>
      <c r="J24" s="3">
        <v>111600000</v>
      </c>
      <c r="K24" s="4">
        <f t="shared" si="2"/>
        <v>675.13611615245009</v>
      </c>
      <c r="L24" s="98">
        <f t="shared" si="14"/>
        <v>13.753666411969141</v>
      </c>
      <c r="N24" s="2">
        <v>22</v>
      </c>
      <c r="O24" s="3">
        <v>87020000000</v>
      </c>
      <c r="P24" s="3">
        <v>4856000000</v>
      </c>
      <c r="Q24" s="4">
        <f t="shared" si="3"/>
        <v>386.77817602548782</v>
      </c>
      <c r="R24" s="1">
        <f t="shared" si="15"/>
        <v>5.580326361755918</v>
      </c>
      <c r="S24" s="13"/>
      <c r="T24" s="14">
        <v>22</v>
      </c>
      <c r="U24" s="3">
        <v>2340000</v>
      </c>
      <c r="V24" s="3">
        <v>584300</v>
      </c>
      <c r="W24" s="17">
        <f t="shared" si="4"/>
        <v>7.2394994424482713</v>
      </c>
      <c r="X24" s="18">
        <f t="shared" si="16"/>
        <v>24.970085470085468</v>
      </c>
      <c r="Y24" s="19"/>
      <c r="Z24" s="22">
        <v>22</v>
      </c>
      <c r="AA24" s="23">
        <v>3378</v>
      </c>
      <c r="AB24" s="23">
        <v>793.4</v>
      </c>
      <c r="AC24" s="17">
        <f t="shared" si="5"/>
        <v>12.358255451713392</v>
      </c>
      <c r="AD24" s="27">
        <f t="shared" si="17"/>
        <v>23.487270574304322</v>
      </c>
      <c r="AE24" s="19"/>
      <c r="AF24" s="22">
        <v>22</v>
      </c>
      <c r="AG24" s="23">
        <v>344100</v>
      </c>
      <c r="AH24" s="23">
        <v>69210</v>
      </c>
      <c r="AI24" s="6">
        <f t="shared" si="6"/>
        <v>2403.1250000000005</v>
      </c>
      <c r="AJ24" s="27">
        <f t="shared" si="7"/>
        <v>20.113339145597209</v>
      </c>
      <c r="AK24" s="19"/>
      <c r="AL24" s="22">
        <v>22</v>
      </c>
      <c r="AM24" s="23">
        <v>2410</v>
      </c>
      <c r="AN24" s="23">
        <v>788.9</v>
      </c>
      <c r="AO24" s="6">
        <f t="shared" si="18"/>
        <v>1900.9638554216867</v>
      </c>
      <c r="AP24" s="27">
        <f t="shared" si="8"/>
        <v>32.734439834024897</v>
      </c>
      <c r="AQ24" s="27"/>
      <c r="AR24" s="27"/>
      <c r="BF24" s="108"/>
      <c r="BG24" s="112"/>
      <c r="BH24" s="10">
        <f>ABS(BH23-BG23)/BG23</f>
        <v>1.0293755828025555</v>
      </c>
      <c r="BI24" s="10">
        <f>ABS(BI23-BG23)/BG23</f>
        <v>0.19509307921325078</v>
      </c>
      <c r="BJ24" s="90">
        <f t="shared" ref="BJ24:BJ34" si="21">BH24/BI24</f>
        <v>5.276330595394283</v>
      </c>
      <c r="BK24" s="6"/>
      <c r="BN24" s="20">
        <v>22</v>
      </c>
      <c r="BO24" s="3">
        <v>5948000</v>
      </c>
      <c r="BP24" s="3">
        <v>616500</v>
      </c>
      <c r="BQ24" s="17">
        <f t="shared" si="10"/>
        <v>3.1452476914443146</v>
      </c>
      <c r="BR24" s="19">
        <f t="shared" si="11"/>
        <v>10.364828513786147</v>
      </c>
      <c r="BU24" s="2">
        <v>4</v>
      </c>
      <c r="BV24" s="2">
        <v>5.1215256267294427</v>
      </c>
      <c r="BW24" s="97">
        <f t="shared" si="19"/>
        <v>1.2578197314108692</v>
      </c>
      <c r="BX24" s="97">
        <f t="shared" si="20"/>
        <v>1138490.2773660517</v>
      </c>
    </row>
    <row r="25" spans="1:76" x14ac:dyDescent="0.25">
      <c r="A25" s="2">
        <v>23</v>
      </c>
      <c r="B25" s="3">
        <v>36910000000</v>
      </c>
      <c r="C25" s="3">
        <v>2839000000</v>
      </c>
      <c r="D25" s="4">
        <f t="shared" si="1"/>
        <v>184.44646569646568</v>
      </c>
      <c r="E25" s="1">
        <f t="shared" si="12"/>
        <v>7.6916824708751017</v>
      </c>
      <c r="F25" s="27"/>
      <c r="G25" s="2">
        <v>23</v>
      </c>
      <c r="H25" s="3">
        <v>136000000</v>
      </c>
      <c r="I25" s="99">
        <f t="shared" si="13"/>
        <v>788800000</v>
      </c>
      <c r="J25" s="3">
        <v>107700000</v>
      </c>
      <c r="K25" s="4">
        <f t="shared" si="2"/>
        <v>651.54264972776775</v>
      </c>
      <c r="L25" s="98">
        <f t="shared" si="14"/>
        <v>13.653651115618661</v>
      </c>
      <c r="N25" s="2">
        <v>23</v>
      </c>
      <c r="O25" s="3">
        <v>91550000000</v>
      </c>
      <c r="P25" s="3">
        <v>4804000000</v>
      </c>
      <c r="Q25" s="4">
        <f t="shared" si="3"/>
        <v>382.6363998407009</v>
      </c>
      <c r="R25" s="1">
        <f t="shared" si="15"/>
        <v>5.2474057891862369</v>
      </c>
      <c r="S25" s="13"/>
      <c r="T25" s="14">
        <v>23</v>
      </c>
      <c r="U25" s="3">
        <v>2864000</v>
      </c>
      <c r="V25" s="3">
        <v>524600</v>
      </c>
      <c r="W25" s="17">
        <f t="shared" si="4"/>
        <v>6.4998141494238633</v>
      </c>
      <c r="X25" s="18">
        <f t="shared" si="16"/>
        <v>18.317039106145252</v>
      </c>
      <c r="Y25" s="19"/>
      <c r="Z25" s="22">
        <v>23</v>
      </c>
      <c r="AA25" s="23">
        <v>3645</v>
      </c>
      <c r="AB25" s="23">
        <v>947</v>
      </c>
      <c r="AC25" s="17">
        <f t="shared" si="5"/>
        <v>14.750778816199375</v>
      </c>
      <c r="AD25" s="27">
        <f t="shared" si="17"/>
        <v>25.98079561042524</v>
      </c>
      <c r="AE25" s="19"/>
      <c r="AF25" s="22">
        <v>23</v>
      </c>
      <c r="AG25" s="23">
        <v>333900</v>
      </c>
      <c r="AH25" s="23">
        <v>69420</v>
      </c>
      <c r="AI25" s="6">
        <f t="shared" si="6"/>
        <v>2410.416666666667</v>
      </c>
      <c r="AJ25" s="27">
        <f t="shared" si="7"/>
        <v>20.790655884995509</v>
      </c>
      <c r="AK25" s="19"/>
      <c r="AL25" s="22">
        <v>23</v>
      </c>
      <c r="AM25" s="23">
        <v>3018</v>
      </c>
      <c r="AN25" s="23">
        <v>936.7</v>
      </c>
      <c r="AO25" s="6">
        <f t="shared" si="18"/>
        <v>2257.1084337349398</v>
      </c>
      <c r="AP25" s="27">
        <f t="shared" si="8"/>
        <v>31.037110669317428</v>
      </c>
      <c r="AQ25" s="27"/>
      <c r="AR25" s="27"/>
      <c r="BF25" s="107" t="s">
        <v>118</v>
      </c>
      <c r="BG25" s="111">
        <v>164</v>
      </c>
      <c r="BH25" s="6">
        <v>823.82052610970402</v>
      </c>
      <c r="BI25" s="11">
        <f>AVERAGE(Q21:Q50)</f>
        <v>418.33930704898449</v>
      </c>
      <c r="BJ25" s="90"/>
      <c r="BK25" s="6"/>
      <c r="BN25" s="20">
        <v>23</v>
      </c>
      <c r="BO25" s="3">
        <v>5899000</v>
      </c>
      <c r="BP25" s="3">
        <v>620900</v>
      </c>
      <c r="BQ25" s="17">
        <f t="shared" si="10"/>
        <v>3.1676955257384831</v>
      </c>
      <c r="BR25" s="19">
        <f t="shared" si="11"/>
        <v>10.525512798779454</v>
      </c>
      <c r="BU25" s="2">
        <v>16.96105919003115</v>
      </c>
      <c r="BV25" s="2">
        <v>13.284787123572171</v>
      </c>
      <c r="BW25" s="97">
        <f t="shared" si="19"/>
        <v>13.514976306626576</v>
      </c>
      <c r="BX25" s="97">
        <f t="shared" si="20"/>
        <v>1110999.35059344</v>
      </c>
    </row>
    <row r="26" spans="1:76" x14ac:dyDescent="0.25">
      <c r="A26" s="2">
        <v>24</v>
      </c>
      <c r="B26" s="3">
        <v>33620000000</v>
      </c>
      <c r="C26" s="3">
        <v>2944000000</v>
      </c>
      <c r="D26" s="4">
        <f t="shared" si="1"/>
        <v>191.26819126819126</v>
      </c>
      <c r="E26" s="1">
        <f t="shared" si="12"/>
        <v>8.7566924449732308</v>
      </c>
      <c r="F26" s="27"/>
      <c r="G26" s="2">
        <v>24</v>
      </c>
      <c r="H26" s="3">
        <v>130900000</v>
      </c>
      <c r="I26" s="99">
        <f t="shared" si="13"/>
        <v>759220000</v>
      </c>
      <c r="J26" s="3">
        <v>106900000</v>
      </c>
      <c r="K26" s="4">
        <f t="shared" si="2"/>
        <v>646.70296430732003</v>
      </c>
      <c r="L26" s="98">
        <f t="shared" si="14"/>
        <v>14.080240246568847</v>
      </c>
      <c r="N26" s="2">
        <v>24</v>
      </c>
      <c r="O26" s="3">
        <v>85730000000</v>
      </c>
      <c r="P26" s="3">
        <v>5249000000</v>
      </c>
      <c r="Q26" s="4">
        <f t="shared" si="3"/>
        <v>418.08044603743531</v>
      </c>
      <c r="R26" s="1">
        <f t="shared" si="15"/>
        <v>6.1227108363466698</v>
      </c>
      <c r="S26" s="13"/>
      <c r="T26" s="14">
        <v>24</v>
      </c>
      <c r="U26" s="3">
        <v>2931000</v>
      </c>
      <c r="V26" s="3">
        <v>368200</v>
      </c>
      <c r="W26" s="17">
        <f t="shared" si="4"/>
        <v>4.5620121422376414</v>
      </c>
      <c r="X26" s="18">
        <f t="shared" si="16"/>
        <v>12.562265438416922</v>
      </c>
      <c r="Y26" s="19"/>
      <c r="Z26" s="22">
        <v>24</v>
      </c>
      <c r="AA26" s="23">
        <v>3491</v>
      </c>
      <c r="AB26" s="23">
        <v>891.9</v>
      </c>
      <c r="AC26" s="17">
        <f t="shared" si="5"/>
        <v>13.892523364485978</v>
      </c>
      <c r="AD26" s="27">
        <f t="shared" si="17"/>
        <v>25.548553423087942</v>
      </c>
      <c r="AE26" s="19"/>
      <c r="AF26" s="22">
        <v>24</v>
      </c>
      <c r="AG26" s="23">
        <v>367800</v>
      </c>
      <c r="AH26" s="23">
        <v>59800</v>
      </c>
      <c r="AI26" s="6">
        <f t="shared" si="6"/>
        <v>2076.3888888888891</v>
      </c>
      <c r="AJ26" s="27">
        <f t="shared" si="7"/>
        <v>16.258836324089177</v>
      </c>
      <c r="AK26" s="19"/>
      <c r="AL26" s="22">
        <v>24</v>
      </c>
      <c r="AM26" s="23">
        <v>2935</v>
      </c>
      <c r="AN26" s="23">
        <v>1120</v>
      </c>
      <c r="AO26" s="6">
        <f t="shared" si="18"/>
        <v>2698.7951807228915</v>
      </c>
      <c r="AP26" s="27">
        <f t="shared" si="8"/>
        <v>38.160136286201023</v>
      </c>
      <c r="AQ26" s="27"/>
      <c r="AR26" s="27"/>
      <c r="BF26" s="108"/>
      <c r="BG26" s="112"/>
      <c r="BH26" s="10">
        <f>ABS(BH25-BG25)/BG25</f>
        <v>4.0232958909128298</v>
      </c>
      <c r="BI26" s="10">
        <f>ABS(BI25-BG25)/BG25</f>
        <v>1.5508494332255152</v>
      </c>
      <c r="BJ26" s="90">
        <f t="shared" si="21"/>
        <v>2.5942530620429265</v>
      </c>
      <c r="BK26" s="6"/>
      <c r="BL26" s="67"/>
      <c r="BN26" s="20">
        <v>24</v>
      </c>
      <c r="BO26" s="3">
        <v>5394000</v>
      </c>
      <c r="BP26" s="3">
        <v>936400</v>
      </c>
      <c r="BQ26" s="17">
        <f t="shared" si="10"/>
        <v>4.7773072802408043</v>
      </c>
      <c r="BR26" s="19">
        <f t="shared" si="11"/>
        <v>17.360029662588062</v>
      </c>
      <c r="BU26" s="2">
        <v>3857.2118055555561</v>
      </c>
      <c r="BV26" s="26">
        <v>3104.1319444444448</v>
      </c>
      <c r="BW26" s="97">
        <f t="shared" si="19"/>
        <v>567129.27721113071</v>
      </c>
      <c r="BX26" s="97">
        <f t="shared" si="20"/>
        <v>7762972.8898866996</v>
      </c>
    </row>
    <row r="27" spans="1:76" x14ac:dyDescent="0.25">
      <c r="A27" s="2">
        <v>25</v>
      </c>
      <c r="B27" s="3">
        <v>36370000000</v>
      </c>
      <c r="C27" s="3">
        <v>2677000000</v>
      </c>
      <c r="D27" s="4">
        <f t="shared" si="1"/>
        <v>173.92151767151768</v>
      </c>
      <c r="E27" s="1">
        <f t="shared" si="12"/>
        <v>7.3604619191641465</v>
      </c>
      <c r="F27" s="27"/>
      <c r="G27" s="2">
        <v>25</v>
      </c>
      <c r="H27" s="3">
        <v>121800000</v>
      </c>
      <c r="I27" s="99">
        <f t="shared" si="13"/>
        <v>706440000</v>
      </c>
      <c r="J27" s="3">
        <v>98960000</v>
      </c>
      <c r="K27" s="4">
        <f t="shared" si="2"/>
        <v>598.66908650937683</v>
      </c>
      <c r="L27" s="98">
        <f t="shared" si="14"/>
        <v>14.008266802559312</v>
      </c>
      <c r="N27" s="2">
        <v>25</v>
      </c>
      <c r="O27" s="3">
        <v>88170000000</v>
      </c>
      <c r="P27" s="3">
        <v>5473000000</v>
      </c>
      <c r="Q27" s="4">
        <f t="shared" si="3"/>
        <v>435.92194344882523</v>
      </c>
      <c r="R27" s="1">
        <f t="shared" si="15"/>
        <v>6.2073267551321312</v>
      </c>
      <c r="S27" s="13"/>
      <c r="T27" s="14">
        <v>25</v>
      </c>
      <c r="U27" s="3">
        <v>3058000</v>
      </c>
      <c r="V27" s="3">
        <v>361800</v>
      </c>
      <c r="W27" s="17">
        <f t="shared" si="4"/>
        <v>4.4827158964192781</v>
      </c>
      <c r="X27" s="18">
        <f t="shared" si="16"/>
        <v>11.831262262916939</v>
      </c>
      <c r="Y27" s="19"/>
      <c r="Z27" s="22">
        <v>25</v>
      </c>
      <c r="AA27" s="23">
        <v>3356</v>
      </c>
      <c r="AB27" s="23">
        <v>785.6</v>
      </c>
      <c r="AC27" s="17">
        <f t="shared" si="5"/>
        <v>12.236760124610591</v>
      </c>
      <c r="AD27" s="27">
        <f t="shared" si="17"/>
        <v>23.408820023837901</v>
      </c>
      <c r="AE27" s="19"/>
      <c r="AF27" s="22">
        <v>25</v>
      </c>
      <c r="AG27" s="23">
        <v>312100</v>
      </c>
      <c r="AH27" s="23">
        <v>70110</v>
      </c>
      <c r="AI27" s="6">
        <f t="shared" si="6"/>
        <v>2434.3750000000005</v>
      </c>
      <c r="AJ27" s="27">
        <f t="shared" si="7"/>
        <v>22.463953860942006</v>
      </c>
      <c r="AK27" s="19"/>
      <c r="AL27" s="22">
        <v>25</v>
      </c>
      <c r="AM27" s="23">
        <v>2596</v>
      </c>
      <c r="AN27" s="23">
        <v>1234</v>
      </c>
      <c r="AO27" s="6">
        <f t="shared" si="18"/>
        <v>2973.4939759036142</v>
      </c>
      <c r="AP27" s="27">
        <f t="shared" si="8"/>
        <v>47.534668721109398</v>
      </c>
      <c r="AQ27" s="27"/>
      <c r="AR27" s="27"/>
      <c r="BF27" s="107" t="s">
        <v>114</v>
      </c>
      <c r="BG27" s="111">
        <v>4</v>
      </c>
      <c r="BH27" s="6">
        <v>2.0230443869313355</v>
      </c>
      <c r="BI27" s="11">
        <f>AVERAGE(W21:W50)</f>
        <v>5.1215256267294427</v>
      </c>
      <c r="BJ27" s="90"/>
      <c r="BK27" s="6"/>
      <c r="BL27" s="67"/>
      <c r="BN27" s="20">
        <v>25</v>
      </c>
      <c r="BO27" s="3">
        <v>4550000</v>
      </c>
      <c r="BP27" s="3">
        <v>826800</v>
      </c>
      <c r="BQ27" s="17">
        <f t="shared" si="10"/>
        <v>4.2181521350951483</v>
      </c>
      <c r="BR27" s="19">
        <f t="shared" si="11"/>
        <v>18.171428571428571</v>
      </c>
      <c r="BU27" s="2">
        <v>2517.8313253012047</v>
      </c>
      <c r="BV27" s="26">
        <v>2362.4417670682724</v>
      </c>
      <c r="BW27" s="97">
        <f t="shared" si="19"/>
        <v>24145.914807825877</v>
      </c>
      <c r="BX27" s="97">
        <f t="shared" si="20"/>
        <v>2093319.1517900694</v>
      </c>
    </row>
    <row r="28" spans="1:76" x14ac:dyDescent="0.25">
      <c r="A28" s="2">
        <v>26</v>
      </c>
      <c r="B28" s="3">
        <v>39230000000</v>
      </c>
      <c r="C28" s="3">
        <v>2890000000</v>
      </c>
      <c r="D28" s="4">
        <f t="shared" si="1"/>
        <v>187.75987525987526</v>
      </c>
      <c r="E28" s="1">
        <f t="shared" si="12"/>
        <v>7.3668111139434105</v>
      </c>
      <c r="F28" s="27"/>
      <c r="G28" s="2">
        <v>26</v>
      </c>
      <c r="H28" s="3">
        <v>139600000</v>
      </c>
      <c r="I28" s="99">
        <f t="shared" si="13"/>
        <v>809680000</v>
      </c>
      <c r="J28" s="3">
        <v>110000000</v>
      </c>
      <c r="K28" s="4">
        <f t="shared" si="2"/>
        <v>665.45674531155476</v>
      </c>
      <c r="L28" s="98">
        <f t="shared" si="14"/>
        <v>13.585614069755954</v>
      </c>
      <c r="N28" s="2">
        <v>26</v>
      </c>
      <c r="O28" s="3">
        <v>89000000000</v>
      </c>
      <c r="P28" s="3">
        <v>4989000000</v>
      </c>
      <c r="Q28" s="4">
        <f t="shared" si="3"/>
        <v>397.37156511350059</v>
      </c>
      <c r="R28" s="1">
        <f t="shared" si="15"/>
        <v>5.6056179775280901</v>
      </c>
      <c r="S28" s="13"/>
      <c r="T28" s="14">
        <v>26</v>
      </c>
      <c r="U28" s="3">
        <v>2744000</v>
      </c>
      <c r="V28" s="3">
        <v>382200</v>
      </c>
      <c r="W28" s="17">
        <f t="shared" si="4"/>
        <v>4.7354726799653077</v>
      </c>
      <c r="X28" s="18">
        <f t="shared" si="16"/>
        <v>13.928571428571429</v>
      </c>
      <c r="Y28" s="19"/>
      <c r="Z28" s="22">
        <v>26</v>
      </c>
      <c r="AA28" s="23">
        <v>3187</v>
      </c>
      <c r="AB28" s="23">
        <v>579.4</v>
      </c>
      <c r="AC28" s="17">
        <f t="shared" si="5"/>
        <v>9.0249221183800596</v>
      </c>
      <c r="AD28" s="27">
        <f t="shared" si="17"/>
        <v>18.180106683401316</v>
      </c>
      <c r="AE28" s="19"/>
      <c r="AF28" s="22">
        <v>26</v>
      </c>
      <c r="AG28" s="23">
        <v>352800</v>
      </c>
      <c r="AH28" s="23">
        <v>62750</v>
      </c>
      <c r="AI28" s="6">
        <f t="shared" si="6"/>
        <v>2178.8194444444443</v>
      </c>
      <c r="AJ28" s="27">
        <f t="shared" si="7"/>
        <v>17.786281179138321</v>
      </c>
      <c r="AK28" s="19"/>
      <c r="AL28" s="22">
        <v>26</v>
      </c>
      <c r="AM28" s="23">
        <v>3034</v>
      </c>
      <c r="AN28" s="23">
        <v>1220</v>
      </c>
      <c r="AO28" s="6">
        <f t="shared" si="18"/>
        <v>2939.7590361445782</v>
      </c>
      <c r="AP28" s="27">
        <f t="shared" si="8"/>
        <v>40.210942649967038</v>
      </c>
      <c r="AQ28" s="27"/>
      <c r="AR28" s="27"/>
      <c r="BF28" s="108"/>
      <c r="BG28" s="112"/>
      <c r="BH28" s="10">
        <f>ABS(BH27-BG27)/BG27</f>
        <v>0.49423890326716613</v>
      </c>
      <c r="BI28" s="10">
        <f>ABS(BI27-BG27)/BG27</f>
        <v>0.28038140668236067</v>
      </c>
      <c r="BJ28" s="90">
        <f t="shared" si="21"/>
        <v>1.7627377974712888</v>
      </c>
      <c r="BK28" s="6"/>
      <c r="BL28" s="67"/>
      <c r="BN28" s="20">
        <v>26</v>
      </c>
      <c r="BO28" s="3">
        <v>5579000</v>
      </c>
      <c r="BP28" s="3">
        <v>672100</v>
      </c>
      <c r="BQ28" s="17">
        <f t="shared" si="10"/>
        <v>3.4289066884342634</v>
      </c>
      <c r="BR28" s="19">
        <f t="shared" si="11"/>
        <v>12.046961821114895</v>
      </c>
      <c r="BV28" s="2">
        <f>PEARSON(BV21:BV27,BU21:BU27)^2</f>
        <v>0.98642776892816386</v>
      </c>
      <c r="BW28" s="97"/>
      <c r="BX28" s="97" cm="1">
        <f t="array" ref="BX28">1-SUM(BW21:BW27/BX21:BX27)</f>
        <v>0.82283515457988432</v>
      </c>
    </row>
    <row r="29" spans="1:76" x14ac:dyDescent="0.25">
      <c r="A29" s="2">
        <v>27</v>
      </c>
      <c r="B29" s="3">
        <v>35280000000</v>
      </c>
      <c r="C29" s="3">
        <v>2728000000</v>
      </c>
      <c r="D29" s="4">
        <f t="shared" si="1"/>
        <v>177.23492723492726</v>
      </c>
      <c r="E29" s="1">
        <f t="shared" si="12"/>
        <v>7.7324263038548757</v>
      </c>
      <c r="F29" s="27"/>
      <c r="G29" s="2">
        <v>27</v>
      </c>
      <c r="H29" s="3">
        <v>144600000</v>
      </c>
      <c r="I29" s="99">
        <f t="shared" si="13"/>
        <v>838680000</v>
      </c>
      <c r="J29" s="3">
        <v>115500000</v>
      </c>
      <c r="K29" s="4">
        <f t="shared" si="2"/>
        <v>698.72958257713253</v>
      </c>
      <c r="L29" s="98">
        <f t="shared" si="14"/>
        <v>13.771641150379168</v>
      </c>
      <c r="N29" s="2">
        <v>27</v>
      </c>
      <c r="O29" s="3">
        <v>90590000000</v>
      </c>
      <c r="P29" s="3">
        <v>5305000000</v>
      </c>
      <c r="Q29" s="4">
        <f t="shared" si="3"/>
        <v>422.54082039028276</v>
      </c>
      <c r="R29" s="1">
        <f t="shared" si="15"/>
        <v>5.8560547521801523</v>
      </c>
      <c r="S29" s="13"/>
      <c r="T29" s="14">
        <v>27</v>
      </c>
      <c r="U29" s="3">
        <v>3356000</v>
      </c>
      <c r="V29" s="3">
        <v>369900</v>
      </c>
      <c r="W29" s="17">
        <f t="shared" si="4"/>
        <v>4.5830752075331436</v>
      </c>
      <c r="X29" s="18">
        <f t="shared" si="16"/>
        <v>11.022050059594756</v>
      </c>
      <c r="Y29" s="19"/>
      <c r="Z29" s="22">
        <v>27</v>
      </c>
      <c r="AA29" s="23">
        <v>3276</v>
      </c>
      <c r="AB29" s="23">
        <v>889.2</v>
      </c>
      <c r="AC29" s="17">
        <f t="shared" si="5"/>
        <v>13.850467289719626</v>
      </c>
      <c r="AD29" s="27">
        <f t="shared" si="17"/>
        <v>27.142857142857142</v>
      </c>
      <c r="AE29" s="19"/>
      <c r="AF29" s="22">
        <v>27</v>
      </c>
      <c r="AG29" s="23">
        <v>323500</v>
      </c>
      <c r="AH29" s="23">
        <v>65320</v>
      </c>
      <c r="AI29" s="6">
        <f t="shared" si="6"/>
        <v>2268.0555555555557</v>
      </c>
      <c r="AJ29" s="27">
        <f t="shared" si="7"/>
        <v>20.191653786707882</v>
      </c>
      <c r="AK29" s="19"/>
      <c r="AL29" s="22">
        <v>27</v>
      </c>
      <c r="AM29" s="23">
        <v>2863</v>
      </c>
      <c r="AN29" s="23">
        <v>1148</v>
      </c>
      <c r="AO29" s="6">
        <f t="shared" si="18"/>
        <v>2766.265060240964</v>
      </c>
      <c r="AP29" s="27">
        <f t="shared" si="8"/>
        <v>40.097799511002442</v>
      </c>
      <c r="AQ29" s="27"/>
      <c r="AR29" s="27"/>
      <c r="BF29" s="107" t="s">
        <v>115</v>
      </c>
      <c r="BG29" s="109">
        <v>16.96105919003115</v>
      </c>
      <c r="BH29" s="6">
        <v>114.02103795639817</v>
      </c>
      <c r="BI29" s="11">
        <f>AVERAGE(AC21:AC50)</f>
        <v>13.284787123572171</v>
      </c>
      <c r="BJ29" s="90"/>
      <c r="BK29" s="6"/>
      <c r="BL29" s="67"/>
      <c r="BN29" s="20">
        <v>27</v>
      </c>
      <c r="BO29" s="3">
        <v>5420000</v>
      </c>
      <c r="BP29" s="3">
        <v>792000</v>
      </c>
      <c r="BQ29" s="17">
        <f t="shared" si="10"/>
        <v>4.0406101729503598</v>
      </c>
      <c r="BR29" s="19">
        <f t="shared" si="11"/>
        <v>14.612546125461254</v>
      </c>
    </row>
    <row r="30" spans="1:76" x14ac:dyDescent="0.25">
      <c r="A30" s="2">
        <v>28</v>
      </c>
      <c r="B30" s="3">
        <v>32760000000</v>
      </c>
      <c r="C30" s="3">
        <v>2889000000</v>
      </c>
      <c r="D30" s="4">
        <f t="shared" si="1"/>
        <v>187.69490644490642</v>
      </c>
      <c r="E30" s="1">
        <f t="shared" si="12"/>
        <v>8.8186813186813193</v>
      </c>
      <c r="F30" s="27"/>
      <c r="G30" s="2">
        <v>28</v>
      </c>
      <c r="H30" s="3">
        <v>134400000</v>
      </c>
      <c r="I30" s="99">
        <f t="shared" si="13"/>
        <v>779520000</v>
      </c>
      <c r="J30" s="3">
        <v>106500000</v>
      </c>
      <c r="K30" s="4">
        <f t="shared" si="2"/>
        <v>644.28312159709617</v>
      </c>
      <c r="L30" s="98">
        <f t="shared" si="14"/>
        <v>13.662253694581281</v>
      </c>
      <c r="N30" s="2">
        <v>28</v>
      </c>
      <c r="O30" s="3">
        <v>89570000000</v>
      </c>
      <c r="P30" s="3">
        <v>5315000000</v>
      </c>
      <c r="Q30" s="4">
        <f t="shared" si="3"/>
        <v>423.33731581043406</v>
      </c>
      <c r="R30" s="1">
        <f t="shared" si="15"/>
        <v>5.9339064418890253</v>
      </c>
      <c r="S30" s="13"/>
      <c r="T30" s="14">
        <v>28</v>
      </c>
      <c r="U30" s="3">
        <v>2854000</v>
      </c>
      <c r="V30" s="3">
        <v>431900</v>
      </c>
      <c r="W30" s="17">
        <f t="shared" si="4"/>
        <v>5.3512575888985259</v>
      </c>
      <c r="X30" s="18">
        <f t="shared" si="16"/>
        <v>15.133146461107218</v>
      </c>
      <c r="Y30" s="19"/>
      <c r="Z30" s="22">
        <v>28</v>
      </c>
      <c r="AA30" s="23">
        <v>3629</v>
      </c>
      <c r="AB30" s="23">
        <v>772</v>
      </c>
      <c r="AC30" s="17">
        <f t="shared" si="5"/>
        <v>12.024922118380061</v>
      </c>
      <c r="AD30" s="27">
        <f t="shared" si="17"/>
        <v>21.273077982915403</v>
      </c>
      <c r="AE30" s="19"/>
      <c r="AF30" s="22">
        <v>28</v>
      </c>
      <c r="AG30" s="23">
        <v>331900</v>
      </c>
      <c r="AH30" s="23">
        <v>59920</v>
      </c>
      <c r="AI30" s="6">
        <f t="shared" si="6"/>
        <v>2080.5555555555557</v>
      </c>
      <c r="AJ30" s="27">
        <f t="shared" si="7"/>
        <v>18.053630611630009</v>
      </c>
      <c r="AK30" s="19"/>
      <c r="AL30" s="22">
        <v>28</v>
      </c>
      <c r="AM30" s="23">
        <v>3462</v>
      </c>
      <c r="AN30" s="23">
        <v>567.1</v>
      </c>
      <c r="AO30" s="6">
        <f t="shared" si="18"/>
        <v>1366.5060240963855</v>
      </c>
      <c r="AP30" s="27">
        <f t="shared" si="8"/>
        <v>16.380704794916234</v>
      </c>
      <c r="AQ30" s="27"/>
      <c r="AR30" s="27"/>
      <c r="BF30" s="108"/>
      <c r="BG30" s="110"/>
      <c r="BH30" s="10">
        <f>ABS(BH29-BG29)/BG29</f>
        <v>5.7225187223810856</v>
      </c>
      <c r="BI30" s="10">
        <f>ABS(BI29-BG29)/BG29</f>
        <v>0.21674778828787447</v>
      </c>
      <c r="BJ30" s="90">
        <f t="shared" si="21"/>
        <v>26.40173986357221</v>
      </c>
      <c r="BK30" s="6"/>
      <c r="BL30" s="67"/>
      <c r="BN30" s="20">
        <v>28</v>
      </c>
      <c r="BO30" s="3">
        <v>4930000</v>
      </c>
      <c r="BP30" s="3">
        <v>776700</v>
      </c>
      <c r="BQ30" s="17">
        <f t="shared" si="10"/>
        <v>3.9625529309729099</v>
      </c>
      <c r="BR30" s="19">
        <f t="shared" si="11"/>
        <v>15.754563894523326</v>
      </c>
    </row>
    <row r="31" spans="1:76" x14ac:dyDescent="0.25">
      <c r="A31" s="2">
        <v>29</v>
      </c>
      <c r="B31" s="3">
        <v>36190000000</v>
      </c>
      <c r="C31" s="3">
        <v>2763000000</v>
      </c>
      <c r="D31" s="4">
        <f t="shared" si="1"/>
        <v>179.50883575883574</v>
      </c>
      <c r="E31" s="1">
        <f t="shared" si="12"/>
        <v>7.6347057198121027</v>
      </c>
      <c r="F31" s="27"/>
      <c r="G31" s="2">
        <v>29</v>
      </c>
      <c r="H31" s="3">
        <v>136200000</v>
      </c>
      <c r="I31" s="99">
        <f t="shared" si="13"/>
        <v>789960000</v>
      </c>
      <c r="J31" s="3">
        <v>110600000</v>
      </c>
      <c r="K31" s="4">
        <f t="shared" si="2"/>
        <v>669.0865093768906</v>
      </c>
      <c r="L31" s="98">
        <f t="shared" si="14"/>
        <v>14.000708896652995</v>
      </c>
      <c r="N31" s="2">
        <v>29</v>
      </c>
      <c r="O31" s="3">
        <v>91440000000</v>
      </c>
      <c r="P31" s="3">
        <v>5188000000</v>
      </c>
      <c r="Q31" s="4">
        <f t="shared" si="3"/>
        <v>413.22182397451218</v>
      </c>
      <c r="R31" s="1">
        <f t="shared" si="15"/>
        <v>5.6736657917760276</v>
      </c>
      <c r="S31" s="13"/>
      <c r="T31" s="14">
        <v>29</v>
      </c>
      <c r="U31" s="3">
        <v>2714000</v>
      </c>
      <c r="V31" s="3">
        <v>351700</v>
      </c>
      <c r="W31" s="17">
        <f t="shared" si="4"/>
        <v>4.3575765084871767</v>
      </c>
      <c r="X31" s="18">
        <f t="shared" si="16"/>
        <v>12.958732498157701</v>
      </c>
      <c r="Y31" s="19"/>
      <c r="Z31" s="22">
        <v>29</v>
      </c>
      <c r="AA31" s="23">
        <v>3693</v>
      </c>
      <c r="AB31" s="23">
        <v>782.1</v>
      </c>
      <c r="AC31" s="17">
        <f t="shared" si="5"/>
        <v>12.182242990654204</v>
      </c>
      <c r="AD31" s="27">
        <f t="shared" si="17"/>
        <v>21.177904142973194</v>
      </c>
      <c r="AE31" s="19"/>
      <c r="AF31" s="22">
        <v>29</v>
      </c>
      <c r="AG31" s="23">
        <v>333300</v>
      </c>
      <c r="AH31" s="23">
        <v>65280</v>
      </c>
      <c r="AI31" s="6">
        <f t="shared" si="6"/>
        <v>2266.666666666667</v>
      </c>
      <c r="AJ31" s="27">
        <f t="shared" si="7"/>
        <v>19.585958595859587</v>
      </c>
      <c r="AK31" s="19"/>
      <c r="AL31" s="22">
        <v>29</v>
      </c>
      <c r="AM31" s="23">
        <v>2837</v>
      </c>
      <c r="AN31" s="23">
        <v>1294</v>
      </c>
      <c r="AO31" s="6">
        <f t="shared" si="18"/>
        <v>3118.0722891566265</v>
      </c>
      <c r="AP31" s="27">
        <f t="shared" si="8"/>
        <v>45.61156150863588</v>
      </c>
      <c r="AQ31" s="27"/>
      <c r="AR31" s="27"/>
      <c r="BF31" s="107" t="s">
        <v>116</v>
      </c>
      <c r="BG31" s="109">
        <v>3857.2118055555561</v>
      </c>
      <c r="BH31" s="6">
        <v>7644</v>
      </c>
      <c r="BI31" s="11">
        <f>AVERAGE(AI21:AI50)</f>
        <v>2313.5706018518522</v>
      </c>
      <c r="BJ31" s="90"/>
      <c r="BK31" s="6"/>
      <c r="BL31" s="67"/>
      <c r="BN31" s="20">
        <v>29</v>
      </c>
      <c r="BO31" s="3">
        <v>5294000</v>
      </c>
      <c r="BP31" s="3">
        <v>776100</v>
      </c>
      <c r="BQ31" s="17">
        <f t="shared" si="10"/>
        <v>3.9594918626600686</v>
      </c>
      <c r="BR31" s="19">
        <f t="shared" si="11"/>
        <v>14.65999244427654</v>
      </c>
    </row>
    <row r="32" spans="1:76" x14ac:dyDescent="0.25">
      <c r="A32" s="2">
        <v>30</v>
      </c>
      <c r="B32" s="3">
        <v>32430000000</v>
      </c>
      <c r="C32" s="3">
        <v>3110000000</v>
      </c>
      <c r="D32" s="4">
        <f t="shared" si="1"/>
        <v>202.05301455301455</v>
      </c>
      <c r="E32" s="1">
        <f t="shared" si="12"/>
        <v>9.5898859081097747</v>
      </c>
      <c r="F32" s="27"/>
      <c r="G32" s="2">
        <v>30</v>
      </c>
      <c r="H32" s="3">
        <v>140700000</v>
      </c>
      <c r="I32" s="99">
        <f t="shared" si="13"/>
        <v>816060000</v>
      </c>
      <c r="J32" s="3">
        <v>113200000</v>
      </c>
      <c r="K32" s="4">
        <f t="shared" si="2"/>
        <v>684.81548699334553</v>
      </c>
      <c r="L32" s="98">
        <f t="shared" si="14"/>
        <v>13.871529054236207</v>
      </c>
      <c r="N32" s="2">
        <v>30</v>
      </c>
      <c r="O32" s="3">
        <v>85650000000</v>
      </c>
      <c r="P32" s="3">
        <v>5586000000</v>
      </c>
      <c r="Q32" s="4">
        <f t="shared" si="3"/>
        <v>444.92234169653528</v>
      </c>
      <c r="R32" s="1">
        <f t="shared" si="15"/>
        <v>6.5218914185639232</v>
      </c>
      <c r="S32" s="13"/>
      <c r="T32" s="14">
        <v>30</v>
      </c>
      <c r="U32" s="3">
        <v>2463000</v>
      </c>
      <c r="V32" s="3">
        <v>463600</v>
      </c>
      <c r="W32" s="17">
        <f t="shared" si="4"/>
        <v>5.7440218064676012</v>
      </c>
      <c r="X32" s="18">
        <f t="shared" si="16"/>
        <v>18.822574096630127</v>
      </c>
      <c r="Y32" s="19"/>
      <c r="Z32" s="22">
        <v>30</v>
      </c>
      <c r="AA32" s="23">
        <v>3928</v>
      </c>
      <c r="AB32" s="23">
        <v>996.4</v>
      </c>
      <c r="AC32" s="17">
        <f t="shared" si="5"/>
        <v>15.520249221183798</v>
      </c>
      <c r="AD32" s="27">
        <f t="shared" si="17"/>
        <v>25.366598778004072</v>
      </c>
      <c r="AE32" s="19"/>
      <c r="AF32" s="22">
        <v>30</v>
      </c>
      <c r="AG32" s="23">
        <v>339200</v>
      </c>
      <c r="AH32" s="23">
        <v>59710</v>
      </c>
      <c r="AI32" s="6">
        <f t="shared" si="6"/>
        <v>2073.2638888888891</v>
      </c>
      <c r="AJ32" s="27">
        <f t="shared" si="7"/>
        <v>17.603183962264151</v>
      </c>
      <c r="AK32" s="19"/>
      <c r="AL32" s="22">
        <v>30</v>
      </c>
      <c r="AM32" s="23">
        <v>3012</v>
      </c>
      <c r="AN32" s="23">
        <v>999.3</v>
      </c>
      <c r="AO32" s="6">
        <f t="shared" si="18"/>
        <v>2407.9518072289152</v>
      </c>
      <c r="AP32" s="27">
        <f t="shared" si="8"/>
        <v>33.177290836653384</v>
      </c>
      <c r="AQ32" s="27"/>
      <c r="AR32" s="27"/>
      <c r="BF32" s="108"/>
      <c r="BG32" s="110"/>
      <c r="BH32" s="10">
        <f>ABS(BH31-BG31)/BG31</f>
        <v>0.98174235311380076</v>
      </c>
      <c r="BI32" s="10">
        <f>ABS(BI31-BG31)/BG31</f>
        <v>0.40019612132276272</v>
      </c>
      <c r="BJ32" s="90">
        <f t="shared" si="21"/>
        <v>2.453153093710307</v>
      </c>
      <c r="BK32" s="6"/>
      <c r="BL32" s="67"/>
      <c r="BN32" s="20">
        <v>30</v>
      </c>
      <c r="BO32" s="3">
        <v>6050000</v>
      </c>
      <c r="BP32" s="3">
        <v>671200</v>
      </c>
      <c r="BQ32" s="17">
        <f t="shared" si="10"/>
        <v>3.4243150859650018</v>
      </c>
      <c r="BR32" s="19">
        <f t="shared" si="11"/>
        <v>11.094214876033059</v>
      </c>
    </row>
    <row r="33" spans="4:72" x14ac:dyDescent="0.25">
      <c r="D33" s="4"/>
      <c r="E33" s="1"/>
      <c r="F33" s="27"/>
      <c r="H33" s="3"/>
      <c r="I33" s="99"/>
      <c r="J33" s="3"/>
      <c r="K33" s="58"/>
      <c r="L33" s="4"/>
      <c r="U33" s="91"/>
      <c r="AA33" s="90"/>
      <c r="AG33" s="90"/>
      <c r="AM33" s="90"/>
      <c r="BF33" s="107" t="s">
        <v>117</v>
      </c>
      <c r="BG33" s="109">
        <v>2517.8313253012047</v>
      </c>
      <c r="BH33" s="6">
        <v>10305.047717609019</v>
      </c>
      <c r="BI33" s="11">
        <v>2141.6999999999998</v>
      </c>
      <c r="BJ33" s="90"/>
    </row>
    <row r="34" spans="4:72" x14ac:dyDescent="0.25">
      <c r="D34" s="4"/>
      <c r="E34" s="1"/>
      <c r="F34" s="27"/>
      <c r="H34" s="3"/>
      <c r="I34" s="99"/>
      <c r="J34" s="3"/>
      <c r="K34" s="4"/>
      <c r="L34" s="4"/>
      <c r="U34" s="92"/>
      <c r="V34" s="3"/>
      <c r="AN34" s="3"/>
      <c r="BF34" s="108"/>
      <c r="BG34" s="110"/>
      <c r="BH34" s="10">
        <f>ABS(BH33-BG33)/BG33</f>
        <v>3.0928268760721056</v>
      </c>
      <c r="BI34" s="10">
        <f>ABS(BI33-BG33)/BG33</f>
        <v>0.14938702268159637</v>
      </c>
      <c r="BJ34" s="90">
        <f t="shared" si="21"/>
        <v>20.70345081221787</v>
      </c>
    </row>
    <row r="35" spans="4:72" x14ac:dyDescent="0.25">
      <c r="D35" s="4"/>
      <c r="E35" s="1"/>
      <c r="F35" s="27"/>
      <c r="H35" s="3"/>
      <c r="I35" s="99"/>
      <c r="J35" s="3"/>
      <c r="K35" s="4"/>
      <c r="L35" s="101"/>
      <c r="U35" s="3"/>
      <c r="V35" s="3"/>
      <c r="AN35" s="3"/>
      <c r="AU35" s="2">
        <v>1</v>
      </c>
      <c r="BI35" s="94">
        <f>AVERAGE(BI20:BI34)</f>
        <v>410.49207617432143</v>
      </c>
      <c r="BJ35" s="61">
        <f>AVERAGE(BJ1:BJ34)</f>
        <v>9.6779687953109903</v>
      </c>
    </row>
    <row r="36" spans="4:72" x14ac:dyDescent="0.25">
      <c r="D36" s="4"/>
      <c r="E36" s="1"/>
      <c r="F36" s="27"/>
      <c r="H36" s="3"/>
      <c r="I36" s="99"/>
      <c r="J36" s="3"/>
      <c r="K36" s="4"/>
      <c r="L36" s="4"/>
      <c r="U36" s="3"/>
      <c r="V36" s="3"/>
      <c r="AN36" s="3"/>
      <c r="AU36" s="2">
        <v>10000</v>
      </c>
      <c r="BH36" s="95"/>
      <c r="BI36" s="95">
        <f>AVERAGE(BI22,BI24,BI28,BI32,BI34,BI30)</f>
        <v>0.21632345462100974</v>
      </c>
    </row>
    <row r="37" spans="4:72" x14ac:dyDescent="0.25">
      <c r="D37" s="4"/>
      <c r="E37" s="1"/>
      <c r="F37" s="27"/>
      <c r="H37" s="3"/>
      <c r="I37" s="99"/>
      <c r="J37" s="3"/>
      <c r="K37" s="17"/>
      <c r="L37" s="4"/>
      <c r="U37" s="3"/>
      <c r="V37" s="3"/>
      <c r="AN37" s="3"/>
    </row>
    <row r="38" spans="4:72" x14ac:dyDescent="0.25">
      <c r="D38" s="4"/>
      <c r="E38" s="1"/>
      <c r="F38" s="27"/>
      <c r="H38" s="3"/>
      <c r="I38" s="99"/>
      <c r="J38" s="3"/>
      <c r="K38" s="17"/>
      <c r="L38" s="4"/>
      <c r="U38" s="3"/>
      <c r="V38" s="3"/>
      <c r="AN38" s="3"/>
    </row>
    <row r="39" spans="4:72" x14ac:dyDescent="0.25">
      <c r="D39" s="4"/>
      <c r="E39" s="1"/>
      <c r="F39" s="27"/>
      <c r="H39" s="3"/>
      <c r="I39" s="99"/>
      <c r="J39" s="3"/>
      <c r="K39" s="4"/>
      <c r="L39" s="4"/>
      <c r="U39" s="3"/>
      <c r="V39" s="3"/>
      <c r="AN39" s="3"/>
    </row>
    <row r="40" spans="4:72" x14ac:dyDescent="0.25">
      <c r="D40" s="4"/>
      <c r="E40" s="1"/>
      <c r="F40" s="27"/>
      <c r="H40" s="3"/>
      <c r="I40" s="99"/>
      <c r="J40" s="3"/>
      <c r="K40" s="4"/>
      <c r="L40" s="4"/>
      <c r="U40" s="3"/>
      <c r="V40" s="3"/>
      <c r="AN40" s="3"/>
    </row>
    <row r="41" spans="4:72" x14ac:dyDescent="0.25">
      <c r="D41" s="4"/>
      <c r="E41" s="1"/>
      <c r="F41" s="27"/>
      <c r="H41" s="3"/>
      <c r="I41" s="99"/>
      <c r="J41" s="3"/>
      <c r="K41" s="4"/>
      <c r="L41" s="4"/>
      <c r="U41" s="3"/>
      <c r="V41" s="3"/>
      <c r="AN41" s="3"/>
      <c r="BN41" s="20" t="s">
        <v>122</v>
      </c>
      <c r="BO41" s="20">
        <v>704</v>
      </c>
      <c r="BP41" s="4">
        <v>1042.0523299839299</v>
      </c>
      <c r="BQ41" s="4">
        <v>664.48074208509786</v>
      </c>
      <c r="BR41" s="20">
        <f>(BO41-AVERAGE($BO$41:$BO$47))^2</f>
        <v>134689.43935669333</v>
      </c>
      <c r="BS41" s="6">
        <f t="shared" ref="BS41:BT47" si="22">(BP41-$BO41)^2</f>
        <v>114279.37780756383</v>
      </c>
      <c r="BT41" s="6">
        <f t="shared" si="22"/>
        <v>1561.7717461445554</v>
      </c>
    </row>
    <row r="42" spans="4:72" x14ac:dyDescent="0.25">
      <c r="D42" s="4"/>
      <c r="E42" s="1"/>
      <c r="F42" s="27"/>
      <c r="H42" s="3"/>
      <c r="I42" s="99"/>
      <c r="J42" s="3"/>
      <c r="K42" s="4"/>
      <c r="L42" s="4"/>
      <c r="U42" s="3"/>
      <c r="V42" s="3"/>
      <c r="AN42" s="3"/>
      <c r="AT42" s="28" t="s">
        <v>37</v>
      </c>
      <c r="AU42" s="28" t="s">
        <v>10</v>
      </c>
      <c r="AV42" s="28" t="s">
        <v>11</v>
      </c>
      <c r="AW42" s="28" t="s">
        <v>8</v>
      </c>
      <c r="AX42" s="28" t="s">
        <v>9</v>
      </c>
      <c r="AZ42" s="28" t="s">
        <v>12</v>
      </c>
      <c r="BA42" s="28" t="s">
        <v>13</v>
      </c>
      <c r="BB42" s="28"/>
      <c r="BD42" s="93" t="s">
        <v>4</v>
      </c>
      <c r="BE42" s="93" t="s">
        <v>5</v>
      </c>
      <c r="BF42" s="93" t="s">
        <v>7</v>
      </c>
      <c r="BG42" s="93" t="s">
        <v>38</v>
      </c>
      <c r="BH42" s="93" t="s">
        <v>31</v>
      </c>
      <c r="BI42" s="93" t="s">
        <v>32</v>
      </c>
      <c r="BN42" s="20" t="s">
        <v>113</v>
      </c>
      <c r="BO42" s="20">
        <v>233</v>
      </c>
      <c r="BP42" s="4">
        <v>472.84451079299544</v>
      </c>
      <c r="BQ42" s="4">
        <v>190.75617513117516</v>
      </c>
      <c r="BR42" s="105">
        <f t="shared" ref="BR42:BR47" si="23">(BO42-AVERAGE($BO$41:$BO$47))^2</f>
        <v>702245.00321727584</v>
      </c>
      <c r="BS42" s="6">
        <f t="shared" si="22"/>
        <v>57525.389357531305</v>
      </c>
      <c r="BT42" s="6">
        <f t="shared" si="22"/>
        <v>1784.5407395479444</v>
      </c>
    </row>
    <row r="43" spans="4:72" x14ac:dyDescent="0.25">
      <c r="D43" s="4"/>
      <c r="E43" s="1"/>
      <c r="F43" s="27"/>
      <c r="H43" s="3"/>
      <c r="I43" s="99"/>
      <c r="J43" s="3"/>
      <c r="K43" s="4"/>
      <c r="L43" s="4"/>
      <c r="U43" s="3"/>
      <c r="V43" s="3"/>
      <c r="AN43" s="3"/>
      <c r="AT43" s="2" t="s">
        <v>4</v>
      </c>
      <c r="AU43" s="2">
        <v>57</v>
      </c>
      <c r="AV43" s="2">
        <v>2.9</v>
      </c>
      <c r="AW43" s="6">
        <v>704</v>
      </c>
      <c r="AX43" s="6">
        <v>664.48074208509797</v>
      </c>
      <c r="AY43" s="6"/>
      <c r="AZ43" s="6">
        <v>-5.6135309538213107E-2</v>
      </c>
      <c r="BA43" s="6">
        <v>-0.20399999999999999</v>
      </c>
      <c r="BD43" s="6">
        <v>704</v>
      </c>
      <c r="BE43" s="6">
        <v>233</v>
      </c>
      <c r="BF43" s="6">
        <v>164</v>
      </c>
      <c r="BG43" s="6">
        <v>4.5999999999999996</v>
      </c>
      <c r="BH43" s="6">
        <v>16.96105919003115</v>
      </c>
      <c r="BI43" s="6">
        <v>3857.2118055555561</v>
      </c>
      <c r="BN43" s="20" t="s">
        <v>118</v>
      </c>
      <c r="BO43" s="20">
        <v>164</v>
      </c>
      <c r="BP43" s="4">
        <v>823.82052610970402</v>
      </c>
      <c r="BQ43" s="4">
        <v>418.33930704898449</v>
      </c>
      <c r="BR43" s="105">
        <f t="shared" si="23"/>
        <v>822650.08582105546</v>
      </c>
      <c r="BS43" s="6">
        <f t="shared" si="22"/>
        <v>435363.12667568662</v>
      </c>
      <c r="BT43" s="6">
        <f t="shared" si="22"/>
        <v>64688.483110157613</v>
      </c>
    </row>
    <row r="44" spans="4:72" x14ac:dyDescent="0.25">
      <c r="D44" s="4"/>
      <c r="E44" s="1"/>
      <c r="F44" s="27"/>
      <c r="H44" s="3"/>
      <c r="I44" s="99"/>
      <c r="J44" s="3"/>
      <c r="K44" s="4"/>
      <c r="L44" s="4"/>
      <c r="U44" s="3"/>
      <c r="V44" s="3"/>
      <c r="AN44" s="3"/>
      <c r="AT44" s="2" t="s">
        <v>5</v>
      </c>
      <c r="AU44" s="2">
        <v>74</v>
      </c>
      <c r="AV44" s="2">
        <v>208</v>
      </c>
      <c r="AW44" s="6">
        <v>233</v>
      </c>
      <c r="AX44" s="6">
        <v>189.50212231462231</v>
      </c>
      <c r="AY44" s="6"/>
      <c r="AZ44" s="6">
        <v>-0.1866861703235094</v>
      </c>
      <c r="BA44" s="6">
        <v>0.47899999999999998</v>
      </c>
      <c r="BD44" s="6">
        <v>664.48074208509797</v>
      </c>
      <c r="BE44" s="6">
        <v>189.50212231462231</v>
      </c>
      <c r="BF44" s="6">
        <v>418.18930041152265</v>
      </c>
      <c r="BG44" s="6">
        <v>5.0125552389212409</v>
      </c>
      <c r="BH44" s="6">
        <v>13.094340602284527</v>
      </c>
      <c r="BI44" s="6">
        <v>2345.6250000000005</v>
      </c>
      <c r="BN44" s="20" t="s">
        <v>114</v>
      </c>
      <c r="BO44" s="28">
        <v>4</v>
      </c>
      <c r="BP44" s="4">
        <v>2.0230443869313355</v>
      </c>
      <c r="BQ44" s="4">
        <v>5.1215256267294427</v>
      </c>
      <c r="BR44" s="105">
        <f t="shared" si="23"/>
        <v>1138490.2773660517</v>
      </c>
      <c r="BS44" s="6">
        <f t="shared" si="22"/>
        <v>3.908353496043699</v>
      </c>
      <c r="BT44" s="6">
        <f t="shared" si="22"/>
        <v>1.2578197314108692</v>
      </c>
    </row>
    <row r="45" spans="4:72" x14ac:dyDescent="0.25">
      <c r="D45" s="4"/>
      <c r="E45" s="1"/>
      <c r="F45" s="27"/>
      <c r="H45" s="3"/>
      <c r="I45" s="99"/>
      <c r="J45" s="3"/>
      <c r="K45" s="4"/>
      <c r="L45" s="4"/>
      <c r="U45" s="3"/>
      <c r="V45" s="3"/>
      <c r="AN45" s="3"/>
      <c r="AT45" s="2" t="s">
        <v>7</v>
      </c>
      <c r="AU45" s="2">
        <v>81</v>
      </c>
      <c r="AV45" s="2">
        <v>155</v>
      </c>
      <c r="AW45" s="6">
        <v>164</v>
      </c>
      <c r="AX45" s="6">
        <v>418.18930041152265</v>
      </c>
      <c r="AY45" s="6"/>
      <c r="AZ45" s="6">
        <v>1.5499347586068455</v>
      </c>
      <c r="BA45" s="6">
        <v>1.8160000000000001</v>
      </c>
      <c r="BN45" s="20" t="s">
        <v>115</v>
      </c>
      <c r="BO45" s="28">
        <v>16.96105919003115</v>
      </c>
      <c r="BP45" s="4">
        <v>114.02103795639817</v>
      </c>
      <c r="BQ45" s="4">
        <v>13.284787123572171</v>
      </c>
      <c r="BR45" s="105">
        <f t="shared" si="23"/>
        <v>1110999.35059344</v>
      </c>
      <c r="BS45" s="6">
        <f t="shared" si="22"/>
        <v>9420.6394781276176</v>
      </c>
      <c r="BT45" s="6">
        <f t="shared" si="22"/>
        <v>13.514976306626576</v>
      </c>
    </row>
    <row r="46" spans="4:72" x14ac:dyDescent="0.25">
      <c r="D46" s="4"/>
      <c r="E46" s="1"/>
      <c r="F46" s="27"/>
      <c r="H46" s="3"/>
      <c r="I46" s="99"/>
      <c r="J46" s="3"/>
      <c r="K46" s="4"/>
      <c r="L46" s="4"/>
      <c r="U46" s="3"/>
      <c r="V46" s="3"/>
      <c r="AN46" s="3"/>
      <c r="AT46" s="2" t="s">
        <v>38</v>
      </c>
      <c r="AU46" s="2">
        <v>7</v>
      </c>
      <c r="AV46" s="2">
        <v>11.53</v>
      </c>
      <c r="AW46" s="6">
        <v>4.5999999999999996</v>
      </c>
      <c r="AX46" s="6">
        <v>5.0125552389212409</v>
      </c>
      <c r="AY46" s="6"/>
      <c r="AZ46" s="6">
        <v>0.26006919027683273</v>
      </c>
      <c r="BA46" s="6">
        <v>0.69051814467864669</v>
      </c>
      <c r="BN46" s="20" t="s">
        <v>116</v>
      </c>
      <c r="BO46" s="20">
        <v>3857.2118055555561</v>
      </c>
      <c r="BP46" s="4">
        <v>7644</v>
      </c>
      <c r="BQ46" s="4">
        <v>2313.5706018518522</v>
      </c>
      <c r="BR46" s="105">
        <f t="shared" si="23"/>
        <v>7762972.8898866996</v>
      </c>
      <c r="BS46" s="6">
        <f t="shared" si="22"/>
        <v>14339764.829583811</v>
      </c>
      <c r="BT46" s="6">
        <f t="shared" si="22"/>
        <v>2382828.1657718201</v>
      </c>
    </row>
    <row r="47" spans="4:72" x14ac:dyDescent="0.25">
      <c r="D47" s="4"/>
      <c r="E47" s="1"/>
      <c r="F47" s="27"/>
      <c r="H47" s="3"/>
      <c r="I47" s="99"/>
      <c r="J47" s="3"/>
      <c r="K47" s="4"/>
      <c r="L47" s="4"/>
      <c r="U47" s="3"/>
      <c r="V47" s="3"/>
      <c r="AN47" s="3"/>
      <c r="AT47" s="2" t="s">
        <v>31</v>
      </c>
      <c r="AU47" s="2">
        <v>6</v>
      </c>
      <c r="AV47" s="2">
        <v>1.0700000000000001E-2</v>
      </c>
      <c r="AW47" s="6">
        <v>16.96105919003115</v>
      </c>
      <c r="AX47" s="6">
        <v>13.094340602284527</v>
      </c>
      <c r="AY47" s="6"/>
      <c r="AZ47" s="6">
        <v>-0.22797624514035564</v>
      </c>
      <c r="BA47" s="6">
        <v>0.10163865674840042</v>
      </c>
      <c r="BN47" s="20" t="s">
        <v>117</v>
      </c>
      <c r="BO47" s="20">
        <v>2517.8313253012047</v>
      </c>
      <c r="BP47" s="4">
        <v>10305.047717609019</v>
      </c>
      <c r="BQ47" s="4">
        <v>2141.6999999999998</v>
      </c>
      <c r="BR47" s="105">
        <f t="shared" si="23"/>
        <v>2093319.1517900694</v>
      </c>
      <c r="BS47" s="6">
        <f t="shared" si="22"/>
        <v>60640739.140627526</v>
      </c>
      <c r="BT47" s="6">
        <f t="shared" si="22"/>
        <v>141474.77387284083</v>
      </c>
    </row>
    <row r="48" spans="4:72" x14ac:dyDescent="0.25">
      <c r="D48" s="4"/>
      <c r="E48" s="1"/>
      <c r="F48" s="27"/>
      <c r="H48" s="3"/>
      <c r="I48" s="99"/>
      <c r="J48" s="3"/>
      <c r="K48" s="4"/>
      <c r="L48" s="4"/>
      <c r="U48" s="3"/>
      <c r="V48" s="3"/>
      <c r="AN48" s="3"/>
      <c r="AT48" s="2" t="s">
        <v>32</v>
      </c>
      <c r="AU48" s="2">
        <v>6</v>
      </c>
      <c r="AV48" s="2">
        <v>4.7999999999999996E-3</v>
      </c>
      <c r="AW48" s="6">
        <v>3857.2118055555561</v>
      </c>
      <c r="AX48" s="6">
        <v>2345.6250000000005</v>
      </c>
      <c r="AY48" s="6"/>
      <c r="AZ48" s="6">
        <v>-0.3918858703528833</v>
      </c>
      <c r="BA48" s="6">
        <v>-1.6040758787876606</v>
      </c>
      <c r="BR48" s="28"/>
      <c r="BS48" s="2">
        <f>1-SUM(BS41:BS47)/SUM(BR41:BR47)</f>
        <v>-4.4918332955570479</v>
      </c>
      <c r="BT48" s="105">
        <f>1-SUM(BT41:BT47)/SUM(BS41:BS47)</f>
        <v>0.96570830585989231</v>
      </c>
    </row>
    <row r="49" spans="4:72" x14ac:dyDescent="0.25">
      <c r="D49" s="4"/>
      <c r="E49" s="1"/>
      <c r="F49" s="27"/>
      <c r="H49" s="3"/>
      <c r="I49" s="99"/>
      <c r="J49" s="3"/>
      <c r="K49" s="4"/>
      <c r="L49" s="4"/>
      <c r="U49" s="3"/>
      <c r="V49" s="3"/>
      <c r="AN49" s="3"/>
      <c r="AT49" s="2" t="s">
        <v>36</v>
      </c>
      <c r="AU49" s="2">
        <v>1</v>
      </c>
      <c r="AV49" s="2">
        <v>4.15E-4</v>
      </c>
      <c r="AW49" s="6">
        <v>2517.8313253012002</v>
      </c>
      <c r="AX49" s="6">
        <v>2141.7429718875501</v>
      </c>
      <c r="AY49" s="6"/>
      <c r="AZ49" s="6">
        <v>-0.14936995565763889</v>
      </c>
      <c r="BA49" s="6">
        <v>-1.9257983220084856</v>
      </c>
      <c r="BR49" s="28"/>
      <c r="BS49" s="2">
        <f>SQRT(AVERAGE(BS41:BS47))</f>
        <v>3286.2722348730754</v>
      </c>
      <c r="BT49" s="105">
        <f>SQRT(AVERAGE(BT41:BT47))</f>
        <v>608.55244028485322</v>
      </c>
    </row>
    <row r="50" spans="4:72" x14ac:dyDescent="0.25">
      <c r="D50" s="4"/>
      <c r="E50" s="1"/>
      <c r="F50" s="27"/>
      <c r="H50" s="3"/>
      <c r="I50" s="99"/>
      <c r="J50" s="3"/>
      <c r="K50" s="4"/>
      <c r="L50" s="4"/>
      <c r="U50" s="3"/>
      <c r="V50" s="3"/>
      <c r="AN50" s="3"/>
      <c r="AT50" s="25" t="s">
        <v>35</v>
      </c>
      <c r="AU50" s="25">
        <v>6</v>
      </c>
      <c r="AV50" s="25">
        <v>4.7999999999999996E-3</v>
      </c>
      <c r="AW50" s="26">
        <v>3857.2118055555561</v>
      </c>
      <c r="AX50" s="26">
        <v>3104.1319444444448</v>
      </c>
      <c r="AY50" s="26"/>
      <c r="AZ50" s="26">
        <v>-0.19523943694936527</v>
      </c>
      <c r="BA50" s="26" t="s">
        <v>44</v>
      </c>
    </row>
    <row r="51" spans="4:72" x14ac:dyDescent="0.25">
      <c r="D51" s="4"/>
      <c r="E51" s="1"/>
      <c r="F51" s="27"/>
      <c r="H51" s="3"/>
      <c r="I51" s="99"/>
      <c r="J51" s="3"/>
      <c r="K51" s="4"/>
      <c r="L51" s="4"/>
      <c r="U51" s="3"/>
      <c r="V51" s="3"/>
      <c r="AN51" s="3"/>
      <c r="AT51" s="25" t="s">
        <v>43</v>
      </c>
      <c r="AU51" s="25">
        <v>1</v>
      </c>
      <c r="AV51" s="25">
        <v>4.15E-4</v>
      </c>
      <c r="AW51" s="26">
        <v>2517.8313253012047</v>
      </c>
      <c r="AX51" s="26">
        <v>2362.4417670682724</v>
      </c>
      <c r="AY51" s="26"/>
      <c r="AZ51" s="26">
        <v>-6.1715634669984622E-2</v>
      </c>
      <c r="BA51" s="26" t="s">
        <v>44</v>
      </c>
    </row>
    <row r="52" spans="4:72" x14ac:dyDescent="0.25">
      <c r="D52" s="4"/>
      <c r="E52" s="1"/>
      <c r="F52" s="27"/>
      <c r="H52" s="3"/>
      <c r="I52" s="99"/>
      <c r="J52" s="3"/>
      <c r="K52" s="4"/>
      <c r="L52" s="4"/>
      <c r="U52" s="3"/>
      <c r="V52" s="3"/>
      <c r="AN52" s="3"/>
    </row>
    <row r="53" spans="4:72" x14ac:dyDescent="0.25">
      <c r="D53" s="4"/>
      <c r="E53" s="1"/>
      <c r="F53" s="27"/>
      <c r="H53" s="3"/>
      <c r="I53" s="99"/>
      <c r="J53" s="3"/>
      <c r="K53" s="4"/>
      <c r="L53" s="4"/>
      <c r="U53" s="3"/>
      <c r="V53" s="3"/>
      <c r="AN53" s="3"/>
    </row>
    <row r="54" spans="4:72" x14ac:dyDescent="0.25">
      <c r="D54" s="4"/>
      <c r="E54" s="1"/>
      <c r="F54" s="27"/>
      <c r="H54" s="3"/>
      <c r="I54" s="99"/>
      <c r="J54" s="3"/>
      <c r="K54" s="4"/>
      <c r="L54" s="4"/>
      <c r="U54" s="3"/>
      <c r="V54" s="3"/>
      <c r="AN54" s="3"/>
    </row>
    <row r="55" spans="4:72" x14ac:dyDescent="0.25">
      <c r="D55" s="4"/>
      <c r="E55" s="1"/>
      <c r="F55" s="27"/>
      <c r="H55" s="3"/>
      <c r="I55" s="99"/>
      <c r="J55" s="3"/>
      <c r="K55" s="4"/>
      <c r="L55" s="4"/>
      <c r="U55" s="3"/>
      <c r="V55" s="3"/>
      <c r="AN55" s="3"/>
    </row>
    <row r="56" spans="4:72" x14ac:dyDescent="0.25">
      <c r="D56" s="4"/>
      <c r="E56" s="1"/>
      <c r="F56" s="27"/>
      <c r="H56" s="3"/>
      <c r="I56" s="99"/>
      <c r="J56" s="3"/>
      <c r="K56" s="4"/>
      <c r="L56" s="4"/>
      <c r="U56" s="3"/>
      <c r="V56" s="3"/>
      <c r="AN56" s="3"/>
    </row>
    <row r="57" spans="4:72" x14ac:dyDescent="0.25">
      <c r="D57" s="4"/>
      <c r="E57" s="1"/>
      <c r="F57" s="27"/>
      <c r="H57" s="3"/>
      <c r="I57" s="99"/>
      <c r="J57" s="3"/>
      <c r="K57" s="4"/>
      <c r="L57" s="4"/>
      <c r="U57" s="3"/>
      <c r="V57" s="3"/>
      <c r="AN57" s="3"/>
    </row>
    <row r="58" spans="4:72" x14ac:dyDescent="0.25">
      <c r="D58" s="4"/>
      <c r="E58" s="1"/>
      <c r="F58" s="27"/>
      <c r="H58" s="3"/>
      <c r="I58" s="99"/>
      <c r="J58" s="3"/>
      <c r="K58" s="4"/>
      <c r="L58" s="4"/>
      <c r="U58" s="3"/>
      <c r="V58" s="3"/>
      <c r="AN58" s="3"/>
    </row>
    <row r="59" spans="4:72" x14ac:dyDescent="0.25">
      <c r="D59" s="4"/>
      <c r="E59" s="1"/>
      <c r="F59" s="27"/>
      <c r="H59" s="3"/>
      <c r="I59" s="99"/>
      <c r="J59" s="3"/>
      <c r="K59" s="4"/>
      <c r="L59" s="4"/>
      <c r="U59" s="3"/>
      <c r="V59" s="3"/>
      <c r="AN59" s="3"/>
    </row>
    <row r="60" spans="4:72" x14ac:dyDescent="0.25">
      <c r="D60" s="4"/>
      <c r="E60" s="1"/>
      <c r="F60" s="27"/>
      <c r="H60" s="3"/>
      <c r="I60" s="99"/>
      <c r="J60" s="3"/>
      <c r="K60" s="4"/>
      <c r="L60" s="4"/>
      <c r="U60" s="3"/>
      <c r="V60" s="3"/>
      <c r="AN60" s="3"/>
    </row>
    <row r="61" spans="4:72" x14ac:dyDescent="0.25">
      <c r="D61" s="4"/>
      <c r="E61" s="1"/>
      <c r="F61" s="27"/>
      <c r="H61" s="3"/>
      <c r="I61" s="99"/>
      <c r="J61" s="3"/>
      <c r="K61" s="4"/>
      <c r="L61" s="4"/>
      <c r="U61" s="3"/>
      <c r="V61" s="3"/>
      <c r="AN61" s="3"/>
    </row>
    <row r="62" spans="4:72" x14ac:dyDescent="0.25">
      <c r="D62" s="4"/>
      <c r="E62" s="1"/>
      <c r="F62" s="27"/>
      <c r="H62" s="3"/>
      <c r="I62" s="99"/>
      <c r="J62" s="3"/>
      <c r="K62" s="4"/>
      <c r="L62" s="4"/>
      <c r="U62" s="3"/>
      <c r="V62" s="3"/>
      <c r="AN62" s="3"/>
      <c r="BP62" s="20" t="s">
        <v>145</v>
      </c>
      <c r="BQ62" s="20" t="s">
        <v>146</v>
      </c>
    </row>
    <row r="63" spans="4:72" x14ac:dyDescent="0.25">
      <c r="U63" s="3"/>
      <c r="V63" s="3"/>
      <c r="AN63" s="3"/>
      <c r="BM63" s="97"/>
      <c r="BN63" s="97"/>
      <c r="BO63" s="97"/>
      <c r="BP63" s="97"/>
      <c r="BQ63" s="97" t="s">
        <v>138</v>
      </c>
    </row>
    <row r="64" spans="4:72" x14ac:dyDescent="0.25">
      <c r="U64" s="3"/>
      <c r="V64" s="3"/>
      <c r="AN64" s="3"/>
      <c r="BP64" s="97"/>
      <c r="BQ64" s="97" t="s">
        <v>141</v>
      </c>
    </row>
    <row r="65" spans="21:76" x14ac:dyDescent="0.25">
      <c r="U65" s="3"/>
      <c r="V65" s="3"/>
      <c r="AN65" s="3"/>
      <c r="BM65" s="97"/>
      <c r="BN65" s="97"/>
      <c r="BO65" s="97"/>
      <c r="BP65" s="97"/>
      <c r="BQ65" s="97">
        <v>0.84199999999999997</v>
      </c>
    </row>
    <row r="66" spans="21:76" x14ac:dyDescent="0.25">
      <c r="AN66" s="3"/>
      <c r="BM66" s="97"/>
      <c r="BN66" s="97"/>
      <c r="BO66" s="97"/>
      <c r="BP66" s="97"/>
      <c r="BQ66" s="97">
        <v>0.85</v>
      </c>
    </row>
    <row r="67" spans="21:76" x14ac:dyDescent="0.25">
      <c r="AN67" s="3"/>
      <c r="BM67" s="97"/>
      <c r="BN67" s="97"/>
      <c r="BO67" s="97"/>
      <c r="BP67" s="97">
        <v>0.501</v>
      </c>
      <c r="BQ67" s="97" t="s">
        <v>144</v>
      </c>
    </row>
    <row r="68" spans="21:76" x14ac:dyDescent="0.25">
      <c r="BM68" s="97"/>
      <c r="BN68" s="97"/>
      <c r="BO68" s="97"/>
      <c r="BP68" s="97">
        <v>0.68100000000000005</v>
      </c>
      <c r="BQ68" s="97">
        <v>0.501</v>
      </c>
    </row>
    <row r="69" spans="21:76" x14ac:dyDescent="0.25">
      <c r="BH69" s="97" t="s">
        <v>124</v>
      </c>
      <c r="BM69" s="97"/>
      <c r="BN69" s="97"/>
      <c r="BO69" s="97"/>
      <c r="BP69" s="97"/>
      <c r="BQ69" s="97"/>
      <c r="BR69" s="20" t="s">
        <v>145</v>
      </c>
      <c r="BS69" s="2" t="s">
        <v>146</v>
      </c>
      <c r="BU69" s="97">
        <v>0.5</v>
      </c>
      <c r="BV69" s="97">
        <f>(0.09+0.62)/2</f>
        <v>0.35499999999999998</v>
      </c>
      <c r="BW69" s="97"/>
      <c r="BX69" s="97"/>
    </row>
    <row r="70" spans="21:76" x14ac:dyDescent="0.25">
      <c r="BH70" s="97" t="s">
        <v>125</v>
      </c>
      <c r="BM70" s="97"/>
      <c r="BN70" s="97"/>
      <c r="BO70" s="97"/>
      <c r="BP70" s="97"/>
      <c r="BQ70" s="97" t="s">
        <v>137</v>
      </c>
      <c r="BR70" s="97" t="s">
        <v>139</v>
      </c>
      <c r="BS70" s="97" t="s">
        <v>140</v>
      </c>
      <c r="BT70" s="97"/>
      <c r="BU70" s="97">
        <v>0.5</v>
      </c>
      <c r="BV70" s="97">
        <f>(0.42+0.84)/2</f>
        <v>0.63</v>
      </c>
      <c r="BW70" s="97"/>
      <c r="BX70" s="97"/>
    </row>
    <row r="71" spans="21:76" x14ac:dyDescent="0.25">
      <c r="BH71" s="97" t="s">
        <v>126</v>
      </c>
      <c r="BM71" s="97"/>
      <c r="BN71" s="97"/>
      <c r="BO71" s="97"/>
      <c r="BP71" s="97"/>
      <c r="BQ71" s="97"/>
      <c r="BR71" s="97" t="s">
        <v>142</v>
      </c>
      <c r="BS71" s="97" t="s">
        <v>143</v>
      </c>
      <c r="BT71" s="97"/>
      <c r="BU71" s="97">
        <v>0.68</v>
      </c>
      <c r="BV71" s="97">
        <v>0.84</v>
      </c>
      <c r="BW71" s="97"/>
      <c r="BX71" s="97"/>
    </row>
    <row r="72" spans="21:76" x14ac:dyDescent="0.25">
      <c r="BH72" s="97" t="s">
        <v>127</v>
      </c>
      <c r="BM72" s="97"/>
      <c r="BN72" s="97"/>
      <c r="BO72" s="97"/>
      <c r="BP72" s="97">
        <v>0.82099999999999995</v>
      </c>
      <c r="BQ72" s="97">
        <v>0.79100000000000004</v>
      </c>
      <c r="BR72" s="97" t="s">
        <v>137</v>
      </c>
      <c r="BS72" s="97" t="s">
        <v>137</v>
      </c>
      <c r="BT72" s="97"/>
      <c r="BU72" s="97">
        <v>0.84</v>
      </c>
      <c r="BV72" s="97">
        <v>0.85</v>
      </c>
      <c r="BW72" s="97"/>
      <c r="BX72" s="97"/>
    </row>
    <row r="73" spans="21:76" x14ac:dyDescent="0.25">
      <c r="BH73" s="97" t="s">
        <v>128</v>
      </c>
      <c r="BM73" s="97"/>
      <c r="BN73" s="97"/>
      <c r="BO73" s="97"/>
      <c r="BP73" s="97"/>
      <c r="BQ73" s="97"/>
      <c r="BR73" s="97">
        <v>0.86</v>
      </c>
      <c r="BS73" s="97" t="s">
        <v>137</v>
      </c>
      <c r="BT73" s="97"/>
      <c r="BU73" s="97">
        <v>0.82</v>
      </c>
      <c r="BV73" s="97">
        <v>0.14000000000000001</v>
      </c>
      <c r="BW73" s="97"/>
      <c r="BX73" s="97"/>
    </row>
    <row r="74" spans="21:76" x14ac:dyDescent="0.25">
      <c r="BH74" s="97" t="s">
        <v>129</v>
      </c>
      <c r="BM74" s="97"/>
      <c r="BN74" s="97"/>
      <c r="BO74" s="97"/>
      <c r="BP74" s="97" t="s">
        <v>137</v>
      </c>
      <c r="BQ74" s="97" t="s">
        <v>137</v>
      </c>
      <c r="BR74" s="97" t="s">
        <v>137</v>
      </c>
      <c r="BS74" s="97" t="s">
        <v>137</v>
      </c>
      <c r="BT74" s="97"/>
      <c r="BU74" s="97">
        <v>0.97</v>
      </c>
      <c r="BV74" s="97">
        <v>0.5</v>
      </c>
      <c r="BW74" s="97"/>
      <c r="BX74" s="97"/>
    </row>
    <row r="75" spans="21:76" x14ac:dyDescent="0.25">
      <c r="BH75" s="97" t="s">
        <v>130</v>
      </c>
      <c r="BM75" s="97"/>
      <c r="BN75" s="97"/>
      <c r="BO75" s="97"/>
      <c r="BP75" s="97">
        <v>0.56100000000000005</v>
      </c>
      <c r="BQ75" s="97">
        <v>0.56100000000000005</v>
      </c>
      <c r="BR75" s="97" t="s">
        <v>137</v>
      </c>
      <c r="BS75" s="97" t="s">
        <v>137</v>
      </c>
      <c r="BT75" s="97"/>
      <c r="BU75" s="97">
        <v>0.56000000000000005</v>
      </c>
      <c r="BV75" s="97">
        <v>0.83</v>
      </c>
      <c r="BW75" s="97"/>
      <c r="BX75" s="97"/>
    </row>
    <row r="76" spans="21:76" x14ac:dyDescent="0.25">
      <c r="BH76" s="97" t="s">
        <v>131</v>
      </c>
      <c r="BR76" s="97"/>
      <c r="BS76" s="97"/>
      <c r="BT76" s="97"/>
      <c r="BU76" s="97">
        <v>0.96</v>
      </c>
      <c r="BV76" s="97">
        <v>0.77</v>
      </c>
      <c r="BW76" s="97"/>
      <c r="BX76" s="97"/>
    </row>
    <row r="77" spans="21:76" x14ac:dyDescent="0.25">
      <c r="BH77" s="97" t="s">
        <v>132</v>
      </c>
      <c r="BR77" s="97">
        <v>0.96099999999999997</v>
      </c>
      <c r="BS77" s="97">
        <v>0.89100000000000001</v>
      </c>
      <c r="BT77" s="97"/>
      <c r="BU77" s="97"/>
      <c r="BV77" s="97">
        <v>0.79</v>
      </c>
      <c r="BW77" s="97"/>
      <c r="BX77" s="97"/>
    </row>
    <row r="78" spans="21:76" x14ac:dyDescent="0.25">
      <c r="BH78" s="97" t="s">
        <v>133</v>
      </c>
      <c r="BR78" s="97"/>
      <c r="BS78" s="97"/>
      <c r="BT78" s="97"/>
      <c r="BU78" s="97"/>
      <c r="BV78" s="97">
        <v>0.95</v>
      </c>
      <c r="BW78" s="97"/>
      <c r="BX78" s="97"/>
    </row>
    <row r="79" spans="21:76" x14ac:dyDescent="0.25">
      <c r="BH79" s="97" t="s">
        <v>134</v>
      </c>
      <c r="BR79" s="97" t="s">
        <v>137</v>
      </c>
      <c r="BS79" s="97" t="s">
        <v>137</v>
      </c>
      <c r="BT79" s="97"/>
      <c r="BU79" s="97"/>
      <c r="BV79" s="97">
        <v>0.56000000000000005</v>
      </c>
      <c r="BW79" s="97"/>
      <c r="BX79" s="97"/>
    </row>
    <row r="80" spans="21:76" x14ac:dyDescent="0.25">
      <c r="BH80" s="97" t="s">
        <v>135</v>
      </c>
      <c r="BR80" s="97"/>
      <c r="BS80" s="97"/>
      <c r="BT80" s="97"/>
      <c r="BU80" s="97">
        <f>AVERAGE(BU69:BU79)</f>
        <v>0.7287499999999999</v>
      </c>
      <c r="BV80" s="97">
        <f>AVERAGE(BV69:BV79)</f>
        <v>0.65590909090909089</v>
      </c>
      <c r="BW80" s="97"/>
      <c r="BX80" s="97"/>
    </row>
    <row r="81" spans="60:76" x14ac:dyDescent="0.25">
      <c r="BH81" s="97" t="s">
        <v>136</v>
      </c>
      <c r="BR81" s="97">
        <v>0.58199999999999996</v>
      </c>
      <c r="BS81" s="2">
        <v>0.51</v>
      </c>
      <c r="BT81" s="97"/>
      <c r="BU81" s="97"/>
      <c r="BV81" s="97"/>
      <c r="BW81" s="97"/>
      <c r="BX81" s="97"/>
    </row>
    <row r="82" spans="60:76" x14ac:dyDescent="0.25">
      <c r="BR82" s="97" t="s">
        <v>137</v>
      </c>
      <c r="BS82" s="97" t="s">
        <v>137</v>
      </c>
      <c r="BT82" s="97"/>
    </row>
  </sheetData>
  <sortState ref="O3:O31">
    <sortCondition ref="O3"/>
  </sortState>
  <mergeCells count="38">
    <mergeCell ref="BF31:BF32"/>
    <mergeCell ref="BG31:BG32"/>
    <mergeCell ref="BF33:BF34"/>
    <mergeCell ref="BG33:BG34"/>
    <mergeCell ref="BF25:BF26"/>
    <mergeCell ref="BG25:BG26"/>
    <mergeCell ref="BF27:BF28"/>
    <mergeCell ref="BG27:BG28"/>
    <mergeCell ref="BF29:BF30"/>
    <mergeCell ref="BG29:BG30"/>
    <mergeCell ref="BF19:BI19"/>
    <mergeCell ref="BF21:BF22"/>
    <mergeCell ref="BG21:BG22"/>
    <mergeCell ref="BF23:BF24"/>
    <mergeCell ref="BG23:BG24"/>
    <mergeCell ref="A1:E1"/>
    <mergeCell ref="N1:R1"/>
    <mergeCell ref="T1:X1"/>
    <mergeCell ref="Z1:AD1"/>
    <mergeCell ref="BF1:BI1"/>
    <mergeCell ref="BF7:BF8"/>
    <mergeCell ref="BG7:BG8"/>
    <mergeCell ref="AL1:AP1"/>
    <mergeCell ref="AF1:AJ1"/>
    <mergeCell ref="G1:L1"/>
    <mergeCell ref="BN1:BR1"/>
    <mergeCell ref="BF3:BF4"/>
    <mergeCell ref="BG3:BG4"/>
    <mergeCell ref="BF5:BF6"/>
    <mergeCell ref="BG5:BG6"/>
    <mergeCell ref="BF15:BF16"/>
    <mergeCell ref="BG15:BG16"/>
    <mergeCell ref="BF9:BF10"/>
    <mergeCell ref="BG9:BG10"/>
    <mergeCell ref="BF11:BF12"/>
    <mergeCell ref="BG11:BG12"/>
    <mergeCell ref="BF13:BF14"/>
    <mergeCell ref="BG13:BG14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36" sqref="G36"/>
    </sheetView>
  </sheetViews>
  <sheetFormatPr baseColWidth="10" defaultColWidth="9.140625" defaultRowHeight="15" x14ac:dyDescent="0.25"/>
  <sheetData>
    <row r="1" spans="1:16" x14ac:dyDescent="0.25">
      <c r="A1" s="69"/>
      <c r="B1" s="116" t="s">
        <v>65</v>
      </c>
      <c r="C1" s="117"/>
      <c r="D1" s="116" t="s">
        <v>66</v>
      </c>
      <c r="E1" s="117"/>
      <c r="F1" s="116" t="s">
        <v>67</v>
      </c>
      <c r="G1" s="118"/>
      <c r="H1" s="117"/>
      <c r="I1" s="103"/>
      <c r="J1" s="103"/>
      <c r="K1" s="103"/>
      <c r="L1" s="103"/>
    </row>
    <row r="2" spans="1:16" x14ac:dyDescent="0.25">
      <c r="A2" s="69"/>
      <c r="B2" s="12" t="s">
        <v>68</v>
      </c>
      <c r="C2" s="12" t="s">
        <v>69</v>
      </c>
      <c r="D2" s="12" t="s">
        <v>68</v>
      </c>
      <c r="E2" s="12" t="s">
        <v>69</v>
      </c>
      <c r="F2" s="12" t="s">
        <v>68</v>
      </c>
      <c r="G2" s="12" t="s">
        <v>69</v>
      </c>
      <c r="H2" s="12" t="s">
        <v>70</v>
      </c>
      <c r="I2" s="103"/>
      <c r="J2" s="103"/>
      <c r="K2" s="103"/>
      <c r="L2" s="103"/>
    </row>
    <row r="3" spans="1:16" x14ac:dyDescent="0.25">
      <c r="A3" s="69" t="s">
        <v>63</v>
      </c>
      <c r="B3" s="70">
        <v>1.1238999999999999</v>
      </c>
      <c r="C3" s="70">
        <v>4.3155000000000001</v>
      </c>
      <c r="D3" s="70">
        <v>0.25030000000000002</v>
      </c>
      <c r="E3" s="70">
        <v>1.5249999999999999</v>
      </c>
      <c r="F3" s="70">
        <v>6.5723000000000004E-2</v>
      </c>
      <c r="G3" s="70">
        <v>2.1135000000000002</v>
      </c>
      <c r="H3" s="70">
        <v>0.67830000000000001</v>
      </c>
      <c r="I3" s="104"/>
      <c r="J3" s="104"/>
      <c r="K3" s="104"/>
      <c r="L3" s="104"/>
    </row>
    <row r="4" spans="1:16" x14ac:dyDescent="0.25">
      <c r="A4" s="69" t="s">
        <v>29</v>
      </c>
      <c r="B4" s="70">
        <v>1.5837000000000001</v>
      </c>
      <c r="C4" s="70">
        <v>10.6858</v>
      </c>
      <c r="D4" s="70">
        <v>0.13819999999999999</v>
      </c>
      <c r="E4" s="70">
        <v>1.855</v>
      </c>
      <c r="F4" s="70">
        <v>4.3959999999999997E-3</v>
      </c>
      <c r="G4" s="70">
        <v>3.3056000000000001</v>
      </c>
      <c r="H4" s="70">
        <v>0.48770000000000002</v>
      </c>
      <c r="I4" s="104"/>
      <c r="J4" s="104"/>
      <c r="K4" s="104"/>
      <c r="L4" s="104"/>
    </row>
    <row r="5" spans="1:16" x14ac:dyDescent="0.25">
      <c r="A5" s="69" t="s">
        <v>36</v>
      </c>
      <c r="B5" s="71">
        <v>0.69604999999999995</v>
      </c>
      <c r="C5" s="71">
        <v>2.6912099999999999</v>
      </c>
      <c r="D5" s="71">
        <v>0.77700177995653252</v>
      </c>
      <c r="E5" s="71">
        <v>0.952680780462419</v>
      </c>
      <c r="F5" s="70">
        <v>0.38974999999999999</v>
      </c>
      <c r="G5" s="71">
        <f>1.4889*G6</f>
        <v>2.0990082019567495</v>
      </c>
      <c r="H5" s="70">
        <v>0.81242999999999999</v>
      </c>
      <c r="I5" s="104"/>
      <c r="J5" s="104"/>
      <c r="K5" s="104"/>
      <c r="L5" s="104"/>
    </row>
    <row r="6" spans="1:16" x14ac:dyDescent="0.25">
      <c r="A6" s="69" t="s">
        <v>64</v>
      </c>
      <c r="B6" s="70">
        <v>0.95503000000000005</v>
      </c>
      <c r="C6" s="70">
        <v>5.3980100000000002</v>
      </c>
      <c r="D6" s="70">
        <v>0.74004549457957192</v>
      </c>
      <c r="E6" s="70">
        <v>0.91069</v>
      </c>
      <c r="F6" s="70">
        <v>0.26915</v>
      </c>
      <c r="G6" s="70">
        <v>1.4097711074999999</v>
      </c>
      <c r="H6" s="70">
        <v>0.81825000000000003</v>
      </c>
      <c r="I6" s="104"/>
      <c r="J6" s="104"/>
      <c r="K6" s="104"/>
      <c r="L6" s="104"/>
    </row>
    <row r="9" spans="1:16" x14ac:dyDescent="0.25">
      <c r="N9" t="s">
        <v>73</v>
      </c>
      <c r="O9" t="s">
        <v>72</v>
      </c>
      <c r="P9" s="70">
        <v>6.5723000000000004E-2</v>
      </c>
    </row>
    <row r="10" spans="1:16" x14ac:dyDescent="0.25">
      <c r="N10" t="s">
        <v>74</v>
      </c>
      <c r="O10" t="s">
        <v>72</v>
      </c>
      <c r="P10" s="70">
        <v>4.3959999999999997E-3</v>
      </c>
    </row>
    <row r="11" spans="1:16" x14ac:dyDescent="0.25">
      <c r="A11" s="115" t="s">
        <v>84</v>
      </c>
      <c r="B11" s="115"/>
      <c r="C11" s="115"/>
      <c r="D11" s="115"/>
      <c r="E11" s="115"/>
      <c r="N11" t="s">
        <v>75</v>
      </c>
      <c r="O11" t="s">
        <v>72</v>
      </c>
      <c r="P11" s="70">
        <v>0.38974999999999999</v>
      </c>
    </row>
    <row r="12" spans="1:16" x14ac:dyDescent="0.25">
      <c r="A12" t="s">
        <v>89</v>
      </c>
      <c r="B12" s="69" t="s">
        <v>63</v>
      </c>
      <c r="C12" s="69" t="s">
        <v>29</v>
      </c>
      <c r="D12" s="69" t="s">
        <v>36</v>
      </c>
      <c r="E12" s="69" t="s">
        <v>64</v>
      </c>
      <c r="N12" t="s">
        <v>76</v>
      </c>
      <c r="O12" t="s">
        <v>72</v>
      </c>
      <c r="P12" s="70">
        <v>0.26915</v>
      </c>
    </row>
    <row r="13" spans="1:16" x14ac:dyDescent="0.25">
      <c r="A13" s="69" t="s">
        <v>63</v>
      </c>
      <c r="B13" s="76">
        <v>0</v>
      </c>
      <c r="C13" s="73">
        <v>0.22500000000000001</v>
      </c>
      <c r="D13" s="73">
        <v>0.94910000000000005</v>
      </c>
      <c r="E13" s="74">
        <v>8.2165000000000002E-2</v>
      </c>
      <c r="G13">
        <f t="shared" ref="G13:J16" si="0">SQRT(0.5*B13)</f>
        <v>0</v>
      </c>
      <c r="H13">
        <f t="shared" si="0"/>
        <v>0.33541019662496846</v>
      </c>
      <c r="I13">
        <f t="shared" si="0"/>
        <v>0.68887589593481935</v>
      </c>
      <c r="J13">
        <f t="shared" si="0"/>
        <v>0.2026881841647411</v>
      </c>
      <c r="N13" t="s">
        <v>77</v>
      </c>
      <c r="O13" t="s">
        <v>72</v>
      </c>
      <c r="P13" s="70">
        <v>2.1135000000000002</v>
      </c>
    </row>
    <row r="14" spans="1:16" x14ac:dyDescent="0.25">
      <c r="A14" s="69" t="s">
        <v>29</v>
      </c>
      <c r="B14" s="73">
        <v>0.17088999999999999</v>
      </c>
      <c r="C14" s="76">
        <v>0</v>
      </c>
      <c r="D14" s="73">
        <v>1.6918</v>
      </c>
      <c r="E14" s="74">
        <v>0.38562000000000002</v>
      </c>
      <c r="G14">
        <f t="shared" si="0"/>
        <v>0.29230976719911361</v>
      </c>
      <c r="H14">
        <f t="shared" si="0"/>
        <v>0</v>
      </c>
      <c r="I14">
        <f t="shared" si="0"/>
        <v>0.91972822072610128</v>
      </c>
      <c r="J14">
        <f t="shared" si="0"/>
        <v>0.43910135504231823</v>
      </c>
      <c r="N14" t="s">
        <v>71</v>
      </c>
      <c r="O14" t="s">
        <v>72</v>
      </c>
      <c r="P14" s="70">
        <v>3.3056000000000001</v>
      </c>
    </row>
    <row r="15" spans="1:16" x14ac:dyDescent="0.25">
      <c r="A15" s="69" t="s">
        <v>36</v>
      </c>
      <c r="B15" s="73">
        <v>1.4698</v>
      </c>
      <c r="C15" s="73">
        <v>3.2953000000000001</v>
      </c>
      <c r="D15" s="76">
        <v>0</v>
      </c>
      <c r="E15" s="74">
        <v>0.61058999999999997</v>
      </c>
      <c r="G15">
        <f t="shared" si="0"/>
        <v>0.85726308680591168</v>
      </c>
      <c r="H15">
        <f t="shared" si="0"/>
        <v>1.2836081956734307</v>
      </c>
      <c r="I15">
        <f t="shared" si="0"/>
        <v>0</v>
      </c>
      <c r="J15">
        <f t="shared" si="0"/>
        <v>0.5525350667604727</v>
      </c>
      <c r="N15" t="s">
        <v>78</v>
      </c>
      <c r="O15" t="s">
        <v>72</v>
      </c>
      <c r="P15" s="71">
        <f>1.4889*P16</f>
        <v>2.0990082019567495</v>
      </c>
    </row>
    <row r="16" spans="1:16" x14ac:dyDescent="0.25">
      <c r="A16" s="69" t="s">
        <v>64</v>
      </c>
      <c r="B16" s="73">
        <v>0.11158</v>
      </c>
      <c r="C16" s="73">
        <v>0.68764000000000003</v>
      </c>
      <c r="D16" s="73">
        <v>0.57613999999999999</v>
      </c>
      <c r="E16" s="75">
        <v>0</v>
      </c>
      <c r="G16">
        <f t="shared" si="0"/>
        <v>0.23619906858410766</v>
      </c>
      <c r="H16">
        <f t="shared" si="0"/>
        <v>0.58636166313973836</v>
      </c>
      <c r="I16">
        <f t="shared" si="0"/>
        <v>0.53672152928683603</v>
      </c>
      <c r="J16">
        <f t="shared" si="0"/>
        <v>0</v>
      </c>
      <c r="N16" t="s">
        <v>79</v>
      </c>
      <c r="O16" t="s">
        <v>72</v>
      </c>
      <c r="P16" s="70">
        <v>1.4097711074999999</v>
      </c>
    </row>
    <row r="17" spans="1:16" x14ac:dyDescent="0.25">
      <c r="B17" s="72"/>
      <c r="C17" s="68"/>
      <c r="D17" s="68"/>
      <c r="N17" t="s">
        <v>80</v>
      </c>
      <c r="O17" t="s">
        <v>72</v>
      </c>
      <c r="P17" s="70">
        <v>0.67830000000000001</v>
      </c>
    </row>
    <row r="18" spans="1:16" x14ac:dyDescent="0.25">
      <c r="A18" s="115" t="s">
        <v>85</v>
      </c>
      <c r="B18" s="115"/>
      <c r="C18" s="115"/>
      <c r="D18" s="115"/>
      <c r="E18" s="115"/>
      <c r="N18" t="s">
        <v>81</v>
      </c>
      <c r="O18" t="s">
        <v>72</v>
      </c>
      <c r="P18" s="70">
        <v>0.48770000000000002</v>
      </c>
    </row>
    <row r="19" spans="1:16" x14ac:dyDescent="0.25">
      <c r="B19" s="69" t="s">
        <v>63</v>
      </c>
      <c r="C19" s="69" t="s">
        <v>29</v>
      </c>
      <c r="D19" s="69" t="s">
        <v>36</v>
      </c>
      <c r="E19" s="69" t="s">
        <v>64</v>
      </c>
      <c r="N19" t="s">
        <v>82</v>
      </c>
      <c r="O19" t="s">
        <v>72</v>
      </c>
      <c r="P19" s="70">
        <v>0.81242999999999999</v>
      </c>
    </row>
    <row r="20" spans="1:16" x14ac:dyDescent="0.25">
      <c r="A20" s="69" t="s">
        <v>63</v>
      </c>
      <c r="B20" s="76">
        <v>0</v>
      </c>
      <c r="C20" s="73">
        <f>B21</f>
        <v>0.39588999999999996</v>
      </c>
      <c r="D20" s="73">
        <f>B22</f>
        <v>2.4188999999999998</v>
      </c>
      <c r="E20" s="73">
        <f>B23</f>
        <v>0.193745</v>
      </c>
      <c r="N20" t="s">
        <v>83</v>
      </c>
      <c r="O20" t="s">
        <v>72</v>
      </c>
      <c r="P20" s="70">
        <v>0.81825000000000003</v>
      </c>
    </row>
    <row r="21" spans="1:16" x14ac:dyDescent="0.25">
      <c r="A21" s="69" t="s">
        <v>29</v>
      </c>
      <c r="B21" s="73">
        <f>B14+C13</f>
        <v>0.39588999999999996</v>
      </c>
      <c r="C21" s="76">
        <v>0</v>
      </c>
      <c r="D21" s="73">
        <f>C22</f>
        <v>4.9870999999999999</v>
      </c>
      <c r="E21" s="73">
        <f>C23</f>
        <v>1.0732600000000001</v>
      </c>
    </row>
    <row r="22" spans="1:16" x14ac:dyDescent="0.25">
      <c r="A22" s="69" t="s">
        <v>36</v>
      </c>
      <c r="B22" s="73">
        <f>B15+D13</f>
        <v>2.4188999999999998</v>
      </c>
      <c r="C22" s="73">
        <f>C15+D14</f>
        <v>4.9870999999999999</v>
      </c>
      <c r="D22" s="76">
        <v>0</v>
      </c>
      <c r="E22" s="73">
        <f>D23</f>
        <v>1.1867299999999998</v>
      </c>
    </row>
    <row r="23" spans="1:16" x14ac:dyDescent="0.25">
      <c r="A23" s="69" t="s">
        <v>64</v>
      </c>
      <c r="B23" s="73">
        <f>B16+E13</f>
        <v>0.193745</v>
      </c>
      <c r="C23" s="73">
        <f>C16+E14</f>
        <v>1.0732600000000001</v>
      </c>
      <c r="D23" s="73">
        <f>D16+E15</f>
        <v>1.1867299999999998</v>
      </c>
      <c r="E23" s="75">
        <v>0</v>
      </c>
    </row>
    <row r="24" spans="1:16" x14ac:dyDescent="0.25">
      <c r="A24" s="15"/>
      <c r="B24" s="73"/>
      <c r="C24" s="73"/>
      <c r="D24" s="73"/>
      <c r="E24" s="75"/>
    </row>
    <row r="25" spans="1:16" x14ac:dyDescent="0.25">
      <c r="A25" s="115" t="s">
        <v>86</v>
      </c>
      <c r="B25" s="115"/>
      <c r="C25" t="s">
        <v>88</v>
      </c>
      <c r="D25" t="s">
        <v>87</v>
      </c>
    </row>
    <row r="26" spans="1:16" x14ac:dyDescent="0.25">
      <c r="A26" s="69" t="s">
        <v>63</v>
      </c>
      <c r="B26">
        <f>C26*D26</f>
        <v>2.3541456082868537</v>
      </c>
      <c r="C26">
        <v>-0.332376</v>
      </c>
      <c r="D26">
        <f>-(H3/(F3*_xlfn.GAMMA(G3/H3)))*LN(H3/(F3*_xlfn.GAMMA(G3/H3)))</f>
        <v>-7.082778564898951</v>
      </c>
    </row>
    <row r="27" spans="1:16" x14ac:dyDescent="0.25">
      <c r="A27" s="69" t="s">
        <v>29</v>
      </c>
      <c r="B27">
        <f>C27*D27</f>
        <v>2.5153911377064579</v>
      </c>
      <c r="C27">
        <v>7.4144100000000002</v>
      </c>
      <c r="D27">
        <f>-(H4/(F4*_xlfn.GAMMA(G4/H4)))*LN(H4/(F4*_xlfn.GAMMA(G4/H4)))</f>
        <v>0.33925708690326783</v>
      </c>
    </row>
    <row r="28" spans="1:16" x14ac:dyDescent="0.25">
      <c r="A28" s="69" t="s">
        <v>36</v>
      </c>
      <c r="B28">
        <f>C28*D28</f>
        <v>0.97780545263487062</v>
      </c>
      <c r="C28">
        <v>-1.70143</v>
      </c>
      <c r="D28">
        <f>-(H5/(F5*_xlfn.GAMMA(G5/H5)))*LN(H5/(F5*_xlfn.GAMMA(G5/H5)))</f>
        <v>-0.57469625705134542</v>
      </c>
    </row>
    <row r="29" spans="1:16" x14ac:dyDescent="0.25">
      <c r="A29" s="69" t="s">
        <v>64</v>
      </c>
      <c r="B29">
        <f>C29*D29</f>
        <v>1.9360598966302107</v>
      </c>
      <c r="C29">
        <v>-0.48352400000000001</v>
      </c>
      <c r="D29">
        <f>-(H6/(F6*_xlfn.GAMMA(G6/H6)))*LN(H6/(F6*_xlfn.GAMMA(G6/H6)))</f>
        <v>-4.0040616321634719</v>
      </c>
    </row>
  </sheetData>
  <mergeCells count="6">
    <mergeCell ref="A11:E11"/>
    <mergeCell ref="A18:E18"/>
    <mergeCell ref="A25:B25"/>
    <mergeCell ref="B1:C1"/>
    <mergeCell ref="F1:H1"/>
    <mergeCell ref="D1:E1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67"/>
  <sheetViews>
    <sheetView tabSelected="1" zoomScale="85" zoomScaleNormal="85" workbookViewId="0">
      <selection activeCell="E33" sqref="E33"/>
    </sheetView>
  </sheetViews>
  <sheetFormatPr baseColWidth="10" defaultColWidth="8.85546875" defaultRowHeight="15" x14ac:dyDescent="0.25"/>
  <cols>
    <col min="1" max="1" width="7.85546875" style="28" customWidth="1"/>
    <col min="2" max="3" width="9" style="3" bestFit="1" customWidth="1"/>
    <col min="4" max="4" width="8.7109375" style="3" bestFit="1" customWidth="1"/>
    <col min="5" max="5" width="8.7109375" style="28" bestFit="1" customWidth="1"/>
    <col min="6" max="6" width="2.7109375" style="28" customWidth="1"/>
    <col min="7" max="7" width="7.28515625" style="28" customWidth="1"/>
    <col min="8" max="11" width="8.85546875" style="28"/>
    <col min="12" max="12" width="2.7109375" style="28" customWidth="1"/>
    <col min="13" max="13" width="5.7109375" style="28" customWidth="1"/>
    <col min="14" max="17" width="8.85546875" style="28"/>
    <col min="18" max="18" width="17.85546875" style="28" bestFit="1" customWidth="1"/>
    <col min="19" max="19" width="9.7109375" style="28" customWidth="1"/>
    <col min="20" max="23" width="8.85546875" style="28"/>
    <col min="24" max="24" width="2.85546875" style="28" customWidth="1"/>
    <col min="25" max="29" width="8.85546875" style="48" customWidth="1"/>
    <col min="30" max="30" width="2.85546875" style="48" customWidth="1"/>
    <col min="31" max="33" width="8.85546875" style="28"/>
    <col min="34" max="34" width="10.42578125" style="28" bestFit="1" customWidth="1"/>
    <col min="35" max="35" width="8.85546875" style="28"/>
    <col min="36" max="36" width="2.85546875" style="28" customWidth="1"/>
    <col min="37" max="41" width="8.85546875" style="28"/>
    <col min="42" max="42" width="2.85546875" style="28" customWidth="1"/>
    <col min="43" max="47" width="8.85546875" style="28"/>
    <col min="48" max="48" width="2.7109375" style="28" customWidth="1"/>
    <col min="49" max="54" width="8.85546875" style="28"/>
    <col min="55" max="55" width="18.7109375" style="28" bestFit="1" customWidth="1"/>
    <col min="56" max="56" width="15.85546875" style="28" customWidth="1"/>
    <col min="57" max="57" width="13" style="28" customWidth="1"/>
    <col min="58" max="58" width="10.7109375" style="28" bestFit="1" customWidth="1"/>
    <col min="59" max="59" width="9.28515625" style="28" customWidth="1"/>
    <col min="60" max="60" width="10.7109375" style="28" customWidth="1"/>
    <col min="61" max="61" width="15.28515625" style="28" customWidth="1"/>
    <col min="62" max="65" width="8.85546875" style="28"/>
    <col min="66" max="67" width="8.85546875" style="96"/>
    <col min="68" max="16384" width="8.85546875" style="28"/>
  </cols>
  <sheetData>
    <row r="1" spans="1:68" x14ac:dyDescent="0.25">
      <c r="A1" s="106" t="s">
        <v>5</v>
      </c>
      <c r="B1" s="106"/>
      <c r="C1" s="106"/>
      <c r="D1" s="106"/>
      <c r="E1" s="106"/>
      <c r="F1" s="27"/>
      <c r="G1" s="106" t="s">
        <v>4</v>
      </c>
      <c r="H1" s="106"/>
      <c r="I1" s="106"/>
      <c r="J1" s="106"/>
      <c r="K1" s="106"/>
      <c r="M1" s="106" t="s">
        <v>7</v>
      </c>
      <c r="N1" s="106"/>
      <c r="O1" s="106"/>
      <c r="P1" s="106"/>
      <c r="Q1" s="106"/>
      <c r="R1" s="27"/>
      <c r="S1" s="106" t="s">
        <v>41</v>
      </c>
      <c r="T1" s="106"/>
      <c r="U1" s="106"/>
      <c r="V1" s="106"/>
      <c r="W1" s="106"/>
      <c r="X1" s="27"/>
      <c r="Y1" s="106" t="s">
        <v>41</v>
      </c>
      <c r="Z1" s="106"/>
      <c r="AA1" s="106"/>
      <c r="AB1" s="106"/>
      <c r="AC1" s="106"/>
      <c r="AD1" s="46"/>
      <c r="AE1" s="106" t="s">
        <v>39</v>
      </c>
      <c r="AF1" s="106"/>
      <c r="AG1" s="106"/>
      <c r="AH1" s="106"/>
      <c r="AI1" s="106"/>
      <c r="AJ1" s="27"/>
      <c r="AK1" s="106" t="s">
        <v>31</v>
      </c>
      <c r="AL1" s="106"/>
      <c r="AM1" s="106"/>
      <c r="AN1" s="106"/>
      <c r="AO1" s="106"/>
      <c r="AP1" s="27"/>
      <c r="AQ1" s="106" t="s">
        <v>32</v>
      </c>
      <c r="AR1" s="106"/>
      <c r="AS1" s="106"/>
      <c r="AT1" s="106"/>
      <c r="AU1" s="106"/>
      <c r="AV1" s="27"/>
      <c r="AW1" s="106" t="s">
        <v>36</v>
      </c>
      <c r="AX1" s="106"/>
      <c r="AY1" s="106"/>
      <c r="AZ1" s="106"/>
      <c r="BA1" s="106"/>
      <c r="BB1" s="27"/>
      <c r="BC1" s="28" t="s">
        <v>37</v>
      </c>
      <c r="BD1" s="28" t="s">
        <v>10</v>
      </c>
      <c r="BE1" s="28" t="s">
        <v>11</v>
      </c>
      <c r="BF1" s="28" t="s">
        <v>8</v>
      </c>
      <c r="BG1" s="28" t="s">
        <v>9</v>
      </c>
      <c r="BH1" s="28" t="s">
        <v>12</v>
      </c>
      <c r="BI1" s="28" t="s">
        <v>13</v>
      </c>
      <c r="BJ1" s="28" t="s">
        <v>46</v>
      </c>
      <c r="BK1" s="28" t="s">
        <v>45</v>
      </c>
    </row>
    <row r="2" spans="1:68" x14ac:dyDescent="0.25">
      <c r="A2" s="28" t="s">
        <v>0</v>
      </c>
      <c r="B2" s="28" t="s">
        <v>1</v>
      </c>
      <c r="C2" s="28" t="s">
        <v>2</v>
      </c>
      <c r="D2" s="28" t="s">
        <v>6</v>
      </c>
      <c r="E2" s="28" t="s">
        <v>3</v>
      </c>
      <c r="G2" s="28" t="s">
        <v>0</v>
      </c>
      <c r="H2" s="28" t="s">
        <v>1</v>
      </c>
      <c r="I2" s="28" t="s">
        <v>2</v>
      </c>
      <c r="J2" s="28" t="s">
        <v>6</v>
      </c>
      <c r="K2" s="28" t="s">
        <v>3</v>
      </c>
      <c r="M2" s="28" t="s">
        <v>0</v>
      </c>
      <c r="N2" s="28" t="s">
        <v>1</v>
      </c>
      <c r="O2" s="28" t="s">
        <v>2</v>
      </c>
      <c r="P2" s="28" t="s">
        <v>6</v>
      </c>
      <c r="Q2" s="28" t="s">
        <v>3</v>
      </c>
      <c r="S2" s="28" t="s">
        <v>0</v>
      </c>
      <c r="T2" s="28" t="s">
        <v>1</v>
      </c>
      <c r="U2" s="28" t="s">
        <v>2</v>
      </c>
      <c r="V2" s="28" t="s">
        <v>6</v>
      </c>
      <c r="W2" s="28" t="s">
        <v>3</v>
      </c>
      <c r="Y2" s="48" t="s">
        <v>0</v>
      </c>
      <c r="Z2" s="48" t="s">
        <v>1</v>
      </c>
      <c r="AA2" s="48" t="s">
        <v>2</v>
      </c>
      <c r="AB2" s="48" t="s">
        <v>6</v>
      </c>
      <c r="AC2" s="48" t="s">
        <v>3</v>
      </c>
      <c r="AE2" s="28" t="s">
        <v>0</v>
      </c>
      <c r="AF2" s="28" t="s">
        <v>1</v>
      </c>
      <c r="AG2" s="28" t="s">
        <v>2</v>
      </c>
      <c r="AH2" s="28" t="s">
        <v>6</v>
      </c>
      <c r="AI2" s="28" t="s">
        <v>3</v>
      </c>
      <c r="AK2" s="28" t="s">
        <v>0</v>
      </c>
      <c r="AL2" s="28" t="s">
        <v>33</v>
      </c>
      <c r="AM2" s="28" t="s">
        <v>34</v>
      </c>
      <c r="AN2" s="28" t="s">
        <v>6</v>
      </c>
      <c r="AO2" s="28" t="s">
        <v>3</v>
      </c>
      <c r="AQ2" s="28" t="s">
        <v>0</v>
      </c>
      <c r="AR2" s="28" t="s">
        <v>33</v>
      </c>
      <c r="AS2" s="28" t="s">
        <v>34</v>
      </c>
      <c r="AT2" s="28" t="s">
        <v>6</v>
      </c>
      <c r="AU2" s="28" t="s">
        <v>3</v>
      </c>
      <c r="AW2" s="28" t="s">
        <v>0</v>
      </c>
      <c r="AX2" s="28" t="s">
        <v>33</v>
      </c>
      <c r="AY2" s="28" t="s">
        <v>34</v>
      </c>
      <c r="AZ2" s="28" t="s">
        <v>6</v>
      </c>
      <c r="BA2" s="28" t="s">
        <v>3</v>
      </c>
      <c r="BC2" s="5" t="s">
        <v>4</v>
      </c>
      <c r="BD2" s="28">
        <v>57</v>
      </c>
      <c r="BE2" s="28">
        <v>2.9</v>
      </c>
      <c r="BF2" s="28">
        <v>704</v>
      </c>
      <c r="BG2" s="6">
        <f>AVERAGE(I3:I62)/BE2/BD2/1000</f>
        <v>644.49337310687258</v>
      </c>
      <c r="BH2" s="7">
        <f t="shared" ref="BH2:BH12" si="0">(BG2-BF2)/BF2</f>
        <v>-8.4526458655010531E-2</v>
      </c>
      <c r="BI2" s="7">
        <v>-0.20399999999999999</v>
      </c>
      <c r="BJ2" s="6">
        <f>100*1000*Table13[[#This Row],[Rate_o]]*Table13[[#This Row],[Área (km-2)]]*Table13[[#This Row],[Periodo (anos)]]/AVERAGE(H3:H32)</f>
        <v>85.30362116991644</v>
      </c>
      <c r="BK2" s="6">
        <f>AVERAGE(K3:K32)</f>
        <v>80.538244792429637</v>
      </c>
      <c r="BP2" s="55"/>
    </row>
    <row r="3" spans="1:68" x14ac:dyDescent="0.25">
      <c r="A3" s="28">
        <v>1</v>
      </c>
      <c r="B3" s="3">
        <v>34180000000</v>
      </c>
      <c r="C3" s="3">
        <v>2813000000</v>
      </c>
      <c r="D3" s="4">
        <f t="shared" ref="D3:D32" si="1">C3/$BE$3/$BD$3/1000</f>
        <v>182.75727650727652</v>
      </c>
      <c r="E3" s="27">
        <f>100*C3/B3</f>
        <v>8.2299590403744887</v>
      </c>
      <c r="F3" s="27"/>
      <c r="G3" s="28">
        <v>1</v>
      </c>
      <c r="H3" s="3">
        <v>129900000</v>
      </c>
      <c r="I3" s="3">
        <v>104300000</v>
      </c>
      <c r="J3" s="4">
        <f t="shared" ref="J3:J32" si="2">I3/$BE$2/$BD$2/1000</f>
        <v>630.9739866908651</v>
      </c>
      <c r="K3" s="27">
        <f t="shared" ref="K3:K32" si="3">100*I3/H3</f>
        <v>80.292532717474984</v>
      </c>
      <c r="M3" s="28">
        <v>1</v>
      </c>
      <c r="N3" s="3">
        <v>91760000000</v>
      </c>
      <c r="O3" s="3">
        <v>5404000000</v>
      </c>
      <c r="P3" s="4">
        <f t="shared" ref="P3:P32" si="4">O3/$BE$4/$BD$4/1000</f>
        <v>430.42612504978098</v>
      </c>
      <c r="Q3" s="27">
        <f>100*O3/N3</f>
        <v>5.8892763731473412</v>
      </c>
      <c r="R3" s="27"/>
      <c r="S3" s="28">
        <v>1</v>
      </c>
      <c r="T3" s="3">
        <v>2576000</v>
      </c>
      <c r="U3" s="3">
        <v>403800</v>
      </c>
      <c r="V3" s="17">
        <f t="shared" ref="V3:V32" si="5">U3/7/$BE$5/1000</f>
        <v>5.0030975096022789</v>
      </c>
      <c r="W3" s="27">
        <f>100*U3/T3</f>
        <v>15.675465838509316</v>
      </c>
      <c r="X3" s="27"/>
      <c r="Y3" s="22">
        <v>1</v>
      </c>
      <c r="Z3" s="48">
        <v>2344195</v>
      </c>
      <c r="AA3" s="48">
        <v>309546.93800000002</v>
      </c>
      <c r="AB3" s="17">
        <f>AA3/10/$BE$5/1000</f>
        <v>2.6847089158716395</v>
      </c>
      <c r="AC3" s="46">
        <v>13.204829400000001</v>
      </c>
      <c r="AD3" s="46"/>
      <c r="AE3" s="28">
        <v>1</v>
      </c>
      <c r="AF3" s="3">
        <v>5411000</v>
      </c>
      <c r="AG3" s="3">
        <v>691300</v>
      </c>
      <c r="AH3" s="17">
        <f t="shared" ref="AH3:AH32" si="6">AG3/$BD$7/$BE$7/1000</f>
        <v>3.5268608744451817</v>
      </c>
      <c r="AI3" s="27">
        <f>100*AG3/AF3</f>
        <v>12.775827019035299</v>
      </c>
      <c r="AJ3" s="27"/>
      <c r="AK3" s="22">
        <v>1</v>
      </c>
      <c r="AL3" s="23">
        <v>3634</v>
      </c>
      <c r="AM3" s="23">
        <v>995</v>
      </c>
      <c r="AN3" s="17">
        <f t="shared" ref="AN3:AN32" si="7">AM3/$BE$8/$BD$8/1000</f>
        <v>15.498442367601244</v>
      </c>
      <c r="AO3" s="27">
        <f>100*AM3/AL3</f>
        <v>27.380297193175565</v>
      </c>
      <c r="AP3" s="27"/>
      <c r="AQ3" s="22">
        <v>1</v>
      </c>
      <c r="AR3" s="23">
        <v>346800</v>
      </c>
      <c r="AS3" s="23">
        <v>61690</v>
      </c>
      <c r="AT3" s="6">
        <f t="shared" ref="AT3:AT32" si="8">AS3/$BE$9/$BD$9/1000</f>
        <v>2142.0138888888891</v>
      </c>
      <c r="AU3" s="27">
        <f t="shared" ref="AU3:AU32" si="9">100*AS3/AR3</f>
        <v>17.788350634371394</v>
      </c>
      <c r="AV3" s="27"/>
      <c r="AW3" s="22">
        <v>1</v>
      </c>
      <c r="AX3" s="23">
        <v>2750</v>
      </c>
      <c r="AY3" s="23">
        <v>971</v>
      </c>
      <c r="AZ3" s="6">
        <f t="shared" ref="AZ3:AZ32" si="10">AY3/$BE$11/$BD$11/1000</f>
        <v>2339.7590361445782</v>
      </c>
      <c r="BA3" s="27">
        <f t="shared" ref="BA3:BA32" si="11">100*AY3/AX3</f>
        <v>35.309090909090912</v>
      </c>
      <c r="BB3" s="27"/>
      <c r="BC3" s="5" t="s">
        <v>5</v>
      </c>
      <c r="BD3" s="28">
        <v>74</v>
      </c>
      <c r="BE3" s="28">
        <v>208</v>
      </c>
      <c r="BF3" s="28">
        <v>233</v>
      </c>
      <c r="BG3" s="6">
        <f>AVERAGE(C3:C32)/BE3/BD3/1000</f>
        <v>186.96292446292449</v>
      </c>
      <c r="BH3" s="7">
        <f t="shared" si="0"/>
        <v>-0.19758401518058158</v>
      </c>
      <c r="BI3" s="7">
        <v>0.47899999999999998</v>
      </c>
      <c r="BJ3" s="27">
        <f>100*1000*Table13[[#This Row],[Rate_o]]*Table13[[#This Row],[Área (km-2)]]*Table13[[#This Row],[Periodo (anos)]]/AVERAGE(B3:B32)</f>
        <v>10.049136964806097</v>
      </c>
      <c r="BK3" s="6">
        <f>AVERAGE(E3:E32)</f>
        <v>8.0903954164202698</v>
      </c>
      <c r="BP3" s="55"/>
    </row>
    <row r="4" spans="1:68" x14ac:dyDescent="0.25">
      <c r="A4" s="28">
        <v>2</v>
      </c>
      <c r="B4" s="3">
        <v>37750000000</v>
      </c>
      <c r="C4" s="3">
        <v>2752000000</v>
      </c>
      <c r="D4" s="4">
        <f t="shared" si="1"/>
        <v>178.7941787941788</v>
      </c>
      <c r="E4" s="27">
        <f t="shared" ref="E4:E32" si="12">100*C4/B4</f>
        <v>7.290066225165563</v>
      </c>
      <c r="F4" s="27"/>
      <c r="G4" s="28">
        <v>2</v>
      </c>
      <c r="H4" s="3">
        <v>140300000</v>
      </c>
      <c r="I4" s="3">
        <v>111600000</v>
      </c>
      <c r="J4" s="4">
        <f t="shared" si="2"/>
        <v>675.13611615245009</v>
      </c>
      <c r="K4" s="27">
        <f t="shared" si="3"/>
        <v>79.543834640057014</v>
      </c>
      <c r="M4" s="28">
        <v>2</v>
      </c>
      <c r="N4" s="3">
        <v>84690000000</v>
      </c>
      <c r="O4" s="3">
        <v>5603000000</v>
      </c>
      <c r="P4" s="4">
        <f t="shared" si="4"/>
        <v>446.27638391079245</v>
      </c>
      <c r="Q4" s="27">
        <f t="shared" ref="Q4:Q32" si="13">100*O4/N4</f>
        <v>6.6158932577636085</v>
      </c>
      <c r="R4" s="27"/>
      <c r="S4" s="28">
        <v>2</v>
      </c>
      <c r="T4" s="3">
        <v>2563000</v>
      </c>
      <c r="U4" s="3">
        <v>413500</v>
      </c>
      <c r="V4" s="17">
        <f t="shared" si="5"/>
        <v>5.123280882170735</v>
      </c>
      <c r="W4" s="27">
        <f t="shared" ref="W4:W32" si="14">100*U4/T4</f>
        <v>16.133437378072571</v>
      </c>
      <c r="X4" s="27"/>
      <c r="Y4" s="22">
        <v>2</v>
      </c>
      <c r="Z4" s="48">
        <v>2659003.5</v>
      </c>
      <c r="AA4" s="48">
        <v>328307.93800000002</v>
      </c>
      <c r="AB4" s="17">
        <f t="shared" ref="AB4:AB32" si="15">AA4/10/$BE$5/1000</f>
        <v>2.8474235732870774</v>
      </c>
      <c r="AC4" s="46">
        <v>12.3470291</v>
      </c>
      <c r="AD4" s="46"/>
      <c r="AE4" s="28">
        <v>2</v>
      </c>
      <c r="AF4" s="3">
        <v>5781000</v>
      </c>
      <c r="AG4" s="3">
        <v>683300</v>
      </c>
      <c r="AH4" s="17">
        <f t="shared" si="6"/>
        <v>3.4860466302739659</v>
      </c>
      <c r="AI4" s="27">
        <f t="shared" ref="AI4:AI32" si="16">100*AG4/AF4</f>
        <v>11.819754367756444</v>
      </c>
      <c r="AJ4" s="27"/>
      <c r="AK4" s="22">
        <v>2</v>
      </c>
      <c r="AL4" s="23">
        <v>3713</v>
      </c>
      <c r="AM4" s="23">
        <v>790.4</v>
      </c>
      <c r="AN4" s="17">
        <f t="shared" si="7"/>
        <v>12.311526479750777</v>
      </c>
      <c r="AO4" s="27">
        <f t="shared" ref="AO4:AO32" si="17">100*AM4/AL4</f>
        <v>21.287368704551575</v>
      </c>
      <c r="AP4" s="27"/>
      <c r="AQ4" s="22">
        <v>2</v>
      </c>
      <c r="AR4" s="23">
        <v>348900</v>
      </c>
      <c r="AS4" s="23">
        <v>55430</v>
      </c>
      <c r="AT4" s="6">
        <f t="shared" si="8"/>
        <v>1924.6527777777781</v>
      </c>
      <c r="AU4" s="27">
        <f t="shared" si="9"/>
        <v>15.88707366007452</v>
      </c>
      <c r="AV4" s="27"/>
      <c r="AW4" s="22">
        <v>2</v>
      </c>
      <c r="AX4" s="23">
        <v>3153</v>
      </c>
      <c r="AY4" s="23">
        <v>836.5</v>
      </c>
      <c r="AZ4" s="6">
        <f t="shared" si="10"/>
        <v>2015.6626506024097</v>
      </c>
      <c r="BA4" s="27">
        <f t="shared" si="11"/>
        <v>26.530288614018396</v>
      </c>
      <c r="BB4" s="27"/>
      <c r="BC4" s="5" t="s">
        <v>7</v>
      </c>
      <c r="BD4" s="28">
        <v>81</v>
      </c>
      <c r="BE4" s="28">
        <v>155</v>
      </c>
      <c r="BF4" s="28">
        <v>164</v>
      </c>
      <c r="BG4" s="6">
        <f>AVERAGE(O3:O62)/BE4/BD4/1000</f>
        <v>405.75065432855064</v>
      </c>
      <c r="BH4" s="7">
        <f t="shared" si="0"/>
        <v>1.4740893556618941</v>
      </c>
      <c r="BI4" s="8">
        <v>1.8160000000000001</v>
      </c>
      <c r="BJ4" s="27">
        <f>100*1000*Table13[[#This Row],[Rate_o]]*Table13[[#This Row],[Área (km-2)]]*Table13[[#This Row],[Periodo (anos)]]/AVERAGE(N3:N32)</f>
        <v>2.2964926499565022</v>
      </c>
      <c r="BK4" s="6">
        <f>AVERAGE(Q3:Q32)</f>
        <v>5.869267686373222</v>
      </c>
      <c r="BP4" s="55"/>
    </row>
    <row r="5" spans="1:68" x14ac:dyDescent="0.25">
      <c r="A5" s="28">
        <v>3</v>
      </c>
      <c r="B5" s="3">
        <v>35160000000</v>
      </c>
      <c r="C5" s="3">
        <v>3151000000</v>
      </c>
      <c r="D5" s="4">
        <f t="shared" si="1"/>
        <v>204.716735966736</v>
      </c>
      <c r="E5" s="27">
        <f t="shared" si="12"/>
        <v>8.9618885096700804</v>
      </c>
      <c r="F5" s="27"/>
      <c r="G5" s="28">
        <v>3</v>
      </c>
      <c r="H5" s="3">
        <v>138100000</v>
      </c>
      <c r="I5" s="3">
        <v>111600000</v>
      </c>
      <c r="J5" s="4">
        <f t="shared" si="2"/>
        <v>675.13611615245009</v>
      </c>
      <c r="K5" s="27">
        <f t="shared" si="3"/>
        <v>80.811006517016651</v>
      </c>
      <c r="M5" s="28">
        <v>3</v>
      </c>
      <c r="N5" s="3">
        <v>95900000000</v>
      </c>
      <c r="O5" s="3">
        <v>4927000000</v>
      </c>
      <c r="P5" s="4">
        <f t="shared" si="4"/>
        <v>392.43329350856231</v>
      </c>
      <c r="Q5" s="27">
        <f t="shared" si="13"/>
        <v>5.1376433785192912</v>
      </c>
      <c r="R5" s="27"/>
      <c r="S5" s="28">
        <v>3</v>
      </c>
      <c r="T5" s="3">
        <v>2881000</v>
      </c>
      <c r="U5" s="3">
        <v>356600</v>
      </c>
      <c r="V5" s="17">
        <f t="shared" si="5"/>
        <v>4.4182876966918601</v>
      </c>
      <c r="W5" s="27">
        <f t="shared" si="14"/>
        <v>12.377646650468588</v>
      </c>
      <c r="X5" s="27"/>
      <c r="Y5" s="22">
        <v>3</v>
      </c>
      <c r="Z5" s="48">
        <v>2680691</v>
      </c>
      <c r="AA5" s="48">
        <v>347924.375</v>
      </c>
      <c r="AB5" s="17">
        <f t="shared" si="15"/>
        <v>3.0175574588031222</v>
      </c>
      <c r="AC5" s="46">
        <v>12.9789069</v>
      </c>
      <c r="AD5" s="46"/>
      <c r="AE5" s="28">
        <v>3</v>
      </c>
      <c r="AF5" s="3">
        <v>5416000</v>
      </c>
      <c r="AG5" s="3">
        <v>735200</v>
      </c>
      <c r="AH5" s="17">
        <f t="shared" si="6"/>
        <v>3.7508290393347279</v>
      </c>
      <c r="AI5" s="27">
        <f t="shared" si="16"/>
        <v>13.574593796159528</v>
      </c>
      <c r="AJ5" s="27"/>
      <c r="AK5" s="22">
        <v>3</v>
      </c>
      <c r="AL5" s="23">
        <v>3445</v>
      </c>
      <c r="AM5" s="23">
        <v>974.1</v>
      </c>
      <c r="AN5" s="17">
        <f t="shared" si="7"/>
        <v>15.17289719626168</v>
      </c>
      <c r="AO5" s="27">
        <f t="shared" si="17"/>
        <v>28.275761973875181</v>
      </c>
      <c r="AP5" s="27"/>
      <c r="AQ5" s="22">
        <v>3</v>
      </c>
      <c r="AR5" s="23">
        <v>333700</v>
      </c>
      <c r="AS5" s="23">
        <v>70470</v>
      </c>
      <c r="AT5" s="6">
        <f t="shared" si="8"/>
        <v>2446.8750000000005</v>
      </c>
      <c r="AU5" s="27">
        <f t="shared" si="9"/>
        <v>21.117770452502249</v>
      </c>
      <c r="AV5" s="27"/>
      <c r="AW5" s="22">
        <v>3</v>
      </c>
      <c r="AX5" s="23">
        <v>3052</v>
      </c>
      <c r="AY5" s="23">
        <v>989.9</v>
      </c>
      <c r="AZ5" s="6">
        <f t="shared" si="10"/>
        <v>2385.3012048192768</v>
      </c>
      <c r="BA5" s="27">
        <f t="shared" si="11"/>
        <v>32.434469200524248</v>
      </c>
      <c r="BB5" s="27"/>
      <c r="BC5" s="5" t="s">
        <v>38</v>
      </c>
      <c r="BD5" s="28">
        <v>7</v>
      </c>
      <c r="BE5" s="28">
        <v>11.53</v>
      </c>
      <c r="BF5" s="6">
        <v>4.59</v>
      </c>
      <c r="BG5" s="17">
        <f>AVERAGE(V3:V32)</f>
        <v>5.0125552389212409</v>
      </c>
      <c r="BH5" s="7">
        <f t="shared" si="0"/>
        <v>9.2059964906588465E-2</v>
      </c>
      <c r="BI5" s="7">
        <f>(BF5-(AVERAGE(T3:T32)*0.036)/BD5/BE5/1000)/BF5</f>
        <v>0.73178239205482709</v>
      </c>
      <c r="BJ5" s="27">
        <f>100*1000*Table13[[#This Row],[Rate_o]]*Table13[[#This Row],[Área (km-2)]]*Table13[[#This Row],[Periodo (anos)]]/AVERAGE(T3:T64)</f>
        <v>18.991302878139567</v>
      </c>
      <c r="BK5" s="6">
        <f>AVERAGE(W3:W32)</f>
        <v>14.813062389669538</v>
      </c>
      <c r="BP5" s="55"/>
    </row>
    <row r="6" spans="1:68" x14ac:dyDescent="0.25">
      <c r="A6" s="28">
        <v>4</v>
      </c>
      <c r="B6" s="3">
        <v>33290000000</v>
      </c>
      <c r="C6" s="3">
        <v>2961000000</v>
      </c>
      <c r="D6" s="4">
        <f t="shared" si="1"/>
        <v>192.37266112266113</v>
      </c>
      <c r="E6" s="27">
        <f t="shared" si="12"/>
        <v>8.8945629318113539</v>
      </c>
      <c r="F6" s="27"/>
      <c r="G6" s="28">
        <v>4</v>
      </c>
      <c r="H6" s="3">
        <v>126700000</v>
      </c>
      <c r="I6" s="3">
        <v>104000000</v>
      </c>
      <c r="J6" s="4">
        <f t="shared" si="2"/>
        <v>629.15910465819729</v>
      </c>
      <c r="K6" s="27">
        <f t="shared" si="3"/>
        <v>82.08366219415943</v>
      </c>
      <c r="M6" s="28">
        <v>4</v>
      </c>
      <c r="N6" s="3">
        <v>85520000000</v>
      </c>
      <c r="O6" s="3">
        <v>5084000000</v>
      </c>
      <c r="P6" s="4">
        <f t="shared" si="4"/>
        <v>404.93827160493828</v>
      </c>
      <c r="Q6" s="27">
        <f t="shared" si="13"/>
        <v>5.944808231992516</v>
      </c>
      <c r="R6" s="27"/>
      <c r="S6" s="28">
        <v>4</v>
      </c>
      <c r="T6" s="3">
        <v>2503000</v>
      </c>
      <c r="U6" s="3">
        <v>39500</v>
      </c>
      <c r="V6" s="17">
        <f t="shared" si="5"/>
        <v>0.48940651716020322</v>
      </c>
      <c r="W6" s="27">
        <f t="shared" si="14"/>
        <v>1.5781062724730324</v>
      </c>
      <c r="X6" s="27"/>
      <c r="Y6" s="22">
        <v>4</v>
      </c>
      <c r="Z6" s="48">
        <v>2529757.5</v>
      </c>
      <c r="AA6" s="48">
        <v>313756.96899999998</v>
      </c>
      <c r="AB6" s="17">
        <f t="shared" si="15"/>
        <v>2.7212226279271468</v>
      </c>
      <c r="AC6" s="46">
        <v>12.40265</v>
      </c>
      <c r="AD6" s="46"/>
      <c r="AE6" s="28">
        <v>4</v>
      </c>
      <c r="AF6" s="3">
        <v>5412000</v>
      </c>
      <c r="AG6" s="3">
        <v>686500</v>
      </c>
      <c r="AH6" s="17">
        <f t="shared" si="6"/>
        <v>3.5023723279424521</v>
      </c>
      <c r="AI6" s="27">
        <f t="shared" si="16"/>
        <v>12.684774575018478</v>
      </c>
      <c r="AJ6" s="27"/>
      <c r="AK6" s="22">
        <v>4</v>
      </c>
      <c r="AL6" s="23">
        <v>3431</v>
      </c>
      <c r="AM6" s="23">
        <v>858</v>
      </c>
      <c r="AN6" s="17">
        <f t="shared" si="7"/>
        <v>13.364485981308409</v>
      </c>
      <c r="AO6" s="27">
        <f t="shared" si="17"/>
        <v>25.007286505392013</v>
      </c>
      <c r="AP6" s="27"/>
      <c r="AQ6" s="22">
        <v>4</v>
      </c>
      <c r="AR6" s="23">
        <v>287900</v>
      </c>
      <c r="AS6" s="23">
        <v>75480</v>
      </c>
      <c r="AT6" s="6">
        <f t="shared" si="8"/>
        <v>2620.8333333333335</v>
      </c>
      <c r="AU6" s="27">
        <f t="shared" si="9"/>
        <v>26.217436609934005</v>
      </c>
      <c r="AV6" s="27"/>
      <c r="AW6" s="22">
        <v>4</v>
      </c>
      <c r="AX6" s="23">
        <v>2872</v>
      </c>
      <c r="AY6" s="23">
        <v>840.7</v>
      </c>
      <c r="AZ6" s="6">
        <f t="shared" si="10"/>
        <v>2025.7831325301206</v>
      </c>
      <c r="BA6" s="27">
        <f t="shared" si="11"/>
        <v>29.272284122562674</v>
      </c>
      <c r="BB6" s="27"/>
      <c r="BC6" s="51" t="s">
        <v>42</v>
      </c>
      <c r="BD6" s="52">
        <v>10</v>
      </c>
      <c r="BE6" s="52">
        <v>11.53</v>
      </c>
      <c r="BF6" s="29">
        <v>4.51</v>
      </c>
      <c r="BG6" s="53">
        <f>AVERAGE(AB3:AB32)</f>
        <v>2.6218901598727955</v>
      </c>
      <c r="BH6" s="54">
        <f t="shared" si="0"/>
        <v>-0.41864963195725152</v>
      </c>
      <c r="BI6" s="54">
        <f>(BF6-(AVERAGE(T3:T32)*0.036)/BD6/BE6/1000)/BF6</f>
        <v>0.8089172562465986</v>
      </c>
      <c r="BJ6" s="27">
        <f>(BJ7*17-7*BJ5)/10</f>
        <v>15.444872112326106</v>
      </c>
      <c r="BK6" s="6">
        <f>AVERAGE(AC3:AC32)</f>
        <v>11.485472555333333</v>
      </c>
      <c r="BP6" s="55"/>
    </row>
    <row r="7" spans="1:68" x14ac:dyDescent="0.25">
      <c r="A7" s="28">
        <v>5</v>
      </c>
      <c r="B7" s="3">
        <v>37300000000</v>
      </c>
      <c r="C7" s="3">
        <v>2951000000</v>
      </c>
      <c r="D7" s="4">
        <f t="shared" si="1"/>
        <v>191.72297297297297</v>
      </c>
      <c r="E7" s="27">
        <f t="shared" si="12"/>
        <v>7.911528150134048</v>
      </c>
      <c r="F7" s="27"/>
      <c r="G7" s="28">
        <v>5</v>
      </c>
      <c r="H7" s="3">
        <v>132600000</v>
      </c>
      <c r="I7" s="3">
        <v>108100000</v>
      </c>
      <c r="J7" s="4">
        <f t="shared" si="2"/>
        <v>653.9624924379915</v>
      </c>
      <c r="K7" s="27">
        <f t="shared" si="3"/>
        <v>81.523378582202113</v>
      </c>
      <c r="M7" s="28">
        <v>5</v>
      </c>
      <c r="N7" s="3">
        <v>89870000000</v>
      </c>
      <c r="O7" s="3">
        <v>4865000000</v>
      </c>
      <c r="P7" s="4">
        <f t="shared" si="4"/>
        <v>387.49502190362404</v>
      </c>
      <c r="Q7" s="27">
        <f t="shared" si="13"/>
        <v>5.4133748748191834</v>
      </c>
      <c r="R7" s="27"/>
      <c r="S7" s="28">
        <v>5</v>
      </c>
      <c r="T7" s="3">
        <v>2933000</v>
      </c>
      <c r="U7" s="3">
        <v>412900</v>
      </c>
      <c r="V7" s="17">
        <f t="shared" si="5"/>
        <v>5.1158468591252628</v>
      </c>
      <c r="W7" s="27">
        <f t="shared" si="14"/>
        <v>14.077736106375724</v>
      </c>
      <c r="X7" s="27"/>
      <c r="Y7" s="22">
        <v>5</v>
      </c>
      <c r="Z7" s="48">
        <v>2858165.75</v>
      </c>
      <c r="AA7" s="48">
        <v>217277.984</v>
      </c>
      <c r="AB7" s="17">
        <f t="shared" si="15"/>
        <v>1.8844577970511709</v>
      </c>
      <c r="AC7" s="46">
        <v>7.6020076899999998</v>
      </c>
      <c r="AD7" s="46"/>
      <c r="AE7" s="28">
        <v>5</v>
      </c>
      <c r="AF7" s="3">
        <v>5280000</v>
      </c>
      <c r="AG7" s="3">
        <v>706500</v>
      </c>
      <c r="AH7" s="17">
        <f t="shared" si="6"/>
        <v>3.6044079383704912</v>
      </c>
      <c r="AI7" s="27">
        <f t="shared" si="16"/>
        <v>13.380681818181818</v>
      </c>
      <c r="AJ7" s="27"/>
      <c r="AK7" s="22">
        <v>5</v>
      </c>
      <c r="AL7" s="23">
        <v>3404</v>
      </c>
      <c r="AM7" s="23">
        <v>861.3</v>
      </c>
      <c r="AN7" s="17">
        <f t="shared" si="7"/>
        <v>13.415887850467289</v>
      </c>
      <c r="AO7" s="27">
        <f t="shared" si="17"/>
        <v>25.302585193889541</v>
      </c>
      <c r="AP7" s="27"/>
      <c r="AQ7" s="22">
        <v>5</v>
      </c>
      <c r="AR7" s="23">
        <v>333600</v>
      </c>
      <c r="AS7" s="23">
        <v>64800</v>
      </c>
      <c r="AT7" s="6">
        <f t="shared" si="8"/>
        <v>2250.0000000000005</v>
      </c>
      <c r="AU7" s="27">
        <f t="shared" si="9"/>
        <v>19.424460431654676</v>
      </c>
      <c r="AV7" s="27"/>
      <c r="AW7" s="22">
        <v>5</v>
      </c>
      <c r="AX7" s="23">
        <v>3244</v>
      </c>
      <c r="AY7" s="23">
        <v>873</v>
      </c>
      <c r="AZ7" s="6">
        <f t="shared" si="10"/>
        <v>2103.6144578313256</v>
      </c>
      <c r="BA7" s="27">
        <f t="shared" si="11"/>
        <v>26.911220715166461</v>
      </c>
      <c r="BB7" s="27"/>
      <c r="BC7" s="51" t="s">
        <v>40</v>
      </c>
      <c r="BD7" s="52">
        <v>17</v>
      </c>
      <c r="BE7" s="52">
        <v>11.53</v>
      </c>
      <c r="BF7" s="29">
        <v>4.55</v>
      </c>
      <c r="BG7" s="53">
        <f>AVERAGE(AH3:AH32)</f>
        <v>3.7523085556859352</v>
      </c>
      <c r="BH7" s="54">
        <f t="shared" si="0"/>
        <v>-0.17531680094814606</v>
      </c>
      <c r="BI7" s="54">
        <f>(BF7-(AVERAGE(T4:T33)*0.036)/BD7/BE7/1000)/BF7</f>
        <v>0.88833882101776585</v>
      </c>
      <c r="BJ7" s="27">
        <f>100*1000*Table13[[#This Row],[Rate_o]]*Table13[[#This Row],[Área (km-2)]]*Table13[[#This Row],[Periodo (anos)]]/AVERAGE(AF3:AF66)</f>
        <v>16.905167133543415</v>
      </c>
      <c r="BK7" s="6">
        <f>AVERAGE(AI3:AI32)</f>
        <v>13.659735466432261</v>
      </c>
      <c r="BP7" s="55"/>
    </row>
    <row r="8" spans="1:68" x14ac:dyDescent="0.25">
      <c r="A8" s="28">
        <v>6</v>
      </c>
      <c r="B8" s="3">
        <v>36190000000</v>
      </c>
      <c r="C8" s="3">
        <v>2873000000</v>
      </c>
      <c r="D8" s="4">
        <f t="shared" si="1"/>
        <v>186.65540540540542</v>
      </c>
      <c r="E8" s="27">
        <f t="shared" si="12"/>
        <v>7.9386570875932581</v>
      </c>
      <c r="F8" s="27"/>
      <c r="G8" s="28">
        <v>6</v>
      </c>
      <c r="H8" s="3">
        <v>150000000</v>
      </c>
      <c r="I8" s="3">
        <v>118900000</v>
      </c>
      <c r="J8" s="4">
        <f t="shared" si="2"/>
        <v>719.29824561403507</v>
      </c>
      <c r="K8" s="27">
        <f t="shared" si="3"/>
        <v>79.266666666666666</v>
      </c>
      <c r="M8" s="28">
        <v>6</v>
      </c>
      <c r="N8" s="3">
        <v>94730000000</v>
      </c>
      <c r="O8" s="3">
        <v>5122000000</v>
      </c>
      <c r="P8" s="4">
        <f t="shared" si="4"/>
        <v>407.96495420151331</v>
      </c>
      <c r="Q8" s="27">
        <f t="shared" si="13"/>
        <v>5.4069460572152437</v>
      </c>
      <c r="R8" s="27"/>
      <c r="S8" s="28">
        <v>6</v>
      </c>
      <c r="T8" s="3">
        <v>3252000</v>
      </c>
      <c r="U8" s="3">
        <v>447900</v>
      </c>
      <c r="V8" s="17">
        <f t="shared" si="5"/>
        <v>5.5494982034444309</v>
      </c>
      <c r="W8" s="27">
        <f t="shared" si="14"/>
        <v>13.773062730627306</v>
      </c>
      <c r="X8" s="27"/>
      <c r="Y8" s="22">
        <v>6</v>
      </c>
      <c r="Z8" s="48">
        <v>2568878.5</v>
      </c>
      <c r="AA8" s="48">
        <v>355569.59399999998</v>
      </c>
      <c r="AB8" s="17">
        <f t="shared" si="15"/>
        <v>3.0838646487424111</v>
      </c>
      <c r="AC8" s="46">
        <v>13.841432300000001</v>
      </c>
      <c r="AD8" s="46"/>
      <c r="AE8" s="28">
        <v>6</v>
      </c>
      <c r="AF8" s="3">
        <v>5141000</v>
      </c>
      <c r="AG8" s="3">
        <v>810800</v>
      </c>
      <c r="AH8" s="17">
        <f t="shared" si="6"/>
        <v>4.1365236467527176</v>
      </c>
      <c r="AI8" s="27">
        <f t="shared" si="16"/>
        <v>15.771250729430072</v>
      </c>
      <c r="AJ8" s="27"/>
      <c r="AK8" s="22">
        <v>6</v>
      </c>
      <c r="AL8" s="23">
        <v>3711</v>
      </c>
      <c r="AM8" s="23">
        <v>966.3</v>
      </c>
      <c r="AN8" s="17">
        <f t="shared" si="7"/>
        <v>15.051401869158877</v>
      </c>
      <c r="AO8" s="27">
        <f t="shared" si="17"/>
        <v>26.038803556992725</v>
      </c>
      <c r="AP8" s="27"/>
      <c r="AQ8" s="22">
        <v>6</v>
      </c>
      <c r="AR8" s="23">
        <v>334300</v>
      </c>
      <c r="AS8" s="23">
        <v>64610</v>
      </c>
      <c r="AT8" s="6">
        <f t="shared" si="8"/>
        <v>2243.4027777777778</v>
      </c>
      <c r="AU8" s="27">
        <f t="shared" si="9"/>
        <v>19.326951839664972</v>
      </c>
      <c r="AV8" s="27"/>
      <c r="AW8" s="22">
        <v>6</v>
      </c>
      <c r="AX8" s="23">
        <v>3554</v>
      </c>
      <c r="AY8" s="23">
        <v>705.5</v>
      </c>
      <c r="AZ8" s="6">
        <f t="shared" si="10"/>
        <v>1700</v>
      </c>
      <c r="BA8" s="27">
        <f t="shared" si="11"/>
        <v>19.850872256612266</v>
      </c>
      <c r="BB8" s="27"/>
      <c r="BC8" s="5" t="s">
        <v>31</v>
      </c>
      <c r="BD8" s="28">
        <v>6</v>
      </c>
      <c r="BE8" s="28">
        <f>1.07/100</f>
        <v>1.0700000000000001E-2</v>
      </c>
      <c r="BF8" s="6">
        <f>1088.9/BE8/BD8/1000</f>
        <v>16.96105919003115</v>
      </c>
      <c r="BG8" s="17">
        <f>AVERAGE(AN3:AN32)</f>
        <v>13.094340602284527</v>
      </c>
      <c r="BH8" s="7">
        <f t="shared" si="0"/>
        <v>-0.22797624514035564</v>
      </c>
      <c r="BI8" s="7">
        <f>(BF8-(AVERAGE(AL3:AL32)*0.274)/BD8/BE8/1000)/BF8</f>
        <v>0.10163865674840042</v>
      </c>
      <c r="BJ8" s="27">
        <f>100*1000*Table13[[#This Row],[Rate_o]]*Table13[[#This Row],[Área (km-2)]]*Table13[[#This Row],[Periodo (anos)]]/AVERAGE(AL3:AL32)</f>
        <v>30.49997665841931</v>
      </c>
      <c r="BK8" s="6">
        <f>AVERAGE(AO3:AO32)</f>
        <v>23.512825888070569</v>
      </c>
      <c r="BP8" s="55"/>
    </row>
    <row r="9" spans="1:68" x14ac:dyDescent="0.25">
      <c r="A9" s="28">
        <v>7</v>
      </c>
      <c r="B9" s="3">
        <v>37400000000</v>
      </c>
      <c r="C9" s="3">
        <v>2916000000</v>
      </c>
      <c r="D9" s="4">
        <f t="shared" si="1"/>
        <v>189.44906444906445</v>
      </c>
      <c r="E9" s="27">
        <f t="shared" si="12"/>
        <v>7.7967914438502675</v>
      </c>
      <c r="F9" s="27"/>
      <c r="G9" s="28">
        <v>7</v>
      </c>
      <c r="H9" s="3">
        <v>140200000</v>
      </c>
      <c r="I9" s="3">
        <v>111900000</v>
      </c>
      <c r="J9" s="4">
        <f t="shared" si="2"/>
        <v>676.95099818511812</v>
      </c>
      <c r="K9" s="27">
        <f t="shared" si="3"/>
        <v>79.814550641940087</v>
      </c>
      <c r="M9" s="28">
        <v>7</v>
      </c>
      <c r="N9" s="3">
        <v>92000000000</v>
      </c>
      <c r="O9" s="3">
        <v>5124000000</v>
      </c>
      <c r="P9" s="4">
        <f t="shared" si="4"/>
        <v>408.1242532855436</v>
      </c>
      <c r="Q9" s="27">
        <f t="shared" si="13"/>
        <v>5.5695652173913039</v>
      </c>
      <c r="R9" s="27"/>
      <c r="S9" s="28">
        <v>7</v>
      </c>
      <c r="T9" s="3">
        <v>2570000</v>
      </c>
      <c r="U9" s="3">
        <v>333500</v>
      </c>
      <c r="V9" s="17">
        <f t="shared" si="5"/>
        <v>4.1320778094412098</v>
      </c>
      <c r="W9" s="27">
        <f t="shared" si="14"/>
        <v>12.976653696498055</v>
      </c>
      <c r="X9" s="27"/>
      <c r="Y9" s="22">
        <v>7</v>
      </c>
      <c r="Z9" s="48">
        <v>3022784.25</v>
      </c>
      <c r="AA9" s="48">
        <v>220889.81200000001</v>
      </c>
      <c r="AB9" s="17">
        <f t="shared" si="15"/>
        <v>1.9157832784041635</v>
      </c>
      <c r="AC9" s="46">
        <v>7.3074951799999992</v>
      </c>
      <c r="AD9" s="46"/>
      <c r="AE9" s="28">
        <v>7</v>
      </c>
      <c r="AF9" s="3">
        <v>5347000</v>
      </c>
      <c r="AG9" s="3">
        <v>855300</v>
      </c>
      <c r="AH9" s="17">
        <f t="shared" si="6"/>
        <v>4.3635528799551038</v>
      </c>
      <c r="AI9" s="27">
        <f t="shared" si="16"/>
        <v>15.995885543295305</v>
      </c>
      <c r="AJ9" s="27"/>
      <c r="AK9" s="22">
        <v>7</v>
      </c>
      <c r="AL9" s="23">
        <v>3714</v>
      </c>
      <c r="AM9" s="23">
        <v>890.6</v>
      </c>
      <c r="AN9" s="17">
        <f t="shared" si="7"/>
        <v>13.87227414330218</v>
      </c>
      <c r="AO9" s="27">
        <f t="shared" si="17"/>
        <v>23.97953688745288</v>
      </c>
      <c r="AP9" s="27"/>
      <c r="AQ9" s="22">
        <v>7</v>
      </c>
      <c r="AR9" s="23">
        <v>330900</v>
      </c>
      <c r="AS9" s="23">
        <v>71920</v>
      </c>
      <c r="AT9" s="6">
        <f t="shared" si="8"/>
        <v>2497.2222222222226</v>
      </c>
      <c r="AU9" s="27">
        <f t="shared" si="9"/>
        <v>21.734663040193411</v>
      </c>
      <c r="AV9" s="27"/>
      <c r="AW9" s="22">
        <v>7</v>
      </c>
      <c r="AX9" s="23">
        <v>3178</v>
      </c>
      <c r="AY9" s="23">
        <v>916.2</v>
      </c>
      <c r="AZ9" s="6">
        <f t="shared" si="10"/>
        <v>2207.7108433734943</v>
      </c>
      <c r="BA9" s="27">
        <f t="shared" si="11"/>
        <v>28.82945248584015</v>
      </c>
      <c r="BB9" s="27"/>
      <c r="BC9" s="5" t="s">
        <v>32</v>
      </c>
      <c r="BD9" s="28">
        <v>6</v>
      </c>
      <c r="BE9" s="28">
        <f>0.48/100</f>
        <v>4.7999999999999996E-3</v>
      </c>
      <c r="BF9" s="6">
        <f>111087.7/BE9/BD9/1000</f>
        <v>3857.2118055555561</v>
      </c>
      <c r="BG9" s="6">
        <f>AVERAGE(AT3:AT32)</f>
        <v>2345.6250000000005</v>
      </c>
      <c r="BH9" s="7">
        <f t="shared" si="0"/>
        <v>-0.3918858703528833</v>
      </c>
      <c r="BI9" s="7">
        <f>(BF9-(AVERAGE(AR3:AR32)*0.87)/BD9/BE9/1000)/BF9</f>
        <v>-1.6040758787876606</v>
      </c>
      <c r="BJ9" s="27">
        <f>100*1000*Table13[[#This Row],[Rate_o]]*Table13[[#This Row],[Área (km-2)]]*Table13[[#This Row],[Periodo (anos)]]/AVERAGE(AR3:AR32)</f>
        <v>33.409164728526747</v>
      </c>
      <c r="BK9" s="6">
        <f>AVERAGE(AU3:AU32)</f>
        <v>20.417620575153002</v>
      </c>
      <c r="BP9" s="55"/>
    </row>
    <row r="10" spans="1:68" x14ac:dyDescent="0.25">
      <c r="A10" s="28">
        <v>8</v>
      </c>
      <c r="B10" s="3">
        <v>37390000000</v>
      </c>
      <c r="C10" s="3">
        <v>2940000000</v>
      </c>
      <c r="D10" s="4">
        <f t="shared" si="1"/>
        <v>191.008316008316</v>
      </c>
      <c r="E10" s="27">
        <f t="shared" si="12"/>
        <v>7.8630649906392085</v>
      </c>
      <c r="F10" s="27"/>
      <c r="G10" s="28">
        <v>8</v>
      </c>
      <c r="H10" s="3">
        <v>138200000</v>
      </c>
      <c r="I10" s="3">
        <v>113900000</v>
      </c>
      <c r="J10" s="4">
        <f t="shared" si="2"/>
        <v>689.0502117362372</v>
      </c>
      <c r="K10" s="27">
        <f t="shared" si="3"/>
        <v>82.416787264833573</v>
      </c>
      <c r="M10" s="28">
        <v>8</v>
      </c>
      <c r="N10" s="3">
        <v>88160000000</v>
      </c>
      <c r="O10" s="3">
        <v>5411000000</v>
      </c>
      <c r="P10" s="4">
        <f t="shared" si="4"/>
        <v>430.9836718438869</v>
      </c>
      <c r="Q10" s="27">
        <f t="shared" si="13"/>
        <v>6.1377041742286753</v>
      </c>
      <c r="R10" s="27"/>
      <c r="S10" s="28">
        <v>8</v>
      </c>
      <c r="T10" s="3">
        <v>2560000</v>
      </c>
      <c r="U10" s="3">
        <v>343100</v>
      </c>
      <c r="V10" s="17">
        <f t="shared" si="5"/>
        <v>4.2510221781687534</v>
      </c>
      <c r="W10" s="27">
        <f t="shared" si="14"/>
        <v>13.40234375</v>
      </c>
      <c r="X10" s="27"/>
      <c r="Y10" s="22">
        <v>8</v>
      </c>
      <c r="Z10" s="48">
        <v>2613576.5</v>
      </c>
      <c r="AA10" s="48">
        <v>273970.875</v>
      </c>
      <c r="AB10" s="17">
        <f t="shared" si="15"/>
        <v>2.3761567649609714</v>
      </c>
      <c r="AC10" s="46">
        <v>10.4826041</v>
      </c>
      <c r="AD10" s="46"/>
      <c r="AE10" s="28">
        <v>8</v>
      </c>
      <c r="AF10" s="3">
        <v>5599000</v>
      </c>
      <c r="AG10" s="3">
        <v>593100</v>
      </c>
      <c r="AH10" s="17">
        <f t="shared" si="6"/>
        <v>3.0258660272435085</v>
      </c>
      <c r="AI10" s="27">
        <f t="shared" si="16"/>
        <v>10.592963029112342</v>
      </c>
      <c r="AJ10" s="27"/>
      <c r="AK10" s="22">
        <v>8</v>
      </c>
      <c r="AL10" s="23">
        <v>3384</v>
      </c>
      <c r="AM10" s="23">
        <v>710.8</v>
      </c>
      <c r="AN10" s="17">
        <f t="shared" si="7"/>
        <v>11.071651090342677</v>
      </c>
      <c r="AO10" s="27">
        <f t="shared" si="17"/>
        <v>21.004728132387708</v>
      </c>
      <c r="AP10" s="27"/>
      <c r="AQ10" s="22">
        <v>8</v>
      </c>
      <c r="AR10" s="23">
        <v>337100</v>
      </c>
      <c r="AS10" s="23">
        <v>66370</v>
      </c>
      <c r="AT10" s="6">
        <f t="shared" si="8"/>
        <v>2304.5138888888891</v>
      </c>
      <c r="AU10" s="27">
        <f t="shared" si="9"/>
        <v>19.68851972708395</v>
      </c>
      <c r="AV10" s="27"/>
      <c r="AW10" s="22">
        <v>8</v>
      </c>
      <c r="AX10" s="23">
        <v>2806</v>
      </c>
      <c r="AY10" s="23">
        <v>655.1</v>
      </c>
      <c r="AZ10" s="6">
        <f t="shared" si="10"/>
        <v>1578.5542168674699</v>
      </c>
      <c r="BA10" s="27">
        <f t="shared" si="11"/>
        <v>23.346400570206701</v>
      </c>
      <c r="BB10" s="27"/>
      <c r="BC10" s="24" t="s">
        <v>35</v>
      </c>
      <c r="BD10" s="25">
        <v>6</v>
      </c>
      <c r="BE10" s="25">
        <f>0.48/100</f>
        <v>4.7999999999999996E-3</v>
      </c>
      <c r="BF10" s="26">
        <f>111087.7/BE10/BD10/1000</f>
        <v>3857.2118055555561</v>
      </c>
      <c r="BG10" s="26">
        <f>AVERAGE(AT3:AT32) + 21845/$BE$9/$BD$9/1000</f>
        <v>3104.1319444444448</v>
      </c>
      <c r="BH10" s="34">
        <f t="shared" si="0"/>
        <v>-0.19523943694936527</v>
      </c>
      <c r="BI10" s="38" t="s">
        <v>44</v>
      </c>
      <c r="BJ10" s="27"/>
      <c r="BK10" s="6"/>
      <c r="BP10" s="55"/>
    </row>
    <row r="11" spans="1:68" x14ac:dyDescent="0.25">
      <c r="A11" s="28">
        <v>9</v>
      </c>
      <c r="B11" s="3">
        <v>36170000000</v>
      </c>
      <c r="C11" s="3">
        <v>2858000000</v>
      </c>
      <c r="D11" s="4">
        <f t="shared" si="1"/>
        <v>185.68087318087319</v>
      </c>
      <c r="E11" s="27">
        <f t="shared" si="12"/>
        <v>7.9015758916228922</v>
      </c>
      <c r="F11" s="27"/>
      <c r="G11" s="28">
        <v>9</v>
      </c>
      <c r="H11" s="3">
        <v>138100000</v>
      </c>
      <c r="I11" s="3">
        <v>108200000</v>
      </c>
      <c r="J11" s="4">
        <f t="shared" si="2"/>
        <v>654.56745311554755</v>
      </c>
      <c r="K11" s="27">
        <f t="shared" si="3"/>
        <v>78.34902244750181</v>
      </c>
      <c r="M11" s="28">
        <v>9</v>
      </c>
      <c r="N11" s="3">
        <v>91570000000</v>
      </c>
      <c r="O11" s="3">
        <v>5165000000</v>
      </c>
      <c r="P11" s="4">
        <f t="shared" si="4"/>
        <v>411.38988450816407</v>
      </c>
      <c r="Q11" s="27">
        <f t="shared" si="13"/>
        <v>5.6404936114447963</v>
      </c>
      <c r="R11" s="27"/>
      <c r="S11" s="28">
        <v>9</v>
      </c>
      <c r="T11" s="3">
        <v>2864000</v>
      </c>
      <c r="U11" s="3">
        <v>514300</v>
      </c>
      <c r="V11" s="17">
        <f t="shared" si="5"/>
        <v>6.3721967538099369</v>
      </c>
      <c r="W11" s="27">
        <f t="shared" si="14"/>
        <v>17.95740223463687</v>
      </c>
      <c r="X11" s="27"/>
      <c r="Y11" s="22">
        <v>9</v>
      </c>
      <c r="Z11" s="48">
        <v>2910353.5</v>
      </c>
      <c r="AA11" s="48">
        <v>334135.875</v>
      </c>
      <c r="AB11" s="17">
        <f t="shared" si="15"/>
        <v>2.8979694275802257</v>
      </c>
      <c r="AC11" s="46">
        <v>11.480937900000001</v>
      </c>
      <c r="AD11" s="46"/>
      <c r="AE11" s="28">
        <v>9</v>
      </c>
      <c r="AF11" s="3">
        <v>6150000</v>
      </c>
      <c r="AG11" s="3">
        <v>710100</v>
      </c>
      <c r="AH11" s="17">
        <f t="shared" si="6"/>
        <v>3.622774348247539</v>
      </c>
      <c r="AI11" s="27">
        <f t="shared" si="16"/>
        <v>11.546341463414635</v>
      </c>
      <c r="AJ11" s="27"/>
      <c r="AK11" s="22">
        <v>9</v>
      </c>
      <c r="AL11" s="23">
        <v>3428</v>
      </c>
      <c r="AM11" s="23">
        <v>631.1</v>
      </c>
      <c r="AN11" s="17">
        <f t="shared" si="7"/>
        <v>9.8302180685358245</v>
      </c>
      <c r="AO11" s="27">
        <f t="shared" si="17"/>
        <v>18.410151691948659</v>
      </c>
      <c r="AP11" s="27"/>
      <c r="AQ11" s="22">
        <v>9</v>
      </c>
      <c r="AR11" s="23">
        <v>331500</v>
      </c>
      <c r="AS11" s="23">
        <v>67280</v>
      </c>
      <c r="AT11" s="6">
        <f t="shared" si="8"/>
        <v>2336.1111111111113</v>
      </c>
      <c r="AU11" s="27">
        <f t="shared" si="9"/>
        <v>20.295625942684765</v>
      </c>
      <c r="AV11" s="27"/>
      <c r="AW11" s="22">
        <v>9</v>
      </c>
      <c r="AX11" s="23">
        <v>2765</v>
      </c>
      <c r="AY11" s="23">
        <v>955.3</v>
      </c>
      <c r="AZ11" s="6">
        <f t="shared" si="10"/>
        <v>2301.9277108433735</v>
      </c>
      <c r="BA11" s="27">
        <f t="shared" si="11"/>
        <v>34.5497287522604</v>
      </c>
      <c r="BB11" s="27"/>
      <c r="BC11" s="5" t="s">
        <v>36</v>
      </c>
      <c r="BD11" s="28">
        <v>1</v>
      </c>
      <c r="BE11" s="28">
        <f>415/1000000</f>
        <v>4.15E-4</v>
      </c>
      <c r="BF11" s="6">
        <f>(0.81*1290)/Table13[[#This Row],[Área (km-2)]]/Table13[[#This Row],[Periodo (anos)]]/1000</f>
        <v>2517.8313253012047</v>
      </c>
      <c r="BG11" s="6">
        <f>AVERAGE(AZ3:AZ32)</f>
        <v>2141.7429718875496</v>
      </c>
      <c r="BH11" s="7">
        <f t="shared" si="0"/>
        <v>-0.14936995565763889</v>
      </c>
      <c r="BI11" s="7">
        <f>(BF11-(AVERAGE(AX3:AX32)*1)/Table13[[#This Row],[Periodo (anos)]]/Table13[[#This Row],[Área (km-2)]]/1000)/BF11</f>
        <v>-1.9257983220084856</v>
      </c>
      <c r="BJ11" s="27">
        <f>100*1000*Table13[[#This Row],[Rate_o]]*Table13[[#This Row],[Área (km-2)]]*Table13[[#This Row],[Periodo (anos)]]/AVERAGE(AX2:AX31)</f>
        <v>34.161302323483987</v>
      </c>
      <c r="BK11" s="6">
        <f>AVERAGE(BA3:BA32)</f>
        <v>29.731249690086738</v>
      </c>
    </row>
    <row r="12" spans="1:68" x14ac:dyDescent="0.25">
      <c r="A12" s="28">
        <v>10</v>
      </c>
      <c r="B12" s="3">
        <v>34780000000</v>
      </c>
      <c r="C12" s="3">
        <v>2847000000</v>
      </c>
      <c r="D12" s="4">
        <f t="shared" si="1"/>
        <v>184.96621621621622</v>
      </c>
      <c r="E12" s="27">
        <f t="shared" si="12"/>
        <v>8.185738930419781</v>
      </c>
      <c r="F12" s="27"/>
      <c r="G12" s="28">
        <v>10</v>
      </c>
      <c r="H12" s="3">
        <v>132300000</v>
      </c>
      <c r="I12" s="3">
        <v>106200000</v>
      </c>
      <c r="J12" s="4">
        <f t="shared" si="2"/>
        <v>642.46823956442836</v>
      </c>
      <c r="K12" s="27">
        <f t="shared" si="3"/>
        <v>80.27210884353741</v>
      </c>
      <c r="M12" s="28">
        <v>10</v>
      </c>
      <c r="N12" s="3">
        <v>95900000000</v>
      </c>
      <c r="O12" s="3">
        <v>5305000000</v>
      </c>
      <c r="P12" s="4">
        <f t="shared" si="4"/>
        <v>422.54082039028276</v>
      </c>
      <c r="Q12" s="27">
        <f t="shared" si="13"/>
        <v>5.5318039624608968</v>
      </c>
      <c r="R12" s="27"/>
      <c r="S12" s="28">
        <v>10</v>
      </c>
      <c r="T12" s="3">
        <v>2911000</v>
      </c>
      <c r="U12" s="3">
        <v>323400</v>
      </c>
      <c r="V12" s="17">
        <f t="shared" si="5"/>
        <v>4.0069384215091066</v>
      </c>
      <c r="W12" s="27">
        <f t="shared" si="14"/>
        <v>11.109584335279973</v>
      </c>
      <c r="X12" s="27"/>
      <c r="Y12" s="22">
        <v>10</v>
      </c>
      <c r="Z12" s="48">
        <v>2423359.25</v>
      </c>
      <c r="AA12" s="48">
        <v>367888.21899999998</v>
      </c>
      <c r="AB12" s="17">
        <f t="shared" si="15"/>
        <v>3.1907044145706851</v>
      </c>
      <c r="AC12" s="46">
        <v>15.1809201</v>
      </c>
      <c r="AD12" s="46"/>
      <c r="AE12" s="28">
        <v>10</v>
      </c>
      <c r="AF12" s="3">
        <v>5355000</v>
      </c>
      <c r="AG12" s="3">
        <v>740900</v>
      </c>
      <c r="AH12" s="17">
        <f t="shared" si="6"/>
        <v>3.7799091883067191</v>
      </c>
      <c r="AI12" s="27">
        <f t="shared" si="16"/>
        <v>13.835667600373483</v>
      </c>
      <c r="AJ12" s="27"/>
      <c r="AK12" s="22">
        <v>10</v>
      </c>
      <c r="AL12" s="23">
        <v>3715</v>
      </c>
      <c r="AM12" s="23">
        <v>941.8</v>
      </c>
      <c r="AN12" s="17">
        <f t="shared" si="7"/>
        <v>14.669781931464174</v>
      </c>
      <c r="AO12" s="27">
        <f t="shared" si="17"/>
        <v>25.351278600269179</v>
      </c>
      <c r="AP12" s="27"/>
      <c r="AQ12" s="22">
        <v>10</v>
      </c>
      <c r="AR12" s="23">
        <v>311400</v>
      </c>
      <c r="AS12" s="23">
        <v>85790</v>
      </c>
      <c r="AT12" s="6">
        <f t="shared" si="8"/>
        <v>2978.8194444444443</v>
      </c>
      <c r="AU12" s="27">
        <f t="shared" si="9"/>
        <v>27.549775208734747</v>
      </c>
      <c r="AV12" s="27"/>
      <c r="AW12" s="22">
        <v>10</v>
      </c>
      <c r="AX12" s="23">
        <v>3208</v>
      </c>
      <c r="AY12" s="23">
        <v>1416</v>
      </c>
      <c r="AZ12" s="6">
        <f t="shared" si="10"/>
        <v>3412.0481927710844</v>
      </c>
      <c r="BA12" s="27">
        <f t="shared" si="11"/>
        <v>44.139650872817953</v>
      </c>
      <c r="BB12" s="27"/>
      <c r="BC12" s="24" t="s">
        <v>43</v>
      </c>
      <c r="BD12" s="25">
        <v>1</v>
      </c>
      <c r="BE12" s="25">
        <f>415/1000000</f>
        <v>4.15E-4</v>
      </c>
      <c r="BF12" s="26">
        <f>(0.81*1290)/Table13[[#This Row],[Área (km-2)]]/Table13[[#This Row],[Periodo (anos)]]/1000</f>
        <v>2517.8313253012047</v>
      </c>
      <c r="BG12" s="26">
        <f>AVERAGE(AZ3:AZ32) + 0.071*1.29/Table13[[#This Row],[Periodo (anos)]]/Table13[[#This Row],[Área (km-2)]]</f>
        <v>2362.4417670682724</v>
      </c>
      <c r="BH12" s="34">
        <f t="shared" si="0"/>
        <v>-6.1715634669984622E-2</v>
      </c>
      <c r="BI12" s="39" t="s">
        <v>44</v>
      </c>
      <c r="BJ12" s="27"/>
      <c r="BK12" s="6"/>
    </row>
    <row r="13" spans="1:68" x14ac:dyDescent="0.25">
      <c r="A13" s="28">
        <v>11</v>
      </c>
      <c r="B13" s="3">
        <v>35960000000</v>
      </c>
      <c r="C13" s="3">
        <v>2966000000</v>
      </c>
      <c r="D13" s="4">
        <f t="shared" si="1"/>
        <v>192.69750519750517</v>
      </c>
      <c r="E13" s="27">
        <f t="shared" si="12"/>
        <v>8.2480533926585089</v>
      </c>
      <c r="F13" s="27"/>
      <c r="G13" s="28">
        <v>11</v>
      </c>
      <c r="H13" s="3">
        <v>137700000</v>
      </c>
      <c r="I13" s="3">
        <v>111000000</v>
      </c>
      <c r="J13" s="4">
        <f t="shared" si="2"/>
        <v>671.50635208711435</v>
      </c>
      <c r="K13" s="27">
        <f t="shared" si="3"/>
        <v>80.610021786492368</v>
      </c>
      <c r="M13" s="28">
        <v>11</v>
      </c>
      <c r="N13" s="3">
        <v>85370000000</v>
      </c>
      <c r="O13" s="3">
        <v>4956000000</v>
      </c>
      <c r="P13" s="4">
        <f t="shared" si="4"/>
        <v>394.74313022700113</v>
      </c>
      <c r="Q13" s="27">
        <f t="shared" si="13"/>
        <v>5.8053180274100971</v>
      </c>
      <c r="R13" s="27"/>
      <c r="S13" s="28">
        <v>11</v>
      </c>
      <c r="T13" s="3">
        <v>2736000</v>
      </c>
      <c r="U13" s="3">
        <v>481000</v>
      </c>
      <c r="V13" s="17">
        <f t="shared" si="5"/>
        <v>5.9596084747862719</v>
      </c>
      <c r="W13" s="27">
        <f t="shared" si="14"/>
        <v>17.580409356725145</v>
      </c>
      <c r="X13" s="27"/>
      <c r="Y13" s="22">
        <v>11</v>
      </c>
      <c r="Z13" s="48">
        <v>2505214.5</v>
      </c>
      <c r="AA13" s="48">
        <v>457578.93800000002</v>
      </c>
      <c r="AB13" s="17">
        <f t="shared" si="15"/>
        <v>3.9685944319167397</v>
      </c>
      <c r="AC13" s="46">
        <v>18.265059600000001</v>
      </c>
      <c r="AD13" s="46"/>
      <c r="AE13" s="28">
        <v>11</v>
      </c>
      <c r="AF13" s="3">
        <v>5190000</v>
      </c>
      <c r="AG13" s="3">
        <v>774300</v>
      </c>
      <c r="AH13" s="17">
        <f t="shared" si="6"/>
        <v>3.9503086577215449</v>
      </c>
      <c r="AI13" s="27">
        <f t="shared" si="16"/>
        <v>14.919075144508671</v>
      </c>
      <c r="AJ13" s="27"/>
      <c r="AK13" s="22">
        <v>11</v>
      </c>
      <c r="AL13" s="23">
        <v>3280</v>
      </c>
      <c r="AM13" s="23">
        <v>697.5</v>
      </c>
      <c r="AN13" s="17">
        <f t="shared" si="7"/>
        <v>10.864485981308409</v>
      </c>
      <c r="AO13" s="27">
        <f t="shared" si="17"/>
        <v>21.265243902439025</v>
      </c>
      <c r="AP13" s="27"/>
      <c r="AQ13" s="22">
        <v>11</v>
      </c>
      <c r="AR13" s="23">
        <v>327200</v>
      </c>
      <c r="AS13" s="23">
        <v>78960</v>
      </c>
      <c r="AT13" s="6">
        <f t="shared" si="8"/>
        <v>2741.666666666667</v>
      </c>
      <c r="AU13" s="27">
        <f t="shared" si="9"/>
        <v>24.1320293398533</v>
      </c>
      <c r="AV13" s="27"/>
      <c r="AW13" s="22">
        <v>11</v>
      </c>
      <c r="AX13" s="23">
        <v>2472</v>
      </c>
      <c r="AY13" s="23">
        <v>672.9</v>
      </c>
      <c r="AZ13" s="6">
        <f t="shared" si="10"/>
        <v>1621.4457831325301</v>
      </c>
      <c r="BA13" s="27">
        <f t="shared" si="11"/>
        <v>27.220873786407768</v>
      </c>
      <c r="BB13" s="27"/>
    </row>
    <row r="14" spans="1:68" x14ac:dyDescent="0.25">
      <c r="A14" s="28">
        <v>12</v>
      </c>
      <c r="B14" s="3">
        <v>33980000000</v>
      </c>
      <c r="C14" s="3">
        <v>2931000000</v>
      </c>
      <c r="D14" s="4">
        <f t="shared" si="1"/>
        <v>190.42359667359668</v>
      </c>
      <c r="E14" s="27">
        <f t="shared" si="12"/>
        <v>8.6256621542083582</v>
      </c>
      <c r="F14" s="27"/>
      <c r="G14" s="28">
        <v>12</v>
      </c>
      <c r="H14" s="3">
        <v>135200000</v>
      </c>
      <c r="I14" s="3">
        <v>112200000</v>
      </c>
      <c r="J14" s="4">
        <f t="shared" si="2"/>
        <v>678.76588021778593</v>
      </c>
      <c r="K14" s="27">
        <f t="shared" si="3"/>
        <v>82.988165680473372</v>
      </c>
      <c r="M14" s="28">
        <v>12</v>
      </c>
      <c r="N14" s="3">
        <v>91910000000</v>
      </c>
      <c r="O14" s="3">
        <v>4993000000</v>
      </c>
      <c r="P14" s="4">
        <f t="shared" si="4"/>
        <v>397.69016328156118</v>
      </c>
      <c r="Q14" s="27">
        <f t="shared" si="13"/>
        <v>5.4324883037754326</v>
      </c>
      <c r="R14" s="27"/>
      <c r="S14" s="28">
        <v>12</v>
      </c>
      <c r="T14" s="3">
        <v>2810000</v>
      </c>
      <c r="U14" s="3">
        <v>501100</v>
      </c>
      <c r="V14" s="17">
        <f t="shared" si="5"/>
        <v>6.2086482468095658</v>
      </c>
      <c r="W14" s="27">
        <f t="shared" si="14"/>
        <v>17.832740213523131</v>
      </c>
      <c r="X14" s="27"/>
      <c r="Y14" s="22">
        <v>12</v>
      </c>
      <c r="Z14" s="48">
        <v>2812443</v>
      </c>
      <c r="AA14" s="48">
        <v>273859</v>
      </c>
      <c r="AB14" s="17">
        <f t="shared" si="15"/>
        <v>2.3751864700780576</v>
      </c>
      <c r="AC14" s="46">
        <v>9.7374059299999995</v>
      </c>
      <c r="AD14" s="46"/>
      <c r="AE14" s="28">
        <v>12</v>
      </c>
      <c r="AF14" s="3">
        <v>5352000</v>
      </c>
      <c r="AG14" s="3">
        <v>701700</v>
      </c>
      <c r="AH14" s="17">
        <f t="shared" si="6"/>
        <v>3.5799193918677621</v>
      </c>
      <c r="AI14" s="27">
        <f t="shared" si="16"/>
        <v>13.110986547085203</v>
      </c>
      <c r="AJ14" s="27"/>
      <c r="AK14" s="22">
        <v>12</v>
      </c>
      <c r="AL14" s="23">
        <v>3254</v>
      </c>
      <c r="AM14" s="23">
        <v>717.5</v>
      </c>
      <c r="AN14" s="17">
        <f t="shared" si="7"/>
        <v>11.176012461059189</v>
      </c>
      <c r="AO14" s="27">
        <f t="shared" si="17"/>
        <v>22.049784880147509</v>
      </c>
      <c r="AP14" s="27"/>
      <c r="AQ14" s="22">
        <v>12</v>
      </c>
      <c r="AR14" s="23">
        <v>331400</v>
      </c>
      <c r="AS14" s="23">
        <v>75040</v>
      </c>
      <c r="AT14" s="6">
        <f t="shared" si="8"/>
        <v>2605.5555555555557</v>
      </c>
      <c r="AU14" s="27">
        <f t="shared" si="9"/>
        <v>22.643331321665659</v>
      </c>
      <c r="AV14" s="27"/>
      <c r="AW14" s="22">
        <v>12</v>
      </c>
      <c r="AX14" s="23">
        <v>3642</v>
      </c>
      <c r="AY14" s="23">
        <v>601.1</v>
      </c>
      <c r="AZ14" s="6">
        <f t="shared" si="10"/>
        <v>1448.4337349397592</v>
      </c>
      <c r="BA14" s="27">
        <f t="shared" si="11"/>
        <v>16.504667764964307</v>
      </c>
      <c r="BB14" s="27"/>
    </row>
    <row r="15" spans="1:68" x14ac:dyDescent="0.25">
      <c r="A15" s="28">
        <v>13</v>
      </c>
      <c r="B15" s="3">
        <v>36620000000</v>
      </c>
      <c r="C15" s="3">
        <v>2837000000</v>
      </c>
      <c r="D15" s="4">
        <f t="shared" si="1"/>
        <v>184.31652806652806</v>
      </c>
      <c r="E15" s="27">
        <f t="shared" si="12"/>
        <v>7.7471327143637359</v>
      </c>
      <c r="F15" s="27"/>
      <c r="G15" s="28">
        <v>13</v>
      </c>
      <c r="H15" s="3">
        <v>131100000</v>
      </c>
      <c r="I15" s="3">
        <v>106500000</v>
      </c>
      <c r="J15" s="4">
        <f t="shared" si="2"/>
        <v>644.28312159709617</v>
      </c>
      <c r="K15" s="27">
        <f t="shared" si="3"/>
        <v>81.235697940503428</v>
      </c>
      <c r="M15" s="28">
        <v>13</v>
      </c>
      <c r="N15" s="3">
        <v>90390000000</v>
      </c>
      <c r="O15" s="3">
        <v>5629000000</v>
      </c>
      <c r="P15" s="4">
        <f t="shared" si="4"/>
        <v>448.34727200318599</v>
      </c>
      <c r="Q15" s="27">
        <f t="shared" si="13"/>
        <v>6.2274587896891251</v>
      </c>
      <c r="R15" s="27"/>
      <c r="S15" s="28">
        <v>13</v>
      </c>
      <c r="T15" s="3">
        <v>2359000</v>
      </c>
      <c r="U15" s="3">
        <v>502400</v>
      </c>
      <c r="V15" s="17">
        <f t="shared" si="5"/>
        <v>6.224755296741419</v>
      </c>
      <c r="W15" s="27">
        <f t="shared" si="14"/>
        <v>21.297159813480288</v>
      </c>
      <c r="X15" s="27"/>
      <c r="Y15" s="22">
        <v>13</v>
      </c>
      <c r="Z15" s="48">
        <v>2923475.25</v>
      </c>
      <c r="AA15" s="48">
        <v>251058.234</v>
      </c>
      <c r="AB15" s="17">
        <f t="shared" si="15"/>
        <v>2.177434813529922</v>
      </c>
      <c r="AC15" s="46">
        <v>8.5876643700000006</v>
      </c>
      <c r="AD15" s="46"/>
      <c r="AE15" s="28">
        <v>13</v>
      </c>
      <c r="AF15" s="3">
        <v>5194000</v>
      </c>
      <c r="AG15" s="3">
        <v>664900</v>
      </c>
      <c r="AH15" s="17">
        <f t="shared" si="6"/>
        <v>3.3921738686801692</v>
      </c>
      <c r="AI15" s="27">
        <f t="shared" si="16"/>
        <v>12.801309202926454</v>
      </c>
      <c r="AJ15" s="27"/>
      <c r="AK15" s="22">
        <v>13</v>
      </c>
      <c r="AL15" s="23">
        <v>3928</v>
      </c>
      <c r="AM15" s="23">
        <v>792.4</v>
      </c>
      <c r="AN15" s="17">
        <f t="shared" si="7"/>
        <v>12.342679127725855</v>
      </c>
      <c r="AO15" s="27">
        <f t="shared" si="17"/>
        <v>20.173116089613035</v>
      </c>
      <c r="AP15" s="27"/>
      <c r="AQ15" s="22">
        <v>13</v>
      </c>
      <c r="AR15" s="23">
        <v>341700</v>
      </c>
      <c r="AS15" s="23">
        <v>59680</v>
      </c>
      <c r="AT15" s="6">
        <f t="shared" si="8"/>
        <v>2072.2222222222222</v>
      </c>
      <c r="AU15" s="27">
        <f t="shared" si="9"/>
        <v>17.465613110916006</v>
      </c>
      <c r="AV15" s="27"/>
      <c r="AW15" s="22">
        <v>13</v>
      </c>
      <c r="AX15" s="23">
        <v>3087</v>
      </c>
      <c r="AY15" s="23">
        <v>876.9</v>
      </c>
      <c r="AZ15" s="6">
        <f t="shared" si="10"/>
        <v>2113.0120481927711</v>
      </c>
      <c r="BA15" s="27">
        <f t="shared" si="11"/>
        <v>28.406219630709426</v>
      </c>
      <c r="BB15" s="27"/>
      <c r="BI15" s="28" t="s">
        <v>30</v>
      </c>
    </row>
    <row r="16" spans="1:68" x14ac:dyDescent="0.25">
      <c r="A16" s="28">
        <v>14</v>
      </c>
      <c r="B16" s="3">
        <v>37740000000</v>
      </c>
      <c r="C16" s="3">
        <v>2688000000</v>
      </c>
      <c r="D16" s="4">
        <f t="shared" si="1"/>
        <v>174.63617463617464</v>
      </c>
      <c r="E16" s="27">
        <f t="shared" si="12"/>
        <v>7.12241653418124</v>
      </c>
      <c r="F16" s="27"/>
      <c r="G16" s="28">
        <v>14</v>
      </c>
      <c r="H16" s="3">
        <v>136600000</v>
      </c>
      <c r="I16" s="3">
        <v>109500000</v>
      </c>
      <c r="J16" s="4">
        <f t="shared" si="2"/>
        <v>662.43194192377484</v>
      </c>
      <c r="K16" s="27">
        <f t="shared" si="3"/>
        <v>80.161054172767209</v>
      </c>
      <c r="M16" s="28">
        <v>14</v>
      </c>
      <c r="N16" s="3">
        <v>90530000000</v>
      </c>
      <c r="O16" s="3">
        <v>5378000000</v>
      </c>
      <c r="P16" s="4">
        <f t="shared" si="4"/>
        <v>428.35523695738755</v>
      </c>
      <c r="Q16" s="27">
        <f t="shared" si="13"/>
        <v>5.940572186015685</v>
      </c>
      <c r="R16" s="27"/>
      <c r="S16" s="28">
        <v>14</v>
      </c>
      <c r="T16" s="3">
        <v>2784000</v>
      </c>
      <c r="U16" s="3">
        <v>514700</v>
      </c>
      <c r="V16" s="17">
        <f t="shared" si="5"/>
        <v>6.3771527691735859</v>
      </c>
      <c r="W16" s="27">
        <f t="shared" si="14"/>
        <v>18.487787356321839</v>
      </c>
      <c r="X16" s="27"/>
      <c r="Y16" s="22">
        <v>14</v>
      </c>
      <c r="Z16" s="48">
        <v>2438422</v>
      </c>
      <c r="AA16" s="48">
        <v>291559.15600000002</v>
      </c>
      <c r="AB16" s="17">
        <f t="shared" si="15"/>
        <v>2.5287003989592369</v>
      </c>
      <c r="AC16" s="46">
        <v>11.9568788</v>
      </c>
      <c r="AD16" s="46"/>
      <c r="AE16" s="28">
        <v>14</v>
      </c>
      <c r="AF16" s="3">
        <v>5695000</v>
      </c>
      <c r="AG16" s="3">
        <v>740800</v>
      </c>
      <c r="AH16" s="17">
        <f t="shared" si="6"/>
        <v>3.7793990102545791</v>
      </c>
      <c r="AI16" s="27">
        <f t="shared" si="16"/>
        <v>13.007901668129939</v>
      </c>
      <c r="AJ16" s="27"/>
      <c r="AK16" s="22">
        <v>14</v>
      </c>
      <c r="AL16" s="23">
        <v>3773</v>
      </c>
      <c r="AM16" s="23">
        <v>829.1</v>
      </c>
      <c r="AN16" s="17">
        <f t="shared" si="7"/>
        <v>12.914330218068535</v>
      </c>
      <c r="AO16" s="27">
        <f t="shared" si="17"/>
        <v>21.97455605618871</v>
      </c>
      <c r="AP16" s="27"/>
      <c r="AQ16" s="22">
        <v>14</v>
      </c>
      <c r="AR16" s="23">
        <v>347500</v>
      </c>
      <c r="AS16" s="23">
        <v>70600</v>
      </c>
      <c r="AT16" s="6">
        <f t="shared" si="8"/>
        <v>2451.3888888888891</v>
      </c>
      <c r="AU16" s="27">
        <f t="shared" si="9"/>
        <v>20.31654676258993</v>
      </c>
      <c r="AV16" s="27"/>
      <c r="AW16" s="22">
        <v>14</v>
      </c>
      <c r="AX16" s="23">
        <v>3607</v>
      </c>
      <c r="AY16" s="23">
        <v>757.7</v>
      </c>
      <c r="AZ16" s="6">
        <f t="shared" si="10"/>
        <v>1825.7831325301206</v>
      </c>
      <c r="BA16" s="27">
        <f t="shared" si="11"/>
        <v>21.006376490158026</v>
      </c>
      <c r="BB16" s="27"/>
      <c r="BC16" s="56" t="s">
        <v>37</v>
      </c>
      <c r="BD16" s="56" t="s">
        <v>10</v>
      </c>
      <c r="BE16" s="56" t="s">
        <v>11</v>
      </c>
      <c r="BF16" s="56" t="s">
        <v>8</v>
      </c>
      <c r="BG16" s="56" t="s">
        <v>9</v>
      </c>
      <c r="BH16" s="56" t="s">
        <v>12</v>
      </c>
      <c r="BI16" s="56" t="s">
        <v>13</v>
      </c>
      <c r="BJ16" s="57" t="s">
        <v>53</v>
      </c>
    </row>
    <row r="17" spans="1:62" x14ac:dyDescent="0.25">
      <c r="A17" s="28">
        <v>15</v>
      </c>
      <c r="B17" s="3">
        <v>36150000000</v>
      </c>
      <c r="C17" s="3">
        <v>2817000000</v>
      </c>
      <c r="D17" s="4">
        <f t="shared" si="1"/>
        <v>183.01715176715174</v>
      </c>
      <c r="E17" s="27">
        <f t="shared" si="12"/>
        <v>7.7925311203319501</v>
      </c>
      <c r="F17" s="27"/>
      <c r="G17" s="28">
        <v>15</v>
      </c>
      <c r="H17" s="3">
        <v>141600000</v>
      </c>
      <c r="I17" s="3">
        <v>113400000</v>
      </c>
      <c r="J17" s="4">
        <f t="shared" si="2"/>
        <v>686.02540834845729</v>
      </c>
      <c r="K17" s="27">
        <f t="shared" si="3"/>
        <v>80.084745762711862</v>
      </c>
      <c r="M17" s="28">
        <v>15</v>
      </c>
      <c r="N17" s="3">
        <v>83570000000</v>
      </c>
      <c r="O17" s="3">
        <v>5335000000</v>
      </c>
      <c r="P17" s="4">
        <f t="shared" si="4"/>
        <v>424.93030665073672</v>
      </c>
      <c r="Q17" s="27">
        <f t="shared" si="13"/>
        <v>6.3838698097403377</v>
      </c>
      <c r="R17" s="27"/>
      <c r="S17" s="28">
        <v>15</v>
      </c>
      <c r="T17" s="3">
        <v>2786000</v>
      </c>
      <c r="U17" s="3">
        <v>399800</v>
      </c>
      <c r="V17" s="17">
        <f t="shared" si="5"/>
        <v>4.9535373559658034</v>
      </c>
      <c r="W17" s="27">
        <f t="shared" si="14"/>
        <v>14.350323043790381</v>
      </c>
      <c r="X17" s="27"/>
      <c r="Y17" s="22">
        <v>15</v>
      </c>
      <c r="Z17" s="48">
        <v>2662792</v>
      </c>
      <c r="AA17" s="48">
        <v>350522.53100000002</v>
      </c>
      <c r="AB17" s="17">
        <f t="shared" si="15"/>
        <v>3.040091335646141</v>
      </c>
      <c r="AC17" s="46">
        <v>13.163721600000001</v>
      </c>
      <c r="AD17" s="46"/>
      <c r="AE17" s="28">
        <v>15</v>
      </c>
      <c r="AF17" s="3">
        <v>5619000</v>
      </c>
      <c r="AG17" s="3">
        <v>773800</v>
      </c>
      <c r="AH17" s="17">
        <f t="shared" si="6"/>
        <v>3.9477577674608444</v>
      </c>
      <c r="AI17" s="27">
        <f t="shared" si="16"/>
        <v>13.771133653675031</v>
      </c>
      <c r="AJ17" s="27"/>
      <c r="AK17" s="22">
        <v>15</v>
      </c>
      <c r="AL17" s="23">
        <v>3525</v>
      </c>
      <c r="AM17" s="23">
        <v>757</v>
      </c>
      <c r="AN17" s="17">
        <f t="shared" si="7"/>
        <v>11.791277258566975</v>
      </c>
      <c r="AO17" s="27">
        <f t="shared" si="17"/>
        <v>21.475177304964539</v>
      </c>
      <c r="AP17" s="27"/>
      <c r="AQ17" s="22">
        <v>15</v>
      </c>
      <c r="AR17" s="23">
        <v>325500</v>
      </c>
      <c r="AS17" s="23">
        <v>60660</v>
      </c>
      <c r="AT17" s="6">
        <f t="shared" si="8"/>
        <v>2106.2500000000005</v>
      </c>
      <c r="AU17" s="27">
        <f t="shared" si="9"/>
        <v>18.635944700460829</v>
      </c>
      <c r="AV17" s="27"/>
      <c r="AW17" s="22">
        <v>15</v>
      </c>
      <c r="AX17" s="23">
        <v>2840</v>
      </c>
      <c r="AY17" s="23">
        <v>464.5</v>
      </c>
      <c r="AZ17" s="6">
        <f t="shared" si="10"/>
        <v>1119.2771084337348</v>
      </c>
      <c r="BA17" s="27">
        <f t="shared" si="11"/>
        <v>16.3556338028169</v>
      </c>
      <c r="BB17" s="27"/>
      <c r="BC17" s="5" t="s">
        <v>4</v>
      </c>
      <c r="BD17" s="56">
        <v>57</v>
      </c>
      <c r="BE17" s="56">
        <f>BE2</f>
        <v>2.9</v>
      </c>
      <c r="BF17" s="56">
        <v>704</v>
      </c>
      <c r="BG17" s="6">
        <v>644.49337310687258</v>
      </c>
      <c r="BH17" s="7">
        <f t="shared" ref="BH17:BH25" si="18">(BG17-BF17)/BF17</f>
        <v>-8.4526458655010531E-2</v>
      </c>
      <c r="BI17" s="7">
        <v>-0.20399999999999999</v>
      </c>
      <c r="BJ17" s="28">
        <f>Table135[[#This Row],[Área (km-2)]]*100</f>
        <v>290</v>
      </c>
    </row>
    <row r="18" spans="1:62" x14ac:dyDescent="0.25">
      <c r="A18" s="28">
        <v>16</v>
      </c>
      <c r="B18" s="3">
        <v>35480000000</v>
      </c>
      <c r="C18" s="3">
        <v>2780000000</v>
      </c>
      <c r="D18" s="4">
        <f t="shared" si="1"/>
        <v>180.61330561330561</v>
      </c>
      <c r="E18" s="27">
        <f t="shared" si="12"/>
        <v>7.8354002254791428</v>
      </c>
      <c r="F18" s="27"/>
      <c r="G18" s="28">
        <v>16</v>
      </c>
      <c r="H18" s="3">
        <v>133900000</v>
      </c>
      <c r="I18" s="3">
        <v>106300000</v>
      </c>
      <c r="J18" s="4">
        <f t="shared" si="2"/>
        <v>643.07320024198418</v>
      </c>
      <c r="K18" s="27">
        <f t="shared" si="3"/>
        <v>79.387602688573566</v>
      </c>
      <c r="M18" s="28">
        <v>16</v>
      </c>
      <c r="N18" s="3">
        <v>81490000000</v>
      </c>
      <c r="O18" s="3">
        <v>5519000000</v>
      </c>
      <c r="P18" s="4">
        <f t="shared" si="4"/>
        <v>439.58582238152127</v>
      </c>
      <c r="Q18" s="27">
        <f t="shared" si="13"/>
        <v>6.7726101362130322</v>
      </c>
      <c r="R18" s="27"/>
      <c r="S18" s="28">
        <v>16</v>
      </c>
      <c r="T18" s="3">
        <v>2527000</v>
      </c>
      <c r="U18" s="3">
        <v>440200</v>
      </c>
      <c r="V18" s="17">
        <f t="shared" si="5"/>
        <v>5.4540949076942145</v>
      </c>
      <c r="W18" s="27">
        <f t="shared" si="14"/>
        <v>17.41986545310645</v>
      </c>
      <c r="X18" s="27"/>
      <c r="Y18" s="22">
        <v>16</v>
      </c>
      <c r="Z18" s="48">
        <v>2719666.5</v>
      </c>
      <c r="AA18" s="48">
        <v>332366.59399999998</v>
      </c>
      <c r="AB18" s="17">
        <f t="shared" si="15"/>
        <v>2.882624405897658</v>
      </c>
      <c r="AC18" s="46">
        <v>12.2208588</v>
      </c>
      <c r="AD18" s="46"/>
      <c r="AE18" s="28">
        <v>16</v>
      </c>
      <c r="AF18" s="3">
        <v>6050000</v>
      </c>
      <c r="AG18" s="3">
        <v>681200</v>
      </c>
      <c r="AH18" s="17">
        <f t="shared" si="6"/>
        <v>3.4753328911790216</v>
      </c>
      <c r="AI18" s="27">
        <f t="shared" si="16"/>
        <v>11.259504132231404</v>
      </c>
      <c r="AJ18" s="27"/>
      <c r="AK18" s="22">
        <v>16</v>
      </c>
      <c r="AL18" s="23">
        <v>3969</v>
      </c>
      <c r="AM18" s="23">
        <v>940.9</v>
      </c>
      <c r="AN18" s="17">
        <f t="shared" si="7"/>
        <v>14.655763239875387</v>
      </c>
      <c r="AO18" s="27">
        <f t="shared" si="17"/>
        <v>23.706223230032755</v>
      </c>
      <c r="AP18" s="27"/>
      <c r="AQ18" s="22">
        <v>16</v>
      </c>
      <c r="AR18" s="23">
        <v>316900</v>
      </c>
      <c r="AS18" s="23">
        <v>65930</v>
      </c>
      <c r="AT18" s="6">
        <f t="shared" si="8"/>
        <v>2289.2361111111113</v>
      </c>
      <c r="AU18" s="27">
        <f t="shared" si="9"/>
        <v>20.804670242978858</v>
      </c>
      <c r="AV18" s="27"/>
      <c r="AW18" s="22">
        <v>16</v>
      </c>
      <c r="AX18" s="23">
        <v>3876</v>
      </c>
      <c r="AY18" s="23">
        <v>670.6</v>
      </c>
      <c r="AZ18" s="6">
        <f t="shared" si="10"/>
        <v>1615.9036144578313</v>
      </c>
      <c r="BA18" s="27">
        <f t="shared" si="11"/>
        <v>17.301341589267285</v>
      </c>
      <c r="BB18" s="27"/>
      <c r="BC18" s="5" t="s">
        <v>5</v>
      </c>
      <c r="BD18" s="56">
        <v>74</v>
      </c>
      <c r="BE18" s="56">
        <v>208</v>
      </c>
      <c r="BF18" s="56">
        <v>233</v>
      </c>
      <c r="BG18" s="6">
        <v>189.50212231462231</v>
      </c>
      <c r="BH18" s="7">
        <f t="shared" si="18"/>
        <v>-0.1866861703235094</v>
      </c>
      <c r="BI18" s="7">
        <v>0.47899999999999998</v>
      </c>
      <c r="BJ18" s="28">
        <f>Table135[[#This Row],[Área (km-2)]]*100</f>
        <v>20800</v>
      </c>
    </row>
    <row r="19" spans="1:62" x14ac:dyDescent="0.25">
      <c r="A19" s="28">
        <v>17</v>
      </c>
      <c r="B19" s="3">
        <v>33460000000</v>
      </c>
      <c r="C19" s="3">
        <v>2987000000</v>
      </c>
      <c r="D19" s="4">
        <f t="shared" si="1"/>
        <v>194.06185031185032</v>
      </c>
      <c r="E19" s="27">
        <f t="shared" si="12"/>
        <v>8.9270771069934245</v>
      </c>
      <c r="F19" s="27"/>
      <c r="G19" s="28">
        <v>17</v>
      </c>
      <c r="H19" s="3">
        <v>134400000</v>
      </c>
      <c r="I19" s="3">
        <v>109100000</v>
      </c>
      <c r="J19" s="4">
        <f t="shared" si="2"/>
        <v>660.0120992135511</v>
      </c>
      <c r="K19" s="27">
        <f t="shared" si="3"/>
        <v>81.175595238095241</v>
      </c>
      <c r="M19" s="28">
        <v>17</v>
      </c>
      <c r="N19" s="3">
        <v>90060000000</v>
      </c>
      <c r="O19" s="3">
        <v>5309000000</v>
      </c>
      <c r="P19" s="4">
        <f t="shared" si="4"/>
        <v>422.85941855834329</v>
      </c>
      <c r="Q19" s="27">
        <f t="shared" si="13"/>
        <v>5.8949589162780365</v>
      </c>
      <c r="R19" s="27"/>
      <c r="S19" s="28">
        <v>17</v>
      </c>
      <c r="T19" s="3">
        <v>2397000</v>
      </c>
      <c r="U19" s="3">
        <v>368800</v>
      </c>
      <c r="V19" s="17">
        <f t="shared" si="5"/>
        <v>4.5694461652831126</v>
      </c>
      <c r="W19" s="27">
        <f t="shared" si="14"/>
        <v>15.385899040467251</v>
      </c>
      <c r="X19" s="27"/>
      <c r="Y19" s="22">
        <v>17</v>
      </c>
      <c r="Z19" s="48">
        <v>2660586.5</v>
      </c>
      <c r="AA19" s="48">
        <v>324753.90600000002</v>
      </c>
      <c r="AB19" s="17">
        <f t="shared" si="15"/>
        <v>2.8165993581960107</v>
      </c>
      <c r="AC19" s="46">
        <v>12.2061022</v>
      </c>
      <c r="AD19" s="46"/>
      <c r="AE19" s="28">
        <v>17</v>
      </c>
      <c r="AF19" s="3">
        <v>5347000</v>
      </c>
      <c r="AG19" s="3">
        <v>735800</v>
      </c>
      <c r="AH19" s="17">
        <f t="shared" si="6"/>
        <v>3.7538901076475693</v>
      </c>
      <c r="AI19" s="27">
        <f t="shared" si="16"/>
        <v>13.760987469609127</v>
      </c>
      <c r="AJ19" s="27"/>
      <c r="AK19" s="22">
        <v>17</v>
      </c>
      <c r="AL19" s="23">
        <v>3155</v>
      </c>
      <c r="AM19" s="23">
        <v>672.3</v>
      </c>
      <c r="AN19" s="17">
        <f t="shared" si="7"/>
        <v>10.471962616822427</v>
      </c>
      <c r="AO19" s="27">
        <f t="shared" si="17"/>
        <v>21.30903328050713</v>
      </c>
      <c r="AP19" s="27"/>
      <c r="AQ19" s="22">
        <v>17</v>
      </c>
      <c r="AR19" s="23">
        <v>319200</v>
      </c>
      <c r="AS19" s="23">
        <v>73680</v>
      </c>
      <c r="AT19" s="6">
        <f t="shared" si="8"/>
        <v>2558.3333333333335</v>
      </c>
      <c r="AU19" s="27">
        <f t="shared" si="9"/>
        <v>23.082706766917294</v>
      </c>
      <c r="AV19" s="27"/>
      <c r="AW19" s="22">
        <v>17</v>
      </c>
      <c r="AX19" s="23">
        <v>2470</v>
      </c>
      <c r="AY19" s="23">
        <v>897.6</v>
      </c>
      <c r="AZ19" s="6">
        <f t="shared" si="10"/>
        <v>2162.8915662650602</v>
      </c>
      <c r="BA19" s="27">
        <f t="shared" si="11"/>
        <v>36.340080971659916</v>
      </c>
      <c r="BB19" s="27"/>
      <c r="BC19" s="5" t="s">
        <v>7</v>
      </c>
      <c r="BD19" s="56">
        <v>81</v>
      </c>
      <c r="BE19" s="56">
        <v>155</v>
      </c>
      <c r="BF19" s="56">
        <v>164</v>
      </c>
      <c r="BG19" s="6">
        <v>405.75065432855064</v>
      </c>
      <c r="BH19" s="7">
        <f t="shared" si="18"/>
        <v>1.4740893556618941</v>
      </c>
      <c r="BI19" s="8">
        <v>1.8160000000000001</v>
      </c>
      <c r="BJ19" s="28">
        <f>Table135[[#This Row],[Área (km-2)]]*100</f>
        <v>15500</v>
      </c>
    </row>
    <row r="20" spans="1:62" x14ac:dyDescent="0.25">
      <c r="A20" s="28">
        <v>18</v>
      </c>
      <c r="B20" s="3">
        <v>39040000000</v>
      </c>
      <c r="C20" s="3">
        <v>2624000000</v>
      </c>
      <c r="D20" s="4">
        <f t="shared" si="1"/>
        <v>170.47817047817048</v>
      </c>
      <c r="E20" s="27">
        <f t="shared" si="12"/>
        <v>6.721311475409836</v>
      </c>
      <c r="F20" s="27"/>
      <c r="G20" s="28">
        <v>18</v>
      </c>
      <c r="H20" s="3">
        <v>138300000</v>
      </c>
      <c r="I20" s="3">
        <v>112900000</v>
      </c>
      <c r="J20" s="4">
        <f t="shared" si="2"/>
        <v>683.00060496067761</v>
      </c>
      <c r="K20" s="27">
        <f t="shared" si="3"/>
        <v>81.634128705712214</v>
      </c>
      <c r="M20" s="28">
        <v>18</v>
      </c>
      <c r="N20" s="3">
        <v>89470000000</v>
      </c>
      <c r="O20" s="3">
        <v>5355000000</v>
      </c>
      <c r="P20" s="4">
        <f t="shared" si="4"/>
        <v>426.52329749103939</v>
      </c>
      <c r="Q20" s="27">
        <f t="shared" si="13"/>
        <v>5.9852464513244659</v>
      </c>
      <c r="R20" s="27"/>
      <c r="S20" s="28">
        <v>18</v>
      </c>
      <c r="T20" s="3">
        <v>3141000</v>
      </c>
      <c r="U20" s="3">
        <v>380100</v>
      </c>
      <c r="V20" s="17">
        <f t="shared" si="5"/>
        <v>4.7094535993061584</v>
      </c>
      <c r="W20" s="27">
        <f t="shared" si="14"/>
        <v>12.101241642788921</v>
      </c>
      <c r="X20" s="27"/>
      <c r="Y20" s="22">
        <v>18</v>
      </c>
      <c r="Z20" s="48">
        <v>2439186</v>
      </c>
      <c r="AA20" s="48">
        <v>347466.875</v>
      </c>
      <c r="AB20" s="17">
        <f t="shared" si="15"/>
        <v>3.0135895490026017</v>
      </c>
      <c r="AC20" s="46">
        <v>14.2451987</v>
      </c>
      <c r="AD20" s="46"/>
      <c r="AE20" s="28">
        <v>18</v>
      </c>
      <c r="AF20" s="3">
        <v>4908000</v>
      </c>
      <c r="AG20" s="3">
        <v>797000</v>
      </c>
      <c r="AH20" s="17">
        <f t="shared" si="6"/>
        <v>4.0661190755573697</v>
      </c>
      <c r="AI20" s="27">
        <f t="shared" si="16"/>
        <v>16.238793806030969</v>
      </c>
      <c r="AJ20" s="27"/>
      <c r="AK20" s="22">
        <v>18</v>
      </c>
      <c r="AL20" s="23">
        <v>3971</v>
      </c>
      <c r="AM20" s="23">
        <v>959</v>
      </c>
      <c r="AN20" s="17">
        <f t="shared" si="7"/>
        <v>14.937694704049841</v>
      </c>
      <c r="AO20" s="27">
        <f t="shared" si="17"/>
        <v>24.150088139007806</v>
      </c>
      <c r="AP20" s="27"/>
      <c r="AQ20" s="22">
        <v>18</v>
      </c>
      <c r="AR20" s="23">
        <v>329700</v>
      </c>
      <c r="AS20" s="23">
        <v>58660</v>
      </c>
      <c r="AT20" s="6">
        <f t="shared" si="8"/>
        <v>2036.8055555555557</v>
      </c>
      <c r="AU20" s="27">
        <f t="shared" si="9"/>
        <v>17.791932059447984</v>
      </c>
      <c r="AV20" s="27"/>
      <c r="AW20" s="22">
        <v>18</v>
      </c>
      <c r="AX20" s="23">
        <v>3614</v>
      </c>
      <c r="AY20" s="23">
        <v>896.9</v>
      </c>
      <c r="AZ20" s="6">
        <f t="shared" si="10"/>
        <v>2161.2048192771081</v>
      </c>
      <c r="BA20" s="27">
        <f t="shared" si="11"/>
        <v>24.817376867736581</v>
      </c>
      <c r="BB20" s="27"/>
      <c r="BC20" s="5" t="s">
        <v>38</v>
      </c>
      <c r="BD20" s="56">
        <v>7</v>
      </c>
      <c r="BE20" s="56">
        <v>11.53</v>
      </c>
      <c r="BF20" s="6">
        <v>4.59</v>
      </c>
      <c r="BG20" s="17">
        <v>5.0125552389212409</v>
      </c>
      <c r="BH20" s="7">
        <f t="shared" si="18"/>
        <v>9.2059964906588465E-2</v>
      </c>
      <c r="BI20" s="7">
        <f>(BF20-(AVERAGE(T18:T47)*0.036)/BD20/BE20/1000)/BF20</f>
        <v>0.83279316811387794</v>
      </c>
      <c r="BJ20" s="28">
        <f>Table135[[#This Row],[Área (km-2)]]*100</f>
        <v>1153</v>
      </c>
    </row>
    <row r="21" spans="1:62" x14ac:dyDescent="0.25">
      <c r="A21" s="28">
        <v>19</v>
      </c>
      <c r="B21" s="3">
        <v>35320000000</v>
      </c>
      <c r="C21" s="3">
        <v>2704000000</v>
      </c>
      <c r="D21" s="4">
        <f t="shared" si="1"/>
        <v>175.67567567567568</v>
      </c>
      <c r="E21" s="27">
        <f t="shared" si="12"/>
        <v>7.6557191392978483</v>
      </c>
      <c r="F21" s="27"/>
      <c r="G21" s="28">
        <v>19</v>
      </c>
      <c r="H21" s="3">
        <v>143200000</v>
      </c>
      <c r="I21" s="3">
        <v>114700000</v>
      </c>
      <c r="J21" s="4">
        <f t="shared" si="2"/>
        <v>693.88989715668481</v>
      </c>
      <c r="K21" s="27">
        <f t="shared" si="3"/>
        <v>80.097765363128488</v>
      </c>
      <c r="M21" s="28">
        <v>19</v>
      </c>
      <c r="N21" s="3">
        <v>92490000000</v>
      </c>
      <c r="O21" s="3">
        <v>5618000000</v>
      </c>
      <c r="P21" s="4">
        <f t="shared" si="4"/>
        <v>447.47112704101949</v>
      </c>
      <c r="Q21" s="27">
        <f t="shared" si="13"/>
        <v>6.0741701805600607</v>
      </c>
      <c r="R21" s="27"/>
      <c r="S21" s="28">
        <v>19</v>
      </c>
      <c r="T21" s="3">
        <v>2576000</v>
      </c>
      <c r="U21" s="3">
        <v>473500</v>
      </c>
      <c r="V21" s="17">
        <f t="shared" si="5"/>
        <v>5.8666831867178786</v>
      </c>
      <c r="W21" s="27">
        <f t="shared" si="14"/>
        <v>18.381211180124225</v>
      </c>
      <c r="X21" s="27"/>
      <c r="Y21" s="22">
        <v>19</v>
      </c>
      <c r="Z21" s="48">
        <v>3170415.5</v>
      </c>
      <c r="AA21" s="48">
        <v>217748.15599999999</v>
      </c>
      <c r="AB21" s="17">
        <f t="shared" si="15"/>
        <v>1.8885356114483955</v>
      </c>
      <c r="AC21" s="46">
        <v>6.8681269899999995</v>
      </c>
      <c r="AD21" s="46"/>
      <c r="AE21" s="28">
        <v>19</v>
      </c>
      <c r="AF21" s="3">
        <v>4991000</v>
      </c>
      <c r="AG21" s="3">
        <v>707900</v>
      </c>
      <c r="AH21" s="17">
        <f t="shared" si="6"/>
        <v>3.6115504311004543</v>
      </c>
      <c r="AI21" s="27">
        <f t="shared" si="16"/>
        <v>14.183530354638348</v>
      </c>
      <c r="AJ21" s="27"/>
      <c r="AK21" s="22">
        <v>19</v>
      </c>
      <c r="AL21" s="23">
        <v>3567</v>
      </c>
      <c r="AM21" s="23">
        <v>851.9</v>
      </c>
      <c r="AN21" s="17">
        <f t="shared" si="7"/>
        <v>13.269470404984423</v>
      </c>
      <c r="AO21" s="27">
        <f t="shared" si="17"/>
        <v>23.882814690215866</v>
      </c>
      <c r="AP21" s="27"/>
      <c r="AQ21" s="22">
        <v>19</v>
      </c>
      <c r="AR21" s="23">
        <v>318800</v>
      </c>
      <c r="AS21" s="23">
        <v>84750</v>
      </c>
      <c r="AT21" s="6">
        <f t="shared" si="8"/>
        <v>2942.7083333333335</v>
      </c>
      <c r="AU21" s="27">
        <f t="shared" si="9"/>
        <v>26.584065244667503</v>
      </c>
      <c r="AV21" s="27"/>
      <c r="AW21" s="22">
        <v>19</v>
      </c>
      <c r="AX21" s="23">
        <v>2512</v>
      </c>
      <c r="AY21" s="23">
        <v>841.2</v>
      </c>
      <c r="AZ21" s="6">
        <f t="shared" si="10"/>
        <v>2026.9879518072291</v>
      </c>
      <c r="BA21" s="27">
        <f t="shared" si="11"/>
        <v>33.487261146496813</v>
      </c>
      <c r="BB21" s="27"/>
      <c r="BC21" s="5" t="s">
        <v>31</v>
      </c>
      <c r="BD21" s="56">
        <v>6</v>
      </c>
      <c r="BE21" s="56">
        <f>1.07/100</f>
        <v>1.0700000000000001E-2</v>
      </c>
      <c r="BF21" s="6">
        <f>1088.9/BE21/BD21/1000</f>
        <v>16.96105919003115</v>
      </c>
      <c r="BG21" s="17">
        <v>13.094340602284527</v>
      </c>
      <c r="BH21" s="7">
        <f t="shared" si="18"/>
        <v>-0.22797624514035564</v>
      </c>
      <c r="BI21" s="7">
        <f>(BF21-(AVERAGE(AL18:AL47)*0.274)/BD21/BE21/1000)/BF21</f>
        <v>0.14779777132185362</v>
      </c>
      <c r="BJ21" s="28">
        <f>Table135[[#This Row],[Área (km-2)]]*100</f>
        <v>1.07</v>
      </c>
    </row>
    <row r="22" spans="1:62" x14ac:dyDescent="0.25">
      <c r="A22" s="28">
        <v>20</v>
      </c>
      <c r="B22" s="3">
        <v>34100000000</v>
      </c>
      <c r="C22" s="3">
        <v>2977000000</v>
      </c>
      <c r="D22" s="4">
        <f t="shared" si="1"/>
        <v>193.41216216216216</v>
      </c>
      <c r="E22" s="27">
        <f t="shared" si="12"/>
        <v>8.7302052785923756</v>
      </c>
      <c r="F22" s="27"/>
      <c r="G22" s="28">
        <v>20</v>
      </c>
      <c r="H22" s="3">
        <v>128200000</v>
      </c>
      <c r="I22" s="3">
        <v>106000000</v>
      </c>
      <c r="J22" s="4">
        <f t="shared" si="2"/>
        <v>641.25831820931637</v>
      </c>
      <c r="K22" s="27">
        <f t="shared" si="3"/>
        <v>82.683307332293296</v>
      </c>
      <c r="M22" s="28">
        <v>20</v>
      </c>
      <c r="N22" s="3">
        <v>97290000000</v>
      </c>
      <c r="O22" s="3">
        <v>4997000000</v>
      </c>
      <c r="P22" s="4">
        <f t="shared" si="4"/>
        <v>398.00876144962166</v>
      </c>
      <c r="Q22" s="27">
        <f t="shared" si="13"/>
        <v>5.1361907698632949</v>
      </c>
      <c r="R22" s="27"/>
      <c r="S22" s="28">
        <v>20</v>
      </c>
      <c r="T22" s="3">
        <v>2664000</v>
      </c>
      <c r="U22" s="3">
        <v>376100</v>
      </c>
      <c r="V22" s="17">
        <f t="shared" si="5"/>
        <v>4.6598934456696819</v>
      </c>
      <c r="W22" s="27">
        <f t="shared" si="14"/>
        <v>14.117867867867869</v>
      </c>
      <c r="X22" s="27"/>
      <c r="Y22" s="22">
        <v>20</v>
      </c>
      <c r="Z22" s="48">
        <v>2707238.5</v>
      </c>
      <c r="AA22" s="48">
        <v>346546.5</v>
      </c>
      <c r="AB22" s="17">
        <f t="shared" si="15"/>
        <v>3.0056071118820471</v>
      </c>
      <c r="AC22" s="46">
        <v>12.8007382</v>
      </c>
      <c r="AD22" s="46"/>
      <c r="AE22" s="28">
        <v>20</v>
      </c>
      <c r="AF22" s="3">
        <v>5753000</v>
      </c>
      <c r="AG22" s="3">
        <v>657400</v>
      </c>
      <c r="AH22" s="17">
        <f t="shared" si="6"/>
        <v>3.3539105147696548</v>
      </c>
      <c r="AI22" s="27">
        <f t="shared" si="16"/>
        <v>11.427081522683817</v>
      </c>
      <c r="AJ22" s="27"/>
      <c r="AK22" s="22">
        <v>20</v>
      </c>
      <c r="AL22" s="23">
        <v>3607</v>
      </c>
      <c r="AM22" s="23">
        <v>958.2</v>
      </c>
      <c r="AN22" s="17">
        <f t="shared" si="7"/>
        <v>14.925233644859812</v>
      </c>
      <c r="AO22" s="27">
        <f t="shared" si="17"/>
        <v>26.565012475741614</v>
      </c>
      <c r="AP22" s="27"/>
      <c r="AQ22" s="22">
        <v>20</v>
      </c>
      <c r="AR22" s="23">
        <v>332500</v>
      </c>
      <c r="AS22" s="23">
        <v>74000</v>
      </c>
      <c r="AT22" s="6">
        <f t="shared" si="8"/>
        <v>2569.4444444444443</v>
      </c>
      <c r="AU22" s="27">
        <f t="shared" si="9"/>
        <v>22.255639097744361</v>
      </c>
      <c r="AV22" s="27"/>
      <c r="AW22" s="22">
        <v>20</v>
      </c>
      <c r="AX22" s="23">
        <v>3443</v>
      </c>
      <c r="AY22" s="23">
        <v>676.9</v>
      </c>
      <c r="AZ22" s="6">
        <f t="shared" si="10"/>
        <v>1631.0843373493976</v>
      </c>
      <c r="BA22" s="27">
        <f t="shared" si="11"/>
        <v>19.660180075515537</v>
      </c>
      <c r="BB22" s="27"/>
      <c r="BC22" s="5" t="s">
        <v>32</v>
      </c>
      <c r="BD22" s="56">
        <v>6</v>
      </c>
      <c r="BE22" s="56">
        <f>0.48/100</f>
        <v>4.7999999999999996E-3</v>
      </c>
      <c r="BF22" s="6">
        <f>111087.7/BE22/BD22/1000</f>
        <v>3857.2118055555561</v>
      </c>
      <c r="BG22" s="6">
        <v>2345.6250000000005</v>
      </c>
      <c r="BH22" s="7">
        <f t="shared" si="18"/>
        <v>-0.3918858703528833</v>
      </c>
      <c r="BI22" s="7">
        <f>(BF22-(AVERAGE(AR18:AR47)*0.87)/BD22/BE22/1000)/BF22</f>
        <v>-1.4662238506278769</v>
      </c>
      <c r="BJ22" s="28">
        <f>Table135[[#This Row],[Área (km-2)]]*100</f>
        <v>0.48</v>
      </c>
    </row>
    <row r="23" spans="1:62" x14ac:dyDescent="0.25">
      <c r="A23" s="28">
        <v>21</v>
      </c>
      <c r="B23" s="3">
        <v>35540000000</v>
      </c>
      <c r="C23" s="3">
        <v>3176000000</v>
      </c>
      <c r="D23" s="4">
        <f t="shared" si="1"/>
        <v>206.34095634095635</v>
      </c>
      <c r="E23" s="27">
        <f t="shared" si="12"/>
        <v>8.9364096792346643</v>
      </c>
      <c r="F23" s="27"/>
      <c r="G23" s="28">
        <v>21</v>
      </c>
      <c r="H23" s="3">
        <v>141900000</v>
      </c>
      <c r="I23" s="3">
        <v>113900000</v>
      </c>
      <c r="J23" s="4">
        <f t="shared" si="2"/>
        <v>689.0502117362372</v>
      </c>
      <c r="K23" s="27">
        <f t="shared" si="3"/>
        <v>80.2677942212826</v>
      </c>
      <c r="M23" s="28">
        <v>21</v>
      </c>
      <c r="N23" s="3">
        <v>88390000000</v>
      </c>
      <c r="O23" s="3">
        <v>5647000000</v>
      </c>
      <c r="P23" s="4">
        <f t="shared" si="4"/>
        <v>449.78096375945836</v>
      </c>
      <c r="Q23" s="27">
        <f t="shared" si="13"/>
        <v>6.3887317569860844</v>
      </c>
      <c r="R23" s="27"/>
      <c r="S23" s="28">
        <v>21</v>
      </c>
      <c r="T23" s="3">
        <v>3086000</v>
      </c>
      <c r="U23" s="3">
        <v>272500</v>
      </c>
      <c r="V23" s="17">
        <f t="shared" si="5"/>
        <v>3.376285466484946</v>
      </c>
      <c r="W23" s="27">
        <f t="shared" si="14"/>
        <v>8.8302009073233965</v>
      </c>
      <c r="X23" s="27"/>
      <c r="Y23" s="22">
        <v>21</v>
      </c>
      <c r="Z23" s="48">
        <v>2329599</v>
      </c>
      <c r="AA23" s="48">
        <v>290188.125</v>
      </c>
      <c r="AB23" s="17">
        <f t="shared" si="15"/>
        <v>2.5168094102341718</v>
      </c>
      <c r="AC23" s="46">
        <v>12.4565698</v>
      </c>
      <c r="AD23" s="46"/>
      <c r="AE23" s="28">
        <v>21</v>
      </c>
      <c r="AF23" s="3">
        <v>4952000</v>
      </c>
      <c r="AG23" s="3">
        <v>928200</v>
      </c>
      <c r="AH23" s="17">
        <f t="shared" si="6"/>
        <v>4.7354726799653077</v>
      </c>
      <c r="AI23" s="27">
        <f t="shared" si="16"/>
        <v>18.74394184168013</v>
      </c>
      <c r="AJ23" s="27"/>
      <c r="AK23" s="22">
        <v>21</v>
      </c>
      <c r="AL23" s="23">
        <v>3914</v>
      </c>
      <c r="AM23" s="23">
        <v>987.5</v>
      </c>
      <c r="AN23" s="17">
        <f t="shared" si="7"/>
        <v>15.381619937694703</v>
      </c>
      <c r="AO23" s="27">
        <f t="shared" si="17"/>
        <v>25.229943791517631</v>
      </c>
      <c r="AP23" s="27"/>
      <c r="AQ23" s="22">
        <v>21</v>
      </c>
      <c r="AR23" s="23">
        <v>350100</v>
      </c>
      <c r="AS23" s="23">
        <v>59300</v>
      </c>
      <c r="AT23" s="6">
        <f t="shared" si="8"/>
        <v>2059.0277777777778</v>
      </c>
      <c r="AU23" s="27">
        <f t="shared" si="9"/>
        <v>16.938017709225935</v>
      </c>
      <c r="AV23" s="27"/>
      <c r="AW23" s="22">
        <v>21</v>
      </c>
      <c r="AX23" s="23">
        <v>3403</v>
      </c>
      <c r="AY23" s="23">
        <v>841.2</v>
      </c>
      <c r="AZ23" s="6">
        <f t="shared" si="10"/>
        <v>2026.9879518072291</v>
      </c>
      <c r="BA23" s="27">
        <f t="shared" si="11"/>
        <v>24.719365265941818</v>
      </c>
      <c r="BB23" s="27"/>
      <c r="BC23" s="24" t="s">
        <v>35</v>
      </c>
      <c r="BD23" s="25">
        <v>6</v>
      </c>
      <c r="BE23" s="25">
        <f>0.48/100</f>
        <v>4.7999999999999996E-3</v>
      </c>
      <c r="BF23" s="26">
        <f>111087.7/BE23/BD23/1000</f>
        <v>3857.2118055555561</v>
      </c>
      <c r="BG23" s="26">
        <v>3104.1319444444448</v>
      </c>
      <c r="BH23" s="34">
        <f t="shared" si="18"/>
        <v>-0.19523943694936527</v>
      </c>
      <c r="BI23" s="38" t="s">
        <v>44</v>
      </c>
      <c r="BJ23" s="28">
        <f>Table135[[#This Row],[Área (km-2)]]*100</f>
        <v>0.48</v>
      </c>
    </row>
    <row r="24" spans="1:62" x14ac:dyDescent="0.25">
      <c r="A24" s="28">
        <v>22</v>
      </c>
      <c r="B24" s="3">
        <v>34850000000</v>
      </c>
      <c r="C24" s="3">
        <v>2943000000</v>
      </c>
      <c r="D24" s="4">
        <f t="shared" si="1"/>
        <v>191.20322245322245</v>
      </c>
      <c r="E24" s="27">
        <f t="shared" si="12"/>
        <v>8.4447632711621239</v>
      </c>
      <c r="F24" s="27"/>
      <c r="G24" s="28">
        <v>22</v>
      </c>
      <c r="H24" s="3">
        <v>139900000</v>
      </c>
      <c r="I24" s="3">
        <v>111600000</v>
      </c>
      <c r="J24" s="4">
        <f t="shared" si="2"/>
        <v>675.13611615245009</v>
      </c>
      <c r="K24" s="27">
        <f t="shared" si="3"/>
        <v>79.771265189421015</v>
      </c>
      <c r="M24" s="28">
        <v>22</v>
      </c>
      <c r="N24" s="3">
        <v>87020000000</v>
      </c>
      <c r="O24" s="3">
        <v>4856000000</v>
      </c>
      <c r="P24" s="4">
        <f t="shared" si="4"/>
        <v>386.77817602548782</v>
      </c>
      <c r="Q24" s="27">
        <f t="shared" si="13"/>
        <v>5.580326361755918</v>
      </c>
      <c r="R24" s="27"/>
      <c r="S24" s="28">
        <v>22</v>
      </c>
      <c r="T24" s="3">
        <v>2340000</v>
      </c>
      <c r="U24" s="3">
        <v>584300</v>
      </c>
      <c r="V24" s="17">
        <f t="shared" si="5"/>
        <v>7.2394994424482713</v>
      </c>
      <c r="W24" s="27">
        <f t="shared" si="14"/>
        <v>24.970085470085468</v>
      </c>
      <c r="X24" s="27"/>
      <c r="Y24" s="22">
        <v>22</v>
      </c>
      <c r="Z24" s="48">
        <v>2614842.5</v>
      </c>
      <c r="AA24" s="48">
        <v>293983.40600000002</v>
      </c>
      <c r="AB24" s="17">
        <f t="shared" si="15"/>
        <v>2.549725984388552</v>
      </c>
      <c r="AC24" s="46">
        <v>11.242872499999999</v>
      </c>
      <c r="AD24" s="46"/>
      <c r="AE24" s="28">
        <v>22</v>
      </c>
      <c r="AF24" s="3">
        <v>5948000</v>
      </c>
      <c r="AG24" s="3">
        <v>616500</v>
      </c>
      <c r="AH24" s="17">
        <f t="shared" si="6"/>
        <v>3.1452476914443146</v>
      </c>
      <c r="AI24" s="27">
        <f t="shared" si="16"/>
        <v>10.364828513786147</v>
      </c>
      <c r="AJ24" s="27"/>
      <c r="AK24" s="22">
        <v>22</v>
      </c>
      <c r="AL24" s="23">
        <v>3378</v>
      </c>
      <c r="AM24" s="23">
        <v>793.4</v>
      </c>
      <c r="AN24" s="17">
        <f t="shared" si="7"/>
        <v>12.358255451713392</v>
      </c>
      <c r="AO24" s="27">
        <f t="shared" si="17"/>
        <v>23.487270574304322</v>
      </c>
      <c r="AP24" s="27"/>
      <c r="AQ24" s="22">
        <v>22</v>
      </c>
      <c r="AR24" s="23">
        <v>344100</v>
      </c>
      <c r="AS24" s="23">
        <v>69210</v>
      </c>
      <c r="AT24" s="6">
        <f t="shared" si="8"/>
        <v>2403.1250000000005</v>
      </c>
      <c r="AU24" s="27">
        <f t="shared" si="9"/>
        <v>20.113339145597209</v>
      </c>
      <c r="AV24" s="27"/>
      <c r="AW24" s="22">
        <v>22</v>
      </c>
      <c r="AX24" s="23">
        <v>2410</v>
      </c>
      <c r="AY24" s="23">
        <v>788.9</v>
      </c>
      <c r="AZ24" s="6">
        <f t="shared" si="10"/>
        <v>1900.9638554216867</v>
      </c>
      <c r="BA24" s="27">
        <f t="shared" si="11"/>
        <v>32.734439834024897</v>
      </c>
      <c r="BB24" s="27"/>
      <c r="BC24" s="5" t="s">
        <v>36</v>
      </c>
      <c r="BD24" s="56">
        <v>1</v>
      </c>
      <c r="BE24" s="56">
        <f>415/1000000</f>
        <v>4.15E-4</v>
      </c>
      <c r="BF24" s="6">
        <f>(0.81*1290)/Table135[[#This Row],[Área (km-2)]]/Table135[[#This Row],[Periodo (anos)]]/1000</f>
        <v>2517.8313253012047</v>
      </c>
      <c r="BG24" s="6">
        <v>2141.7429718875496</v>
      </c>
      <c r="BH24" s="7">
        <f t="shared" si="18"/>
        <v>-0.14936995565763889</v>
      </c>
      <c r="BI24" s="7">
        <f>(BF24-(AVERAGE(AX18:AX47)*1)/Table135[[#This Row],[Periodo (anos)]]/Table135[[#This Row],[Área (km-2)]]/1000)/BF24</f>
        <v>-1.7547296797117546</v>
      </c>
      <c r="BJ24" s="4">
        <f>Table135[[#This Row],[Área (km-2)]]*100</f>
        <v>4.1500000000000002E-2</v>
      </c>
    </row>
    <row r="25" spans="1:62" x14ac:dyDescent="0.25">
      <c r="A25" s="28">
        <v>23</v>
      </c>
      <c r="B25" s="3">
        <v>36910000000</v>
      </c>
      <c r="C25" s="3">
        <v>2839000000</v>
      </c>
      <c r="D25" s="4">
        <f t="shared" si="1"/>
        <v>184.44646569646568</v>
      </c>
      <c r="E25" s="27">
        <f t="shared" si="12"/>
        <v>7.6916824708751017</v>
      </c>
      <c r="F25" s="27"/>
      <c r="G25" s="28">
        <v>23</v>
      </c>
      <c r="H25" s="3">
        <v>136000000</v>
      </c>
      <c r="I25" s="3">
        <v>107700000</v>
      </c>
      <c r="J25" s="4">
        <f t="shared" si="2"/>
        <v>651.54264972776775</v>
      </c>
      <c r="K25" s="27">
        <f t="shared" si="3"/>
        <v>79.191176470588232</v>
      </c>
      <c r="M25" s="28">
        <v>23</v>
      </c>
      <c r="N25" s="3">
        <v>91550000000</v>
      </c>
      <c r="O25" s="3">
        <v>4804000000</v>
      </c>
      <c r="P25" s="4">
        <f t="shared" si="4"/>
        <v>382.6363998407009</v>
      </c>
      <c r="Q25" s="27">
        <f t="shared" si="13"/>
        <v>5.2474057891862369</v>
      </c>
      <c r="R25" s="27"/>
      <c r="S25" s="28">
        <v>23</v>
      </c>
      <c r="T25" s="3">
        <v>2864000</v>
      </c>
      <c r="U25" s="3">
        <v>524600</v>
      </c>
      <c r="V25" s="17">
        <f t="shared" si="5"/>
        <v>6.4998141494238633</v>
      </c>
      <c r="W25" s="27">
        <f t="shared" si="14"/>
        <v>18.317039106145252</v>
      </c>
      <c r="X25" s="27"/>
      <c r="Y25" s="22">
        <v>23</v>
      </c>
      <c r="Z25" s="48">
        <v>2187738.5</v>
      </c>
      <c r="AA25" s="48">
        <v>256240.03099999999</v>
      </c>
      <c r="AB25" s="17">
        <f t="shared" si="15"/>
        <v>2.2223766782307024</v>
      </c>
      <c r="AC25" s="46">
        <v>11.712553400000001</v>
      </c>
      <c r="AD25" s="46"/>
      <c r="AE25" s="28">
        <v>23</v>
      </c>
      <c r="AF25" s="3">
        <v>5899000</v>
      </c>
      <c r="AG25" s="3">
        <v>620900</v>
      </c>
      <c r="AH25" s="17">
        <f t="shared" si="6"/>
        <v>3.1676955257384831</v>
      </c>
      <c r="AI25" s="27">
        <f t="shared" si="16"/>
        <v>10.525512798779454</v>
      </c>
      <c r="AJ25" s="27"/>
      <c r="AK25" s="22">
        <v>23</v>
      </c>
      <c r="AL25" s="23">
        <v>3645</v>
      </c>
      <c r="AM25" s="23">
        <v>947</v>
      </c>
      <c r="AN25" s="17">
        <f t="shared" si="7"/>
        <v>14.750778816199375</v>
      </c>
      <c r="AO25" s="27">
        <f t="shared" si="17"/>
        <v>25.98079561042524</v>
      </c>
      <c r="AP25" s="27"/>
      <c r="AQ25" s="22">
        <v>23</v>
      </c>
      <c r="AR25" s="23">
        <v>333900</v>
      </c>
      <c r="AS25" s="23">
        <v>69420</v>
      </c>
      <c r="AT25" s="6">
        <f t="shared" si="8"/>
        <v>2410.416666666667</v>
      </c>
      <c r="AU25" s="27">
        <f t="shared" si="9"/>
        <v>20.790655884995509</v>
      </c>
      <c r="AV25" s="27"/>
      <c r="AW25" s="22">
        <v>23</v>
      </c>
      <c r="AX25" s="23">
        <v>3018</v>
      </c>
      <c r="AY25" s="23">
        <v>936.7</v>
      </c>
      <c r="AZ25" s="6">
        <f t="shared" si="10"/>
        <v>2257.1084337349398</v>
      </c>
      <c r="BA25" s="27">
        <f t="shared" si="11"/>
        <v>31.037110669317428</v>
      </c>
      <c r="BB25" s="27"/>
      <c r="BC25" s="24" t="s">
        <v>43</v>
      </c>
      <c r="BD25" s="25">
        <v>1</v>
      </c>
      <c r="BE25" s="25">
        <f>415/1000000</f>
        <v>4.15E-4</v>
      </c>
      <c r="BF25" s="26">
        <f>(0.81*1290)/Table135[[#This Row],[Área (km-2)]]/Table135[[#This Row],[Periodo (anos)]]/1000</f>
        <v>2517.8313253012047</v>
      </c>
      <c r="BG25" s="26">
        <v>2362.4417670682724</v>
      </c>
      <c r="BH25" s="34">
        <f t="shared" si="18"/>
        <v>-6.1715634669984622E-2</v>
      </c>
      <c r="BI25" s="39" t="s">
        <v>44</v>
      </c>
      <c r="BJ25" s="4">
        <f>Table135[[#This Row],[Área (km-2)]]*100</f>
        <v>4.1500000000000002E-2</v>
      </c>
    </row>
    <row r="26" spans="1:62" x14ac:dyDescent="0.25">
      <c r="A26" s="28">
        <v>24</v>
      </c>
      <c r="B26" s="3">
        <v>33620000000</v>
      </c>
      <c r="C26" s="3">
        <v>2944000000</v>
      </c>
      <c r="D26" s="4">
        <f t="shared" si="1"/>
        <v>191.26819126819126</v>
      </c>
      <c r="E26" s="27">
        <f t="shared" si="12"/>
        <v>8.7566924449732308</v>
      </c>
      <c r="F26" s="27"/>
      <c r="G26" s="28">
        <v>24</v>
      </c>
      <c r="H26" s="3">
        <v>130900000</v>
      </c>
      <c r="I26" s="3">
        <v>106900000</v>
      </c>
      <c r="J26" s="4">
        <f t="shared" si="2"/>
        <v>646.70296430732003</v>
      </c>
      <c r="K26" s="27">
        <f t="shared" si="3"/>
        <v>81.665393430099314</v>
      </c>
      <c r="M26" s="28">
        <v>24</v>
      </c>
      <c r="N26" s="3">
        <v>85730000000</v>
      </c>
      <c r="O26" s="3">
        <v>5249000000</v>
      </c>
      <c r="P26" s="4">
        <f t="shared" si="4"/>
        <v>418.08044603743531</v>
      </c>
      <c r="Q26" s="27">
        <f t="shared" si="13"/>
        <v>6.1227108363466698</v>
      </c>
      <c r="R26" s="27"/>
      <c r="S26" s="28">
        <v>24</v>
      </c>
      <c r="T26" s="3">
        <v>2931000</v>
      </c>
      <c r="U26" s="3">
        <v>368200</v>
      </c>
      <c r="V26" s="17">
        <f t="shared" si="5"/>
        <v>4.5620121422376414</v>
      </c>
      <c r="W26" s="27">
        <f t="shared" si="14"/>
        <v>12.562265438416922</v>
      </c>
      <c r="X26" s="27"/>
      <c r="Y26" s="22">
        <v>24</v>
      </c>
      <c r="Z26" s="48">
        <v>2952594.5</v>
      </c>
      <c r="AA26" s="48">
        <v>276638.125</v>
      </c>
      <c r="AB26" s="17">
        <f t="shared" si="15"/>
        <v>2.3992898959236779</v>
      </c>
      <c r="AC26" s="46">
        <v>9.3693234000000007</v>
      </c>
      <c r="AD26" s="46"/>
      <c r="AE26" s="28">
        <v>24</v>
      </c>
      <c r="AF26" s="3">
        <v>5394000</v>
      </c>
      <c r="AG26" s="3">
        <v>936400</v>
      </c>
      <c r="AH26" s="17">
        <f t="shared" si="6"/>
        <v>4.7773072802408043</v>
      </c>
      <c r="AI26" s="27">
        <f t="shared" si="16"/>
        <v>17.360029662588062</v>
      </c>
      <c r="AJ26" s="27"/>
      <c r="AK26" s="22">
        <v>24</v>
      </c>
      <c r="AL26" s="23">
        <v>3491</v>
      </c>
      <c r="AM26" s="23">
        <v>891.9</v>
      </c>
      <c r="AN26" s="17">
        <f t="shared" si="7"/>
        <v>13.892523364485978</v>
      </c>
      <c r="AO26" s="27">
        <f t="shared" si="17"/>
        <v>25.548553423087942</v>
      </c>
      <c r="AP26" s="27"/>
      <c r="AQ26" s="22">
        <v>24</v>
      </c>
      <c r="AR26" s="23">
        <v>367800</v>
      </c>
      <c r="AS26" s="23">
        <v>59800</v>
      </c>
      <c r="AT26" s="6">
        <f t="shared" si="8"/>
        <v>2076.3888888888891</v>
      </c>
      <c r="AU26" s="27">
        <f t="shared" si="9"/>
        <v>16.258836324089177</v>
      </c>
      <c r="AV26" s="27"/>
      <c r="AW26" s="22">
        <v>24</v>
      </c>
      <c r="AX26" s="23">
        <v>2935</v>
      </c>
      <c r="AY26" s="23">
        <v>1120</v>
      </c>
      <c r="AZ26" s="6">
        <f t="shared" si="10"/>
        <v>2698.7951807228915</v>
      </c>
      <c r="BA26" s="27">
        <f t="shared" si="11"/>
        <v>38.160136286201023</v>
      </c>
      <c r="BB26" s="27"/>
    </row>
    <row r="27" spans="1:62" x14ac:dyDescent="0.25">
      <c r="A27" s="28">
        <v>25</v>
      </c>
      <c r="B27" s="3">
        <v>36370000000</v>
      </c>
      <c r="C27" s="3">
        <v>2677000000</v>
      </c>
      <c r="D27" s="4">
        <f t="shared" si="1"/>
        <v>173.92151767151768</v>
      </c>
      <c r="E27" s="27">
        <f t="shared" si="12"/>
        <v>7.3604619191641465</v>
      </c>
      <c r="F27" s="27"/>
      <c r="G27" s="28">
        <v>25</v>
      </c>
      <c r="H27" s="3">
        <v>121800000</v>
      </c>
      <c r="I27" s="3">
        <v>98960000</v>
      </c>
      <c r="J27" s="4">
        <f t="shared" si="2"/>
        <v>598.66908650937683</v>
      </c>
      <c r="K27" s="27">
        <f t="shared" si="3"/>
        <v>81.247947454844009</v>
      </c>
      <c r="M27" s="28">
        <v>25</v>
      </c>
      <c r="N27" s="3">
        <v>88170000000</v>
      </c>
      <c r="O27" s="3">
        <v>5473000000</v>
      </c>
      <c r="P27" s="4">
        <f t="shared" si="4"/>
        <v>435.92194344882523</v>
      </c>
      <c r="Q27" s="27">
        <f t="shared" si="13"/>
        <v>6.2073267551321312</v>
      </c>
      <c r="R27" s="27"/>
      <c r="S27" s="28">
        <v>25</v>
      </c>
      <c r="T27" s="3">
        <v>3058000</v>
      </c>
      <c r="U27" s="3">
        <v>361800</v>
      </c>
      <c r="V27" s="17">
        <f t="shared" si="5"/>
        <v>4.4827158964192781</v>
      </c>
      <c r="W27" s="27">
        <f t="shared" si="14"/>
        <v>11.831262262916939</v>
      </c>
      <c r="X27" s="27"/>
      <c r="Y27" s="22">
        <v>25</v>
      </c>
      <c r="Z27" s="48">
        <v>2602215.25</v>
      </c>
      <c r="AA27" s="48">
        <v>343456.90600000002</v>
      </c>
      <c r="AB27" s="17">
        <f t="shared" si="15"/>
        <v>2.9788109800520384</v>
      </c>
      <c r="AC27" s="46">
        <v>13.198634999999999</v>
      </c>
      <c r="AD27" s="46"/>
      <c r="AE27" s="28">
        <v>25</v>
      </c>
      <c r="AF27" s="3">
        <v>4550000</v>
      </c>
      <c r="AG27" s="3">
        <v>826800</v>
      </c>
      <c r="AH27" s="17">
        <f t="shared" si="6"/>
        <v>4.2181521350951483</v>
      </c>
      <c r="AI27" s="27">
        <f t="shared" si="16"/>
        <v>18.171428571428571</v>
      </c>
      <c r="AJ27" s="27"/>
      <c r="AK27" s="22">
        <v>25</v>
      </c>
      <c r="AL27" s="23">
        <v>3356</v>
      </c>
      <c r="AM27" s="23">
        <v>785.6</v>
      </c>
      <c r="AN27" s="17">
        <f t="shared" si="7"/>
        <v>12.236760124610591</v>
      </c>
      <c r="AO27" s="27">
        <f t="shared" si="17"/>
        <v>23.408820023837901</v>
      </c>
      <c r="AP27" s="27"/>
      <c r="AQ27" s="22">
        <v>25</v>
      </c>
      <c r="AR27" s="23">
        <v>312100</v>
      </c>
      <c r="AS27" s="23">
        <v>70110</v>
      </c>
      <c r="AT27" s="6">
        <f t="shared" si="8"/>
        <v>2434.3750000000005</v>
      </c>
      <c r="AU27" s="27">
        <f t="shared" si="9"/>
        <v>22.463953860942006</v>
      </c>
      <c r="AV27" s="27"/>
      <c r="AW27" s="22">
        <v>25</v>
      </c>
      <c r="AX27" s="23">
        <v>2596</v>
      </c>
      <c r="AY27" s="23">
        <v>1234</v>
      </c>
      <c r="AZ27" s="6">
        <f t="shared" si="10"/>
        <v>2973.4939759036142</v>
      </c>
      <c r="BA27" s="27">
        <f t="shared" si="11"/>
        <v>47.534668721109398</v>
      </c>
      <c r="BB27" s="27"/>
    </row>
    <row r="28" spans="1:62" x14ac:dyDescent="0.25">
      <c r="A28" s="28">
        <v>26</v>
      </c>
      <c r="B28" s="3">
        <v>39230000000</v>
      </c>
      <c r="C28" s="3">
        <v>2890000000</v>
      </c>
      <c r="D28" s="4">
        <f t="shared" si="1"/>
        <v>187.75987525987526</v>
      </c>
      <c r="E28" s="27">
        <f t="shared" si="12"/>
        <v>7.3668111139434105</v>
      </c>
      <c r="F28" s="27"/>
      <c r="G28" s="28">
        <v>26</v>
      </c>
      <c r="H28" s="3">
        <v>139600000</v>
      </c>
      <c r="I28" s="3">
        <v>110000000</v>
      </c>
      <c r="J28" s="4">
        <f t="shared" si="2"/>
        <v>665.45674531155476</v>
      </c>
      <c r="K28" s="27">
        <f t="shared" si="3"/>
        <v>78.796561604584525</v>
      </c>
      <c r="M28" s="28">
        <v>26</v>
      </c>
      <c r="N28" s="3">
        <v>89000000000</v>
      </c>
      <c r="O28" s="3">
        <v>4989000000</v>
      </c>
      <c r="P28" s="4">
        <f t="shared" si="4"/>
        <v>397.37156511350059</v>
      </c>
      <c r="Q28" s="27">
        <f t="shared" si="13"/>
        <v>5.6056179775280901</v>
      </c>
      <c r="R28" s="27"/>
      <c r="S28" s="28">
        <v>26</v>
      </c>
      <c r="T28" s="3">
        <v>2744000</v>
      </c>
      <c r="U28" s="3">
        <v>382200</v>
      </c>
      <c r="V28" s="17">
        <f t="shared" si="5"/>
        <v>4.7354726799653077</v>
      </c>
      <c r="W28" s="27">
        <f t="shared" si="14"/>
        <v>13.928571428571429</v>
      </c>
      <c r="X28" s="27"/>
      <c r="Y28" s="22">
        <v>26</v>
      </c>
      <c r="Z28" s="48">
        <v>2730264.5</v>
      </c>
      <c r="AA28" s="48">
        <v>254143.68799999999</v>
      </c>
      <c r="AB28" s="17">
        <f t="shared" si="15"/>
        <v>2.2041950390286211</v>
      </c>
      <c r="AC28" s="46">
        <v>9.3083910599999999</v>
      </c>
      <c r="AD28" s="46"/>
      <c r="AE28" s="28">
        <v>26</v>
      </c>
      <c r="AF28" s="3">
        <v>5579000</v>
      </c>
      <c r="AG28" s="3">
        <v>672100</v>
      </c>
      <c r="AH28" s="17">
        <f t="shared" si="6"/>
        <v>3.4289066884342634</v>
      </c>
      <c r="AI28" s="27">
        <f t="shared" si="16"/>
        <v>12.046961821114895</v>
      </c>
      <c r="AJ28" s="27"/>
      <c r="AK28" s="22">
        <v>26</v>
      </c>
      <c r="AL28" s="23">
        <v>3187</v>
      </c>
      <c r="AM28" s="23">
        <v>579.4</v>
      </c>
      <c r="AN28" s="17">
        <f t="shared" si="7"/>
        <v>9.0249221183800596</v>
      </c>
      <c r="AO28" s="27">
        <f t="shared" si="17"/>
        <v>18.180106683401316</v>
      </c>
      <c r="AP28" s="27"/>
      <c r="AQ28" s="22">
        <v>26</v>
      </c>
      <c r="AR28" s="23">
        <v>352800</v>
      </c>
      <c r="AS28" s="23">
        <v>62750</v>
      </c>
      <c r="AT28" s="6">
        <f t="shared" si="8"/>
        <v>2178.8194444444443</v>
      </c>
      <c r="AU28" s="27">
        <f t="shared" si="9"/>
        <v>17.786281179138321</v>
      </c>
      <c r="AV28" s="27"/>
      <c r="AW28" s="22">
        <v>26</v>
      </c>
      <c r="AX28" s="23">
        <v>3034</v>
      </c>
      <c r="AY28" s="23">
        <v>1220</v>
      </c>
      <c r="AZ28" s="6">
        <f t="shared" si="10"/>
        <v>2939.7590361445782</v>
      </c>
      <c r="BA28" s="27">
        <f t="shared" si="11"/>
        <v>40.210942649967038</v>
      </c>
      <c r="BB28" s="27"/>
    </row>
    <row r="29" spans="1:62" x14ac:dyDescent="0.25">
      <c r="A29" s="28">
        <v>27</v>
      </c>
      <c r="B29" s="3">
        <v>35280000000</v>
      </c>
      <c r="C29" s="3">
        <v>2728000000</v>
      </c>
      <c r="D29" s="4">
        <f t="shared" si="1"/>
        <v>177.23492723492726</v>
      </c>
      <c r="E29" s="27">
        <f t="shared" si="12"/>
        <v>7.7324263038548757</v>
      </c>
      <c r="F29" s="27"/>
      <c r="G29" s="28">
        <v>27</v>
      </c>
      <c r="H29" s="3">
        <v>144600000</v>
      </c>
      <c r="I29" s="3">
        <v>115500000</v>
      </c>
      <c r="J29" s="4">
        <f t="shared" si="2"/>
        <v>698.72958257713253</v>
      </c>
      <c r="K29" s="27">
        <f t="shared" si="3"/>
        <v>79.875518672199163</v>
      </c>
      <c r="M29" s="28">
        <v>27</v>
      </c>
      <c r="N29" s="3">
        <v>90590000000</v>
      </c>
      <c r="O29" s="3">
        <v>5305000000</v>
      </c>
      <c r="P29" s="4">
        <f t="shared" si="4"/>
        <v>422.54082039028276</v>
      </c>
      <c r="Q29" s="27">
        <f t="shared" si="13"/>
        <v>5.8560547521801523</v>
      </c>
      <c r="R29" s="27"/>
      <c r="S29" s="28">
        <v>27</v>
      </c>
      <c r="T29" s="3">
        <v>3356000</v>
      </c>
      <c r="U29" s="3">
        <v>369900</v>
      </c>
      <c r="V29" s="17">
        <f t="shared" si="5"/>
        <v>4.5830752075331436</v>
      </c>
      <c r="W29" s="27">
        <f t="shared" si="14"/>
        <v>11.022050059594756</v>
      </c>
      <c r="X29" s="27"/>
      <c r="Y29" s="22">
        <v>27</v>
      </c>
      <c r="Z29" s="48">
        <v>2661715.5</v>
      </c>
      <c r="AA29" s="48">
        <v>291933.09399999998</v>
      </c>
      <c r="AB29" s="17">
        <f t="shared" si="15"/>
        <v>2.531943573287077</v>
      </c>
      <c r="AC29" s="46">
        <v>10.967855200000001</v>
      </c>
      <c r="AD29" s="46"/>
      <c r="AE29" s="28">
        <v>27</v>
      </c>
      <c r="AF29" s="3">
        <v>5420000</v>
      </c>
      <c r="AG29" s="3">
        <v>792000</v>
      </c>
      <c r="AH29" s="17">
        <f t="shared" si="6"/>
        <v>4.0406101729503598</v>
      </c>
      <c r="AI29" s="27">
        <f t="shared" si="16"/>
        <v>14.612546125461254</v>
      </c>
      <c r="AJ29" s="27"/>
      <c r="AK29" s="22">
        <v>27</v>
      </c>
      <c r="AL29" s="23">
        <v>3276</v>
      </c>
      <c r="AM29" s="23">
        <v>889.2</v>
      </c>
      <c r="AN29" s="17">
        <f t="shared" si="7"/>
        <v>13.850467289719626</v>
      </c>
      <c r="AO29" s="27">
        <f t="shared" si="17"/>
        <v>27.142857142857142</v>
      </c>
      <c r="AP29" s="27"/>
      <c r="AQ29" s="22">
        <v>27</v>
      </c>
      <c r="AR29" s="23">
        <v>323500</v>
      </c>
      <c r="AS29" s="23">
        <v>65320</v>
      </c>
      <c r="AT29" s="6">
        <f t="shared" si="8"/>
        <v>2268.0555555555557</v>
      </c>
      <c r="AU29" s="27">
        <f t="shared" si="9"/>
        <v>20.191653786707882</v>
      </c>
      <c r="AV29" s="27"/>
      <c r="AW29" s="22">
        <v>27</v>
      </c>
      <c r="AX29" s="23">
        <v>2863</v>
      </c>
      <c r="AY29" s="23">
        <v>1148</v>
      </c>
      <c r="AZ29" s="6">
        <f t="shared" si="10"/>
        <v>2766.265060240964</v>
      </c>
      <c r="BA29" s="27">
        <f t="shared" si="11"/>
        <v>40.097799511002442</v>
      </c>
      <c r="BB29" s="27"/>
    </row>
    <row r="30" spans="1:62" x14ac:dyDescent="0.25">
      <c r="A30" s="28">
        <v>28</v>
      </c>
      <c r="B30" s="3">
        <v>32760000000</v>
      </c>
      <c r="C30" s="3">
        <v>2889000000</v>
      </c>
      <c r="D30" s="4">
        <f t="shared" si="1"/>
        <v>187.69490644490642</v>
      </c>
      <c r="E30" s="27">
        <f t="shared" si="12"/>
        <v>8.8186813186813193</v>
      </c>
      <c r="F30" s="27"/>
      <c r="G30" s="28">
        <v>28</v>
      </c>
      <c r="H30" s="3">
        <v>134400000</v>
      </c>
      <c r="I30" s="3">
        <v>106500000</v>
      </c>
      <c r="J30" s="4">
        <f t="shared" si="2"/>
        <v>644.28312159709617</v>
      </c>
      <c r="K30" s="27">
        <f t="shared" si="3"/>
        <v>79.241071428571431</v>
      </c>
      <c r="M30" s="28">
        <v>28</v>
      </c>
      <c r="N30" s="3">
        <v>89570000000</v>
      </c>
      <c r="O30" s="3">
        <v>5315000000</v>
      </c>
      <c r="P30" s="4">
        <f t="shared" si="4"/>
        <v>423.33731581043406</v>
      </c>
      <c r="Q30" s="27">
        <f t="shared" si="13"/>
        <v>5.9339064418890253</v>
      </c>
      <c r="R30" s="27"/>
      <c r="S30" s="28">
        <v>28</v>
      </c>
      <c r="T30" s="3">
        <v>2854000</v>
      </c>
      <c r="U30" s="3">
        <v>431900</v>
      </c>
      <c r="V30" s="17">
        <f t="shared" si="5"/>
        <v>5.3512575888985259</v>
      </c>
      <c r="W30" s="27">
        <f t="shared" si="14"/>
        <v>15.133146461107218</v>
      </c>
      <c r="X30" s="27"/>
      <c r="Y30" s="22">
        <v>28</v>
      </c>
      <c r="Z30" s="48">
        <v>2778714</v>
      </c>
      <c r="AA30" s="48">
        <v>258459.43799999999</v>
      </c>
      <c r="AB30" s="17">
        <f t="shared" si="15"/>
        <v>2.24162565481353</v>
      </c>
      <c r="AC30" s="46">
        <v>9.3014046500000003</v>
      </c>
      <c r="AD30" s="46"/>
      <c r="AE30" s="28">
        <v>28</v>
      </c>
      <c r="AF30" s="3">
        <v>4930000</v>
      </c>
      <c r="AG30" s="3">
        <v>776700</v>
      </c>
      <c r="AH30" s="17">
        <f t="shared" si="6"/>
        <v>3.9625529309729099</v>
      </c>
      <c r="AI30" s="27">
        <f t="shared" si="16"/>
        <v>15.754563894523326</v>
      </c>
      <c r="AJ30" s="27"/>
      <c r="AK30" s="22">
        <v>28</v>
      </c>
      <c r="AL30" s="23">
        <v>3629</v>
      </c>
      <c r="AM30" s="23">
        <v>772</v>
      </c>
      <c r="AN30" s="17">
        <f t="shared" si="7"/>
        <v>12.024922118380061</v>
      </c>
      <c r="AO30" s="27">
        <f t="shared" si="17"/>
        <v>21.273077982915403</v>
      </c>
      <c r="AP30" s="27"/>
      <c r="AQ30" s="22">
        <v>28</v>
      </c>
      <c r="AR30" s="23">
        <v>331900</v>
      </c>
      <c r="AS30" s="23">
        <v>59920</v>
      </c>
      <c r="AT30" s="6">
        <f t="shared" si="8"/>
        <v>2080.5555555555557</v>
      </c>
      <c r="AU30" s="27">
        <f t="shared" si="9"/>
        <v>18.053630611630009</v>
      </c>
      <c r="AV30" s="27"/>
      <c r="AW30" s="22">
        <v>28</v>
      </c>
      <c r="AX30" s="23">
        <v>3462</v>
      </c>
      <c r="AY30" s="23">
        <v>567.1</v>
      </c>
      <c r="AZ30" s="6">
        <f t="shared" si="10"/>
        <v>1366.5060240963855</v>
      </c>
      <c r="BA30" s="27">
        <f t="shared" si="11"/>
        <v>16.380704794916234</v>
      </c>
      <c r="BB30" s="27"/>
    </row>
    <row r="31" spans="1:62" x14ac:dyDescent="0.25">
      <c r="A31" s="28">
        <v>29</v>
      </c>
      <c r="B31" s="3">
        <v>36190000000</v>
      </c>
      <c r="C31" s="3">
        <v>2763000000</v>
      </c>
      <c r="D31" s="4">
        <f t="shared" si="1"/>
        <v>179.50883575883574</v>
      </c>
      <c r="E31" s="27">
        <f t="shared" si="12"/>
        <v>7.6347057198121027</v>
      </c>
      <c r="F31" s="27"/>
      <c r="G31" s="28">
        <v>29</v>
      </c>
      <c r="H31" s="3">
        <v>136200000</v>
      </c>
      <c r="I31" s="3">
        <v>110600000</v>
      </c>
      <c r="J31" s="4">
        <f t="shared" si="2"/>
        <v>669.0865093768906</v>
      </c>
      <c r="K31" s="27">
        <f t="shared" si="3"/>
        <v>81.204111600587368</v>
      </c>
      <c r="M31" s="28">
        <v>29</v>
      </c>
      <c r="N31" s="3">
        <v>91440000000</v>
      </c>
      <c r="O31" s="3">
        <v>5188000000</v>
      </c>
      <c r="P31" s="4">
        <f t="shared" si="4"/>
        <v>413.22182397451218</v>
      </c>
      <c r="Q31" s="27">
        <f t="shared" si="13"/>
        <v>5.6736657917760276</v>
      </c>
      <c r="R31" s="27"/>
      <c r="S31" s="28">
        <v>29</v>
      </c>
      <c r="T31" s="3">
        <v>2714000</v>
      </c>
      <c r="U31" s="3">
        <v>351700</v>
      </c>
      <c r="V31" s="17">
        <f t="shared" si="5"/>
        <v>4.3575765084871767</v>
      </c>
      <c r="W31" s="27">
        <f t="shared" si="14"/>
        <v>12.958732498157701</v>
      </c>
      <c r="X31" s="27"/>
      <c r="Y31" s="22">
        <v>29</v>
      </c>
      <c r="Z31" s="48">
        <v>2896946</v>
      </c>
      <c r="AA31" s="48">
        <v>253964.78099999999</v>
      </c>
      <c r="AB31" s="17">
        <f t="shared" si="15"/>
        <v>2.2026433738074589</v>
      </c>
      <c r="AC31" s="46">
        <v>8.7666384900000001</v>
      </c>
      <c r="AD31" s="46"/>
      <c r="AE31" s="28">
        <v>29</v>
      </c>
      <c r="AF31" s="3">
        <v>5294000</v>
      </c>
      <c r="AG31" s="3">
        <v>776100</v>
      </c>
      <c r="AH31" s="17">
        <f t="shared" si="6"/>
        <v>3.9594918626600686</v>
      </c>
      <c r="AI31" s="27">
        <f t="shared" si="16"/>
        <v>14.65999244427654</v>
      </c>
      <c r="AJ31" s="27"/>
      <c r="AK31" s="22">
        <v>29</v>
      </c>
      <c r="AL31" s="23">
        <v>3693</v>
      </c>
      <c r="AM31" s="23">
        <v>782.1</v>
      </c>
      <c r="AN31" s="17">
        <f t="shared" si="7"/>
        <v>12.182242990654204</v>
      </c>
      <c r="AO31" s="27">
        <f t="shared" si="17"/>
        <v>21.177904142973194</v>
      </c>
      <c r="AP31" s="27"/>
      <c r="AQ31" s="22">
        <v>29</v>
      </c>
      <c r="AR31" s="23">
        <v>333300</v>
      </c>
      <c r="AS31" s="23">
        <v>65280</v>
      </c>
      <c r="AT31" s="6">
        <f t="shared" si="8"/>
        <v>2266.666666666667</v>
      </c>
      <c r="AU31" s="27">
        <f t="shared" si="9"/>
        <v>19.585958595859587</v>
      </c>
      <c r="AV31" s="27"/>
      <c r="AW31" s="22">
        <v>29</v>
      </c>
      <c r="AX31" s="23">
        <v>2837</v>
      </c>
      <c r="AY31" s="23">
        <v>1294</v>
      </c>
      <c r="AZ31" s="6">
        <f t="shared" si="10"/>
        <v>3118.0722891566265</v>
      </c>
      <c r="BA31" s="27">
        <f t="shared" si="11"/>
        <v>45.61156150863588</v>
      </c>
      <c r="BB31" s="27"/>
    </row>
    <row r="32" spans="1:62" x14ac:dyDescent="0.25">
      <c r="A32" s="28">
        <v>30</v>
      </c>
      <c r="B32" s="3">
        <v>32430000000</v>
      </c>
      <c r="C32" s="3">
        <v>3110000000</v>
      </c>
      <c r="D32" s="4">
        <f t="shared" si="1"/>
        <v>202.05301455301455</v>
      </c>
      <c r="E32" s="27">
        <f t="shared" si="12"/>
        <v>9.5898859081097747</v>
      </c>
      <c r="F32" s="27"/>
      <c r="G32" s="28">
        <v>30</v>
      </c>
      <c r="H32" s="3">
        <v>140700000</v>
      </c>
      <c r="I32" s="3">
        <v>113200000</v>
      </c>
      <c r="J32" s="4">
        <f t="shared" si="2"/>
        <v>684.81548699334553</v>
      </c>
      <c r="K32" s="27">
        <f t="shared" si="3"/>
        <v>80.454868514570009</v>
      </c>
      <c r="M32" s="28">
        <v>30</v>
      </c>
      <c r="N32" s="3">
        <v>85650000000</v>
      </c>
      <c r="O32" s="3">
        <v>5586000000</v>
      </c>
      <c r="P32" s="4">
        <f t="shared" si="4"/>
        <v>444.92234169653528</v>
      </c>
      <c r="Q32" s="27">
        <f t="shared" si="13"/>
        <v>6.5218914185639232</v>
      </c>
      <c r="R32" s="27"/>
      <c r="S32" s="28">
        <v>30</v>
      </c>
      <c r="T32" s="3">
        <v>2463000</v>
      </c>
      <c r="U32" s="3">
        <v>463600</v>
      </c>
      <c r="V32" s="17">
        <f t="shared" si="5"/>
        <v>5.7440218064676012</v>
      </c>
      <c r="W32" s="27">
        <f t="shared" si="14"/>
        <v>18.822574096630127</v>
      </c>
      <c r="X32" s="27"/>
      <c r="Y32" s="22">
        <v>30</v>
      </c>
      <c r="Z32" s="48">
        <v>2529912.5</v>
      </c>
      <c r="AA32" s="48">
        <v>287382</v>
      </c>
      <c r="AB32" s="17">
        <f t="shared" si="15"/>
        <v>2.4924718126626195</v>
      </c>
      <c r="AC32" s="46">
        <v>11.3593653</v>
      </c>
      <c r="AD32" s="46"/>
      <c r="AE32" s="28">
        <v>30</v>
      </c>
      <c r="AF32" s="3">
        <v>6050000</v>
      </c>
      <c r="AG32" s="3">
        <v>671200</v>
      </c>
      <c r="AH32" s="17">
        <f t="shared" si="6"/>
        <v>3.4243150859650018</v>
      </c>
      <c r="AI32" s="27">
        <f t="shared" si="16"/>
        <v>11.094214876033059</v>
      </c>
      <c r="AJ32" s="27"/>
      <c r="AK32" s="22">
        <v>30</v>
      </c>
      <c r="AL32" s="23">
        <v>3928</v>
      </c>
      <c r="AM32" s="23">
        <v>996.4</v>
      </c>
      <c r="AN32" s="17">
        <f t="shared" si="7"/>
        <v>15.520249221183798</v>
      </c>
      <c r="AO32" s="27">
        <f t="shared" si="17"/>
        <v>25.366598778004072</v>
      </c>
      <c r="AP32" s="27"/>
      <c r="AQ32" s="22">
        <v>30</v>
      </c>
      <c r="AR32" s="23">
        <v>339200</v>
      </c>
      <c r="AS32" s="23">
        <v>59710</v>
      </c>
      <c r="AT32" s="6">
        <f t="shared" si="8"/>
        <v>2073.2638888888891</v>
      </c>
      <c r="AU32" s="27">
        <f t="shared" si="9"/>
        <v>17.603183962264151</v>
      </c>
      <c r="AV32" s="27"/>
      <c r="AW32" s="22">
        <v>30</v>
      </c>
      <c r="AX32" s="23">
        <v>3012</v>
      </c>
      <c r="AY32" s="23">
        <v>999.3</v>
      </c>
      <c r="AZ32" s="6">
        <f t="shared" si="10"/>
        <v>2407.9518072289152</v>
      </c>
      <c r="BA32" s="27">
        <f t="shared" si="11"/>
        <v>33.177290836653384</v>
      </c>
      <c r="BB32" s="27"/>
    </row>
    <row r="33" spans="1:65" x14ac:dyDescent="0.25">
      <c r="A33" s="28" t="s">
        <v>48</v>
      </c>
      <c r="B33" s="3">
        <f>AVERAGE(B3:B32)</f>
        <v>35688000000</v>
      </c>
      <c r="C33" s="3">
        <f>AVERAGE(C3:C32)</f>
        <v>2877733333.3333335</v>
      </c>
      <c r="D33" s="3">
        <f>AVERAGE(D3:D32)</f>
        <v>186.96292446292449</v>
      </c>
      <c r="E33" s="3">
        <f>AVERAGE(E3:E32)</f>
        <v>8.0903954164202698</v>
      </c>
      <c r="F33" s="27"/>
      <c r="G33" s="28" t="s">
        <v>48</v>
      </c>
      <c r="H33" s="3">
        <f>AVERAGE(H3:H32)</f>
        <v>136420000</v>
      </c>
      <c r="I33" s="3">
        <f>AVERAGE(I3:I32)</f>
        <v>109838666.66666667</v>
      </c>
      <c r="J33" s="3">
        <f>AVERAGE(J3:J32)</f>
        <v>664.48074208509786</v>
      </c>
      <c r="K33" s="3">
        <f>AVERAGE(K3:K32)</f>
        <v>80.538244792429637</v>
      </c>
      <c r="M33" s="28" t="s">
        <v>48</v>
      </c>
      <c r="N33" s="3">
        <f>AVERAGE(N3:N32)</f>
        <v>89659333333.333328</v>
      </c>
      <c r="O33" s="3">
        <f>AVERAGE(O3:O32)</f>
        <v>5250366666.666667</v>
      </c>
      <c r="P33" s="3">
        <f>AVERAGE(P3:P32)</f>
        <v>418.18930041152265</v>
      </c>
      <c r="Q33" s="3">
        <f>AVERAGE(Q3:Q32)</f>
        <v>5.869267686373222</v>
      </c>
      <c r="S33" s="28" t="s">
        <v>48</v>
      </c>
      <c r="T33" s="3">
        <f>AVERAGE(T3:T32)</f>
        <v>2760100</v>
      </c>
      <c r="U33" s="3">
        <f>AVERAGE(U3:U32)</f>
        <v>404563.33333333331</v>
      </c>
      <c r="V33" s="3">
        <f>AVERAGE(V3:V32)</f>
        <v>5.0125552389212409</v>
      </c>
      <c r="W33" s="3">
        <f>AVERAGE(W3:W32)</f>
        <v>14.813062389669538</v>
      </c>
      <c r="Y33" s="48" t="s">
        <v>48</v>
      </c>
      <c r="Z33" s="47">
        <f>AVERAGE(Z3:Z32)</f>
        <v>2664491.5583333331</v>
      </c>
      <c r="AA33" s="47">
        <f>AVERAGE(AA3:AA32)</f>
        <v>302303.93543333339</v>
      </c>
      <c r="AB33" s="47">
        <f>AVERAGE(AB3:AB32)</f>
        <v>2.6218901598727955</v>
      </c>
      <c r="AC33" s="47">
        <f>AVERAGE(AC3:AC32)</f>
        <v>11.485472555333333</v>
      </c>
      <c r="AE33" s="28" t="s">
        <v>48</v>
      </c>
      <c r="AF33" s="3">
        <f>AVERAGE(AF3:AF32)</f>
        <v>5433566.666666667</v>
      </c>
      <c r="AG33" s="3">
        <f>AVERAGE(AG3:AG32)</f>
        <v>735490</v>
      </c>
      <c r="AH33" s="3">
        <f>AVERAGE(AH3:AH32)</f>
        <v>3.7523085556859352</v>
      </c>
      <c r="AI33" s="3">
        <f>AVERAGE(AI3:AI32)</f>
        <v>13.659735466432261</v>
      </c>
      <c r="AJ33" s="6"/>
      <c r="AK33" s="28" t="s">
        <v>48</v>
      </c>
      <c r="AL33" s="3">
        <f>AVERAGE(AL3:AL32)</f>
        <v>3570.1666666666665</v>
      </c>
      <c r="AM33" s="3">
        <f>AVERAGE(AM3:AM32)</f>
        <v>840.65666666666687</v>
      </c>
      <c r="AN33" s="3">
        <f>AVERAGE(AN3:AN32)</f>
        <v>13.094340602284527</v>
      </c>
      <c r="AO33" s="3">
        <f>AVERAGE(AO3:AO32)</f>
        <v>23.512825888070569</v>
      </c>
      <c r="AQ33" s="28" t="s">
        <v>48</v>
      </c>
      <c r="AR33" s="3">
        <f>AVERAGE(AR3:AR32)</f>
        <v>332506.66666666669</v>
      </c>
      <c r="AS33" s="3">
        <f>AVERAGE(AS3:AS32)</f>
        <v>67554</v>
      </c>
      <c r="AT33" s="3">
        <f>AVERAGE(AT3:AT32)</f>
        <v>2345.6250000000005</v>
      </c>
      <c r="AU33" s="3">
        <f>AVERAGE(AU3:AU32)</f>
        <v>20.417620575153002</v>
      </c>
      <c r="AW33" s="28" t="s">
        <v>48</v>
      </c>
      <c r="AX33" s="3">
        <f>AVERAGE(AX3:AX32)</f>
        <v>3057.1666666666665</v>
      </c>
      <c r="AY33" s="3">
        <f>AVERAGE(AY3:AY32)</f>
        <v>888.82333333333349</v>
      </c>
      <c r="AZ33" s="3">
        <f>AVERAGE(AZ3:AZ32)</f>
        <v>2141.7429718875496</v>
      </c>
      <c r="BA33" s="3">
        <f>AVERAGE(BA3:BA32)</f>
        <v>29.731249690086738</v>
      </c>
    </row>
    <row r="34" spans="1:65" x14ac:dyDescent="0.25">
      <c r="A34" s="28" t="s">
        <v>47</v>
      </c>
      <c r="B34" s="3">
        <f>_xlfn.STDEV.S(B3:B33)</f>
        <v>1718387616.3427155</v>
      </c>
      <c r="C34" s="3">
        <f>_xlfn.STDEV.S(C3:C33)</f>
        <v>131754046.95450114</v>
      </c>
      <c r="D34" s="3">
        <f>_xlfn.STDEV.S(D3:D33)</f>
        <v>8.5599042979795446</v>
      </c>
      <c r="E34" s="3">
        <f>_xlfn.STDEV.S(E3:E33)</f>
        <v>0.64837670521652202</v>
      </c>
      <c r="F34" s="27"/>
      <c r="G34" s="28" t="s">
        <v>47</v>
      </c>
      <c r="H34" s="3">
        <f>_xlfn.STDEV.S(H3:H32)</f>
        <v>5762327.116114066</v>
      </c>
      <c r="I34" s="3">
        <f>_xlfn.STDEV.S(I3:I32)</f>
        <v>4113479.7194466451</v>
      </c>
      <c r="J34" s="3">
        <f>_xlfn.STDEV.S(J3:J32)</f>
        <v>24.884934781891396</v>
      </c>
      <c r="K34" s="3">
        <f>_xlfn.STDEV.S(K3:K32)</f>
        <v>1.1661817713063194</v>
      </c>
      <c r="M34" s="28" t="s">
        <v>47</v>
      </c>
      <c r="N34" s="3">
        <f>_xlfn.STDEV.S(N3:N32)</f>
        <v>3744607095.3907266</v>
      </c>
      <c r="O34" s="3">
        <f>_xlfn.STDEV.S(O3:O32)</f>
        <v>253016216.37184924</v>
      </c>
      <c r="P34" s="3">
        <f>_xlfn.STDEV.S(P3:P32)</f>
        <v>20.152625756419695</v>
      </c>
      <c r="Q34" s="3">
        <f>_xlfn.STDEV.S(Q3:Q32)</f>
        <v>0.42781330005448281</v>
      </c>
      <c r="S34" s="28" t="s">
        <v>47</v>
      </c>
      <c r="T34" s="3">
        <f>_xlfn.STDEV.S(T3:T32)</f>
        <v>258687.31624532133</v>
      </c>
      <c r="U34" s="3">
        <f>_xlfn.STDEV.S(U3:U32)</f>
        <v>99427.369032091417</v>
      </c>
      <c r="V34" s="3">
        <f>_xlfn.STDEV.S(V3:V32)</f>
        <v>1.231908921225267</v>
      </c>
      <c r="W34" s="3">
        <f>_xlfn.STDEV.S(W3:W32)</f>
        <v>4.2115048587139343</v>
      </c>
      <c r="Y34" s="48" t="s">
        <v>47</v>
      </c>
      <c r="Z34" s="47">
        <f>_xlfn.STDEV.S(Z3:Z32)</f>
        <v>220705.49833853415</v>
      </c>
      <c r="AA34" s="47">
        <f>_xlfn.STDEV.S(AA3:AA32)</f>
        <v>52487.350494438666</v>
      </c>
      <c r="AB34" s="47">
        <f>_xlfn.STDEV.S(AB3:AB32)</f>
        <v>0.45522420203329861</v>
      </c>
      <c r="AC34" s="47">
        <f>_xlfn.STDEV.S(AC3:AC32)</f>
        <v>2.4729726756946082</v>
      </c>
      <c r="AE34" s="28" t="s">
        <v>47</v>
      </c>
      <c r="AF34" s="3">
        <f>_xlfn.STDEV.S(AF3:AF32)</f>
        <v>377971.3256167798</v>
      </c>
      <c r="AG34" s="3">
        <f>_xlfn.STDEV.S(AG3:AG32)</f>
        <v>82927.106961267593</v>
      </c>
      <c r="AH34" s="3">
        <f>_xlfn.STDEV.S(AH3:AH32)</f>
        <v>0.42307589899120407</v>
      </c>
      <c r="AI34" s="3">
        <f>_xlfn.STDEV.S(AI3:AI32)</f>
        <v>2.2423848374653468</v>
      </c>
      <c r="AK34" s="28" t="s">
        <v>47</v>
      </c>
      <c r="AL34" s="3">
        <f>_xlfn.STDEV.S(AL3:AL32)</f>
        <v>238.18047103322553</v>
      </c>
      <c r="AM34" s="3">
        <f>_xlfn.STDEV.S(AM3:AM32)</f>
        <v>115.87806219837435</v>
      </c>
      <c r="AN34" s="3">
        <f>_xlfn.STDEV.S(AN3:AN32)</f>
        <v>1.8049542398500811</v>
      </c>
      <c r="AO34" s="3">
        <f>_xlfn.STDEV.S(AO3:AO32)</f>
        <v>2.6173834523470161</v>
      </c>
      <c r="AQ34" s="28" t="s">
        <v>47</v>
      </c>
      <c r="AR34" s="3">
        <f>_xlfn.STDEV.S(AR3:AR32)</f>
        <v>15074.137096212249</v>
      </c>
      <c r="AS34" s="3">
        <f>_xlfn.STDEV.S(AS3:AS32)</f>
        <v>7605.727696486606</v>
      </c>
      <c r="AT34" s="3">
        <f>_xlfn.STDEV.S(AT3:AT32)</f>
        <v>264.08776723911353</v>
      </c>
      <c r="AU34" s="3">
        <f>_xlfn.STDEV.S(AU3:AU32)</f>
        <v>2.9832276704103218</v>
      </c>
      <c r="AW34" s="28" t="s">
        <v>47</v>
      </c>
      <c r="AX34" s="3">
        <f>_xlfn.STDEV.S(AX3:AX32)</f>
        <v>390.92305295714402</v>
      </c>
      <c r="AY34" s="3">
        <f>_xlfn.STDEV.S(AY3:AY32)</f>
        <v>224.31443399578657</v>
      </c>
      <c r="AZ34" s="3">
        <f>_xlfn.STDEV.S(AZ3:AZ32)</f>
        <v>540.51670842358749</v>
      </c>
      <c r="BA34" s="3">
        <f>_xlfn.STDEV.S(BA3:BA32)</f>
        <v>8.8788348181089294</v>
      </c>
    </row>
    <row r="35" spans="1:65" x14ac:dyDescent="0.25">
      <c r="F35" s="27"/>
      <c r="H35" s="3"/>
      <c r="I35" s="3"/>
      <c r="J35" s="4"/>
      <c r="K35" s="4"/>
      <c r="T35" s="3"/>
      <c r="U35" s="3"/>
      <c r="AY35" s="3"/>
    </row>
    <row r="36" spans="1:65" x14ac:dyDescent="0.25">
      <c r="F36" s="27"/>
      <c r="H36" s="3"/>
      <c r="I36" s="3"/>
      <c r="J36" s="4"/>
      <c r="K36" s="4"/>
      <c r="T36" s="3"/>
      <c r="U36" s="3"/>
      <c r="AY36" s="3"/>
    </row>
    <row r="37" spans="1:65" x14ac:dyDescent="0.25">
      <c r="F37" s="27"/>
      <c r="G37" s="50"/>
      <c r="H37" s="49"/>
      <c r="I37" s="49"/>
      <c r="J37" s="49"/>
      <c r="K37" s="49"/>
      <c r="T37" s="3">
        <v>2.5000000000000001E-2</v>
      </c>
      <c r="U37" s="3">
        <f>1-T37</f>
        <v>0.97499999999999998</v>
      </c>
      <c r="AF37" s="48"/>
      <c r="AG37" s="48"/>
      <c r="AH37" s="48"/>
      <c r="AY37" s="3"/>
    </row>
    <row r="38" spans="1:65" x14ac:dyDescent="0.25">
      <c r="F38" s="27"/>
      <c r="G38" s="50"/>
      <c r="H38" s="49"/>
      <c r="I38" s="49"/>
      <c r="J38" s="49"/>
      <c r="K38" s="49"/>
      <c r="T38" s="119" t="s">
        <v>54</v>
      </c>
      <c r="U38" s="119"/>
      <c r="AF38" s="48"/>
      <c r="AG38" s="48"/>
      <c r="AH38" s="48"/>
      <c r="AY38" s="3"/>
      <c r="BM38" s="96"/>
    </row>
    <row r="39" spans="1:65" x14ac:dyDescent="0.25">
      <c r="F39" s="27"/>
      <c r="H39" s="3"/>
      <c r="I39" s="3"/>
      <c r="J39" s="4"/>
      <c r="K39" s="4"/>
      <c r="S39" s="45" t="s">
        <v>8</v>
      </c>
      <c r="T39" s="3" t="s">
        <v>49</v>
      </c>
      <c r="U39" s="3" t="s">
        <v>50</v>
      </c>
      <c r="AF39" s="48"/>
      <c r="AG39" s="48"/>
      <c r="AH39" s="48"/>
      <c r="AY39" s="3"/>
    </row>
    <row r="40" spans="1:65" x14ac:dyDescent="0.25">
      <c r="F40" s="27"/>
      <c r="H40" s="3"/>
      <c r="I40" s="3"/>
      <c r="J40" s="4"/>
      <c r="R40" s="35" t="s">
        <v>4</v>
      </c>
      <c r="S40" s="40">
        <v>704</v>
      </c>
      <c r="T40" s="6">
        <f>_xlfn.NORM.INV($T$37,J33,J34)</f>
        <v>615.70716615496258</v>
      </c>
      <c r="U40" s="4">
        <f>_xlfn.NORM.INV($U$37,J33,J34)</f>
        <v>713.25431801523314</v>
      </c>
      <c r="V40" s="28" t="str">
        <f>IF(AND(S40&gt;=T40,S40&lt;=U40),"in","out")</f>
        <v>in</v>
      </c>
      <c r="AF40" s="48"/>
      <c r="AG40" s="48"/>
      <c r="AH40" s="48"/>
      <c r="AY40" s="3"/>
    </row>
    <row r="41" spans="1:65" x14ac:dyDescent="0.25">
      <c r="F41" s="27"/>
      <c r="H41" s="3"/>
      <c r="I41" s="3"/>
      <c r="J41" s="4"/>
      <c r="K41" s="4"/>
      <c r="R41" s="31" t="s">
        <v>5</v>
      </c>
      <c r="S41" s="32">
        <v>233</v>
      </c>
      <c r="T41" s="6">
        <f>_xlfn.NORM.INV($T$37,D33,D34)</f>
        <v>170.18582032777496</v>
      </c>
      <c r="U41" s="4">
        <f>_xlfn.NORM.INV($U$37,D33,D34)</f>
        <v>203.74002859807402</v>
      </c>
      <c r="V41" s="28" t="str">
        <f t="shared" ref="V41:V50" si="19">IF(AND(S41&gt;=T41,S41&lt;=U41),"in","out")</f>
        <v>out</v>
      </c>
      <c r="AF41" s="48"/>
      <c r="AG41" s="48"/>
      <c r="AH41" s="48"/>
      <c r="AY41" s="3"/>
    </row>
    <row r="42" spans="1:65" x14ac:dyDescent="0.25">
      <c r="F42" s="27"/>
      <c r="H42" s="3"/>
      <c r="I42" s="3"/>
      <c r="J42" s="4"/>
      <c r="K42" s="4"/>
      <c r="R42" s="35" t="s">
        <v>7</v>
      </c>
      <c r="S42" s="40">
        <v>164</v>
      </c>
      <c r="T42" s="6">
        <f>_xlfn.NORM.INV($T$37,P33,P34)</f>
        <v>378.69087973502576</v>
      </c>
      <c r="U42" s="6">
        <f>_xlfn.NORM.INV($U$37,P33,P34)</f>
        <v>457.68772108801949</v>
      </c>
      <c r="V42" s="28" t="str">
        <f t="shared" si="19"/>
        <v>out</v>
      </c>
      <c r="AF42" s="48"/>
      <c r="AG42" s="48"/>
      <c r="AH42" s="48"/>
      <c r="AY42" s="3"/>
    </row>
    <row r="43" spans="1:65" x14ac:dyDescent="0.25">
      <c r="F43" s="27"/>
      <c r="H43" s="3"/>
      <c r="I43" s="3"/>
      <c r="J43" s="4"/>
      <c r="K43" s="4"/>
      <c r="R43" s="31" t="s">
        <v>38</v>
      </c>
      <c r="S43" s="33">
        <v>3.9780000000000002</v>
      </c>
      <c r="T43" s="6">
        <f>_xlfn.NORM.INV($T$37,V33,V34)</f>
        <v>2.5980581210861273</v>
      </c>
      <c r="U43" s="6">
        <f>_xlfn.NORM.INV($U$37,V33,V34)</f>
        <v>7.427052356756354</v>
      </c>
      <c r="V43" s="28" t="str">
        <f t="shared" si="19"/>
        <v>in</v>
      </c>
      <c r="AF43" s="48"/>
      <c r="AG43" s="48"/>
      <c r="AH43" s="48"/>
      <c r="AY43" s="3"/>
    </row>
    <row r="44" spans="1:65" x14ac:dyDescent="0.25">
      <c r="F44" s="27"/>
      <c r="H44" s="3"/>
      <c r="I44" s="3"/>
      <c r="J44" s="4"/>
      <c r="K44" s="4"/>
      <c r="R44" s="35" t="s">
        <v>42</v>
      </c>
      <c r="S44" s="42">
        <v>3.9780000000000002</v>
      </c>
      <c r="T44" s="6">
        <f>(T45*17-T43*7)/10</f>
        <v>3.1506208678313685</v>
      </c>
      <c r="U44" s="6">
        <f>(U45*17-U43*7)/10</f>
        <v>2.5896508870110742</v>
      </c>
      <c r="V44" s="28" t="str">
        <f t="shared" si="19"/>
        <v>out</v>
      </c>
      <c r="AF44" s="48"/>
      <c r="AG44" s="48"/>
      <c r="AH44" s="48"/>
      <c r="AY44" s="3"/>
    </row>
    <row r="45" spans="1:65" x14ac:dyDescent="0.25">
      <c r="F45" s="27"/>
      <c r="H45" s="3"/>
      <c r="I45" s="3"/>
      <c r="J45" s="4"/>
      <c r="K45" s="4"/>
      <c r="R45" s="31" t="s">
        <v>40</v>
      </c>
      <c r="S45" s="29">
        <v>3.9780000000000002</v>
      </c>
      <c r="T45" s="6">
        <f>_xlfn.NORM.INV($T$37,AH33,AH34)</f>
        <v>2.9230950309362695</v>
      </c>
      <c r="U45" s="6">
        <f>_xlfn.NORM.INV($U$37,AH33,AH34)</f>
        <v>4.5815220804356009</v>
      </c>
      <c r="V45" s="28" t="str">
        <f t="shared" si="19"/>
        <v>in</v>
      </c>
      <c r="AF45" s="48"/>
      <c r="AG45" s="48"/>
      <c r="AH45" s="48"/>
      <c r="AY45" s="3"/>
    </row>
    <row r="46" spans="1:65" x14ac:dyDescent="0.25">
      <c r="F46" s="27"/>
      <c r="H46" s="3"/>
      <c r="I46" s="3"/>
      <c r="J46" s="4"/>
      <c r="K46" s="4"/>
      <c r="R46" s="35" t="s">
        <v>31</v>
      </c>
      <c r="S46" s="41">
        <v>16.96105919003115</v>
      </c>
      <c r="T46" s="6">
        <f>_xlfn.NORM.INV($T$37,AN33,AN34)</f>
        <v>9.556695298435498</v>
      </c>
      <c r="U46" s="6">
        <f>_xlfn.NORM.INV($T$37,AO33,AO34)</f>
        <v>18.382848587739311</v>
      </c>
      <c r="V46" s="28" t="str">
        <f>IF(AND(S46&gt;=T46,S46&lt;=U46),"in","out")</f>
        <v>in</v>
      </c>
      <c r="AF46" s="48"/>
      <c r="AG46" s="48"/>
      <c r="AH46" s="48"/>
      <c r="AY46" s="3"/>
    </row>
    <row r="47" spans="1:65" x14ac:dyDescent="0.25">
      <c r="F47" s="27"/>
      <c r="H47" s="3"/>
      <c r="I47" s="3"/>
      <c r="J47" s="4"/>
      <c r="K47" s="4"/>
      <c r="R47" s="31" t="s">
        <v>32</v>
      </c>
      <c r="S47" s="33">
        <v>3857.2118055555561</v>
      </c>
      <c r="T47" s="6">
        <f>_xlfn.NORM.INV($T$37,AT33,AT34)</f>
        <v>1828.0224874537412</v>
      </c>
      <c r="U47" s="6">
        <f>_xlfn.NORM.INV($U$37,AT33,AT34)</f>
        <v>2863.2275125462597</v>
      </c>
      <c r="V47" s="28" t="str">
        <f t="shared" si="19"/>
        <v>out</v>
      </c>
      <c r="AF47" s="48"/>
      <c r="AG47" s="48"/>
      <c r="AH47" s="30"/>
      <c r="AY47" s="3"/>
    </row>
    <row r="48" spans="1:65" x14ac:dyDescent="0.25">
      <c r="F48" s="27"/>
      <c r="H48" s="3"/>
      <c r="I48" s="3"/>
      <c r="J48" s="4"/>
      <c r="K48" s="4"/>
      <c r="R48" s="36" t="s">
        <v>35</v>
      </c>
      <c r="S48" s="43">
        <v>3857.2118055555561</v>
      </c>
      <c r="T48" s="6">
        <f>_xlfn.NORM.INV($T$37,BG10,AT34)</f>
        <v>2586.5294318981855</v>
      </c>
      <c r="U48" s="6">
        <f>_xlfn.NORM.INV($U$37,BG10,AT34)</f>
        <v>3621.7344569907041</v>
      </c>
      <c r="V48" s="28" t="str">
        <f t="shared" si="19"/>
        <v>out</v>
      </c>
      <c r="AF48" s="48"/>
      <c r="AG48" s="48"/>
      <c r="AH48" s="30"/>
      <c r="AY48" s="3"/>
    </row>
    <row r="49" spans="6:57" x14ac:dyDescent="0.25">
      <c r="F49" s="27"/>
      <c r="H49" s="3"/>
      <c r="I49" s="3"/>
      <c r="J49" s="4"/>
      <c r="K49" s="4"/>
      <c r="R49" s="31" t="s">
        <v>36</v>
      </c>
      <c r="S49" s="33">
        <v>2517.8313253012047</v>
      </c>
      <c r="T49" s="6">
        <f>_xlfn.NORM.INV($T$37,AZ33,AZ34)</f>
        <v>1082.3496903351806</v>
      </c>
      <c r="U49" s="6">
        <f>_xlfn.NORM.INV($U$37,AZ33,AZ34)</f>
        <v>3201.1362534399186</v>
      </c>
      <c r="V49" s="28" t="str">
        <f t="shared" si="19"/>
        <v>in</v>
      </c>
      <c r="AF49" s="48"/>
      <c r="AG49" s="48"/>
      <c r="AH49" s="30"/>
      <c r="AY49" s="3"/>
    </row>
    <row r="50" spans="6:57" x14ac:dyDescent="0.25">
      <c r="F50" s="27"/>
      <c r="H50" s="3"/>
      <c r="I50" s="3"/>
      <c r="J50" s="4"/>
      <c r="K50" s="4"/>
      <c r="R50" s="37" t="s">
        <v>43</v>
      </c>
      <c r="S50" s="44">
        <v>2517.8313253012047</v>
      </c>
      <c r="T50" s="6">
        <f>_xlfn.NORM.INV($T$37,BG12,AZ34)</f>
        <v>1303.0484855159034</v>
      </c>
      <c r="U50" s="6">
        <f>_xlfn.NORM.INV($U$37,BG12,AZ34)</f>
        <v>3421.8350486206414</v>
      </c>
      <c r="V50" s="28" t="str">
        <f t="shared" si="19"/>
        <v>in</v>
      </c>
      <c r="AF50" s="48"/>
      <c r="AG50" s="48"/>
      <c r="AH50" s="48"/>
      <c r="AY50" s="3"/>
      <c r="BE50" s="102"/>
    </row>
    <row r="51" spans="6:57" x14ac:dyDescent="0.25">
      <c r="F51" s="27"/>
      <c r="H51" s="3"/>
      <c r="I51" s="3"/>
      <c r="J51" s="4"/>
      <c r="K51" s="4"/>
      <c r="T51" s="3"/>
      <c r="U51" s="3"/>
      <c r="AF51" s="48"/>
      <c r="AG51" s="48"/>
      <c r="AH51" s="48"/>
      <c r="AY51" s="3"/>
    </row>
    <row r="52" spans="6:57" x14ac:dyDescent="0.25">
      <c r="F52" s="27"/>
      <c r="H52" s="3"/>
      <c r="I52" s="3"/>
      <c r="J52" s="4"/>
      <c r="K52" s="4"/>
      <c r="T52" s="3"/>
      <c r="U52" s="3"/>
      <c r="AF52" s="48"/>
      <c r="AG52" s="48"/>
      <c r="AH52" s="48"/>
      <c r="AY52" s="3"/>
    </row>
    <row r="53" spans="6:57" x14ac:dyDescent="0.25">
      <c r="F53" s="27"/>
      <c r="H53" s="3"/>
      <c r="I53" s="3"/>
      <c r="J53" s="4"/>
      <c r="K53" s="4"/>
      <c r="T53" s="3"/>
      <c r="U53" s="3"/>
      <c r="AF53" s="48"/>
      <c r="AG53" s="48"/>
      <c r="AH53" s="48"/>
      <c r="AY53" s="3"/>
    </row>
    <row r="54" spans="6:57" x14ac:dyDescent="0.25">
      <c r="F54" s="27"/>
      <c r="H54" s="3"/>
      <c r="I54" s="3"/>
      <c r="J54" s="4"/>
      <c r="K54" s="4"/>
      <c r="T54" s="3"/>
      <c r="U54" s="3"/>
      <c r="AF54" s="48"/>
      <c r="AG54" s="48"/>
      <c r="AH54" s="48"/>
      <c r="AY54" s="3"/>
    </row>
    <row r="55" spans="6:57" x14ac:dyDescent="0.25">
      <c r="F55" s="27"/>
      <c r="H55" s="3"/>
      <c r="I55" s="3"/>
      <c r="J55" s="4"/>
      <c r="K55" s="4"/>
      <c r="T55" s="3"/>
      <c r="U55" s="3"/>
      <c r="AF55" s="48"/>
      <c r="AG55" s="48"/>
      <c r="AH55" s="48"/>
      <c r="AY55" s="3"/>
    </row>
    <row r="56" spans="6:57" x14ac:dyDescent="0.25">
      <c r="F56" s="27"/>
      <c r="H56" s="3"/>
      <c r="I56" s="3"/>
      <c r="J56" s="4"/>
      <c r="K56" s="4"/>
      <c r="T56" s="3"/>
      <c r="U56" s="3"/>
      <c r="AF56" s="48"/>
      <c r="AG56" s="48"/>
      <c r="AH56" s="48"/>
      <c r="AY56" s="3"/>
    </row>
    <row r="57" spans="6:57" x14ac:dyDescent="0.25">
      <c r="F57" s="27"/>
      <c r="H57" s="3"/>
      <c r="I57" s="3"/>
      <c r="J57" s="4"/>
      <c r="K57" s="4"/>
      <c r="T57" s="3"/>
      <c r="U57" s="3"/>
      <c r="AF57" s="48"/>
      <c r="AG57" s="48"/>
      <c r="AH57" s="48"/>
      <c r="AY57" s="3"/>
    </row>
    <row r="58" spans="6:57" x14ac:dyDescent="0.25">
      <c r="F58" s="27"/>
      <c r="H58" s="3"/>
      <c r="I58" s="3"/>
      <c r="J58" s="4"/>
      <c r="K58" s="4"/>
      <c r="T58" s="3"/>
      <c r="U58" s="3"/>
      <c r="AF58" s="48"/>
      <c r="AG58" s="48"/>
      <c r="AH58" s="48"/>
      <c r="AY58" s="3"/>
    </row>
    <row r="59" spans="6:57" x14ac:dyDescent="0.25">
      <c r="F59" s="27"/>
      <c r="H59" s="3"/>
      <c r="I59" s="3"/>
      <c r="J59" s="4"/>
      <c r="K59" s="4"/>
      <c r="T59" s="3"/>
      <c r="U59" s="3"/>
      <c r="AF59" s="48"/>
      <c r="AG59" s="48"/>
      <c r="AH59" s="48"/>
      <c r="AY59" s="3"/>
    </row>
    <row r="60" spans="6:57" x14ac:dyDescent="0.25">
      <c r="F60" s="27"/>
      <c r="H60" s="3"/>
      <c r="I60" s="3"/>
      <c r="J60" s="4"/>
      <c r="K60" s="4"/>
      <c r="T60" s="3"/>
      <c r="U60" s="3"/>
      <c r="AF60" s="48"/>
      <c r="AG60" s="48"/>
      <c r="AH60" s="48"/>
      <c r="AY60" s="3"/>
    </row>
    <row r="61" spans="6:57" x14ac:dyDescent="0.25">
      <c r="F61" s="27"/>
      <c r="H61" s="3"/>
      <c r="I61" s="3"/>
      <c r="J61" s="4"/>
      <c r="K61" s="4"/>
      <c r="T61" s="3"/>
      <c r="U61" s="3"/>
      <c r="AF61" s="48"/>
      <c r="AG61" s="48"/>
      <c r="AH61" s="48"/>
      <c r="AY61" s="3"/>
    </row>
    <row r="62" spans="6:57" x14ac:dyDescent="0.25">
      <c r="F62" s="27"/>
      <c r="H62" s="3"/>
      <c r="I62" s="3"/>
      <c r="J62" s="4"/>
      <c r="K62" s="4"/>
      <c r="T62" s="3"/>
      <c r="U62" s="3"/>
      <c r="AF62" s="48"/>
      <c r="AG62" s="48"/>
      <c r="AH62" s="48"/>
      <c r="AY62" s="3"/>
    </row>
    <row r="63" spans="6:57" x14ac:dyDescent="0.25">
      <c r="T63" s="3"/>
      <c r="U63" s="3"/>
      <c r="AF63" s="48"/>
      <c r="AG63" s="48"/>
      <c r="AH63" s="48"/>
      <c r="AY63" s="3"/>
    </row>
    <row r="64" spans="6:57" x14ac:dyDescent="0.25">
      <c r="T64" s="3"/>
      <c r="U64" s="3"/>
      <c r="AF64" s="48"/>
      <c r="AG64" s="48"/>
      <c r="AH64" s="48"/>
      <c r="AY64" s="3"/>
    </row>
    <row r="65" spans="20:51" x14ac:dyDescent="0.25">
      <c r="T65" s="3"/>
      <c r="U65" s="3"/>
      <c r="AF65" s="48"/>
      <c r="AG65" s="48"/>
      <c r="AH65" s="48"/>
      <c r="AY65" s="3"/>
    </row>
    <row r="66" spans="20:51" x14ac:dyDescent="0.25">
      <c r="AF66" s="48"/>
      <c r="AG66" s="48"/>
      <c r="AH66" s="48"/>
      <c r="AY66" s="3"/>
    </row>
    <row r="67" spans="20:51" x14ac:dyDescent="0.25">
      <c r="AY67" s="3"/>
    </row>
  </sheetData>
  <mergeCells count="10">
    <mergeCell ref="AQ1:AU1"/>
    <mergeCell ref="AW1:BA1"/>
    <mergeCell ref="T38:U38"/>
    <mergeCell ref="A1:E1"/>
    <mergeCell ref="G1:K1"/>
    <mergeCell ref="M1:Q1"/>
    <mergeCell ref="S1:W1"/>
    <mergeCell ref="AE1:AI1"/>
    <mergeCell ref="AK1:AO1"/>
    <mergeCell ref="Y1:AC1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24" sqref="E23:E24"/>
    </sheetView>
  </sheetViews>
  <sheetFormatPr baseColWidth="10" defaultColWidth="9.140625" defaultRowHeight="15" x14ac:dyDescent="0.25"/>
  <cols>
    <col min="2" max="2" width="13.85546875" bestFit="1" customWidth="1"/>
  </cols>
  <sheetData>
    <row r="1" spans="2:5" x14ac:dyDescent="0.25">
      <c r="B1" t="s">
        <v>62</v>
      </c>
      <c r="C1" t="s">
        <v>55</v>
      </c>
      <c r="D1" t="s">
        <v>61</v>
      </c>
      <c r="E1" t="s">
        <v>56</v>
      </c>
    </row>
    <row r="2" spans="2:5" x14ac:dyDescent="0.25">
      <c r="B2" s="63" t="s">
        <v>4</v>
      </c>
      <c r="C2">
        <v>70</v>
      </c>
      <c r="D2">
        <v>2.5</v>
      </c>
      <c r="E2" t="s">
        <v>57</v>
      </c>
    </row>
    <row r="3" spans="2:5" x14ac:dyDescent="0.25">
      <c r="B3" s="63" t="s">
        <v>5</v>
      </c>
      <c r="C3">
        <v>72</v>
      </c>
      <c r="D3">
        <v>12</v>
      </c>
      <c r="E3" t="s">
        <v>58</v>
      </c>
    </row>
    <row r="4" spans="2:5" x14ac:dyDescent="0.25">
      <c r="B4" s="63" t="s">
        <v>7</v>
      </c>
      <c r="C4">
        <v>73</v>
      </c>
      <c r="D4">
        <v>12</v>
      </c>
      <c r="E4" t="s">
        <v>58</v>
      </c>
    </row>
    <row r="5" spans="2:5" x14ac:dyDescent="0.25">
      <c r="B5" s="63" t="s">
        <v>29</v>
      </c>
      <c r="C5">
        <v>78</v>
      </c>
      <c r="D5">
        <v>2.5</v>
      </c>
      <c r="E5" t="s">
        <v>59</v>
      </c>
    </row>
    <row r="6" spans="2:5" x14ac:dyDescent="0.25">
      <c r="B6" s="63" t="s">
        <v>31</v>
      </c>
      <c r="C6" s="64" t="s">
        <v>44</v>
      </c>
      <c r="D6">
        <v>1</v>
      </c>
      <c r="E6" t="s">
        <v>60</v>
      </c>
    </row>
    <row r="7" spans="2:5" x14ac:dyDescent="0.25">
      <c r="B7" s="63" t="s">
        <v>32</v>
      </c>
      <c r="C7" s="64" t="s">
        <v>44</v>
      </c>
      <c r="D7">
        <v>1</v>
      </c>
      <c r="E7" t="s">
        <v>60</v>
      </c>
    </row>
    <row r="8" spans="2:5" x14ac:dyDescent="0.25">
      <c r="B8" s="63" t="s">
        <v>36</v>
      </c>
      <c r="C8">
        <v>86</v>
      </c>
      <c r="D8">
        <v>1</v>
      </c>
      <c r="E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zoomScale="85" zoomScaleNormal="85" workbookViewId="0">
      <selection activeCell="P38" sqref="P38"/>
    </sheetView>
  </sheetViews>
  <sheetFormatPr baseColWidth="10" defaultColWidth="8.85546875" defaultRowHeight="15" x14ac:dyDescent="0.25"/>
  <cols>
    <col min="1" max="2" width="8.85546875" style="77"/>
    <col min="3" max="3" width="9" style="77" bestFit="1" customWidth="1"/>
    <col min="4" max="4" width="12" style="77" bestFit="1" customWidth="1"/>
    <col min="5" max="5" width="11" style="77" bestFit="1" customWidth="1"/>
    <col min="6" max="6" width="12" style="77" bestFit="1" customWidth="1"/>
    <col min="7" max="8" width="14.140625" style="77" bestFit="1" customWidth="1"/>
    <col min="9" max="14" width="9" style="77" bestFit="1" customWidth="1"/>
    <col min="15" max="15" width="8.85546875" style="77"/>
    <col min="16" max="16" width="15.140625" style="77" bestFit="1" customWidth="1"/>
    <col min="17" max="20" width="11.85546875" style="77" customWidth="1"/>
    <col min="21" max="16384" width="8.85546875" style="77"/>
  </cols>
  <sheetData>
    <row r="1" spans="1:27" x14ac:dyDescent="0.25">
      <c r="B1" s="77" t="s">
        <v>103</v>
      </c>
      <c r="C1" s="77" t="s">
        <v>22</v>
      </c>
      <c r="D1" s="62" t="s">
        <v>17</v>
      </c>
      <c r="E1" s="62" t="s">
        <v>18</v>
      </c>
      <c r="F1" s="77" t="s">
        <v>104</v>
      </c>
      <c r="G1" s="77" t="s">
        <v>109</v>
      </c>
      <c r="H1" s="77" t="s">
        <v>110</v>
      </c>
      <c r="I1" s="77" t="s">
        <v>23</v>
      </c>
      <c r="J1" s="77" t="s">
        <v>24</v>
      </c>
      <c r="K1" s="77" t="s">
        <v>25</v>
      </c>
      <c r="L1" s="77" t="s">
        <v>26</v>
      </c>
      <c r="M1" s="77" t="s">
        <v>27</v>
      </c>
      <c r="N1" s="77" t="s">
        <v>28</v>
      </c>
    </row>
    <row r="2" spans="1:27" x14ac:dyDescent="0.25">
      <c r="A2" s="122" t="s">
        <v>5</v>
      </c>
      <c r="B2" s="78" t="s">
        <v>1</v>
      </c>
      <c r="C2" s="77">
        <v>60</v>
      </c>
      <c r="D2" s="77">
        <v>35247500000</v>
      </c>
      <c r="E2" s="77">
        <v>1660585586.9319999</v>
      </c>
      <c r="F2" s="79">
        <f>E2/D2</f>
        <v>4.7112152264188946E-2</v>
      </c>
      <c r="G2" s="77">
        <v>428974747.88999999</v>
      </c>
      <c r="I2" s="77">
        <v>0.13100000000000001</v>
      </c>
      <c r="J2" s="77">
        <v>-0.316</v>
      </c>
      <c r="K2" s="77">
        <v>7.1199999999999999E-2</v>
      </c>
      <c r="L2" s="77">
        <v>0.58499999999999996</v>
      </c>
      <c r="M2" s="77">
        <v>0.98799999999999999</v>
      </c>
      <c r="N2" s="77">
        <v>0.8</v>
      </c>
    </row>
    <row r="3" spans="1:27" ht="15.75" thickBot="1" x14ac:dyDescent="0.3">
      <c r="A3" s="122"/>
      <c r="B3" s="78" t="s">
        <v>2</v>
      </c>
      <c r="C3" s="77">
        <v>60</v>
      </c>
      <c r="D3" s="77">
        <v>2916816666.6669998</v>
      </c>
      <c r="E3" s="77">
        <v>139311562.98699999</v>
      </c>
      <c r="F3" s="79">
        <f t="shared" ref="F3:F29" si="0">E3/D3</f>
        <v>4.7761508146547005E-2</v>
      </c>
      <c r="G3" s="77">
        <v>35987993.079999998</v>
      </c>
      <c r="I3" s="77">
        <v>0.16300000000000001</v>
      </c>
      <c r="J3" s="77">
        <v>-0.379</v>
      </c>
      <c r="K3" s="77">
        <v>7.51E-2</v>
      </c>
      <c r="L3" s="77">
        <v>0.51200000000000001</v>
      </c>
      <c r="M3" s="77">
        <v>0.98799999999999999</v>
      </c>
      <c r="N3" s="77">
        <v>0.82499999999999996</v>
      </c>
    </row>
    <row r="4" spans="1:27" ht="13.9" customHeight="1" x14ac:dyDescent="0.25">
      <c r="A4" s="122"/>
      <c r="B4" s="78" t="s">
        <v>6</v>
      </c>
      <c r="C4" s="77">
        <v>60</v>
      </c>
      <c r="D4" s="77">
        <v>189.50200000000001</v>
      </c>
      <c r="E4" s="77">
        <v>9.0510000000000002</v>
      </c>
      <c r="F4" s="79">
        <f t="shared" si="0"/>
        <v>4.7762028896792645E-2</v>
      </c>
      <c r="G4" s="77">
        <v>2.3380000000000001</v>
      </c>
      <c r="H4" s="77">
        <v>3.11</v>
      </c>
      <c r="I4" s="77">
        <v>0.16300000000000001</v>
      </c>
      <c r="J4" s="77">
        <v>-0.379</v>
      </c>
      <c r="K4" s="77">
        <v>7.51E-2</v>
      </c>
      <c r="L4" s="77">
        <v>0.51200000000000001</v>
      </c>
      <c r="M4" s="77">
        <v>0.98799999999999999</v>
      </c>
      <c r="N4" s="77">
        <v>0.82499999999999996</v>
      </c>
      <c r="P4" s="123"/>
      <c r="Q4" s="127" t="s">
        <v>105</v>
      </c>
      <c r="R4" s="128"/>
      <c r="S4" s="128"/>
      <c r="T4" s="129"/>
      <c r="U4" s="127" t="s">
        <v>3</v>
      </c>
      <c r="V4" s="128"/>
      <c r="W4" s="128"/>
      <c r="X4" s="129"/>
    </row>
    <row r="5" spans="1:27" ht="14.45" customHeight="1" thickBot="1" x14ac:dyDescent="0.3">
      <c r="A5" s="122"/>
      <c r="B5" s="78" t="s">
        <v>3</v>
      </c>
      <c r="C5" s="77">
        <v>60</v>
      </c>
      <c r="D5" s="77">
        <v>8.3019999999999996</v>
      </c>
      <c r="E5" s="77">
        <v>0.67400000000000004</v>
      </c>
      <c r="F5" s="79">
        <f t="shared" si="0"/>
        <v>8.1185256564683214E-2</v>
      </c>
      <c r="G5" s="77">
        <v>0.17399999999999999</v>
      </c>
      <c r="H5" s="77">
        <v>0.23200000000000001</v>
      </c>
      <c r="I5" s="77">
        <v>0.34599999999999997</v>
      </c>
      <c r="J5" s="77">
        <v>0.28000000000000003</v>
      </c>
      <c r="K5" s="77">
        <v>7.2400000000000006E-2</v>
      </c>
      <c r="L5" s="77">
        <v>0.56299999999999994</v>
      </c>
      <c r="M5" s="77">
        <v>0.98099999999999998</v>
      </c>
      <c r="N5" s="77">
        <v>0.48699999999999999</v>
      </c>
      <c r="P5" s="124"/>
      <c r="Q5" s="130" t="s">
        <v>106</v>
      </c>
      <c r="R5" s="131"/>
      <c r="S5" s="131"/>
      <c r="T5" s="132"/>
      <c r="U5" s="130" t="s">
        <v>107</v>
      </c>
      <c r="V5" s="131"/>
      <c r="W5" s="131"/>
      <c r="X5" s="132"/>
    </row>
    <row r="6" spans="1:27" ht="16.5" thickTop="1" thickBot="1" x14ac:dyDescent="0.3">
      <c r="A6" s="122" t="s">
        <v>4</v>
      </c>
      <c r="B6" s="78" t="s">
        <v>1</v>
      </c>
      <c r="C6" s="77">
        <v>30</v>
      </c>
      <c r="D6" s="77">
        <v>136420000</v>
      </c>
      <c r="E6" s="77">
        <v>5762327.1160000004</v>
      </c>
      <c r="F6" s="79">
        <f>E6/D6</f>
        <v>4.2239606479988277E-2</v>
      </c>
      <c r="G6" s="77">
        <v>2151688.324</v>
      </c>
      <c r="I6" s="77">
        <v>-0.27</v>
      </c>
      <c r="J6" s="77">
        <v>0.76300000000000001</v>
      </c>
      <c r="K6" s="77">
        <v>8.7900000000000006E-2</v>
      </c>
      <c r="L6" s="77">
        <v>0.72399999999999998</v>
      </c>
      <c r="M6" s="77">
        <v>0.98499999999999999</v>
      </c>
      <c r="N6" s="77">
        <v>0.94399999999999995</v>
      </c>
      <c r="P6" s="125"/>
      <c r="Q6" s="80" t="s">
        <v>17</v>
      </c>
      <c r="R6" s="80" t="s">
        <v>18</v>
      </c>
      <c r="S6" s="80" t="s">
        <v>19</v>
      </c>
      <c r="T6" s="80" t="s">
        <v>108</v>
      </c>
      <c r="U6" s="80" t="s">
        <v>17</v>
      </c>
      <c r="V6" s="80" t="s">
        <v>18</v>
      </c>
      <c r="W6" s="80" t="s">
        <v>19</v>
      </c>
      <c r="X6" s="80" t="s">
        <v>108</v>
      </c>
    </row>
    <row r="7" spans="1:27" ht="15.75" thickBot="1" x14ac:dyDescent="0.3">
      <c r="A7" s="122"/>
      <c r="B7" s="78" t="s">
        <v>2</v>
      </c>
      <c r="C7" s="77">
        <v>30</v>
      </c>
      <c r="D7" s="77">
        <v>109838666.667</v>
      </c>
      <c r="E7" s="77">
        <v>4113479.719</v>
      </c>
      <c r="F7" s="79">
        <f>E7/D7</f>
        <v>3.7450197128402113E-2</v>
      </c>
      <c r="G7" s="77">
        <v>1535998.5819999999</v>
      </c>
      <c r="I7" s="77">
        <v>-0.318</v>
      </c>
      <c r="J7" s="77">
        <v>0.56599999999999995</v>
      </c>
      <c r="K7" s="77">
        <v>9.9099999999999994E-2</v>
      </c>
      <c r="L7" s="77">
        <v>0.58399999999999996</v>
      </c>
      <c r="M7" s="77">
        <v>0.98</v>
      </c>
      <c r="N7" s="77">
        <v>0.81899999999999995</v>
      </c>
      <c r="P7" s="81" t="s">
        <v>4</v>
      </c>
      <c r="Q7" s="82">
        <f>D8</f>
        <v>664.48099999999999</v>
      </c>
      <c r="R7" s="82">
        <f>E8</f>
        <v>24.885000000000002</v>
      </c>
      <c r="S7" s="83">
        <f>F8</f>
        <v>3.7450280745423878E-2</v>
      </c>
      <c r="T7" s="86">
        <f>H8</f>
        <v>12.523</v>
      </c>
      <c r="U7" s="82">
        <v>80.537999999999997</v>
      </c>
      <c r="V7" s="82">
        <v>1.1659999999999999</v>
      </c>
      <c r="W7" s="84">
        <f>V7/U7</f>
        <v>1.4477637885221882E-2</v>
      </c>
      <c r="X7" s="85">
        <v>0.58699999999999997</v>
      </c>
      <c r="AA7" s="77">
        <f>X7*100</f>
        <v>58.699999999999996</v>
      </c>
    </row>
    <row r="8" spans="1:27" ht="15.75" thickBot="1" x14ac:dyDescent="0.3">
      <c r="A8" s="122"/>
      <c r="B8" s="78" t="s">
        <v>6</v>
      </c>
      <c r="C8" s="77">
        <v>30</v>
      </c>
      <c r="D8" s="77">
        <v>664.48099999999999</v>
      </c>
      <c r="E8" s="77">
        <v>24.885000000000002</v>
      </c>
      <c r="F8" s="79">
        <f>E8/D8</f>
        <v>3.7450280745423878E-2</v>
      </c>
      <c r="G8" s="77">
        <v>9.2919999999999998</v>
      </c>
      <c r="H8" s="77">
        <v>12.523</v>
      </c>
      <c r="I8" s="77">
        <v>-0.318</v>
      </c>
      <c r="J8" s="77">
        <v>0.56599999999999995</v>
      </c>
      <c r="K8" s="77">
        <v>9.9099999999999994E-2</v>
      </c>
      <c r="L8" s="77">
        <v>0.58399999999999996</v>
      </c>
      <c r="M8" s="77">
        <v>0.98</v>
      </c>
      <c r="N8" s="77">
        <v>0.81899999999999995</v>
      </c>
      <c r="P8" s="81" t="s">
        <v>5</v>
      </c>
      <c r="Q8" s="82">
        <f>D4</f>
        <v>189.50200000000001</v>
      </c>
      <c r="R8" s="82">
        <f>E4</f>
        <v>9.0510000000000002</v>
      </c>
      <c r="S8" s="83">
        <f>F4</f>
        <v>4.7762028896792645E-2</v>
      </c>
      <c r="T8" s="86">
        <f>H4</f>
        <v>3.11</v>
      </c>
      <c r="U8" s="82">
        <v>8.3019999999999996</v>
      </c>
      <c r="V8" s="82">
        <v>0.67400000000000004</v>
      </c>
      <c r="W8" s="84">
        <f t="shared" ref="W8:W13" si="1">V8/U8</f>
        <v>8.1185256564683214E-2</v>
      </c>
      <c r="X8" s="85">
        <v>0.23200000000000001</v>
      </c>
      <c r="AA8" s="77">
        <f t="shared" ref="AA8:AA13" si="2">X8*100</f>
        <v>23.200000000000003</v>
      </c>
    </row>
    <row r="9" spans="1:27" ht="15.75" thickBot="1" x14ac:dyDescent="0.3">
      <c r="A9" s="122"/>
      <c r="B9" s="78" t="s">
        <v>3</v>
      </c>
      <c r="C9" s="77">
        <v>30</v>
      </c>
      <c r="D9" s="77">
        <v>80.537999999999997</v>
      </c>
      <c r="E9" s="77">
        <v>1.1659999999999999</v>
      </c>
      <c r="F9" s="79">
        <v>0.21299999999999999</v>
      </c>
      <c r="G9" s="77">
        <v>0.435</v>
      </c>
      <c r="H9" s="77">
        <v>0.58699999999999997</v>
      </c>
      <c r="I9" s="77">
        <v>0.314</v>
      </c>
      <c r="J9" s="77">
        <v>-0.47599999999999998</v>
      </c>
      <c r="K9" s="77">
        <v>0.11700000000000001</v>
      </c>
      <c r="L9" s="77">
        <v>0.35399999999999998</v>
      </c>
      <c r="M9" s="77">
        <v>0.97799999999999998</v>
      </c>
      <c r="N9" s="77">
        <v>0.77400000000000002</v>
      </c>
      <c r="P9" s="81" t="s">
        <v>7</v>
      </c>
      <c r="Q9" s="82">
        <f>D12</f>
        <v>418.18900000000002</v>
      </c>
      <c r="R9" s="82">
        <f>E12</f>
        <v>20.152999999999999</v>
      </c>
      <c r="S9" s="83">
        <f>F12</f>
        <v>4.8191128891482075E-2</v>
      </c>
      <c r="T9" s="86">
        <f>H12</f>
        <v>10.141999999999999</v>
      </c>
      <c r="U9" s="82">
        <v>5.8689999999999998</v>
      </c>
      <c r="V9" s="82">
        <v>0.42799999999999999</v>
      </c>
      <c r="W9" s="84">
        <f t="shared" si="1"/>
        <v>7.2925540978020106E-2</v>
      </c>
      <c r="X9" s="85">
        <v>0.215</v>
      </c>
      <c r="AA9" s="77">
        <f t="shared" si="2"/>
        <v>21.5</v>
      </c>
    </row>
    <row r="10" spans="1:27" ht="15.75" thickBot="1" x14ac:dyDescent="0.3">
      <c r="A10" s="126" t="s">
        <v>102</v>
      </c>
      <c r="B10" s="78" t="s">
        <v>1</v>
      </c>
      <c r="C10" s="77">
        <v>30</v>
      </c>
      <c r="D10" s="77">
        <v>89659333.333000004</v>
      </c>
      <c r="E10" s="77">
        <v>3744607.0950000002</v>
      </c>
      <c r="F10" s="79">
        <f t="shared" si="0"/>
        <v>4.1764833127771656E-2</v>
      </c>
      <c r="G10" s="77">
        <v>1398259.28</v>
      </c>
      <c r="I10" s="77">
        <v>-4.07E-2</v>
      </c>
      <c r="J10" s="77">
        <v>-0.125</v>
      </c>
      <c r="K10" s="77">
        <v>9.9299999999999999E-2</v>
      </c>
      <c r="L10" s="77">
        <v>0.58099999999999996</v>
      </c>
      <c r="M10" s="77">
        <v>0.97899999999999998</v>
      </c>
      <c r="N10" s="77">
        <v>0.81200000000000006</v>
      </c>
      <c r="P10" s="81" t="s">
        <v>29</v>
      </c>
      <c r="Q10" s="82">
        <f>D16</f>
        <v>5.0129999999999999</v>
      </c>
      <c r="R10" s="82">
        <f>E16</f>
        <v>1.232</v>
      </c>
      <c r="S10" s="83">
        <f>F16</f>
        <v>0.24576102134450428</v>
      </c>
      <c r="T10" s="86">
        <f>H16</f>
        <v>0.62</v>
      </c>
      <c r="U10" s="82">
        <v>14.813000000000001</v>
      </c>
      <c r="V10" s="82">
        <v>4.2119999999999997</v>
      </c>
      <c r="W10" s="84">
        <f t="shared" si="1"/>
        <v>0.28434483224194962</v>
      </c>
      <c r="X10" s="85">
        <v>2.1190000000000002</v>
      </c>
      <c r="AA10" s="77">
        <f t="shared" si="2"/>
        <v>211.90000000000003</v>
      </c>
    </row>
    <row r="11" spans="1:27" ht="15.75" thickBot="1" x14ac:dyDescent="0.3">
      <c r="A11" s="126"/>
      <c r="B11" s="78" t="s">
        <v>2</v>
      </c>
      <c r="C11" s="77">
        <v>30</v>
      </c>
      <c r="D11" s="77">
        <v>5250366.6670000004</v>
      </c>
      <c r="E11" s="77">
        <v>253016.21599999999</v>
      </c>
      <c r="F11" s="79">
        <f t="shared" si="0"/>
        <v>4.8190199284609311E-2</v>
      </c>
      <c r="G11" s="77">
        <v>94477.808999999994</v>
      </c>
      <c r="I11" s="77">
        <v>-8.3799999999999999E-2</v>
      </c>
      <c r="J11" s="77">
        <v>-1.06</v>
      </c>
      <c r="K11" s="77">
        <v>0.11899999999999999</v>
      </c>
      <c r="L11" s="77">
        <v>0.33</v>
      </c>
      <c r="M11" s="77">
        <v>0.95499999999999996</v>
      </c>
      <c r="N11" s="77">
        <v>0.224</v>
      </c>
      <c r="P11" s="81" t="s">
        <v>31</v>
      </c>
      <c r="Q11" s="82">
        <f>D20</f>
        <v>13.093999999999999</v>
      </c>
      <c r="R11" s="82">
        <f>E20</f>
        <v>1.8049999999999999</v>
      </c>
      <c r="S11" s="83">
        <f>F20</f>
        <v>0.13784939667023063</v>
      </c>
      <c r="T11" s="86">
        <f>H20</f>
        <v>0.90800000000000003</v>
      </c>
      <c r="U11" s="82">
        <v>23.513000000000002</v>
      </c>
      <c r="V11" s="82">
        <v>2.617</v>
      </c>
      <c r="W11" s="84">
        <f t="shared" si="1"/>
        <v>0.11130013184195976</v>
      </c>
      <c r="X11" s="85">
        <v>1.3169999999999999</v>
      </c>
      <c r="AA11" s="77">
        <f t="shared" si="2"/>
        <v>131.69999999999999</v>
      </c>
    </row>
    <row r="12" spans="1:27" ht="15.75" thickBot="1" x14ac:dyDescent="0.3">
      <c r="A12" s="126"/>
      <c r="B12" s="78" t="s">
        <v>6</v>
      </c>
      <c r="C12" s="77">
        <v>30</v>
      </c>
      <c r="D12" s="77">
        <v>418.18900000000002</v>
      </c>
      <c r="E12" s="77">
        <v>20.152999999999999</v>
      </c>
      <c r="F12" s="79">
        <f t="shared" si="0"/>
        <v>4.8191128891482075E-2</v>
      </c>
      <c r="G12" s="77">
        <v>7.5250000000000004</v>
      </c>
      <c r="H12" s="77">
        <v>10.141999999999999</v>
      </c>
      <c r="I12" s="77">
        <v>-8.3799999999999999E-2</v>
      </c>
      <c r="J12" s="77">
        <v>-1.06</v>
      </c>
      <c r="K12" s="77">
        <v>0.11899999999999999</v>
      </c>
      <c r="L12" s="77">
        <v>0.33</v>
      </c>
      <c r="M12" s="77">
        <v>0.95499999999999996</v>
      </c>
      <c r="N12" s="77">
        <v>0.224</v>
      </c>
      <c r="P12" s="81" t="s">
        <v>32</v>
      </c>
      <c r="Q12" s="82">
        <f>D24</f>
        <v>2345.625</v>
      </c>
      <c r="R12" s="82">
        <f>E24</f>
        <v>264.08800000000002</v>
      </c>
      <c r="S12" s="83">
        <f>F24</f>
        <v>0.11258747668531842</v>
      </c>
      <c r="T12" s="86">
        <f>H24</f>
        <v>132.90100000000001</v>
      </c>
      <c r="U12" s="82">
        <v>20.417999999999999</v>
      </c>
      <c r="V12" s="82">
        <v>2.9830000000000001</v>
      </c>
      <c r="W12" s="84">
        <f t="shared" si="1"/>
        <v>0.14609658144774221</v>
      </c>
      <c r="X12" s="85">
        <v>1.5009999999999999</v>
      </c>
      <c r="AA12" s="77">
        <f t="shared" si="2"/>
        <v>150.1</v>
      </c>
    </row>
    <row r="13" spans="1:27" ht="15.75" thickBot="1" x14ac:dyDescent="0.3">
      <c r="A13" s="126"/>
      <c r="B13" s="78" t="s">
        <v>3</v>
      </c>
      <c r="C13" s="77">
        <v>30</v>
      </c>
      <c r="D13" s="77">
        <v>5.8689999999999998</v>
      </c>
      <c r="E13" s="77">
        <v>0.42799999999999999</v>
      </c>
      <c r="F13" s="79">
        <f t="shared" si="0"/>
        <v>7.2925540978020106E-2</v>
      </c>
      <c r="G13" s="77">
        <v>0.16</v>
      </c>
      <c r="H13" s="77">
        <v>0.215</v>
      </c>
      <c r="I13" s="77">
        <v>0.193</v>
      </c>
      <c r="J13" s="77">
        <v>-0.51500000000000001</v>
      </c>
      <c r="K13" s="77">
        <v>7.6200000000000004E-2</v>
      </c>
      <c r="L13" s="77">
        <v>0.83199999999999996</v>
      </c>
      <c r="M13" s="77">
        <v>0.98</v>
      </c>
      <c r="N13" s="77">
        <v>0.83599999999999997</v>
      </c>
      <c r="P13" s="81" t="s">
        <v>36</v>
      </c>
      <c r="Q13" s="82">
        <f>D28</f>
        <v>2141.7429999999999</v>
      </c>
      <c r="R13" s="82">
        <f>E28</f>
        <v>540.51700000000005</v>
      </c>
      <c r="S13" s="83">
        <f>F28</f>
        <v>0.25237248353327174</v>
      </c>
      <c r="T13" s="82">
        <f>H28</f>
        <v>272.012</v>
      </c>
      <c r="U13" s="82">
        <v>29.731000000000002</v>
      </c>
      <c r="V13" s="82">
        <v>8.8789999999999996</v>
      </c>
      <c r="W13" s="84">
        <f t="shared" si="1"/>
        <v>0.29864451246174023</v>
      </c>
      <c r="X13" s="85">
        <v>4.468</v>
      </c>
      <c r="AA13" s="77">
        <f t="shared" si="2"/>
        <v>446.8</v>
      </c>
    </row>
    <row r="14" spans="1:27" x14ac:dyDescent="0.25">
      <c r="A14" s="122" t="s">
        <v>29</v>
      </c>
      <c r="B14" s="78" t="s">
        <v>1</v>
      </c>
      <c r="C14" s="77">
        <v>30</v>
      </c>
      <c r="D14" s="77">
        <v>2760100</v>
      </c>
      <c r="E14" s="77">
        <v>258687.31599999999</v>
      </c>
      <c r="F14" s="79">
        <f t="shared" si="0"/>
        <v>9.3723892612586499E-2</v>
      </c>
      <c r="G14" s="77">
        <v>96595.432000000001</v>
      </c>
      <c r="I14" s="77">
        <v>0.39900000000000002</v>
      </c>
      <c r="J14" s="77">
        <v>-0.26800000000000002</v>
      </c>
      <c r="K14" s="77">
        <v>0.128</v>
      </c>
      <c r="L14" s="77">
        <v>0.23</v>
      </c>
      <c r="M14" s="77">
        <v>0.97199999999999998</v>
      </c>
      <c r="N14" s="77">
        <v>0.58799999999999997</v>
      </c>
      <c r="Q14" s="78"/>
      <c r="R14" s="78"/>
      <c r="S14" s="78"/>
      <c r="T14" s="16"/>
      <c r="U14" s="78"/>
    </row>
    <row r="15" spans="1:27" x14ac:dyDescent="0.25">
      <c r="A15" s="122"/>
      <c r="B15" s="78" t="s">
        <v>2</v>
      </c>
      <c r="C15" s="77">
        <v>30</v>
      </c>
      <c r="D15" s="77">
        <v>404563.33299999998</v>
      </c>
      <c r="E15" s="77">
        <v>99427.369000000006</v>
      </c>
      <c r="F15" s="79">
        <f t="shared" si="0"/>
        <v>0.24576465756969629</v>
      </c>
      <c r="G15" s="77">
        <v>37126.79</v>
      </c>
      <c r="I15" s="77">
        <v>-1.4830000000000001</v>
      </c>
      <c r="J15" s="77">
        <v>5.33</v>
      </c>
      <c r="K15" s="77">
        <v>0.14000000000000001</v>
      </c>
      <c r="L15" s="77">
        <v>0.13300000000000001</v>
      </c>
      <c r="M15" s="77">
        <v>0.88200000000000001</v>
      </c>
      <c r="N15" s="77">
        <v>3.0000000000000001E-3</v>
      </c>
      <c r="Q15" s="78"/>
      <c r="R15" s="78"/>
      <c r="S15" s="78"/>
      <c r="T15" s="78"/>
      <c r="U15" s="78"/>
    </row>
    <row r="16" spans="1:27" ht="13.9" customHeight="1" x14ac:dyDescent="0.25">
      <c r="A16" s="122"/>
      <c r="B16" s="78" t="s">
        <v>6</v>
      </c>
      <c r="C16" s="77">
        <v>30</v>
      </c>
      <c r="D16" s="77">
        <v>5.0129999999999999</v>
      </c>
      <c r="E16" s="77">
        <v>1.232</v>
      </c>
      <c r="F16" s="79">
        <f t="shared" si="0"/>
        <v>0.24576102134450428</v>
      </c>
      <c r="G16" s="77">
        <v>0.46</v>
      </c>
      <c r="H16" s="77">
        <v>0.62</v>
      </c>
      <c r="I16" s="77">
        <v>-1.4830000000000001</v>
      </c>
      <c r="J16" s="77">
        <v>5.33</v>
      </c>
      <c r="K16" s="77">
        <v>0.14000000000000001</v>
      </c>
      <c r="L16" s="77">
        <v>0.13300000000000001</v>
      </c>
      <c r="M16" s="77">
        <v>0.88200000000000001</v>
      </c>
      <c r="N16" s="77">
        <v>3.0000000000000001E-3</v>
      </c>
      <c r="P16" s="121"/>
      <c r="Q16" s="120" t="s">
        <v>105</v>
      </c>
      <c r="R16" s="120"/>
      <c r="S16" s="120" t="s">
        <v>3</v>
      </c>
      <c r="T16" s="120"/>
    </row>
    <row r="17" spans="1:20" ht="14.45" customHeight="1" x14ac:dyDescent="0.25">
      <c r="A17" s="122"/>
      <c r="B17" s="78" t="s">
        <v>3</v>
      </c>
      <c r="C17" s="77">
        <v>30</v>
      </c>
      <c r="D17" s="77">
        <v>14.813000000000001</v>
      </c>
      <c r="E17" s="77">
        <v>4.2119999999999997</v>
      </c>
      <c r="F17" s="79">
        <f t="shared" si="0"/>
        <v>0.28434483224194962</v>
      </c>
      <c r="G17" s="77">
        <v>1.573</v>
      </c>
      <c r="H17" s="77">
        <v>2.1190000000000002</v>
      </c>
      <c r="I17" s="77">
        <v>-0.54600000000000004</v>
      </c>
      <c r="J17" s="77">
        <v>2.87</v>
      </c>
      <c r="K17" s="77">
        <v>0.11700000000000001</v>
      </c>
      <c r="L17" s="77">
        <v>0.34699999999999998</v>
      </c>
      <c r="M17" s="77">
        <v>0.94</v>
      </c>
      <c r="N17" s="77">
        <v>9.1999999999999998E-2</v>
      </c>
      <c r="P17" s="121"/>
      <c r="Q17" s="120" t="s">
        <v>106</v>
      </c>
      <c r="R17" s="120"/>
      <c r="S17" s="120" t="s">
        <v>107</v>
      </c>
      <c r="T17" s="120"/>
    </row>
    <row r="18" spans="1:20" ht="15.6" customHeight="1" x14ac:dyDescent="0.25">
      <c r="A18" s="122" t="s">
        <v>31</v>
      </c>
      <c r="B18" s="78" t="s">
        <v>1</v>
      </c>
      <c r="C18" s="77">
        <v>30</v>
      </c>
      <c r="D18" s="77">
        <v>3570.1669999999999</v>
      </c>
      <c r="E18" s="77">
        <v>238.18</v>
      </c>
      <c r="F18" s="79">
        <f t="shared" si="0"/>
        <v>6.6713966041364453E-2</v>
      </c>
      <c r="G18" s="77">
        <v>88.938000000000002</v>
      </c>
      <c r="I18" s="77">
        <v>0.10299999999999999</v>
      </c>
      <c r="J18" s="77">
        <v>-0.91400000000000003</v>
      </c>
      <c r="K18" s="77">
        <v>0.1</v>
      </c>
      <c r="L18" s="77">
        <v>0.56699999999999995</v>
      </c>
      <c r="M18" s="77">
        <v>0.95899999999999996</v>
      </c>
      <c r="N18" s="77">
        <v>0.29199999999999998</v>
      </c>
      <c r="P18" s="121"/>
      <c r="Q18" s="87" t="s">
        <v>111</v>
      </c>
      <c r="R18" s="87" t="s">
        <v>112</v>
      </c>
      <c r="S18" s="87" t="s">
        <v>111</v>
      </c>
      <c r="T18" s="87" t="s">
        <v>112</v>
      </c>
    </row>
    <row r="19" spans="1:20" x14ac:dyDescent="0.25">
      <c r="A19" s="122"/>
      <c r="B19" s="78" t="s">
        <v>2</v>
      </c>
      <c r="C19" s="77">
        <v>30</v>
      </c>
      <c r="D19" s="77">
        <v>840.65700000000004</v>
      </c>
      <c r="E19" s="77">
        <v>115.878</v>
      </c>
      <c r="F19" s="79">
        <f t="shared" si="0"/>
        <v>0.13784218771746384</v>
      </c>
      <c r="G19" s="77">
        <v>43.27</v>
      </c>
      <c r="I19" s="77">
        <v>-0.44</v>
      </c>
      <c r="J19" s="77">
        <v>-0.66500000000000004</v>
      </c>
      <c r="K19" s="77">
        <v>0.14000000000000001</v>
      </c>
      <c r="L19" s="77">
        <v>0.13700000000000001</v>
      </c>
      <c r="M19" s="77">
        <v>0.94699999999999995</v>
      </c>
      <c r="N19" s="77">
        <v>0.13800000000000001</v>
      </c>
      <c r="P19" s="88" t="s">
        <v>4</v>
      </c>
      <c r="Q19" s="89">
        <f>Q7-T7/2</f>
        <v>658.21950000000004</v>
      </c>
      <c r="R19" s="89">
        <f>Q7+T7/2</f>
        <v>670.74249999999995</v>
      </c>
      <c r="S19" s="89">
        <f>U7-X7/2</f>
        <v>80.244500000000002</v>
      </c>
      <c r="T19" s="89">
        <f>U7+X7/2</f>
        <v>80.831499999999991</v>
      </c>
    </row>
    <row r="20" spans="1:20" x14ac:dyDescent="0.25">
      <c r="A20" s="122"/>
      <c r="B20" s="78" t="s">
        <v>6</v>
      </c>
      <c r="C20" s="77">
        <v>30</v>
      </c>
      <c r="D20" s="77">
        <v>13.093999999999999</v>
      </c>
      <c r="E20" s="77">
        <v>1.8049999999999999</v>
      </c>
      <c r="F20" s="79">
        <f t="shared" si="0"/>
        <v>0.13784939667023063</v>
      </c>
      <c r="G20" s="77">
        <v>0.67400000000000004</v>
      </c>
      <c r="H20" s="77">
        <v>0.90800000000000003</v>
      </c>
      <c r="I20" s="77">
        <v>-0.44</v>
      </c>
      <c r="J20" s="77">
        <v>-0.66500000000000004</v>
      </c>
      <c r="K20" s="77">
        <v>0.14000000000000001</v>
      </c>
      <c r="L20" s="77">
        <v>0.13700000000000001</v>
      </c>
      <c r="M20" s="77">
        <v>0.94699999999999995</v>
      </c>
      <c r="N20" s="77">
        <v>0.13800000000000001</v>
      </c>
      <c r="P20" s="88" t="s">
        <v>5</v>
      </c>
      <c r="Q20" s="89">
        <f t="shared" ref="Q20:Q25" si="3">Q8-T8/2</f>
        <v>187.947</v>
      </c>
      <c r="R20" s="89">
        <f t="shared" ref="R20:R25" si="4">Q8+T8/2</f>
        <v>191.05700000000002</v>
      </c>
      <c r="S20" s="89">
        <f t="shared" ref="S20:S25" si="5">U8-X8/2</f>
        <v>8.1859999999999999</v>
      </c>
      <c r="T20" s="89">
        <f t="shared" ref="T20:T25" si="6">U8+X8/2</f>
        <v>8.4179999999999993</v>
      </c>
    </row>
    <row r="21" spans="1:20" x14ac:dyDescent="0.25">
      <c r="A21" s="122"/>
      <c r="B21" s="78" t="s">
        <v>3</v>
      </c>
      <c r="C21" s="77">
        <v>30</v>
      </c>
      <c r="D21" s="77">
        <v>23.513000000000002</v>
      </c>
      <c r="E21" s="77">
        <v>2.617</v>
      </c>
      <c r="F21" s="79">
        <f t="shared" si="0"/>
        <v>0.11130013184195976</v>
      </c>
      <c r="G21" s="77">
        <v>0.97699999999999998</v>
      </c>
      <c r="H21" s="77">
        <v>1.3169999999999999</v>
      </c>
      <c r="I21" s="77">
        <v>-0.20799999999999999</v>
      </c>
      <c r="J21" s="77">
        <v>-0.67300000000000004</v>
      </c>
      <c r="K21" s="77">
        <v>0.11600000000000001</v>
      </c>
      <c r="L21" s="77">
        <v>0.36399999999999999</v>
      </c>
      <c r="M21" s="77">
        <v>0.96399999999999997</v>
      </c>
      <c r="N21" s="77">
        <v>0.39500000000000002</v>
      </c>
      <c r="P21" s="88" t="s">
        <v>7</v>
      </c>
      <c r="Q21" s="89">
        <f t="shared" si="3"/>
        <v>413.11799999999999</v>
      </c>
      <c r="R21" s="89">
        <f t="shared" si="4"/>
        <v>423.26000000000005</v>
      </c>
      <c r="S21" s="89">
        <f t="shared" si="5"/>
        <v>5.7614999999999998</v>
      </c>
      <c r="T21" s="89">
        <f t="shared" si="6"/>
        <v>5.9764999999999997</v>
      </c>
    </row>
    <row r="22" spans="1:20" x14ac:dyDescent="0.25">
      <c r="A22" s="122" t="s">
        <v>32</v>
      </c>
      <c r="B22" s="78" t="s">
        <v>1</v>
      </c>
      <c r="C22" s="77">
        <v>30</v>
      </c>
      <c r="D22" s="77">
        <v>332506.66700000002</v>
      </c>
      <c r="E22" s="77">
        <v>15074.137000000001</v>
      </c>
      <c r="F22" s="79">
        <f t="shared" si="0"/>
        <v>4.5334841361241038E-2</v>
      </c>
      <c r="G22" s="77">
        <v>5628.7749999999996</v>
      </c>
      <c r="I22" s="77">
        <v>-0.49</v>
      </c>
      <c r="J22" s="77">
        <v>1.9830000000000001</v>
      </c>
      <c r="K22" s="77">
        <v>0.126</v>
      </c>
      <c r="L22" s="77">
        <v>0.251</v>
      </c>
      <c r="M22" s="77">
        <v>0.95799999999999996</v>
      </c>
      <c r="N22" s="77">
        <v>0.27800000000000002</v>
      </c>
      <c r="P22" s="88" t="s">
        <v>29</v>
      </c>
      <c r="Q22" s="89">
        <f t="shared" si="3"/>
        <v>4.7030000000000003</v>
      </c>
      <c r="R22" s="89">
        <f t="shared" si="4"/>
        <v>5.3229999999999995</v>
      </c>
      <c r="S22" s="89">
        <f t="shared" si="5"/>
        <v>13.753500000000001</v>
      </c>
      <c r="T22" s="89">
        <f t="shared" si="6"/>
        <v>15.8725</v>
      </c>
    </row>
    <row r="23" spans="1:20" x14ac:dyDescent="0.25">
      <c r="A23" s="122"/>
      <c r="B23" s="78" t="s">
        <v>2</v>
      </c>
      <c r="C23" s="77">
        <v>30</v>
      </c>
      <c r="D23" s="77">
        <v>67554</v>
      </c>
      <c r="E23" s="77">
        <v>7605.7280000000001</v>
      </c>
      <c r="F23" s="79">
        <f t="shared" si="0"/>
        <v>0.11258738194629482</v>
      </c>
      <c r="G23" s="77">
        <v>2840.0250000000001</v>
      </c>
      <c r="I23" s="77">
        <v>0.71899999999999997</v>
      </c>
      <c r="J23" s="77">
        <v>0.17499999999999999</v>
      </c>
      <c r="K23" s="77">
        <v>9.5200000000000007E-2</v>
      </c>
      <c r="L23" s="77">
        <v>0.63500000000000001</v>
      </c>
      <c r="M23" s="77">
        <v>0.94599999999999995</v>
      </c>
      <c r="N23" s="77">
        <v>0.13600000000000001</v>
      </c>
      <c r="P23" s="88" t="s">
        <v>31</v>
      </c>
      <c r="Q23" s="89">
        <f t="shared" si="3"/>
        <v>12.639999999999999</v>
      </c>
      <c r="R23" s="89">
        <f t="shared" si="4"/>
        <v>13.548</v>
      </c>
      <c r="S23" s="89">
        <f t="shared" si="5"/>
        <v>22.854500000000002</v>
      </c>
      <c r="T23" s="89">
        <f t="shared" si="6"/>
        <v>24.171500000000002</v>
      </c>
    </row>
    <row r="24" spans="1:20" x14ac:dyDescent="0.25">
      <c r="A24" s="122"/>
      <c r="B24" s="78" t="s">
        <v>6</v>
      </c>
      <c r="C24" s="77">
        <v>30</v>
      </c>
      <c r="D24" s="77">
        <v>2345.625</v>
      </c>
      <c r="E24" s="77">
        <v>264.08800000000002</v>
      </c>
      <c r="F24" s="79">
        <f t="shared" si="0"/>
        <v>0.11258747668531842</v>
      </c>
      <c r="G24" s="77">
        <v>98.611999999999995</v>
      </c>
      <c r="H24" s="77">
        <v>132.90100000000001</v>
      </c>
      <c r="I24" s="77">
        <v>0.71899999999999997</v>
      </c>
      <c r="J24" s="77">
        <v>0.17499999999999999</v>
      </c>
      <c r="K24" s="77">
        <v>9.5200000000000007E-2</v>
      </c>
      <c r="L24" s="77">
        <v>0.63500000000000001</v>
      </c>
      <c r="M24" s="77">
        <v>0.94599999999999995</v>
      </c>
      <c r="N24" s="77">
        <v>0.13600000000000001</v>
      </c>
      <c r="P24" s="88" t="s">
        <v>32</v>
      </c>
      <c r="Q24" s="89">
        <f t="shared" si="3"/>
        <v>2279.1745000000001</v>
      </c>
      <c r="R24" s="89">
        <f t="shared" si="4"/>
        <v>2412.0754999999999</v>
      </c>
      <c r="S24" s="89">
        <f t="shared" si="5"/>
        <v>19.6675</v>
      </c>
      <c r="T24" s="89">
        <f t="shared" si="6"/>
        <v>21.168499999999998</v>
      </c>
    </row>
    <row r="25" spans="1:20" x14ac:dyDescent="0.25">
      <c r="A25" s="122"/>
      <c r="B25" s="78" t="s">
        <v>3</v>
      </c>
      <c r="C25" s="77">
        <v>30</v>
      </c>
      <c r="D25" s="77">
        <v>20.417999999999999</v>
      </c>
      <c r="E25" s="77">
        <v>2.9830000000000001</v>
      </c>
      <c r="F25" s="79">
        <f t="shared" si="0"/>
        <v>0.14609658144774221</v>
      </c>
      <c r="G25" s="77">
        <v>1.1140000000000001</v>
      </c>
      <c r="H25" s="77">
        <v>1.5009999999999999</v>
      </c>
      <c r="I25" s="77">
        <v>0.77800000000000002</v>
      </c>
      <c r="J25" s="77">
        <v>0.22700000000000001</v>
      </c>
      <c r="K25" s="77">
        <v>0.115</v>
      </c>
      <c r="L25" s="77">
        <v>0.375</v>
      </c>
      <c r="M25" s="77">
        <v>0.94299999999999995</v>
      </c>
      <c r="N25" s="77">
        <v>0.108</v>
      </c>
      <c r="P25" s="88" t="s">
        <v>36</v>
      </c>
      <c r="Q25" s="89">
        <f t="shared" si="3"/>
        <v>2005.7369999999999</v>
      </c>
      <c r="R25" s="89">
        <f t="shared" si="4"/>
        <v>2277.7489999999998</v>
      </c>
      <c r="S25" s="89">
        <f t="shared" si="5"/>
        <v>27.497</v>
      </c>
      <c r="T25" s="89">
        <f t="shared" si="6"/>
        <v>31.965000000000003</v>
      </c>
    </row>
    <row r="26" spans="1:20" x14ac:dyDescent="0.25">
      <c r="A26" s="122" t="s">
        <v>36</v>
      </c>
      <c r="B26" s="78" t="s">
        <v>1</v>
      </c>
      <c r="C26" s="77">
        <v>30</v>
      </c>
      <c r="D26" s="77">
        <v>3057.1669999999999</v>
      </c>
      <c r="E26" s="77">
        <v>390.923</v>
      </c>
      <c r="F26" s="79">
        <f t="shared" si="0"/>
        <v>0.12787099952341499</v>
      </c>
      <c r="G26" s="77">
        <v>145.97300000000001</v>
      </c>
      <c r="I26" s="77">
        <v>0.215</v>
      </c>
      <c r="J26" s="77">
        <v>-0.69799999999999995</v>
      </c>
      <c r="K26" s="77">
        <v>8.2100000000000006E-2</v>
      </c>
      <c r="L26" s="77">
        <v>0.78400000000000003</v>
      </c>
      <c r="M26" s="77">
        <v>0.96899999999999997</v>
      </c>
      <c r="N26" s="77">
        <v>0.52400000000000002</v>
      </c>
    </row>
    <row r="27" spans="1:20" x14ac:dyDescent="0.25">
      <c r="A27" s="122"/>
      <c r="B27" s="78" t="s">
        <v>2</v>
      </c>
      <c r="C27" s="77">
        <v>30</v>
      </c>
      <c r="D27" s="77">
        <v>888.82299999999998</v>
      </c>
      <c r="E27" s="77">
        <v>224.31399999999999</v>
      </c>
      <c r="F27" s="79">
        <f t="shared" si="0"/>
        <v>0.25237195707131793</v>
      </c>
      <c r="G27" s="77">
        <v>83.76</v>
      </c>
      <c r="I27" s="77">
        <v>0.45</v>
      </c>
      <c r="J27" s="77">
        <v>-1.7700000000000001E-3</v>
      </c>
      <c r="K27" s="77">
        <v>0.111</v>
      </c>
      <c r="L27" s="77">
        <v>0.42399999999999999</v>
      </c>
      <c r="M27" s="77">
        <v>0.97299999999999998</v>
      </c>
      <c r="N27" s="77">
        <v>0.625</v>
      </c>
    </row>
    <row r="28" spans="1:20" x14ac:dyDescent="0.25">
      <c r="A28" s="122"/>
      <c r="B28" s="78" t="s">
        <v>6</v>
      </c>
      <c r="C28" s="77">
        <v>30</v>
      </c>
      <c r="D28" s="77">
        <v>2141.7429999999999</v>
      </c>
      <c r="E28" s="77">
        <v>540.51700000000005</v>
      </c>
      <c r="F28" s="79">
        <f t="shared" si="0"/>
        <v>0.25237248353327174</v>
      </c>
      <c r="G28" s="77">
        <v>201.83199999999999</v>
      </c>
      <c r="H28" s="77">
        <v>272.012</v>
      </c>
      <c r="I28" s="77">
        <v>0.45</v>
      </c>
      <c r="J28" s="77">
        <v>-1.7700000000000001E-3</v>
      </c>
      <c r="K28" s="77">
        <v>0.111</v>
      </c>
      <c r="L28" s="77">
        <v>0.42399999999999999</v>
      </c>
      <c r="M28" s="77">
        <v>0.97299999999999998</v>
      </c>
      <c r="N28" s="77">
        <v>0.625</v>
      </c>
    </row>
    <row r="29" spans="1:20" x14ac:dyDescent="0.25">
      <c r="A29" s="122"/>
      <c r="B29" s="78" t="s">
        <v>3</v>
      </c>
      <c r="C29" s="77">
        <v>30</v>
      </c>
      <c r="D29" s="77">
        <v>29.731000000000002</v>
      </c>
      <c r="E29" s="77">
        <v>8.8789999999999996</v>
      </c>
      <c r="F29" s="79">
        <f t="shared" si="0"/>
        <v>0.29864451246174023</v>
      </c>
      <c r="G29" s="77">
        <v>3.3149999999999999</v>
      </c>
      <c r="H29" s="77">
        <v>4.468</v>
      </c>
      <c r="I29" s="77">
        <v>0.21</v>
      </c>
      <c r="J29" s="77">
        <v>-0.69799999999999995</v>
      </c>
      <c r="K29" s="77">
        <v>7.0400000000000004E-2</v>
      </c>
      <c r="L29" s="77">
        <v>0.86399999999999999</v>
      </c>
      <c r="M29" s="77">
        <v>0.96699999999999997</v>
      </c>
      <c r="N29" s="77">
        <v>0.45</v>
      </c>
    </row>
    <row r="35" spans="6:12" x14ac:dyDescent="0.25">
      <c r="F35" s="77" t="s">
        <v>90</v>
      </c>
      <c r="G35" s="77">
        <v>60</v>
      </c>
      <c r="H35" s="77">
        <v>0</v>
      </c>
      <c r="I35" s="77">
        <v>189.50200000000001</v>
      </c>
      <c r="J35" s="77">
        <v>9.0510000000000002</v>
      </c>
      <c r="K35" s="77">
        <v>1.1679999999999999</v>
      </c>
      <c r="L35" s="77">
        <v>3.11</v>
      </c>
    </row>
    <row r="36" spans="6:12" x14ac:dyDescent="0.25">
      <c r="F36" s="77" t="s">
        <v>20</v>
      </c>
      <c r="G36" s="77">
        <v>60</v>
      </c>
      <c r="H36" s="77">
        <v>0</v>
      </c>
      <c r="I36" s="77">
        <v>8.3019999999999996</v>
      </c>
      <c r="J36" s="77">
        <v>0.67400000000000004</v>
      </c>
      <c r="K36" s="77">
        <v>8.6999999999999994E-2</v>
      </c>
      <c r="L36" s="77">
        <v>0.23200000000000001</v>
      </c>
    </row>
    <row r="37" spans="6:12" x14ac:dyDescent="0.25">
      <c r="F37" s="77" t="s">
        <v>21</v>
      </c>
      <c r="G37" s="77">
        <v>30</v>
      </c>
      <c r="H37" s="77">
        <v>0</v>
      </c>
      <c r="I37" s="77">
        <v>664.48099999999999</v>
      </c>
      <c r="J37" s="77">
        <v>24.885000000000002</v>
      </c>
      <c r="K37" s="77">
        <v>4.5430000000000001</v>
      </c>
      <c r="L37" s="77">
        <v>12.523</v>
      </c>
    </row>
    <row r="38" spans="6:12" x14ac:dyDescent="0.25">
      <c r="F38" s="77" t="s">
        <v>91</v>
      </c>
      <c r="G38" s="77">
        <v>30</v>
      </c>
      <c r="H38" s="77">
        <v>0</v>
      </c>
      <c r="I38" s="77">
        <v>80.537999999999997</v>
      </c>
      <c r="J38" s="77">
        <v>1.1659999999999999</v>
      </c>
      <c r="K38" s="77">
        <v>0.21299999999999999</v>
      </c>
      <c r="L38" s="77">
        <v>0.58699999999999997</v>
      </c>
    </row>
    <row r="39" spans="6:12" x14ac:dyDescent="0.25">
      <c r="F39" s="77" t="s">
        <v>92</v>
      </c>
      <c r="G39" s="77">
        <v>30</v>
      </c>
      <c r="H39" s="77">
        <v>0</v>
      </c>
      <c r="I39" s="77">
        <v>418.18900000000002</v>
      </c>
      <c r="J39" s="77">
        <v>20.152999999999999</v>
      </c>
      <c r="K39" s="77">
        <v>3.6789999999999998</v>
      </c>
      <c r="L39" s="77">
        <v>10.141999999999999</v>
      </c>
    </row>
    <row r="40" spans="6:12" x14ac:dyDescent="0.25">
      <c r="F40" s="77" t="s">
        <v>93</v>
      </c>
      <c r="G40" s="77">
        <v>30</v>
      </c>
      <c r="H40" s="77">
        <v>0</v>
      </c>
      <c r="I40" s="77">
        <v>5.8689999999999998</v>
      </c>
      <c r="J40" s="77">
        <v>0.42799999999999999</v>
      </c>
      <c r="K40" s="77">
        <v>7.8100000000000003E-2</v>
      </c>
      <c r="L40" s="77">
        <v>0.215</v>
      </c>
    </row>
    <row r="41" spans="6:12" x14ac:dyDescent="0.25">
      <c r="F41" s="77" t="s">
        <v>94</v>
      </c>
      <c r="G41" s="77">
        <v>30</v>
      </c>
      <c r="H41" s="77">
        <v>0</v>
      </c>
      <c r="I41" s="77">
        <v>5.0129999999999999</v>
      </c>
      <c r="J41" s="77">
        <v>1.232</v>
      </c>
      <c r="K41" s="77">
        <v>0.22500000000000001</v>
      </c>
      <c r="L41" s="77">
        <v>0.62</v>
      </c>
    </row>
    <row r="42" spans="6:12" x14ac:dyDescent="0.25">
      <c r="F42" s="77" t="s">
        <v>95</v>
      </c>
      <c r="G42" s="77">
        <v>30</v>
      </c>
      <c r="H42" s="77">
        <v>0</v>
      </c>
      <c r="I42" s="77">
        <v>14.813000000000001</v>
      </c>
      <c r="J42" s="77">
        <v>4.2119999999999997</v>
      </c>
      <c r="K42" s="77">
        <v>0.76900000000000002</v>
      </c>
      <c r="L42" s="77">
        <v>2.1190000000000002</v>
      </c>
    </row>
    <row r="43" spans="6:12" x14ac:dyDescent="0.25">
      <c r="F43" s="77" t="s">
        <v>96</v>
      </c>
      <c r="G43" s="77">
        <v>30</v>
      </c>
      <c r="H43" s="77">
        <v>0</v>
      </c>
      <c r="I43" s="77">
        <v>13.093999999999999</v>
      </c>
      <c r="J43" s="77">
        <v>1.8049999999999999</v>
      </c>
      <c r="K43" s="77">
        <v>0.33</v>
      </c>
      <c r="L43" s="77">
        <v>0.90800000000000003</v>
      </c>
    </row>
    <row r="44" spans="6:12" x14ac:dyDescent="0.25">
      <c r="F44" s="77" t="s">
        <v>97</v>
      </c>
      <c r="G44" s="77">
        <v>30</v>
      </c>
      <c r="H44" s="77">
        <v>0</v>
      </c>
      <c r="I44" s="77">
        <v>23.513000000000002</v>
      </c>
      <c r="J44" s="77">
        <v>2.617</v>
      </c>
      <c r="K44" s="77">
        <v>0.47799999999999998</v>
      </c>
      <c r="L44" s="77">
        <v>1.3169999999999999</v>
      </c>
    </row>
    <row r="45" spans="6:12" x14ac:dyDescent="0.25">
      <c r="F45" s="77" t="s">
        <v>98</v>
      </c>
      <c r="G45" s="77">
        <v>30</v>
      </c>
      <c r="H45" s="77">
        <v>0</v>
      </c>
      <c r="I45" s="77">
        <v>2345.625</v>
      </c>
      <c r="J45" s="77">
        <v>264.08800000000002</v>
      </c>
      <c r="K45" s="77">
        <v>48.216000000000001</v>
      </c>
      <c r="L45" s="77">
        <v>132.90100000000001</v>
      </c>
    </row>
    <row r="46" spans="6:12" x14ac:dyDescent="0.25">
      <c r="F46" s="77" t="s">
        <v>99</v>
      </c>
      <c r="G46" s="77">
        <v>30</v>
      </c>
      <c r="H46" s="77">
        <v>0</v>
      </c>
      <c r="I46" s="77">
        <v>20.417999999999999</v>
      </c>
      <c r="J46" s="77">
        <v>2.9830000000000001</v>
      </c>
      <c r="K46" s="77">
        <v>0.54500000000000004</v>
      </c>
      <c r="L46" s="77">
        <v>1.5009999999999999</v>
      </c>
    </row>
    <row r="47" spans="6:12" x14ac:dyDescent="0.25">
      <c r="F47" s="77" t="s">
        <v>100</v>
      </c>
      <c r="G47" s="77">
        <v>30</v>
      </c>
      <c r="H47" s="77">
        <v>0</v>
      </c>
      <c r="I47" s="77">
        <v>2141.7429999999999</v>
      </c>
      <c r="J47" s="77">
        <v>540.51700000000005</v>
      </c>
      <c r="K47" s="77">
        <v>98.683999999999997</v>
      </c>
      <c r="L47" s="77">
        <v>272.012</v>
      </c>
    </row>
    <row r="48" spans="6:12" x14ac:dyDescent="0.25">
      <c r="F48" s="77" t="s">
        <v>101</v>
      </c>
      <c r="G48" s="77">
        <v>30</v>
      </c>
      <c r="H48" s="77">
        <v>0</v>
      </c>
      <c r="I48" s="77">
        <v>29.731000000000002</v>
      </c>
      <c r="J48" s="77">
        <v>8.8789999999999996</v>
      </c>
      <c r="K48" s="77">
        <v>1.621</v>
      </c>
      <c r="L48" s="77">
        <v>4.468</v>
      </c>
    </row>
  </sheetData>
  <mergeCells count="17">
    <mergeCell ref="U4:X4"/>
    <mergeCell ref="U5:X5"/>
    <mergeCell ref="Q4:T4"/>
    <mergeCell ref="Q5:T5"/>
    <mergeCell ref="Q16:R16"/>
    <mergeCell ref="S16:T16"/>
    <mergeCell ref="Q17:R17"/>
    <mergeCell ref="S17:T17"/>
    <mergeCell ref="P16:P18"/>
    <mergeCell ref="A26:A29"/>
    <mergeCell ref="P4:P6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equations</vt:lpstr>
      <vt:lpstr>Analysis</vt:lpstr>
      <vt:lpstr>CN</vt:lpstr>
      <vt:lpstr>statisics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2019-10-22T09:21:22Z</dcterms:created>
  <dcterms:modified xsi:type="dcterms:W3CDTF">2020-12-11T16:02:02Z</dcterms:modified>
</cp:coreProperties>
</file>