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ISEP\2.º ano\MOADE\Project Challenge\"/>
    </mc:Choice>
  </mc:AlternateContent>
  <xr:revisionPtr revIDLastSave="0" documentId="13_ncr:1_{0AE4D499-08A0-42FE-A2D2-2FDB604F84E9}" xr6:coauthVersionLast="47" xr6:coauthVersionMax="47" xr10:uidLastSave="{00000000-0000-0000-0000-000000000000}"/>
  <bookViews>
    <workbookView xWindow="-98" yWindow="-98" windowWidth="22875" windowHeight="14356" xr2:uid="{0A08D71C-46D4-4AE1-BB04-0A088C7F2A9C}"/>
  </bookViews>
  <sheets>
    <sheet name="Main" sheetId="1" r:id="rId1"/>
  </sheets>
  <definedNames>
    <definedName name="Bases_Logisticas" localSheetId="0">Main!$K$26:$K$28</definedName>
    <definedName name="Bases_Logisticas.dirn" localSheetId="0" hidden="1">"row"</definedName>
    <definedName name="Capacidade_Camioes" localSheetId="0">Main!$B$3:$B$10</definedName>
    <definedName name="Capacidade_Camioes.badindex" localSheetId="0" hidden="1">1</definedName>
    <definedName name="Capacidade_Camioes.rowindex" localSheetId="0" hidden="1">Main!Cenarios</definedName>
    <definedName name="Capacidade_Camioes.rowindex.dirn" localSheetId="0" hidden="1">"row"</definedName>
    <definedName name="Capacidades_Rececao" localSheetId="0">Main!$E$3:$L$10</definedName>
    <definedName name="Capacidades_Rececao.badindex" localSheetId="0" hidden="1">1</definedName>
    <definedName name="Capacidades_Rececao.columnindex" localSheetId="0" hidden="1">Main!Centros_Distribuicao</definedName>
    <definedName name="Capacidades_Rececao.columnindex.dirn" localSheetId="0" hidden="1">"column"</definedName>
    <definedName name="Capacidades_Rececao.firstindex" localSheetId="0" hidden="1">"row"</definedName>
    <definedName name="Capacidades_Rececao.rowindex" localSheetId="0" hidden="1">Main!Cenarios</definedName>
    <definedName name="Capacidades_Rececao.rowindex.dirn" localSheetId="0" hidden="1">"row"</definedName>
    <definedName name="cenario" localSheetId="0">Main!$L$19</definedName>
    <definedName name="Cenarios" localSheetId="0">Main!$A$3:$A$10</definedName>
    <definedName name="Cenarios.dirn" localSheetId="0" hidden="1">"row"</definedName>
    <definedName name="Centros_Distribuicao" localSheetId="0">Main!$E$2:$L$2</definedName>
    <definedName name="Centros_Distribuicao.dirn" localSheetId="0" hidden="1">"column"</definedName>
    <definedName name="Custo_Instalacao" localSheetId="0">Main!$J$38:$J$45</definedName>
    <definedName name="Custo_Instalacao.badindex" localSheetId="0" hidden="1">1</definedName>
    <definedName name="Custo_Instalacao.rowindex" localSheetId="0" hidden="1">Main!Centros_Distribuicao</definedName>
    <definedName name="Custo_Instalacao.rowindex.dirn" localSheetId="0" hidden="1">"column"</definedName>
    <definedName name="Custo_Total" localSheetId="0">Main!$I$63:$I$70</definedName>
    <definedName name="Custo_Total.badindex" localSheetId="0" hidden="1">1</definedName>
    <definedName name="Custo_Total.rowindex" localSheetId="0" hidden="1">Main!Cenarios</definedName>
    <definedName name="Custo_Total.rowindex.dirn" localSheetId="0" hidden="1">"row"</definedName>
    <definedName name="Custo_Transporte" localSheetId="0">Main!$L$14:$N$15</definedName>
    <definedName name="Custo_Transporte.badindex" localSheetId="0" hidden="1">1</definedName>
    <definedName name="Custo_Transporte.columnindex" localSheetId="0" hidden="1">Main!Tipos_Veiculo</definedName>
    <definedName name="Custo_Transporte.columnindex.dirn" localSheetId="0" hidden="1">"column"</definedName>
    <definedName name="Custo_Transporte.firstindex" localSheetId="0" hidden="1">"row"</definedName>
    <definedName name="Custo_Transporte.rowindex" localSheetId="0" hidden="1">Main!Tipos_Carga</definedName>
    <definedName name="Custo_Transporte.rowindex.dirn" localSheetId="0" hidden="1">"column"</definedName>
    <definedName name="Custos_Fixos" localSheetId="0">Main!$E$63:$E$70</definedName>
    <definedName name="Custos_Fixos.badindex" localSheetId="0" hidden="1">1</definedName>
    <definedName name="Custos_Fixos.rowindex" localSheetId="0" hidden="1">Main!Cenarios</definedName>
    <definedName name="Custos_Fixos.rowindex.dirn" localSheetId="0" hidden="1">"row"</definedName>
    <definedName name="Custos_Operacao" localSheetId="0">Main!$C$49:$J$56</definedName>
    <definedName name="Custos_Operacao.badindex" localSheetId="0" hidden="1">1</definedName>
    <definedName name="Custos_Operacao.columnindex" localSheetId="0" hidden="1">Main!Centros_Distribuicao</definedName>
    <definedName name="Custos_Operacao.columnindex.dirn" localSheetId="0" hidden="1">"column"</definedName>
    <definedName name="Custos_Operacao.firstindex" localSheetId="0" hidden="1">"row"</definedName>
    <definedName name="Custos_Operacao.rowindex" localSheetId="0" hidden="1">Main!Cenarios</definedName>
    <definedName name="Custos_Operacao.rowindex.dirn" localSheetId="0" hidden="1">"row"</definedName>
    <definedName name="Custos_Operacionais" localSheetId="0">Main!$F$63:$F$70</definedName>
    <definedName name="Custos_Operacionais.badindex" localSheetId="0" hidden="1">1</definedName>
    <definedName name="Custos_Operacionais.rowindex" localSheetId="0" hidden="1">Main!Cenarios</definedName>
    <definedName name="Custos_Operacionais.rowindex.dirn" localSheetId="0" hidden="1">"row"</definedName>
    <definedName name="Custos_Transporte1" localSheetId="0">Main!$G$63:$G$70</definedName>
    <definedName name="Custos_Transporte1.badindex" localSheetId="0" hidden="1">1</definedName>
    <definedName name="Custos_Transporte1.rowindex" localSheetId="0" hidden="1">Main!Cenarios</definedName>
    <definedName name="Custos_Transporte1.rowindex.dirn" localSheetId="0" hidden="1">"row"</definedName>
    <definedName name="Custos_Transporte2" localSheetId="0">Main!$H$63:$H$70</definedName>
    <definedName name="Custos_Transporte2.badindex" localSheetId="0" hidden="1">1</definedName>
    <definedName name="Custos_Transporte2.rowindex" localSheetId="0" hidden="1">Main!Cenarios</definedName>
    <definedName name="Custos_Transporte2.rowindex.dirn" localSheetId="0" hidden="1">"row"</definedName>
    <definedName name="Distancia_CD_Base" localSheetId="0">Main!$B$26:$D$33</definedName>
    <definedName name="Distancia_CD_Base.badindex" localSheetId="0" hidden="1">1</definedName>
    <definedName name="Distancia_CD_Base.columnindex" localSheetId="0" hidden="1">Main!Bases_Logisticas</definedName>
    <definedName name="Distancia_CD_Base.columnindex.dirn" localSheetId="0" hidden="1">"row"</definedName>
    <definedName name="Distancia_CD_Base.firstindex" localSheetId="0" hidden="1">"row"</definedName>
    <definedName name="Distancia_CD_Base.rowindex" localSheetId="0" hidden="1">Main!Centros_Distribuicao</definedName>
    <definedName name="Distancia_CD_Base.rowindex.dirn" localSheetId="0" hidden="1">"column"</definedName>
    <definedName name="Distancia_Fornecedor_CD" localSheetId="0">Main!$B$14:$I$22</definedName>
    <definedName name="Distancia_Fornecedor_CD.badindex" localSheetId="0" hidden="1">1</definedName>
    <definedName name="Distancia_Fornecedor_CD.columnindex" localSheetId="0" hidden="1">Main!Centros_Distribuicao</definedName>
    <definedName name="Distancia_Fornecedor_CD.columnindex.dirn" localSheetId="0" hidden="1">"column"</definedName>
    <definedName name="Distancia_Fornecedor_CD.firstindex" localSheetId="0" hidden="1">"row"</definedName>
    <definedName name="Distancia_Fornecedor_CD.rowindex" localSheetId="0" hidden="1">Fornecedores</definedName>
    <definedName name="Distancia_Fornecedor_CD.rowindex.dirn" localSheetId="0" hidden="1">"row"</definedName>
    <definedName name="Fornecedores">Main!$F$26:$F$34</definedName>
    <definedName name="Fornecedores.dirn" hidden="1">"row"</definedName>
    <definedName name="InstalarCD_Output" localSheetId="0">Main!$B$75:$I$82</definedName>
    <definedName name="InstalarCD_Output.badindex" localSheetId="0" hidden="1">1</definedName>
    <definedName name="InstalarCD_Output.columnindex" localSheetId="0" hidden="1">Main!Centros_Distribuicao</definedName>
    <definedName name="InstalarCD_Output.columnindex.dirn" localSheetId="0" hidden="1">"column"</definedName>
    <definedName name="InstalarCD_Output.firstindex" localSheetId="0" hidden="1">"row"</definedName>
    <definedName name="InstalarCD_Output.rowindex" localSheetId="0" hidden="1">Main!Cenarios</definedName>
    <definedName name="InstalarCD_Output.rowindex.dirn" localSheetId="0" hidden="1">"row"</definedName>
    <definedName name="Numero_CDs_Abertos" localSheetId="0">Main!$D$63:$D$70</definedName>
    <definedName name="Numero_CDs_Abertos.badindex" localSheetId="0" hidden="1">1</definedName>
    <definedName name="Numero_CDs_Abertos.rowindex" localSheetId="0" hidden="1">Main!Cenarios</definedName>
    <definedName name="Numero_CDs_Abertos.rowindex.dirn" localSheetId="0" hidden="1">"row"</definedName>
    <definedName name="Procura_Base" localSheetId="0">Main!$L$26:$M$28</definedName>
    <definedName name="Procura_Base.badindex" localSheetId="0" hidden="1">1</definedName>
    <definedName name="Procura_Base.columnindex" localSheetId="0" hidden="1">Main!Tipos_Carga</definedName>
    <definedName name="Procura_Base.columnindex.dirn" localSheetId="0" hidden="1">"column"</definedName>
    <definedName name="Procura_Base.firstindex" localSheetId="0" hidden="1">"row"</definedName>
    <definedName name="Procura_Base.rowindex" localSheetId="0" hidden="1">Main!Bases_Logisticas</definedName>
    <definedName name="Procura_Base.rowindex.dirn" localSheetId="0" hidden="1">"row"</definedName>
    <definedName name="Quantidade_Fornecedor" localSheetId="0">Main!$G$26:$H$34</definedName>
    <definedName name="Quantidade_Fornecedor.badindex" localSheetId="0" hidden="1">1</definedName>
    <definedName name="Quantidade_Fornecedor.columnindex" localSheetId="0" hidden="1">Main!Tipos_Carga</definedName>
    <definedName name="Quantidade_Fornecedor.columnindex.dirn" localSheetId="0" hidden="1">"column"</definedName>
    <definedName name="Quantidade_Fornecedor.firstindex" localSheetId="0" hidden="1">"row"</definedName>
    <definedName name="Quantidade_Fornecedor.rowindex" localSheetId="0" hidden="1">Fornecedores</definedName>
    <definedName name="Quantidade_Fornecedor.rowindex.dirn" localSheetId="0" hidden="1">"row"</definedName>
    <definedName name="Tipos_Carga" localSheetId="0">Main!$L$25:$M$25</definedName>
    <definedName name="Tipos_Carga.dirn" localSheetId="0" hidden="1">"column"</definedName>
    <definedName name="Tipos_Veiculo" localSheetId="0">Main!$L$13:$N$13</definedName>
    <definedName name="Tipos_Veiculo.dirn" localSheetId="0" hidden="1">"column"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1" l="1"/>
  <c r="J38" i="1" s="1"/>
  <c r="J77" i="1"/>
  <c r="J78" i="1"/>
  <c r="J79" i="1"/>
  <c r="J80" i="1"/>
  <c r="J82" i="1"/>
  <c r="J81" i="1"/>
  <c r="J76" i="1"/>
  <c r="J75" i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K56" i="1"/>
  <c r="K55" i="1"/>
  <c r="K54" i="1"/>
  <c r="K53" i="1"/>
  <c r="K52" i="1"/>
  <c r="K51" i="1"/>
  <c r="K50" i="1"/>
  <c r="K49" i="1"/>
  <c r="L20" i="1"/>
  <c r="M26" i="1" s="1"/>
  <c r="I33" i="1" l="1"/>
  <c r="G28" i="1"/>
  <c r="L28" i="1"/>
  <c r="L26" i="1"/>
  <c r="L27" i="1"/>
  <c r="N27" i="1"/>
  <c r="N26" i="1"/>
  <c r="M27" i="1"/>
  <c r="M28" i="1"/>
  <c r="N28" i="1"/>
  <c r="I34" i="1"/>
  <c r="G30" i="1"/>
  <c r="H32" i="1"/>
  <c r="G27" i="1"/>
  <c r="I26" i="1"/>
  <c r="H26" i="1"/>
  <c r="G34" i="1"/>
  <c r="G33" i="1"/>
  <c r="I28" i="1"/>
  <c r="G31" i="1"/>
  <c r="G32" i="1"/>
  <c r="I31" i="1"/>
  <c r="H33" i="1"/>
  <c r="H29" i="1"/>
  <c r="I32" i="1"/>
  <c r="H27" i="1"/>
  <c r="I29" i="1"/>
  <c r="I30" i="1"/>
  <c r="G29" i="1"/>
  <c r="H34" i="1"/>
  <c r="H30" i="1"/>
  <c r="H31" i="1"/>
  <c r="G26" i="1"/>
  <c r="H28" i="1"/>
  <c r="I27" i="1"/>
</calcChain>
</file>

<file path=xl/sharedStrings.xml><?xml version="1.0" encoding="utf-8"?>
<sst xmlns="http://schemas.openxmlformats.org/spreadsheetml/2006/main" count="62" uniqueCount="54">
  <si>
    <t>Fornecedor/CD</t>
  </si>
  <si>
    <t>CD/Base logistica</t>
  </si>
  <si>
    <t>CD</t>
  </si>
  <si>
    <t>area</t>
  </si>
  <si>
    <t>custo de aquisicao do terreno</t>
  </si>
  <si>
    <t>custo da construcao do galpao</t>
  </si>
  <si>
    <t>custo da compra, maquinas, equipamentos e ferramentas</t>
  </si>
  <si>
    <t>Custo fixo de instalacao</t>
  </si>
  <si>
    <t>Custo fixo de instalacao (semana)</t>
  </si>
  <si>
    <t>Quantidade CDs</t>
  </si>
  <si>
    <t>Quantidade Produtos (t)</t>
  </si>
  <si>
    <t>Capacidade CD</t>
  </si>
  <si>
    <t>custo do terreno (m2)</t>
  </si>
  <si>
    <t>Cenarios</t>
  </si>
  <si>
    <t>Fornecedores</t>
  </si>
  <si>
    <t>Carga Geral</t>
  </si>
  <si>
    <t>Procuras</t>
  </si>
  <si>
    <t>Granel liquido</t>
  </si>
  <si>
    <t>paper</t>
  </si>
  <si>
    <t>Granel solido</t>
  </si>
  <si>
    <t>Custos</t>
  </si>
  <si>
    <t xml:space="preserve">cenario/cd - custo de op semanal </t>
  </si>
  <si>
    <t>Carga geral</t>
  </si>
  <si>
    <t>Cenário</t>
  </si>
  <si>
    <t>Tipo de Carga</t>
  </si>
  <si>
    <t>Base logistica</t>
  </si>
  <si>
    <t>Custo fixo de instalação dos CD candidatos - Cenários Grupo I</t>
  </si>
  <si>
    <t>Cargas disponiveis</t>
  </si>
  <si>
    <t>Matriz de CD/Base logistica</t>
  </si>
  <si>
    <t>Matriz de distancia fornecedor/CD</t>
  </si>
  <si>
    <t>Capacidade Camiao (t)</t>
  </si>
  <si>
    <t>custos de transporte</t>
  </si>
  <si>
    <t>Solução</t>
  </si>
  <si>
    <t>Capacidade camiões</t>
  </si>
  <si>
    <t>N.º de CDS</t>
  </si>
  <si>
    <t>CDs abertos</t>
  </si>
  <si>
    <t>Custos funcionamento</t>
  </si>
  <si>
    <t>Custos operacionais</t>
  </si>
  <si>
    <t>Custos transporte (1)</t>
  </si>
  <si>
    <t>Custos transporte (2)</t>
  </si>
  <si>
    <t>Custo total</t>
  </si>
  <si>
    <t>toneladas</t>
  </si>
  <si>
    <t>unidades</t>
  </si>
  <si>
    <t>(R$/semana)</t>
  </si>
  <si>
    <t>Cenarios/CD</t>
  </si>
  <si>
    <t>Instalar CD</t>
  </si>
  <si>
    <t>Fator multiplicação &gt;&gt;&gt;</t>
  </si>
  <si>
    <t>Area Cenario</t>
  </si>
  <si>
    <t>altera para cenários 7 e 8</t>
  </si>
  <si>
    <t>Custo ajustado</t>
  </si>
  <si>
    <t>Duração RUN</t>
  </si>
  <si>
    <t>Cenario</t>
  </si>
  <si>
    <t>Tempo (s)</t>
  </si>
  <si>
    <t>Custos de operacao por 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</si>
</sst>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0.0"/>
  </numFmts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vertical="center" wrapText="1"/>
    </xf>
    <xf numFmtId="0" fontId="1" fillId="0" borderId="4" xfId="0" applyFont="1" applyBorder="1"/>
    <xf numFmtId="3" fontId="0" fillId="0" borderId="1" xfId="0" applyNumberFormat="1" applyBorder="1"/>
    <xf numFmtId="3" fontId="0" fillId="0" borderId="9" xfId="0" applyNumberFormat="1" applyBorder="1"/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3" fontId="2" fillId="0" borderId="9" xfId="0" applyNumberFormat="1" applyFont="1" applyBorder="1" applyAlignment="1">
      <alignment vertical="center" wrapText="1"/>
    </xf>
    <xf numFmtId="3" fontId="2" fillId="0" borderId="8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/>
    <xf numFmtId="0" fontId="1" fillId="0" borderId="1" xfId="0" applyFont="1" applyBorder="1" applyAlignment="1">
      <alignment horizontal="right" vertical="center" wrapText="1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4" fillId="0" borderId="4" xfId="0" applyFont="1" applyBorder="1"/>
    <xf numFmtId="165" fontId="0" fillId="0" borderId="1" xfId="0" applyNumberFormat="1" applyBorder="1"/>
    <xf numFmtId="0" fontId="1" fillId="0" borderId="1" xfId="0" applyFont="1" applyBorder="1"/>
    <xf numFmtId="0" fontId="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" fontId="2" fillId="0" borderId="1" xfId="0" applyNumberFormat="1" applyFont="1" applyBorder="1" applyAlignment="1">
      <alignment vertical="center" wrapText="1"/>
    </xf>
    <xf numFmtId="2" fontId="0" fillId="0" borderId="0" xfId="0" applyNumberFormat="1"/>
    <xf numFmtId="3" fontId="0" fillId="0" borderId="7" xfId="0" applyNumberFormat="1" applyBorder="1"/>
    <xf numFmtId="3" fontId="0" fillId="0" borderId="19" xfId="0" applyNumberFormat="1" applyBorder="1"/>
    <xf numFmtId="0" fontId="1" fillId="0" borderId="17" xfId="0" applyFont="1" applyBorder="1" applyAlignment="1">
      <alignment horizontal="left" vertical="center" wrapText="1"/>
    </xf>
    <xf numFmtId="0" fontId="0" fillId="0" borderId="19" xfId="0" applyBorder="1"/>
    <xf numFmtId="0" fontId="2" fillId="0" borderId="1" xfId="0" applyFont="1" applyBorder="1" applyAlignment="1">
      <alignment horizontal="center" vertical="center" wrapText="1"/>
    </xf>
    <xf numFmtId="3" fontId="2" fillId="0" borderId="18" xfId="0" applyNumberFormat="1" applyFont="1" applyBorder="1" applyAlignment="1">
      <alignment vertical="center" wrapText="1"/>
    </xf>
    <xf numFmtId="3" fontId="2" fillId="0" borderId="7" xfId="0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3" fontId="2" fillId="0" borderId="5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right" vertical="center" wrapText="1"/>
    </xf>
    <xf numFmtId="166" fontId="5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left" vertical="center"/>
    </xf>
    <xf numFmtId="0" fontId="1" fillId="0" borderId="22" xfId="0" applyFont="1" applyBorder="1" applyAlignment="1">
      <alignment horizontal="left" vertical="center" wrapText="1"/>
    </xf>
    <xf numFmtId="0" fontId="1" fillId="3" borderId="23" xfId="0" applyFont="1" applyFill="1" applyBorder="1" applyAlignment="1">
      <alignment horizontal="left" vertical="center" wrapText="1"/>
    </xf>
    <xf numFmtId="166" fontId="0" fillId="0" borderId="6" xfId="0" applyNumberFormat="1" applyBorder="1"/>
    <xf numFmtId="166" fontId="0" fillId="0" borderId="3" xfId="0" applyNumberFormat="1" applyBorder="1"/>
    <xf numFmtId="0" fontId="1" fillId="0" borderId="24" xfId="0" applyFont="1" applyBorder="1" applyAlignment="1">
      <alignment horizontal="left" vertical="center" wrapText="1"/>
    </xf>
    <xf numFmtId="0" fontId="6" fillId="5" borderId="2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0" fillId="6" borderId="25" xfId="0" applyFill="1" applyBorder="1"/>
    <xf numFmtId="0" fontId="0" fillId="6" borderId="20" xfId="0" applyFill="1" applyBorder="1"/>
    <xf numFmtId="0" fontId="0" fillId="6" borderId="21" xfId="0" applyFill="1" applyBorder="1"/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4" fontId="0" fillId="3" borderId="1" xfId="0" applyNumberFormat="1" applyFill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679389</xdr:colOff>
      <xdr:row>19</xdr:row>
      <xdr:rowOff>80962</xdr:rowOff>
    </xdr:from>
    <xdr:to>
      <xdr:col>12</xdr:col>
      <xdr:colOff>792956</xdr:colOff>
      <xdr:row>19</xdr:row>
      <xdr:rowOff>80962</xdr:rowOff>
    </xdr:to>
    <xdr:cxnSp macro="">
      <xdr:nvCxnSpPr>
        <xdr:cNvPr id="13894" name="Straight Arrow Connector 13893">
          <a:extLst>
            <a:ext uri="{FF2B5EF4-FFF2-40B4-BE49-F238E27FC236}">
              <a16:creationId xmlns:a16="http://schemas.microsoft.com/office/drawing/2014/main" id="{DB99B91F-2068-E6F7-3232-32430496D159}"/>
            </a:ext>
          </a:extLst>
        </xdr:cNvPr>
        <xdr:cNvCxnSpPr/>
      </xdr:nvCxnSpPr>
      <xdr:spPr>
        <a:xfrm flipH="1">
          <a:off x="8908989" y="3914775"/>
          <a:ext cx="90414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0234-4E83-49C1-BB83-24AA0BA784DA}">
  <dimension ref="A1:Z93"/>
  <sheetViews>
    <sheetView showGridLines="0" tabSelected="1" zoomScale="85" zoomScaleNormal="85" workbookViewId="0">
      <selection activeCell="N78" sqref="N78"/>
    </sheetView>
  </sheetViews>
  <sheetFormatPr defaultRowHeight="14.25" x14ac:dyDescent="0.45"/>
  <cols>
    <col min="1" max="1" width="10" customWidth="1"/>
    <col min="2" max="2" width="10.19921875" customWidth="1"/>
    <col min="3" max="3" width="9.1328125" customWidth="1"/>
    <col min="4" max="4" width="12.265625" customWidth="1"/>
    <col min="5" max="5" width="11.33203125" bestFit="1" customWidth="1"/>
    <col min="6" max="6" width="9.796875" bestFit="1" customWidth="1"/>
    <col min="7" max="7" width="11.33203125" bestFit="1" customWidth="1"/>
    <col min="8" max="8" width="9.1328125" bestFit="1" customWidth="1"/>
    <col min="11" max="11" width="13.86328125" customWidth="1"/>
    <col min="12" max="12" width="11.06640625" bestFit="1" customWidth="1"/>
    <col min="13" max="13" width="11.3984375" bestFit="1" customWidth="1"/>
    <col min="14" max="14" width="11.53125" bestFit="1" customWidth="1"/>
  </cols>
  <sheetData>
    <row r="1" spans="1:15" ht="18.399999999999999" customHeight="1" thickTop="1" x14ac:dyDescent="0.45">
      <c r="A1" s="16"/>
      <c r="B1" s="16"/>
      <c r="C1" s="16"/>
      <c r="D1" s="16"/>
      <c r="E1" s="74" t="s">
        <v>11</v>
      </c>
      <c r="F1" s="75"/>
      <c r="G1" s="75"/>
      <c r="H1" s="75"/>
      <c r="I1" s="75"/>
      <c r="J1" s="75"/>
      <c r="K1" s="75"/>
      <c r="L1" s="76"/>
    </row>
    <row r="2" spans="1:15" ht="35.25" customHeight="1" thickBot="1" x14ac:dyDescent="0.5">
      <c r="A2" s="23" t="s">
        <v>13</v>
      </c>
      <c r="B2" s="18" t="s">
        <v>30</v>
      </c>
      <c r="C2" s="18" t="s">
        <v>9</v>
      </c>
      <c r="D2" s="24" t="s">
        <v>10</v>
      </c>
      <c r="E2" s="53">
        <v>1</v>
      </c>
      <c r="F2" s="54">
        <v>2</v>
      </c>
      <c r="G2" s="54">
        <v>3</v>
      </c>
      <c r="H2" s="54">
        <v>4</v>
      </c>
      <c r="I2" s="54">
        <v>5</v>
      </c>
      <c r="J2" s="54">
        <v>6</v>
      </c>
      <c r="K2" s="54">
        <v>7</v>
      </c>
      <c r="L2" s="55">
        <v>8</v>
      </c>
    </row>
    <row r="3" spans="1:15" ht="14.65" thickTop="1" x14ac:dyDescent="0.45">
      <c r="A3" s="42">
        <v>1</v>
      </c>
      <c r="B3" s="11">
        <v>16</v>
      </c>
      <c r="C3" s="48">
        <v>8</v>
      </c>
      <c r="D3" s="13">
        <v>1900</v>
      </c>
      <c r="E3" s="49">
        <v>1089</v>
      </c>
      <c r="F3" s="50">
        <v>2273</v>
      </c>
      <c r="G3" s="51">
        <v>873</v>
      </c>
      <c r="H3" s="50">
        <v>1500</v>
      </c>
      <c r="I3" s="50">
        <v>1500</v>
      </c>
      <c r="J3" s="50">
        <v>1500</v>
      </c>
      <c r="K3" s="50">
        <v>1500</v>
      </c>
      <c r="L3" s="52">
        <v>1500</v>
      </c>
    </row>
    <row r="4" spans="1:15" x14ac:dyDescent="0.45">
      <c r="A4" s="42">
        <v>2</v>
      </c>
      <c r="B4" s="11">
        <v>27.5</v>
      </c>
      <c r="C4" s="48">
        <v>8</v>
      </c>
      <c r="D4" s="13">
        <v>1900</v>
      </c>
      <c r="E4" s="14">
        <v>1089</v>
      </c>
      <c r="F4" s="12">
        <v>2273</v>
      </c>
      <c r="G4" s="11">
        <v>873</v>
      </c>
      <c r="H4" s="12">
        <v>1500</v>
      </c>
      <c r="I4" s="12">
        <v>1500</v>
      </c>
      <c r="J4" s="12">
        <v>1500</v>
      </c>
      <c r="K4" s="12">
        <v>1500</v>
      </c>
      <c r="L4" s="15">
        <v>1500</v>
      </c>
    </row>
    <row r="5" spans="1:15" x14ac:dyDescent="0.45">
      <c r="A5" s="42">
        <v>3</v>
      </c>
      <c r="B5" s="11">
        <v>40</v>
      </c>
      <c r="C5" s="48">
        <v>8</v>
      </c>
      <c r="D5" s="13">
        <v>1900</v>
      </c>
      <c r="E5" s="14">
        <v>1089</v>
      </c>
      <c r="F5" s="12">
        <v>2273</v>
      </c>
      <c r="G5" s="11">
        <v>873</v>
      </c>
      <c r="H5" s="12">
        <v>1500</v>
      </c>
      <c r="I5" s="12">
        <v>1500</v>
      </c>
      <c r="J5" s="12">
        <v>1500</v>
      </c>
      <c r="K5" s="12">
        <v>1500</v>
      </c>
      <c r="L5" s="15">
        <v>1500</v>
      </c>
    </row>
    <row r="6" spans="1:15" x14ac:dyDescent="0.45">
      <c r="A6" s="42">
        <v>4</v>
      </c>
      <c r="B6" s="11">
        <v>40</v>
      </c>
      <c r="C6" s="48">
        <v>8</v>
      </c>
      <c r="D6" s="13">
        <v>1900</v>
      </c>
      <c r="E6" s="14">
        <v>2000</v>
      </c>
      <c r="F6" s="12">
        <v>2000</v>
      </c>
      <c r="G6" s="12">
        <v>2000</v>
      </c>
      <c r="H6" s="12">
        <v>2000</v>
      </c>
      <c r="I6" s="12">
        <v>2000</v>
      </c>
      <c r="J6" s="12">
        <v>2000</v>
      </c>
      <c r="K6" s="12">
        <v>2000</v>
      </c>
      <c r="L6" s="15">
        <v>2000</v>
      </c>
    </row>
    <row r="7" spans="1:15" x14ac:dyDescent="0.45">
      <c r="A7" s="42">
        <v>5</v>
      </c>
      <c r="B7" s="11">
        <v>40</v>
      </c>
      <c r="C7" s="48">
        <v>8</v>
      </c>
      <c r="D7" s="13">
        <v>1900</v>
      </c>
      <c r="E7" s="14">
        <v>1000</v>
      </c>
      <c r="F7" s="12">
        <v>1000</v>
      </c>
      <c r="G7" s="12">
        <v>1000</v>
      </c>
      <c r="H7" s="12">
        <v>1000</v>
      </c>
      <c r="I7" s="12">
        <v>1000</v>
      </c>
      <c r="J7" s="12">
        <v>1000</v>
      </c>
      <c r="K7" s="12">
        <v>1000</v>
      </c>
      <c r="L7" s="15">
        <v>1000</v>
      </c>
    </row>
    <row r="8" spans="1:15" x14ac:dyDescent="0.45">
      <c r="A8" s="42">
        <v>6</v>
      </c>
      <c r="B8" s="11">
        <v>40</v>
      </c>
      <c r="C8" s="48">
        <v>8</v>
      </c>
      <c r="D8" s="13">
        <v>1900</v>
      </c>
      <c r="E8" s="14">
        <v>500</v>
      </c>
      <c r="F8" s="12">
        <v>500</v>
      </c>
      <c r="G8" s="12">
        <v>500</v>
      </c>
      <c r="H8" s="12">
        <v>500</v>
      </c>
      <c r="I8" s="12">
        <v>500</v>
      </c>
      <c r="J8" s="12">
        <v>500</v>
      </c>
      <c r="K8" s="12">
        <v>500</v>
      </c>
      <c r="L8" s="15">
        <v>500</v>
      </c>
    </row>
    <row r="9" spans="1:15" x14ac:dyDescent="0.45">
      <c r="A9" s="42">
        <v>7</v>
      </c>
      <c r="B9" s="11">
        <v>40</v>
      </c>
      <c r="C9" s="48">
        <v>8</v>
      </c>
      <c r="D9" s="13">
        <v>2850</v>
      </c>
      <c r="E9" s="14">
        <v>1089</v>
      </c>
      <c r="F9" s="12">
        <v>2273</v>
      </c>
      <c r="G9" s="12">
        <v>873</v>
      </c>
      <c r="H9" s="12">
        <v>1500</v>
      </c>
      <c r="I9" s="12">
        <v>1500</v>
      </c>
      <c r="J9" s="12">
        <v>1500</v>
      </c>
      <c r="K9" s="12">
        <v>1500</v>
      </c>
      <c r="L9" s="15">
        <v>1500</v>
      </c>
    </row>
    <row r="10" spans="1:15" x14ac:dyDescent="0.45">
      <c r="A10" s="42">
        <v>8</v>
      </c>
      <c r="B10" s="11">
        <v>40</v>
      </c>
      <c r="C10" s="48">
        <v>8</v>
      </c>
      <c r="D10" s="13">
        <v>2850</v>
      </c>
      <c r="E10" s="14">
        <v>1000</v>
      </c>
      <c r="F10" s="12">
        <v>1000</v>
      </c>
      <c r="G10" s="12">
        <v>1000</v>
      </c>
      <c r="H10" s="12">
        <v>1000</v>
      </c>
      <c r="I10" s="12">
        <v>1000</v>
      </c>
      <c r="J10" s="12">
        <v>1000</v>
      </c>
      <c r="K10" s="12">
        <v>1000</v>
      </c>
      <c r="L10" s="15">
        <v>1000</v>
      </c>
    </row>
    <row r="12" spans="1:15" x14ac:dyDescent="0.45">
      <c r="A12" s="21" t="s">
        <v>29</v>
      </c>
      <c r="B12" s="22"/>
      <c r="C12" s="22"/>
      <c r="K12" s="77" t="s">
        <v>31</v>
      </c>
      <c r="L12" s="77"/>
    </row>
    <row r="13" spans="1:15" ht="14.65" thickBot="1" x14ac:dyDescent="0.5">
      <c r="A13" s="8" t="s">
        <v>0</v>
      </c>
      <c r="B13" s="32">
        <v>1</v>
      </c>
      <c r="C13" s="32">
        <v>2</v>
      </c>
      <c r="D13" s="32">
        <v>3</v>
      </c>
      <c r="E13" s="32">
        <v>4</v>
      </c>
      <c r="F13" s="32">
        <v>5</v>
      </c>
      <c r="G13" s="32">
        <v>6</v>
      </c>
      <c r="H13" s="32">
        <v>7</v>
      </c>
      <c r="I13" s="32">
        <v>8</v>
      </c>
      <c r="K13" s="34" t="s">
        <v>24</v>
      </c>
      <c r="L13" s="34">
        <v>16</v>
      </c>
      <c r="M13" s="34">
        <v>27.5</v>
      </c>
      <c r="N13" s="34">
        <v>40</v>
      </c>
      <c r="O13" t="s">
        <v>41</v>
      </c>
    </row>
    <row r="14" spans="1:15" ht="14.65" thickTop="1" x14ac:dyDescent="0.45">
      <c r="A14" s="4">
        <v>1</v>
      </c>
      <c r="B14" s="5">
        <v>6.13</v>
      </c>
      <c r="C14" s="6">
        <v>4.7300000000000004</v>
      </c>
      <c r="D14" s="6">
        <v>3.28</v>
      </c>
      <c r="E14" s="6">
        <v>5.92</v>
      </c>
      <c r="F14" s="6">
        <v>24.56</v>
      </c>
      <c r="G14" s="6">
        <v>68.78</v>
      </c>
      <c r="H14" s="6">
        <v>73.62</v>
      </c>
      <c r="I14" s="6">
        <v>67.02</v>
      </c>
      <c r="K14" s="1" t="s">
        <v>22</v>
      </c>
      <c r="L14" s="33">
        <v>1.25</v>
      </c>
      <c r="M14" s="33">
        <v>1.1000000000000001</v>
      </c>
      <c r="N14" s="33">
        <v>1</v>
      </c>
    </row>
    <row r="15" spans="1:15" x14ac:dyDescent="0.45">
      <c r="A15" s="3">
        <v>2</v>
      </c>
      <c r="B15" s="2">
        <v>0.49</v>
      </c>
      <c r="C15" s="1">
        <v>1.85</v>
      </c>
      <c r="D15" s="1">
        <v>3.21</v>
      </c>
      <c r="E15" s="1">
        <v>0.86</v>
      </c>
      <c r="F15" s="1">
        <v>24.64</v>
      </c>
      <c r="G15" s="1">
        <v>67.099999999999994</v>
      </c>
      <c r="H15" s="1">
        <v>71.94</v>
      </c>
      <c r="I15" s="1">
        <v>65.23</v>
      </c>
      <c r="K15" s="1" t="s">
        <v>19</v>
      </c>
      <c r="L15" s="33">
        <v>1.875</v>
      </c>
      <c r="M15" s="33">
        <v>1.65</v>
      </c>
      <c r="N15" s="33">
        <v>1.5</v>
      </c>
    </row>
    <row r="16" spans="1:15" x14ac:dyDescent="0.45">
      <c r="A16" s="3">
        <v>3</v>
      </c>
      <c r="B16" s="2">
        <v>0.52</v>
      </c>
      <c r="C16" s="1">
        <v>0.9</v>
      </c>
      <c r="D16" s="1">
        <v>2.34</v>
      </c>
      <c r="E16" s="1">
        <v>0.33</v>
      </c>
      <c r="F16" s="1">
        <v>21.89</v>
      </c>
      <c r="G16" s="1">
        <v>66.11</v>
      </c>
      <c r="H16" s="1">
        <v>70.95</v>
      </c>
      <c r="I16" s="1">
        <v>64.349999999999994</v>
      </c>
      <c r="K16" s="1" t="s">
        <v>17</v>
      </c>
      <c r="L16" s="33">
        <v>0</v>
      </c>
      <c r="M16" s="33">
        <v>0</v>
      </c>
      <c r="N16" s="33">
        <v>0</v>
      </c>
    </row>
    <row r="17" spans="1:15" x14ac:dyDescent="0.45">
      <c r="A17" s="3">
        <v>4</v>
      </c>
      <c r="B17" s="2">
        <v>5.3</v>
      </c>
      <c r="C17" s="1">
        <v>3.91</v>
      </c>
      <c r="D17" s="1">
        <v>2.4500000000000002</v>
      </c>
      <c r="E17" s="1">
        <v>5.04</v>
      </c>
      <c r="F17" s="1">
        <v>23.99</v>
      </c>
      <c r="G17" s="1">
        <v>68.209999999999994</v>
      </c>
      <c r="H17" s="1">
        <v>73.05</v>
      </c>
      <c r="I17" s="1">
        <v>66.45</v>
      </c>
    </row>
    <row r="18" spans="1:15" ht="14.65" thickBot="1" x14ac:dyDescent="0.5">
      <c r="A18" s="3">
        <v>5</v>
      </c>
      <c r="B18" s="2">
        <v>3.53</v>
      </c>
      <c r="C18" s="1">
        <v>2.09</v>
      </c>
      <c r="D18" s="1">
        <v>0.69</v>
      </c>
      <c r="E18" s="1">
        <v>3.28</v>
      </c>
      <c r="F18" s="1">
        <v>22.12</v>
      </c>
      <c r="G18" s="1">
        <v>66.34</v>
      </c>
      <c r="H18" s="1">
        <v>71.180000000000007</v>
      </c>
      <c r="I18" s="1">
        <v>64.58</v>
      </c>
    </row>
    <row r="19" spans="1:15" ht="18.75" thickTop="1" thickBot="1" x14ac:dyDescent="0.5">
      <c r="A19" s="3">
        <v>6</v>
      </c>
      <c r="B19" s="2">
        <v>71.67</v>
      </c>
      <c r="C19" s="1">
        <v>70.209999999999994</v>
      </c>
      <c r="D19" s="1">
        <v>70.7</v>
      </c>
      <c r="E19" s="1">
        <v>71.36</v>
      </c>
      <c r="F19" s="1">
        <v>67.87</v>
      </c>
      <c r="G19" s="1">
        <v>18.37</v>
      </c>
      <c r="H19" s="1">
        <v>2.13</v>
      </c>
      <c r="I19" s="1">
        <v>12.21</v>
      </c>
      <c r="K19" s="63" t="s">
        <v>23</v>
      </c>
      <c r="L19" s="64">
        <v>8</v>
      </c>
    </row>
    <row r="20" spans="1:15" ht="14.65" thickTop="1" x14ac:dyDescent="0.45">
      <c r="A20" s="3">
        <v>7</v>
      </c>
      <c r="B20" s="2">
        <v>72.55</v>
      </c>
      <c r="C20" s="1">
        <v>71.09</v>
      </c>
      <c r="D20" s="1">
        <v>71.58</v>
      </c>
      <c r="E20" s="1">
        <v>72.239999999999995</v>
      </c>
      <c r="F20" s="1">
        <v>68.53</v>
      </c>
      <c r="G20" s="1">
        <v>18.59</v>
      </c>
      <c r="H20" s="1">
        <v>2.33</v>
      </c>
      <c r="I20" s="1">
        <v>12.65</v>
      </c>
      <c r="K20" s="41" t="s">
        <v>46</v>
      </c>
      <c r="L20" s="56">
        <f>IF(OR(cenario=7, cenario=8), 1.5, 1)</f>
        <v>1.5</v>
      </c>
      <c r="N20" s="73" t="s">
        <v>48</v>
      </c>
      <c r="O20" s="73"/>
    </row>
    <row r="21" spans="1:15" x14ac:dyDescent="0.45">
      <c r="A21" s="3">
        <v>8</v>
      </c>
      <c r="B21" s="2">
        <v>1.88</v>
      </c>
      <c r="C21" s="1">
        <v>0.4</v>
      </c>
      <c r="D21" s="1">
        <v>1</v>
      </c>
      <c r="E21" s="1">
        <v>1.58</v>
      </c>
      <c r="F21" s="1">
        <v>20.52</v>
      </c>
      <c r="G21" s="1">
        <v>64.739999999999995</v>
      </c>
      <c r="H21" s="1">
        <v>69.58</v>
      </c>
      <c r="I21" s="1">
        <v>62.98</v>
      </c>
    </row>
    <row r="22" spans="1:15" x14ac:dyDescent="0.45">
      <c r="A22" s="3">
        <v>9</v>
      </c>
      <c r="B22" s="1">
        <v>69.03</v>
      </c>
      <c r="C22" s="1">
        <v>67.569999999999993</v>
      </c>
      <c r="D22" s="1">
        <v>68.06</v>
      </c>
      <c r="E22" s="1">
        <v>68.72</v>
      </c>
      <c r="F22" s="1">
        <v>64.680000000000007</v>
      </c>
      <c r="G22" s="1">
        <v>15.51</v>
      </c>
      <c r="H22" s="1">
        <v>2.4300000000000002</v>
      </c>
      <c r="I22" s="1">
        <v>9</v>
      </c>
    </row>
    <row r="24" spans="1:15" x14ac:dyDescent="0.45">
      <c r="A24" s="21" t="s">
        <v>28</v>
      </c>
      <c r="B24" s="22"/>
      <c r="C24" s="22"/>
      <c r="F24" s="21" t="s">
        <v>27</v>
      </c>
      <c r="G24" s="22"/>
      <c r="K24" s="21" t="s">
        <v>16</v>
      </c>
    </row>
    <row r="25" spans="1:15" ht="14.65" thickBot="1" x14ac:dyDescent="0.5">
      <c r="A25" s="8" t="s">
        <v>1</v>
      </c>
      <c r="B25" s="32">
        <v>1</v>
      </c>
      <c r="C25" s="32">
        <v>2</v>
      </c>
      <c r="D25" s="32">
        <v>3</v>
      </c>
      <c r="F25" s="20" t="s">
        <v>14</v>
      </c>
      <c r="G25" s="20" t="s">
        <v>15</v>
      </c>
      <c r="H25" s="20" t="s">
        <v>19</v>
      </c>
      <c r="I25" s="35" t="s">
        <v>17</v>
      </c>
      <c r="K25" s="20" t="s">
        <v>25</v>
      </c>
      <c r="L25" s="20" t="s">
        <v>15</v>
      </c>
      <c r="M25" s="20" t="s">
        <v>19</v>
      </c>
      <c r="N25" s="35" t="s">
        <v>17</v>
      </c>
    </row>
    <row r="26" spans="1:15" ht="14.65" thickTop="1" x14ac:dyDescent="0.45">
      <c r="A26" s="4">
        <v>1</v>
      </c>
      <c r="B26" s="5">
        <v>8.18</v>
      </c>
      <c r="C26" s="6">
        <v>6.73</v>
      </c>
      <c r="D26" s="6">
        <v>7.22</v>
      </c>
      <c r="F26" s="17">
        <v>1</v>
      </c>
      <c r="G26" s="17">
        <f>160*$L$20</f>
        <v>240</v>
      </c>
      <c r="H26" s="17">
        <f>30*$L$20</f>
        <v>45</v>
      </c>
      <c r="I26" s="36">
        <f>10*$L$20</f>
        <v>15</v>
      </c>
      <c r="K26" s="1">
        <v>1</v>
      </c>
      <c r="L26" s="1">
        <f>170*$L$20</f>
        <v>255</v>
      </c>
      <c r="M26" s="1">
        <f>30*$L$20</f>
        <v>45</v>
      </c>
      <c r="N26" s="37">
        <f>0*$L$20</f>
        <v>0</v>
      </c>
    </row>
    <row r="27" spans="1:15" x14ac:dyDescent="0.45">
      <c r="A27" s="3">
        <v>2</v>
      </c>
      <c r="B27" s="2">
        <v>29.98</v>
      </c>
      <c r="C27" s="1">
        <v>28.52</v>
      </c>
      <c r="D27" s="1">
        <v>29.01</v>
      </c>
      <c r="F27" s="17">
        <v>2</v>
      </c>
      <c r="G27" s="17">
        <f>30*$L$20</f>
        <v>45</v>
      </c>
      <c r="H27" s="17">
        <f>250*$L$20</f>
        <v>375</v>
      </c>
      <c r="I27" s="36">
        <f>20*$L$20</f>
        <v>30</v>
      </c>
      <c r="K27" s="1">
        <v>2</v>
      </c>
      <c r="L27" s="1">
        <f>200*$L$20</f>
        <v>300</v>
      </c>
      <c r="M27" s="1">
        <f>400*$L$20</f>
        <v>600</v>
      </c>
      <c r="N27" s="37">
        <f>200*$L$20</f>
        <v>300</v>
      </c>
    </row>
    <row r="28" spans="1:15" x14ac:dyDescent="0.45">
      <c r="A28" s="3">
        <v>3</v>
      </c>
      <c r="B28" s="2">
        <v>18.100000000000001</v>
      </c>
      <c r="C28" s="1">
        <v>16.64</v>
      </c>
      <c r="D28" s="1">
        <v>17.13</v>
      </c>
      <c r="F28" s="17">
        <v>3</v>
      </c>
      <c r="G28" s="17">
        <f>120*$L$20</f>
        <v>180</v>
      </c>
      <c r="H28" s="17">
        <f>100*$L$20</f>
        <v>150</v>
      </c>
      <c r="I28" s="36">
        <f>20*$L$20</f>
        <v>30</v>
      </c>
      <c r="K28" s="1">
        <v>3</v>
      </c>
      <c r="L28" s="1">
        <f>450*$L$20</f>
        <v>675</v>
      </c>
      <c r="M28" s="1">
        <f>400*$L$20</f>
        <v>600</v>
      </c>
      <c r="N28" s="37">
        <f>50*$L$20</f>
        <v>75</v>
      </c>
    </row>
    <row r="29" spans="1:15" x14ac:dyDescent="0.45">
      <c r="A29" s="3">
        <v>4</v>
      </c>
      <c r="B29" s="2">
        <v>22.06</v>
      </c>
      <c r="C29" s="1">
        <v>20.6</v>
      </c>
      <c r="D29" s="1">
        <v>21.09</v>
      </c>
      <c r="F29" s="17">
        <v>4</v>
      </c>
      <c r="G29" s="17">
        <f>160*$L$20</f>
        <v>240</v>
      </c>
      <c r="H29" s="17">
        <f>15*$L$20</f>
        <v>22.5</v>
      </c>
      <c r="I29" s="36">
        <f>0*$L$20</f>
        <v>0</v>
      </c>
    </row>
    <row r="30" spans="1:15" x14ac:dyDescent="0.45">
      <c r="A30" s="3">
        <v>5</v>
      </c>
      <c r="B30" s="2">
        <v>33.28</v>
      </c>
      <c r="C30" s="1">
        <v>31.82</v>
      </c>
      <c r="D30" s="1">
        <v>32.31</v>
      </c>
      <c r="F30" s="17">
        <v>5</v>
      </c>
      <c r="G30" s="17">
        <f>75*$L$20</f>
        <v>112.5</v>
      </c>
      <c r="H30" s="17">
        <f>40*$L$20</f>
        <v>60</v>
      </c>
      <c r="I30" s="36">
        <f>35*$L$20</f>
        <v>52.5</v>
      </c>
    </row>
    <row r="31" spans="1:15" x14ac:dyDescent="0.45">
      <c r="A31" s="3">
        <v>6</v>
      </c>
      <c r="B31" s="2">
        <v>18.760000000000002</v>
      </c>
      <c r="C31" s="1">
        <v>17.3</v>
      </c>
      <c r="D31" s="1">
        <v>17.79</v>
      </c>
      <c r="F31" s="17">
        <v>6</v>
      </c>
      <c r="G31" s="17">
        <f>180*$L$20</f>
        <v>270</v>
      </c>
      <c r="H31" s="17">
        <f>100*$L$20</f>
        <v>150</v>
      </c>
      <c r="I31" s="36">
        <f>50*$L$20</f>
        <v>75</v>
      </c>
    </row>
    <row r="32" spans="1:15" x14ac:dyDescent="0.45">
      <c r="A32" s="3">
        <v>7</v>
      </c>
      <c r="B32" s="2">
        <v>22.61</v>
      </c>
      <c r="C32" s="1">
        <v>21.15</v>
      </c>
      <c r="D32" s="1">
        <v>21.64</v>
      </c>
      <c r="F32" s="17">
        <v>7</v>
      </c>
      <c r="G32" s="17">
        <f>45*$L$20</f>
        <v>67.5</v>
      </c>
      <c r="H32" s="17">
        <f>55*$L$20</f>
        <v>82.5</v>
      </c>
      <c r="I32" s="36">
        <f>50*$L$20</f>
        <v>75</v>
      </c>
    </row>
    <row r="33" spans="1:26" x14ac:dyDescent="0.45">
      <c r="A33" s="3">
        <v>8</v>
      </c>
      <c r="B33" s="2">
        <v>14.69</v>
      </c>
      <c r="C33" s="1">
        <v>13.23</v>
      </c>
      <c r="D33" s="1">
        <v>13.72</v>
      </c>
      <c r="F33" s="17">
        <v>8</v>
      </c>
      <c r="G33" s="17">
        <f>25*$L$20</f>
        <v>37.5</v>
      </c>
      <c r="H33" s="17">
        <f>55*$L$20</f>
        <v>82.5</v>
      </c>
      <c r="I33" s="36">
        <f>25*$L$20</f>
        <v>37.5</v>
      </c>
    </row>
    <row r="34" spans="1:26" x14ac:dyDescent="0.45">
      <c r="F34" s="18">
        <v>9</v>
      </c>
      <c r="G34" s="18">
        <f>25*$L$20</f>
        <v>37.5</v>
      </c>
      <c r="H34" s="18">
        <f>200*$L$20</f>
        <v>300</v>
      </c>
      <c r="I34" s="36">
        <f>25*$L$20</f>
        <v>37.5</v>
      </c>
    </row>
    <row r="36" spans="1:26" ht="14.65" thickBot="1" x14ac:dyDescent="0.5">
      <c r="A36" s="21" t="s">
        <v>26</v>
      </c>
      <c r="B36" s="21"/>
      <c r="C36" s="21"/>
      <c r="D36" s="21"/>
      <c r="E36" s="21"/>
    </row>
    <row r="37" spans="1:26" ht="100.5" thickTop="1" thickBot="1" x14ac:dyDescent="0.5">
      <c r="A37" s="46" t="s">
        <v>2</v>
      </c>
      <c r="B37" s="46" t="s">
        <v>3</v>
      </c>
      <c r="C37" s="46" t="s">
        <v>12</v>
      </c>
      <c r="D37" s="46" t="s">
        <v>4</v>
      </c>
      <c r="E37" s="46" t="s">
        <v>5</v>
      </c>
      <c r="F37" s="46" t="s">
        <v>6</v>
      </c>
      <c r="G37" s="46" t="s">
        <v>7</v>
      </c>
      <c r="H37" s="58" t="s">
        <v>8</v>
      </c>
      <c r="I37" s="62" t="s">
        <v>47</v>
      </c>
      <c r="J37" s="59" t="s">
        <v>49</v>
      </c>
    </row>
    <row r="38" spans="1:26" x14ac:dyDescent="0.45">
      <c r="A38" s="47">
        <v>1</v>
      </c>
      <c r="B38" s="44">
        <v>1089</v>
      </c>
      <c r="C38" s="44">
        <v>200</v>
      </c>
      <c r="D38" s="44">
        <v>217800</v>
      </c>
      <c r="E38" s="44">
        <v>751138</v>
      </c>
      <c r="F38" s="44">
        <v>70000</v>
      </c>
      <c r="G38" s="44">
        <v>1038938</v>
      </c>
      <c r="H38" s="45">
        <v>2164</v>
      </c>
      <c r="I38" s="65">
        <f>INDEX($E$3:$L$19, MATCH($L$19, $A$3:$A$19, 0), MATCH($A38, $E$2:$L$2, 0))</f>
        <v>1000</v>
      </c>
      <c r="J38" s="60">
        <f>I38*H38/B38</f>
        <v>1987.1441689623507</v>
      </c>
      <c r="K38" s="43"/>
    </row>
    <row r="39" spans="1:26" x14ac:dyDescent="0.45">
      <c r="A39" s="25">
        <v>2</v>
      </c>
      <c r="B39" s="9">
        <v>2273</v>
      </c>
      <c r="C39" s="9">
        <v>200</v>
      </c>
      <c r="D39" s="9">
        <v>113650</v>
      </c>
      <c r="E39" s="9">
        <v>1567802</v>
      </c>
      <c r="F39" s="9">
        <v>140000</v>
      </c>
      <c r="G39" s="9">
        <v>1821452</v>
      </c>
      <c r="H39" s="10">
        <v>3795</v>
      </c>
      <c r="I39" s="66">
        <f t="shared" ref="I39:I45" si="0">INDEX($E$3:$L$19, MATCH($L$19, $A$3:$A$19, 0), MATCH($A39, $E$2:$L$2, 0))</f>
        <v>1000</v>
      </c>
      <c r="J39" s="61">
        <f t="shared" ref="J39:J45" si="1">I39*H39/B39</f>
        <v>1669.599648042235</v>
      </c>
    </row>
    <row r="40" spans="1:26" x14ac:dyDescent="0.45">
      <c r="A40" s="25">
        <v>3</v>
      </c>
      <c r="B40" s="9">
        <v>873</v>
      </c>
      <c r="C40" s="9">
        <v>200</v>
      </c>
      <c r="D40" s="9">
        <v>43650</v>
      </c>
      <c r="E40" s="9">
        <v>602152</v>
      </c>
      <c r="F40" s="9">
        <v>70000</v>
      </c>
      <c r="G40" s="9">
        <v>715802</v>
      </c>
      <c r="H40" s="10">
        <v>1491</v>
      </c>
      <c r="I40" s="66">
        <f t="shared" si="0"/>
        <v>1000</v>
      </c>
      <c r="J40" s="61">
        <f t="shared" si="1"/>
        <v>1707.9037800687286</v>
      </c>
    </row>
    <row r="41" spans="1:26" s="7" customFormat="1" x14ac:dyDescent="0.45">
      <c r="A41" s="25">
        <v>4</v>
      </c>
      <c r="B41" s="9">
        <v>1500</v>
      </c>
      <c r="C41" s="9">
        <v>200</v>
      </c>
      <c r="D41" s="9">
        <v>75000</v>
      </c>
      <c r="E41" s="9">
        <v>1034625</v>
      </c>
      <c r="F41" s="9">
        <v>105000</v>
      </c>
      <c r="G41" s="9">
        <v>1214625</v>
      </c>
      <c r="H41" s="10">
        <v>2530</v>
      </c>
      <c r="I41" s="66">
        <f t="shared" si="0"/>
        <v>1000</v>
      </c>
      <c r="J41" s="61">
        <f t="shared" si="1"/>
        <v>1686.6666666666667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x14ac:dyDescent="0.45">
      <c r="A42" s="25">
        <v>5</v>
      </c>
      <c r="B42" s="9">
        <v>1500</v>
      </c>
      <c r="C42" s="9">
        <v>300</v>
      </c>
      <c r="D42" s="9">
        <v>450000</v>
      </c>
      <c r="E42" s="9">
        <v>1034625</v>
      </c>
      <c r="F42" s="9">
        <v>105000</v>
      </c>
      <c r="G42" s="9">
        <v>1589625</v>
      </c>
      <c r="H42" s="10">
        <v>3312</v>
      </c>
      <c r="I42" s="66">
        <f t="shared" si="0"/>
        <v>1000</v>
      </c>
      <c r="J42" s="61">
        <f t="shared" si="1"/>
        <v>2208</v>
      </c>
    </row>
    <row r="43" spans="1:26" x14ac:dyDescent="0.45">
      <c r="A43" s="25">
        <v>6</v>
      </c>
      <c r="B43" s="9">
        <v>1500</v>
      </c>
      <c r="C43" s="9">
        <v>60</v>
      </c>
      <c r="D43" s="9">
        <v>89310</v>
      </c>
      <c r="E43" s="9">
        <v>1034625</v>
      </c>
      <c r="F43" s="9">
        <v>105000</v>
      </c>
      <c r="G43" s="9">
        <v>1228935</v>
      </c>
      <c r="H43" s="10">
        <v>2560</v>
      </c>
      <c r="I43" s="66">
        <f t="shared" si="0"/>
        <v>1000</v>
      </c>
      <c r="J43" s="61">
        <f t="shared" si="1"/>
        <v>1706.6666666666667</v>
      </c>
    </row>
    <row r="44" spans="1:26" x14ac:dyDescent="0.45">
      <c r="A44" s="25">
        <v>7</v>
      </c>
      <c r="B44" s="9">
        <v>1500</v>
      </c>
      <c r="C44" s="9">
        <v>194</v>
      </c>
      <c r="D44" s="9">
        <v>291660</v>
      </c>
      <c r="E44" s="9">
        <v>1034625</v>
      </c>
      <c r="F44" s="9">
        <v>105000</v>
      </c>
      <c r="G44" s="9">
        <v>1431285</v>
      </c>
      <c r="H44" s="10">
        <v>2982</v>
      </c>
      <c r="I44" s="66">
        <f t="shared" si="0"/>
        <v>1000</v>
      </c>
      <c r="J44" s="61">
        <f t="shared" si="1"/>
        <v>1988</v>
      </c>
    </row>
    <row r="45" spans="1:26" ht="14.65" thickBot="1" x14ac:dyDescent="0.5">
      <c r="A45" s="25">
        <v>8</v>
      </c>
      <c r="B45" s="9">
        <v>1500</v>
      </c>
      <c r="C45" s="9">
        <v>550</v>
      </c>
      <c r="D45" s="9">
        <v>825000</v>
      </c>
      <c r="E45" s="9">
        <v>1034625</v>
      </c>
      <c r="F45" s="9">
        <v>105000</v>
      </c>
      <c r="G45" s="9">
        <v>1964625</v>
      </c>
      <c r="H45" s="10">
        <v>4093</v>
      </c>
      <c r="I45" s="67">
        <f t="shared" si="0"/>
        <v>1000</v>
      </c>
      <c r="J45" s="61">
        <f t="shared" si="1"/>
        <v>2728.6666666666665</v>
      </c>
    </row>
    <row r="46" spans="1:26" ht="14.65" thickTop="1" x14ac:dyDescent="0.45"/>
    <row r="47" spans="1:26" x14ac:dyDescent="0.45">
      <c r="A47" s="21" t="s">
        <v>53</v>
      </c>
      <c r="B47" s="22"/>
      <c r="C47" s="22"/>
      <c r="D47" s="22"/>
    </row>
    <row r="48" spans="1:26" ht="42.75" x14ac:dyDescent="0.45">
      <c r="A48" s="18" t="s">
        <v>21</v>
      </c>
      <c r="B48" s="26" t="s">
        <v>18</v>
      </c>
      <c r="C48" s="27">
        <v>1</v>
      </c>
      <c r="D48" s="27">
        <v>2</v>
      </c>
      <c r="E48" s="28">
        <v>3</v>
      </c>
      <c r="F48" s="28">
        <v>4</v>
      </c>
      <c r="G48" s="28">
        <v>5</v>
      </c>
      <c r="H48" s="28">
        <v>6</v>
      </c>
      <c r="I48" s="28">
        <v>7</v>
      </c>
      <c r="J48" s="28">
        <v>8</v>
      </c>
    </row>
    <row r="49" spans="1:11" x14ac:dyDescent="0.45">
      <c r="A49" s="18">
        <v>1</v>
      </c>
      <c r="B49" s="29">
        <v>2736</v>
      </c>
      <c r="C49" s="30">
        <v>5959.0079999999998</v>
      </c>
      <c r="D49" s="30">
        <v>12437.856000000002</v>
      </c>
      <c r="E49" s="30">
        <v>4777.0559999999996</v>
      </c>
      <c r="F49" s="30">
        <v>8208</v>
      </c>
      <c r="G49" s="30">
        <v>8208</v>
      </c>
      <c r="H49" s="30">
        <v>8208</v>
      </c>
      <c r="I49" s="30">
        <v>8208</v>
      </c>
      <c r="J49" s="30">
        <v>8208</v>
      </c>
      <c r="K49" s="57">
        <f>SUM(C49:J49)</f>
        <v>64213.919999999998</v>
      </c>
    </row>
    <row r="50" spans="1:11" x14ac:dyDescent="0.45">
      <c r="A50" s="18">
        <v>2</v>
      </c>
      <c r="B50" s="31">
        <v>2736</v>
      </c>
      <c r="C50" s="30">
        <v>5959.0079999999998</v>
      </c>
      <c r="D50" s="30">
        <v>12437.856000000002</v>
      </c>
      <c r="E50" s="30">
        <v>4777.0559999999996</v>
      </c>
      <c r="F50" s="30">
        <v>8208</v>
      </c>
      <c r="G50" s="30">
        <v>8208</v>
      </c>
      <c r="H50" s="30">
        <v>8208</v>
      </c>
      <c r="I50" s="30">
        <v>8208</v>
      </c>
      <c r="J50" s="30">
        <v>8208</v>
      </c>
      <c r="K50" s="57">
        <f t="shared" ref="K50:K56" si="2">SUM(C50:J50)</f>
        <v>64213.919999999998</v>
      </c>
    </row>
    <row r="51" spans="1:11" x14ac:dyDescent="0.45">
      <c r="A51" s="18">
        <v>3</v>
      </c>
      <c r="B51" s="31">
        <v>2736</v>
      </c>
      <c r="C51" s="30">
        <v>5959.0079999999998</v>
      </c>
      <c r="D51" s="30">
        <v>12437.856000000002</v>
      </c>
      <c r="E51" s="30">
        <v>4777.0559999999996</v>
      </c>
      <c r="F51" s="30">
        <v>8208</v>
      </c>
      <c r="G51" s="30">
        <v>8208</v>
      </c>
      <c r="H51" s="30">
        <v>8208</v>
      </c>
      <c r="I51" s="30">
        <v>8208</v>
      </c>
      <c r="J51" s="30">
        <v>8208</v>
      </c>
      <c r="K51" s="57">
        <f t="shared" si="2"/>
        <v>64213.919999999998</v>
      </c>
    </row>
    <row r="52" spans="1:11" x14ac:dyDescent="0.45">
      <c r="A52" s="18">
        <v>4</v>
      </c>
      <c r="B52" s="31">
        <v>2736</v>
      </c>
      <c r="C52" s="30">
        <v>10944</v>
      </c>
      <c r="D52" s="30">
        <v>10944</v>
      </c>
      <c r="E52" s="30">
        <v>10944</v>
      </c>
      <c r="F52" s="30">
        <v>10944</v>
      </c>
      <c r="G52" s="30">
        <v>10944</v>
      </c>
      <c r="H52" s="30">
        <v>10944</v>
      </c>
      <c r="I52" s="30">
        <v>10944</v>
      </c>
      <c r="J52" s="30">
        <v>10944</v>
      </c>
      <c r="K52" s="57">
        <f t="shared" si="2"/>
        <v>87552</v>
      </c>
    </row>
    <row r="53" spans="1:11" x14ac:dyDescent="0.45">
      <c r="A53" s="18">
        <v>5</v>
      </c>
      <c r="B53" s="31">
        <v>2736</v>
      </c>
      <c r="C53" s="30">
        <v>5472</v>
      </c>
      <c r="D53" s="30">
        <v>5472</v>
      </c>
      <c r="E53" s="30">
        <v>5472</v>
      </c>
      <c r="F53" s="30">
        <v>5472</v>
      </c>
      <c r="G53" s="30">
        <v>5472</v>
      </c>
      <c r="H53" s="30">
        <v>5472</v>
      </c>
      <c r="I53" s="30">
        <v>5472</v>
      </c>
      <c r="J53" s="30">
        <v>5472</v>
      </c>
      <c r="K53" s="57">
        <f t="shared" si="2"/>
        <v>43776</v>
      </c>
    </row>
    <row r="54" spans="1:11" x14ac:dyDescent="0.45">
      <c r="A54" s="18">
        <v>6</v>
      </c>
      <c r="B54" s="31">
        <v>2736</v>
      </c>
      <c r="C54" s="30">
        <v>2736</v>
      </c>
      <c r="D54" s="30">
        <v>2736</v>
      </c>
      <c r="E54" s="30">
        <v>2736</v>
      </c>
      <c r="F54" s="30">
        <v>2736</v>
      </c>
      <c r="G54" s="30">
        <v>2736</v>
      </c>
      <c r="H54" s="30">
        <v>2736</v>
      </c>
      <c r="I54" s="30">
        <v>2736</v>
      </c>
      <c r="J54" s="30">
        <v>2736</v>
      </c>
      <c r="K54" s="57">
        <f t="shared" si="2"/>
        <v>21888</v>
      </c>
    </row>
    <row r="55" spans="1:11" x14ac:dyDescent="0.45">
      <c r="A55" s="18">
        <v>7</v>
      </c>
      <c r="B55" s="31">
        <v>2736</v>
      </c>
      <c r="C55" s="30">
        <v>5959.0079999999998</v>
      </c>
      <c r="D55" s="30">
        <v>12437.856000000002</v>
      </c>
      <c r="E55" s="30">
        <v>4777.0559999999996</v>
      </c>
      <c r="F55" s="30">
        <v>8208</v>
      </c>
      <c r="G55" s="30">
        <v>8208</v>
      </c>
      <c r="H55" s="30">
        <v>8208</v>
      </c>
      <c r="I55" s="30">
        <v>8208</v>
      </c>
      <c r="J55" s="30">
        <v>8208</v>
      </c>
      <c r="K55" s="57">
        <f t="shared" si="2"/>
        <v>64213.919999999998</v>
      </c>
    </row>
    <row r="56" spans="1:11" x14ac:dyDescent="0.45">
      <c r="A56" s="18">
        <v>8</v>
      </c>
      <c r="B56" s="31">
        <v>2736</v>
      </c>
      <c r="C56" s="30">
        <v>5472</v>
      </c>
      <c r="D56" s="30">
        <v>5472</v>
      </c>
      <c r="E56" s="30">
        <v>5472</v>
      </c>
      <c r="F56" s="30">
        <v>5472</v>
      </c>
      <c r="G56" s="30">
        <v>5472</v>
      </c>
      <c r="H56" s="30">
        <v>5472</v>
      </c>
      <c r="I56" s="30">
        <v>5472</v>
      </c>
      <c r="J56" s="30">
        <v>5472</v>
      </c>
      <c r="K56" s="57">
        <f t="shared" si="2"/>
        <v>43776</v>
      </c>
    </row>
    <row r="58" spans="1:11" x14ac:dyDescent="0.45">
      <c r="A58" s="80" t="s">
        <v>32</v>
      </c>
      <c r="B58" s="80"/>
      <c r="C58" s="80"/>
      <c r="D58" s="80"/>
      <c r="E58" s="80"/>
      <c r="F58" s="80"/>
      <c r="G58" s="80"/>
      <c r="H58" s="80"/>
      <c r="I58" s="80"/>
      <c r="J58" s="80"/>
    </row>
    <row r="60" spans="1:11" ht="14.65" thickBot="1" x14ac:dyDescent="0.5">
      <c r="B60" s="16"/>
      <c r="C60" s="16"/>
      <c r="D60" s="16"/>
      <c r="E60" s="78" t="s">
        <v>20</v>
      </c>
      <c r="F60" s="78"/>
      <c r="G60" s="78"/>
      <c r="H60" s="78"/>
      <c r="I60" s="78"/>
    </row>
    <row r="61" spans="1:11" ht="39" customHeight="1" x14ac:dyDescent="0.45">
      <c r="A61" s="81" t="s">
        <v>23</v>
      </c>
      <c r="B61" s="18" t="s">
        <v>33</v>
      </c>
      <c r="C61" s="18" t="s">
        <v>34</v>
      </c>
      <c r="D61" s="18" t="s">
        <v>35</v>
      </c>
      <c r="E61" s="39" t="s">
        <v>36</v>
      </c>
      <c r="F61" s="39" t="s">
        <v>37</v>
      </c>
      <c r="G61" s="39" t="s">
        <v>38</v>
      </c>
      <c r="H61" s="39" t="s">
        <v>39</v>
      </c>
      <c r="I61" s="39" t="s">
        <v>40</v>
      </c>
    </row>
    <row r="62" spans="1:11" x14ac:dyDescent="0.45">
      <c r="A62" s="82"/>
      <c r="B62" s="38" t="s">
        <v>41</v>
      </c>
      <c r="C62" s="38" t="s">
        <v>42</v>
      </c>
      <c r="D62" s="38" t="s">
        <v>42</v>
      </c>
      <c r="E62" s="79" t="s">
        <v>43</v>
      </c>
      <c r="F62" s="79"/>
      <c r="G62" s="79"/>
      <c r="H62" s="79"/>
      <c r="I62" s="79"/>
    </row>
    <row r="63" spans="1:11" x14ac:dyDescent="0.45">
      <c r="A63" s="20">
        <v>1</v>
      </c>
      <c r="B63" s="36">
        <v>16</v>
      </c>
      <c r="C63" s="40">
        <v>8</v>
      </c>
      <c r="D63" s="40">
        <v>2</v>
      </c>
      <c r="E63" s="70">
        <v>5146</v>
      </c>
      <c r="F63" s="70">
        <v>14167.008</v>
      </c>
      <c r="G63" s="70">
        <v>6484.5</v>
      </c>
      <c r="H63" s="70">
        <v>32822.199999999997</v>
      </c>
      <c r="I63" s="70">
        <v>58619.707999999999</v>
      </c>
    </row>
    <row r="64" spans="1:11" x14ac:dyDescent="0.45">
      <c r="A64" s="20">
        <v>2</v>
      </c>
      <c r="B64" s="36">
        <v>27.5</v>
      </c>
      <c r="C64" s="40">
        <v>8</v>
      </c>
      <c r="D64" s="40">
        <v>2</v>
      </c>
      <c r="E64" s="70">
        <v>5146</v>
      </c>
      <c r="F64" s="70">
        <v>14167.008</v>
      </c>
      <c r="G64" s="70">
        <v>5871.8275000000003</v>
      </c>
      <c r="H64" s="70">
        <v>30178.761249999996</v>
      </c>
      <c r="I64" s="70">
        <v>55363.596749999997</v>
      </c>
    </row>
    <row r="65" spans="1:10" x14ac:dyDescent="0.45">
      <c r="A65" s="20">
        <v>3</v>
      </c>
      <c r="B65" s="36">
        <v>40</v>
      </c>
      <c r="C65" s="40">
        <v>8</v>
      </c>
      <c r="D65" s="40">
        <v>2</v>
      </c>
      <c r="E65" s="70">
        <v>5146</v>
      </c>
      <c r="F65" s="70">
        <v>14167.008</v>
      </c>
      <c r="G65" s="70">
        <v>5763.2</v>
      </c>
      <c r="H65" s="70">
        <v>27133.4</v>
      </c>
      <c r="I65" s="70">
        <v>52209.608000000007</v>
      </c>
    </row>
    <row r="66" spans="1:10" x14ac:dyDescent="0.45">
      <c r="A66" s="20">
        <v>4</v>
      </c>
      <c r="B66" s="36">
        <v>40</v>
      </c>
      <c r="C66" s="40">
        <v>8</v>
      </c>
      <c r="D66" s="40">
        <v>2</v>
      </c>
      <c r="E66" s="70">
        <v>7950.2883379247014</v>
      </c>
      <c r="F66" s="70">
        <v>21888</v>
      </c>
      <c r="G66" s="70">
        <v>5763.2</v>
      </c>
      <c r="H66" s="70">
        <v>27133.4</v>
      </c>
      <c r="I66" s="70">
        <v>62734.888337924698</v>
      </c>
    </row>
    <row r="67" spans="1:10" x14ac:dyDescent="0.45">
      <c r="A67" s="20">
        <v>5</v>
      </c>
      <c r="B67" s="36">
        <v>40</v>
      </c>
      <c r="C67" s="40">
        <v>8</v>
      </c>
      <c r="D67" s="40">
        <v>2</v>
      </c>
      <c r="E67" s="70">
        <v>3975.1441689623507</v>
      </c>
      <c r="F67" s="70">
        <v>10944</v>
      </c>
      <c r="G67" s="70">
        <v>11170.8</v>
      </c>
      <c r="H67" s="70">
        <v>27710.199999999997</v>
      </c>
      <c r="I67" s="70">
        <v>53800.144168962346</v>
      </c>
    </row>
    <row r="68" spans="1:10" x14ac:dyDescent="0.45">
      <c r="A68" s="20">
        <v>6</v>
      </c>
      <c r="B68" s="36">
        <v>40</v>
      </c>
      <c r="C68" s="40">
        <v>8</v>
      </c>
      <c r="D68" s="40">
        <v>5</v>
      </c>
      <c r="E68" s="70">
        <v>5049.1906399999998</v>
      </c>
      <c r="F68" s="70">
        <v>13680</v>
      </c>
      <c r="G68" s="70">
        <v>6706.6</v>
      </c>
      <c r="H68" s="70">
        <v>30997.200000000001</v>
      </c>
      <c r="I68" s="70">
        <v>56432.99</v>
      </c>
    </row>
    <row r="69" spans="1:10" x14ac:dyDescent="0.45">
      <c r="A69" s="20">
        <v>7</v>
      </c>
      <c r="B69" s="36">
        <v>40</v>
      </c>
      <c r="C69" s="40">
        <v>8</v>
      </c>
      <c r="D69" s="40">
        <v>3</v>
      </c>
      <c r="E69" s="70">
        <v>6637</v>
      </c>
      <c r="F69" s="70">
        <v>18944.063999999998</v>
      </c>
      <c r="G69" s="70">
        <v>6266.8000000000011</v>
      </c>
      <c r="H69" s="70">
        <v>45257.2</v>
      </c>
      <c r="I69" s="70">
        <v>77105.063999999998</v>
      </c>
    </row>
    <row r="70" spans="1:10" x14ac:dyDescent="0.45">
      <c r="A70" s="20">
        <v>8</v>
      </c>
      <c r="B70" s="36">
        <v>40</v>
      </c>
      <c r="C70" s="40">
        <v>8</v>
      </c>
      <c r="D70" s="40">
        <v>3</v>
      </c>
      <c r="E70" s="70">
        <v>5683.047949031079</v>
      </c>
      <c r="F70" s="70">
        <v>16416</v>
      </c>
      <c r="G70" s="70">
        <v>6039.6</v>
      </c>
      <c r="H70" s="70">
        <v>46050.000000000007</v>
      </c>
      <c r="I70" s="70">
        <v>74188.647949031089</v>
      </c>
    </row>
    <row r="73" spans="1:10" x14ac:dyDescent="0.45">
      <c r="A73" s="19" t="s">
        <v>45</v>
      </c>
    </row>
    <row r="74" spans="1:10" x14ac:dyDescent="0.45">
      <c r="A74" s="1" t="s">
        <v>44</v>
      </c>
      <c r="B74" s="71">
        <v>1</v>
      </c>
      <c r="C74" s="71">
        <v>2</v>
      </c>
      <c r="D74" s="71">
        <v>3</v>
      </c>
      <c r="E74" s="71">
        <v>4</v>
      </c>
      <c r="F74" s="71">
        <v>5</v>
      </c>
      <c r="G74" s="71">
        <v>6</v>
      </c>
      <c r="H74" s="71">
        <v>7</v>
      </c>
      <c r="I74" s="71">
        <v>8</v>
      </c>
    </row>
    <row r="75" spans="1:10" x14ac:dyDescent="0.45">
      <c r="A75" s="11">
        <v>1</v>
      </c>
      <c r="B75" s="72">
        <v>1</v>
      </c>
      <c r="C75" s="72">
        <v>0</v>
      </c>
      <c r="D75" s="72">
        <v>0</v>
      </c>
      <c r="E75" s="72">
        <v>0</v>
      </c>
      <c r="F75" s="72">
        <v>0</v>
      </c>
      <c r="G75" s="72">
        <v>0</v>
      </c>
      <c r="H75" s="72">
        <v>1</v>
      </c>
      <c r="I75" s="72">
        <v>0</v>
      </c>
      <c r="J75" s="68">
        <f>SUM(B75:I75)</f>
        <v>2</v>
      </c>
    </row>
    <row r="76" spans="1:10" x14ac:dyDescent="0.45">
      <c r="A76" s="11">
        <v>2</v>
      </c>
      <c r="B76" s="72">
        <v>1</v>
      </c>
      <c r="C76" s="72">
        <v>0</v>
      </c>
      <c r="D76" s="72">
        <v>0</v>
      </c>
      <c r="E76" s="72">
        <v>0</v>
      </c>
      <c r="F76" s="72">
        <v>0</v>
      </c>
      <c r="G76" s="72">
        <v>0</v>
      </c>
      <c r="H76" s="72">
        <v>1</v>
      </c>
      <c r="I76" s="72">
        <v>0</v>
      </c>
      <c r="J76" s="68">
        <f t="shared" ref="J76:J82" si="3">SUM(B76:I76)</f>
        <v>2</v>
      </c>
    </row>
    <row r="77" spans="1:10" x14ac:dyDescent="0.45">
      <c r="A77" s="11">
        <v>3</v>
      </c>
      <c r="B77" s="72">
        <v>1</v>
      </c>
      <c r="C77" s="72">
        <v>0</v>
      </c>
      <c r="D77" s="72">
        <v>0</v>
      </c>
      <c r="E77" s="72">
        <v>0</v>
      </c>
      <c r="F77" s="72">
        <v>0</v>
      </c>
      <c r="G77" s="72">
        <v>0</v>
      </c>
      <c r="H77" s="72">
        <v>1</v>
      </c>
      <c r="I77" s="72">
        <v>0</v>
      </c>
      <c r="J77" s="68">
        <f t="shared" si="3"/>
        <v>2</v>
      </c>
    </row>
    <row r="78" spans="1:10" x14ac:dyDescent="0.45">
      <c r="A78" s="11">
        <v>4</v>
      </c>
      <c r="B78" s="72">
        <v>1</v>
      </c>
      <c r="C78" s="72">
        <v>0</v>
      </c>
      <c r="D78" s="72">
        <v>0</v>
      </c>
      <c r="E78" s="72">
        <v>0</v>
      </c>
      <c r="F78" s="72">
        <v>0</v>
      </c>
      <c r="G78" s="72">
        <v>0</v>
      </c>
      <c r="H78" s="72">
        <v>1</v>
      </c>
      <c r="I78" s="72">
        <v>0</v>
      </c>
      <c r="J78" s="68">
        <f t="shared" si="3"/>
        <v>2</v>
      </c>
    </row>
    <row r="79" spans="1:10" x14ac:dyDescent="0.45">
      <c r="A79" s="11">
        <v>5</v>
      </c>
      <c r="B79" s="72">
        <v>1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  <c r="H79" s="72">
        <v>1</v>
      </c>
      <c r="I79" s="72">
        <v>0</v>
      </c>
      <c r="J79" s="69">
        <f t="shared" si="3"/>
        <v>2</v>
      </c>
    </row>
    <row r="80" spans="1:10" x14ac:dyDescent="0.45">
      <c r="A80" s="11">
        <v>6</v>
      </c>
      <c r="B80" s="72">
        <v>1</v>
      </c>
      <c r="C80" s="72">
        <v>0</v>
      </c>
      <c r="D80" s="72">
        <v>1</v>
      </c>
      <c r="E80" s="72">
        <v>1</v>
      </c>
      <c r="F80" s="72">
        <v>0</v>
      </c>
      <c r="G80" s="72">
        <v>0</v>
      </c>
      <c r="H80" s="72">
        <v>1</v>
      </c>
      <c r="I80" s="72">
        <v>1</v>
      </c>
      <c r="J80" s="68">
        <f t="shared" si="3"/>
        <v>5</v>
      </c>
    </row>
    <row r="81" spans="1:10" x14ac:dyDescent="0.45">
      <c r="A81" s="11">
        <v>7</v>
      </c>
      <c r="B81" s="72">
        <v>1</v>
      </c>
      <c r="C81" s="72">
        <v>0</v>
      </c>
      <c r="D81" s="72">
        <v>1</v>
      </c>
      <c r="E81" s="72">
        <v>0</v>
      </c>
      <c r="F81" s="72">
        <v>0</v>
      </c>
      <c r="G81" s="72">
        <v>0</v>
      </c>
      <c r="H81" s="72">
        <v>1</v>
      </c>
      <c r="I81" s="72">
        <v>0</v>
      </c>
      <c r="J81" s="68">
        <f t="shared" si="3"/>
        <v>3</v>
      </c>
    </row>
    <row r="82" spans="1:10" x14ac:dyDescent="0.45">
      <c r="A82" s="11">
        <v>8</v>
      </c>
      <c r="B82" s="72">
        <v>1</v>
      </c>
      <c r="C82" s="72">
        <v>0</v>
      </c>
      <c r="D82" s="72">
        <v>1</v>
      </c>
      <c r="E82" s="72">
        <v>0</v>
      </c>
      <c r="F82" s="72">
        <v>0</v>
      </c>
      <c r="G82" s="72">
        <v>0</v>
      </c>
      <c r="H82" s="72">
        <v>1</v>
      </c>
      <c r="I82" s="72">
        <v>0</v>
      </c>
      <c r="J82" s="68">
        <f t="shared" si="3"/>
        <v>3</v>
      </c>
    </row>
    <row r="84" spans="1:10" x14ac:dyDescent="0.45">
      <c r="A84" s="19" t="s">
        <v>50</v>
      </c>
    </row>
    <row r="85" spans="1:10" x14ac:dyDescent="0.45">
      <c r="A85" s="1" t="s">
        <v>51</v>
      </c>
      <c r="B85" s="1" t="s">
        <v>52</v>
      </c>
    </row>
    <row r="86" spans="1:10" x14ac:dyDescent="0.45">
      <c r="A86" s="11">
        <v>1</v>
      </c>
      <c r="B86" s="11">
        <v>2.74</v>
      </c>
    </row>
    <row r="87" spans="1:10" x14ac:dyDescent="0.45">
      <c r="A87" s="11">
        <v>2</v>
      </c>
      <c r="B87" s="11">
        <v>1.55</v>
      </c>
    </row>
    <row r="88" spans="1:10" x14ac:dyDescent="0.45">
      <c r="A88" s="11">
        <v>3</v>
      </c>
      <c r="B88" s="11">
        <v>1.64</v>
      </c>
    </row>
    <row r="89" spans="1:10" x14ac:dyDescent="0.45">
      <c r="A89" s="11">
        <v>4</v>
      </c>
      <c r="B89" s="11">
        <v>1.95</v>
      </c>
    </row>
    <row r="90" spans="1:10" x14ac:dyDescent="0.45">
      <c r="A90" s="11">
        <v>5</v>
      </c>
      <c r="B90" s="11">
        <v>11.8</v>
      </c>
    </row>
    <row r="91" spans="1:10" x14ac:dyDescent="0.45">
      <c r="A91" s="11">
        <v>6</v>
      </c>
      <c r="B91" s="11">
        <v>1734.52</v>
      </c>
    </row>
    <row r="92" spans="1:10" x14ac:dyDescent="0.45">
      <c r="A92" s="11">
        <v>7</v>
      </c>
      <c r="B92" s="11">
        <v>205.76</v>
      </c>
    </row>
    <row r="93" spans="1:10" x14ac:dyDescent="0.45">
      <c r="A93" s="11">
        <v>8</v>
      </c>
      <c r="B93" s="11">
        <v>9.56</v>
      </c>
    </row>
  </sheetData>
  <mergeCells count="7">
    <mergeCell ref="N20:O20"/>
    <mergeCell ref="E1:L1"/>
    <mergeCell ref="K12:L12"/>
    <mergeCell ref="E60:I60"/>
    <mergeCell ref="E62:I62"/>
    <mergeCell ref="A58:J58"/>
    <mergeCell ref="A61:A62"/>
  </mergeCells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d="http://www.w3.org/2001/XMLSchema" xmlns:xsi="http://www.w3.org/2001/XMLSchema-instance" xmlns="http://opensolver.org" xml:space="preserve" Version="01.00">
  <StoredFiles>
    <StoredFile>
      <FileName>Untitled</FileName>
      <LanguageName>PuLP</LanguageName>
      <ModelPaneVisible>true</ModelPaneVisible>
      <ModelSettings/>
      <FileText>import pulp as pl
import time  
capacidade = Capacidade_Camioes[cenario]
custo_granel_solido = Custo_Transporte["Granel solido",capacidade]
custo_carga_geral = Custo_Transporte["Carga Geral",capacidade]
print(cenario)
print(capacidade)
print(custo_granel_solido)
print(custo_carga_geral)
Capacidade_Recepcao = [Capacidades_Rececao[(cenario, cd)] for cd in Centros_Distribuicao]
print(Capacidade_Recepcao)
Custo_Operacao = [Custos_Operacao[(cenario, cd)] for cd in Centros_Distribuicao]
# Definição do modelo
model = pl.LpProblem("Modelo_Distribuicao_Logistica", pl.LpMinimize)
# Variáveis de decisão
InstalarCD = pl.LpVariable.dicts("InstalarCD", [cd for cd in Centros_Distribuicao], cat="Binary")  # 1 se o CD for instalado, 0 caso contrário
QtdFornecedorCD = pl.LpVariable.dicts("QtdFornecedorCD", [(fornecedor, cd, tipo_carga) for fornecedor in Fornecedores for cd in Centros_Distribuicao for tipo_carga in Tipos_Carga], lowBound=0, cat="Continuous")
QtdCDBase = pl.LpVariable.dicts("QtdCDBase", [(cd, base, tipo_carga) for cd in Centros_Distribuicao for base in Bases_Logisticas for tipo_carga in Tipos_Carga], lowBound=0, cat="Continuous")
VeiculosFornecedorCD = pl.LpVariable.dicts("VeiculosFornecedorCD", [(fornecedor, cd, tipo_carga) for fornecedor in Fornecedores for cd in Centros_Distribuicao for tipo_carga in Tipos_Carga], lowBound=0, cat="Integer")
VeiculosCDBase = pl.LpVariable.dicts("VeiculosCDBase", [(cd, base, tipo_carga) for cd in Centros_Distribuicao for base in Bases_Logisticas for tipo_carga in Tipos_Carga], lowBound=0, cat="Integer")
# Funcao Objetivo
model += (
    pl.lpSum(Custo_Instalacao[cd] * InstalarCD[(cd)] for cd in Centros_Distribuicao) +
    pl.lpSum(Custo_Operacao[(int(cd)-1)] * InstalarCD[(cd)] for cd in Centros_Distribuicao) +
    pl.lpSum(Distancia_Fornecedor_CD[(fornecedor, cd)] * Custo_Transporte[(tipo_carga,capacidade)] * VeiculosFornecedorCD[(fornecedor, cd, tipo_carga)] * capacidade 
             for fornecedor in Fornecedores for cd in Centros_Distribuicao for tipo_carga in Tipos_Carga) +
    pl.lpSum(Distancia_CD_Base[(cd, base)] * Custo_Transporte[(tipo_carga,capacidade )] * VeiculosCDBase[(cd, base, tipo_carga)] * capacidade 
             for cd in Centros_Distribuicao for base in Bases_Logisticas for tipo_carga in Tipos_Carga)
)
# Restricoes
# Restricao de fornecimento: assegurar que cada fornecedor envia a quantidade correta para os CDs
for fornecedor in Fornecedores:
    for tipo_carga in Tipos_Carga:
        model += pl.lpSum(QtdFornecedorCD[(fornecedor, cd, tipo_carga)] for cd in Centros_Distribuicao) &lt;= Quantidade_Fornecedor[(fornecedor, tipo_carga)]
# Restrição de procura nas bases: garantir que a quantidade total enviada para cada base e a correta
for cd in Centros_Distribuicao:
    for tipo_carga in Tipos_Carga:
        model += pl.lpSum(QtdCDBase[(cd, base, tipo_carga)] for base in Bases_Logisticas) == pl.lpSum(QtdFornecedorCD[(fornecedor, cd, tipo_carga)] for fornecedor in Fornecedores)
# Restrição de capacidade dos CDs: limitar a quantidade total recebida pelos CDs com base na capacidade
for cd in Centros_Distribuicao:
    model += pl.lpSum(QtdFornecedorCD[(fornecedor, cd,tipo_carga)] for fornecedor in Fornecedores for tipo_carga in Tipos_Carga) &lt;= InstalarCD[(cd)] * Capacidade_Recepcao[int(cd)-1]
# Restrição de procura nas bases logisticas: garantir que cada base recebe a quantidade correta por tipo de carga
for base in Bases_Logisticas:
    for tipo_carga in Tipos_Carga:
        model += pl.lpSum(QtdCDBase[(cd, base,tipo_carga)] for cd in Centros_Distribuicao) == Procura_Base[(base, tipo_carga)]
# Restrição de veículos entre fornecedor e CD: garantir que a quantidade de veículos é suficiente para transportar a carga (6)(7)
for fornecedor in Fornecedores:
    for cd in Centros_Distribuicao:
        for tipo_carga in Tipos_Carga:
            model += VeiculosFornecedorCD[(fornecedor, cd, tipo_carga)] &gt;= pl.lpSum(QtdFornecedorCD[(fornecedor, cd, tipo_carga)] / capacidade)
# Restrição de veículos entre CD e base: garantir que a quantidade de veículos é suficiente para transportar a carga
for cd in Centros_Distribuicao:
    for base in Bases_Logisticas:
        for tipo_carga in Tipos_Carga:
            model += VeiculosCDBase[(cd, base, tipo_carga)] &gt;= pl.lpSum(QtdCDBase[(cd, base, tipo_carga)] / capacidade)
start_time = time.time()
# Resolver o modelo
model.solve()
print("FO: ", model.objective.value())
end_time = time.time()
execution_time = end_time - start_time
print("Tempo de execução do modelo: {:.2f} segundos".format(execution_time))
# Status do modelo
print("Estado:", pl.LpStatus[model.status])
print(int(sum(InstalarCD[cd].value() for cd in Centros_Distribuicao)))
for cd in Centros_Distribuicao:
    print(InstalarCD[cd].value())
# Número de camioes alocados a cada CD
for cd in Centros_Distribuicao:
    camioes_fornecedor_cd = sum(VeiculosFornecedorCD[(fornecedor, cd, tipo_carga)].value() for fornecedor in Fornecedores for tipo_carga in Tipos_Carga)
    camioes_cd_base = sum(VeiculosCDBase[(cd, base, tipo_carga)].value() for base in Bases_Logisticas for tipo_carga in Tipos_Carga)
    camioes_totais = camioes_fornecedor_cd + camioes_cd_base
    print("CD {}: {:.0f} camiões alocados (Fornecedor -&gt; CD: {:.0f}, CD -&gt; Base: {:.0f})".format(cd, camioes_totais, camioes_fornecedor_cd, camioes_cd_base))
# Calculo dos resultados para cada cenario e impressao individual
numero_cds_abertos = int(sum(InstalarCD[cd].value() for cd in Centros_Distribuicao))
custos_fixos = sum(Custo_Instalacao[cd] * InstalarCD[(cd)].value() for cd in Centros_Distribuicao)
custos_operacionais = sum(Custo_Operacao[(int(cd)-1)] * InstalarCD[(cd)].value() for cd in Centros_Distribuicao)
custos_transporte1 = sum(Distancia_Fornecedor_CD[(fornecedor, cd)] * Custo_Transporte[(tipo_carga,capacidade)] * VeiculosFornecedorCD[(fornecedor, cd, tipo_carga)].value()* capacidade
            for fornecedor in Fornecedores for cd in Centros_Distribuicao for tipo_carga in Tipos_Carga) 
custos_transporte2 = sum(Distancia_CD_Base[(cd, base)] * Custo_Transporte[(tipo_carga,capacidade )] * VeiculosCDBase[(cd, base, tipo_carga)].value() * capacidade
            for cd in Centros_Distribuicao for base in Bases_Logisticas for tipo_carga in Tipos_Carga)
custo_total = custos_fixos + custos_operacionais + custos_transporte1 + custos_transporte2
# Impressao dos resultados de cada cenario
print("Cenario", cenario)
print("  Numero de CDs Abertos:", numero_cds_abertos)
print("  Custos de Funcionamento:", custos_fixos)
print("  Custos Operacionais:", custos_operacionais)
print("  Custos Transporte (1):", custos_transporte1)
print("  Custos Transporte (2):", custos_transporte2)
print("  Custo Total:", custo_total)
# Atualização no Excel (assumindo que as variaveis de saída no edit data estão configuradas)
Numero_CDs_Abertos[cenario] = numero_cds_abertos
Custos_Fixos[cenario] = custos_fixos
for cd in Centros_Distribuicao:
    InstalarCD_Output[(cenario, cd)] = InstalarCD[(cd)].value() 
Custos_Operacionais[cenario] = custos_operacionais
Custos_Transporte1[cenario] = custos_transporte1
Custos_Transporte2[cenario] = custos_transporte2
Custo_Total[cenario] = custo_total
# Imprimir o custo total do objetivo no terminal
print("Objective (Custo Total):", pl.value(model.objective))
</FileText>
      <ParentWorksheetName>Main</ParentWorksheetName>
    </StoredFile>
  </StoredFiles>
</StoredFilesList>
</file>

<file path=customXml/itemProps1.xml><?xml version="1.0" encoding="utf-8"?>
<ds:datastoreItem xmlns:ds="http://schemas.openxmlformats.org/officeDocument/2006/customXml" ds:itemID="{01AB651F-7F4A-4112-BF37-696935608626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Main</vt:lpstr>
      <vt:lpstr>Main!Bases_Logisticas</vt:lpstr>
      <vt:lpstr>Main!Capacidade_Camioes</vt:lpstr>
      <vt:lpstr>Main!Capacidades_Rececao</vt:lpstr>
      <vt:lpstr>Main!cenario</vt:lpstr>
      <vt:lpstr>Main!Cenarios</vt:lpstr>
      <vt:lpstr>Main!Centros_Distribuicao</vt:lpstr>
      <vt:lpstr>Main!Custo_Instalacao</vt:lpstr>
      <vt:lpstr>Main!Custo_Total</vt:lpstr>
      <vt:lpstr>Main!Custo_Transporte</vt:lpstr>
      <vt:lpstr>Main!Custos_Fixos</vt:lpstr>
      <vt:lpstr>Main!Custos_Operacao</vt:lpstr>
      <vt:lpstr>Main!Custos_Operacionais</vt:lpstr>
      <vt:lpstr>Main!Custos_Transporte1</vt:lpstr>
      <vt:lpstr>Main!Custos_Transporte2</vt:lpstr>
      <vt:lpstr>Main!Distancia_CD_Base</vt:lpstr>
      <vt:lpstr>Main!Distancia_Fornecedor_CD</vt:lpstr>
      <vt:lpstr>Fornecedores</vt:lpstr>
      <vt:lpstr>Main!InstalarCD_Output</vt:lpstr>
      <vt:lpstr>Main!Numero_CDs_Abertos</vt:lpstr>
      <vt:lpstr>Main!Procura_Base</vt:lpstr>
      <vt:lpstr>Main!Quantidade_Fornecedor</vt:lpstr>
      <vt:lpstr>Main!Tipos_Carga</vt:lpstr>
      <vt:lpstr>Main!Tipos_Veiculo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Alexandre Lopes Silva</dc:creator>
  <cp:lastModifiedBy>Pedro Alexandre Lopes Silva</cp:lastModifiedBy>
  <dcterms:created xsi:type="dcterms:W3CDTF">2024-09-27T16:49:37Z</dcterms:created>
  <dcterms:modified xsi:type="dcterms:W3CDTF">2024-12-04T18:57:13Z</dcterms:modified>
</cp:coreProperties>
</file>