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ortifolio\POWER BI\RECURSOS HUMANOS\"/>
    </mc:Choice>
  </mc:AlternateContent>
  <xr:revisionPtr revIDLastSave="0" documentId="13_ncr:1_{76C544C1-4E5E-469D-9832-BA559122AE85}" xr6:coauthVersionLast="46" xr6:coauthVersionMax="47" xr10:uidLastSave="{00000000-0000-0000-0000-000000000000}"/>
  <bookViews>
    <workbookView xWindow="1125" yWindow="1665" windowWidth="21600" windowHeight="13935" tabRatio="629" xr2:uid="{00000000-000D-0000-FFFF-FFFF00000000}"/>
  </bookViews>
  <sheets>
    <sheet name="FATO" sheetId="1" r:id="rId1"/>
    <sheet name="PAINEL 1" sheetId="11" state="hidden" r:id="rId2"/>
    <sheet name="PAINEL 2" sheetId="12" state="hidden" r:id="rId3"/>
  </sheets>
  <definedNames>
    <definedName name="_xlnm._FilterDatabase" localSheetId="0" hidden="1">FATO!$X$1:$X$32</definedName>
    <definedName name="Imagem">INDIRECT("Imagens!A" &amp; MATCH('PAINEL 2'!$B$3,#REF!,0))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2" l="1" a="1"/>
  <c r="F5" i="12" s="1"/>
  <c r="F6" i="12" a="1"/>
  <c r="F6" i="12" s="1"/>
  <c r="F7" i="12" a="1"/>
  <c r="F7" i="12" s="1"/>
  <c r="F8" i="12" a="1"/>
  <c r="F8" i="12" s="1"/>
  <c r="F4" i="12" a="1"/>
  <c r="F4" i="12" s="1"/>
  <c r="B3" i="12" a="1"/>
  <c r="B3" i="12" s="1"/>
  <c r="B7" i="12" a="1"/>
  <c r="B7" i="12" s="1"/>
  <c r="B6" i="12" a="1"/>
  <c r="B6" i="12" s="1"/>
  <c r="B5" i="12" a="1"/>
  <c r="B5" i="12" s="1"/>
  <c r="B4" i="12" a="1"/>
  <c r="B4" i="12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N2" i="1"/>
  <c r="B9" i="12" s="1" a="1"/>
  <c r="B9" i="12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5" i="11"/>
  <c r="N4" i="11"/>
  <c r="F5" i="11"/>
  <c r="F6" i="11"/>
  <c r="F7" i="11"/>
  <c r="F8" i="11"/>
  <c r="F9" i="11"/>
  <c r="F4" i="11"/>
  <c r="E5" i="11"/>
  <c r="E6" i="11"/>
  <c r="E7" i="11"/>
  <c r="E8" i="11"/>
  <c r="E9" i="11"/>
  <c r="E4" i="11"/>
  <c r="A7" i="11"/>
  <c r="A4" i="11"/>
  <c r="A10" i="11" s="1"/>
  <c r="F9" i="12" l="1"/>
  <c r="B8" i="12" a="1"/>
  <c r="B8" i="12" s="1"/>
  <c r="E10" i="11"/>
  <c r="F10" i="11"/>
  <c r="A13" i="11"/>
  <c r="N6" i="11"/>
  <c r="R2" i="1"/>
  <c r="S2" i="1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J4" i="11" l="1"/>
  <c r="J5" i="11"/>
  <c r="J6" i="11"/>
  <c r="J7" i="11"/>
  <c r="J8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B6920-CF9B-402A-ABC1-B20D476450C1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<sst xmlns="http://schemas.openxmlformats.org/spreadsheetml/2006/main" count="250" uniqueCount="108">
  <si>
    <t>ID RH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</si>
  <si>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</si>
  <si>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</si>
  <si>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</si>
  <si>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</si>
  <si>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</si>
  <si>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</si>
  <si>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</si>
  <si>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</si>
  <si>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</si>
  <si>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</si>
  <si>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</si>
  <si>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</si>
  <si>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LOI</t>
  </si>
  <si>
    <t>ADI</t>
  </si>
  <si>
    <t>ADII</t>
  </si>
  <si>
    <t>FIII</t>
  </si>
  <si>
    <t>ADIII</t>
  </si>
  <si>
    <t>FII</t>
  </si>
  <si>
    <t>LOIII</t>
  </si>
  <si>
    <t>Bárbara Spenchutt Vieira</t>
  </si>
  <si>
    <t>FIIII</t>
  </si>
  <si>
    <t>LOII</t>
  </si>
  <si>
    <t>Marianna Pereira da Silva</t>
  </si>
  <si>
    <t>Matheus Sepúlveda</t>
  </si>
  <si>
    <t>Jéssica de Morais Silva</t>
  </si>
  <si>
    <t>João Monteiro</t>
  </si>
  <si>
    <t>Rafael Hollander</t>
  </si>
  <si>
    <t>Thaís Lisboa</t>
  </si>
  <si>
    <t>FIIV</t>
  </si>
  <si>
    <t>Yasmini de Almeida Richa</t>
  </si>
  <si>
    <t>Lígia Fernandes Filardi</t>
  </si>
  <si>
    <t xml:space="preserve">Guilherme Lopes da Silveira </t>
  </si>
  <si>
    <t>Raíza Barbosa</t>
  </si>
  <si>
    <t>Matheus Matta Marques</t>
  </si>
  <si>
    <t>Lucas Luca Lima Barbosa</t>
  </si>
  <si>
    <t>Nathalia Bach</t>
  </si>
  <si>
    <t>Priscila de Oliveira</t>
  </si>
  <si>
    <t>Milena Brum</t>
  </si>
  <si>
    <t>Jeferson Ramos</t>
  </si>
  <si>
    <t>Camila Regis Ivo</t>
  </si>
  <si>
    <t>Bárbara Rodrigues</t>
  </si>
  <si>
    <t>Mariana Schwenck Gullo</t>
  </si>
  <si>
    <t>Matheus Rubio</t>
  </si>
  <si>
    <t>Gabriela e Alves</t>
  </si>
  <si>
    <t>Rafael Oliveira Leite Silva</t>
  </si>
  <si>
    <t>Julia Freitas</t>
  </si>
  <si>
    <t>Juan Fernandes de Araújo</t>
  </si>
  <si>
    <t>José do Vale Lisboa</t>
  </si>
  <si>
    <t>Pedro Jardim</t>
  </si>
  <si>
    <t>João Resinente</t>
  </si>
  <si>
    <t>Luize da Costa</t>
  </si>
  <si>
    <t>Manuela Abreu Braga Martins</t>
  </si>
  <si>
    <t>Victor Fonseca</t>
  </si>
  <si>
    <t>Avaliação do Funcionário</t>
  </si>
  <si>
    <t>Sexo</t>
  </si>
  <si>
    <t>Nível</t>
  </si>
  <si>
    <t>Área</t>
  </si>
  <si>
    <t>Coordenador</t>
  </si>
  <si>
    <t>Gerente</t>
  </si>
  <si>
    <t>Analista</t>
  </si>
  <si>
    <t>Administrativo</t>
  </si>
  <si>
    <t>Logística</t>
  </si>
  <si>
    <t>Financeiro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</si>
  <si>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</si>
  <si>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</si>
  <si>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</si>
  <si>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</si>
  <si>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</si>
  <si>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</si>
  <si>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</si>
  <si>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</si>
  <si>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</si>
  <si>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</si>
  <si>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</si>
  <si>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</si>
  <si>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</si>
  <si>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</si>
  <si>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</si>
  <si>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Trabalho em Equipe</t>
  </si>
  <si>
    <t>Liderança</t>
  </si>
  <si>
    <t>Comunicação</t>
  </si>
  <si>
    <t>Iniciativa</t>
  </si>
  <si>
    <t>Organização</t>
  </si>
  <si>
    <t>Total de Funcionários</t>
  </si>
  <si>
    <t>Funcionários Ativos</t>
  </si>
  <si>
    <t>Desligamentos</t>
  </si>
  <si>
    <t>% turnover</t>
  </si>
  <si>
    <t>Rótulos de Linha</t>
  </si>
  <si>
    <t>Total Geral</t>
  </si>
  <si>
    <t>Contratações</t>
  </si>
  <si>
    <t>TEMPO DE EMPRESA</t>
  </si>
  <si>
    <t>FAIXA DE TEMPO</t>
  </si>
  <si>
    <t>0-2 anos</t>
  </si>
  <si>
    <t>2-4 anos</t>
  </si>
  <si>
    <t>4-6 anos</t>
  </si>
  <si>
    <t>Acima de 6 anos</t>
  </si>
  <si>
    <t>Feminino</t>
  </si>
  <si>
    <t>Masculino</t>
  </si>
  <si>
    <t>Qtd. Funcionários</t>
  </si>
  <si>
    <t>Nota</t>
  </si>
  <si>
    <t>Data de Contratação</t>
  </si>
  <si>
    <t>Idade</t>
  </si>
  <si>
    <t>Salário</t>
  </si>
  <si>
    <t>DASHBOARD</t>
  </si>
  <si>
    <t>PESSOAL</t>
  </si>
  <si>
    <t>Nome</t>
  </si>
  <si>
    <t>Salário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</si>
</sst>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R$&quot;\ * #,##0.00_-;\-&quot;R$&quot;\ * #,##0.00_-;_-&quot;R$&quot;\ * &quot;-&quot;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0" fontId="2" fillId="0" borderId="0" xfId="0" applyFont="1"/>
    <xf numFmtId="164" fontId="0" fillId="0" borderId="0" xfId="1" applyFont="1"/>
    <xf numFmtId="165" fontId="0" fillId="0" borderId="0" xfId="0" applyNumberFormat="1"/>
    <xf numFmtId="164" fontId="3" fillId="0" borderId="0" xfId="1" applyFont="1"/>
    <xf numFmtId="1" fontId="3" fillId="0" borderId="0" xfId="0" applyNumberFormat="1" applyFont="1"/>
    <xf numFmtId="0" fontId="3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12"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1" formatCode="0"/>
    </dxf>
    <dxf>
      <numFmt numFmtId="19" formatCode="dd/mm/yyyy"/>
    </dxf>
    <dxf>
      <font>
        <b/>
        <i val="0"/>
        <color theme="0"/>
      </font>
    </dxf>
    <dxf>
      <fill>
        <patternFill>
          <bgColor theme="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1" defaultTableStyle="TableStyleMedium2" defaultPivotStyle="PivotStyleLight16">
    <tableStyle name="Estilo de Segmentação de Dados 1" pivot="0" table="0" count="7" xr9:uid="{CD121C05-3D8E-4CB0-B058-7F0F693B9CDB}">
      <tableStyleElement type="wholeTable" dxfId="11"/>
      <tableStyleElement type="headerRow" dxfId="10"/>
    </tableStyle>
  </tableStyles>
  <colors>
    <mruColors>
      <color rgb="FFFF3B3B"/>
      <color rgb="FF0000FF"/>
    </mruColors>
  </colors>
  <extLst>
    <ext xmlns:x14="http://schemas.microsoft.com/office/spreadsheetml/2009/9/main" uri="{46F421CA-312F-682f-3DD2-61675219B42D}">
      <x14:dxfs count="5">
        <dxf>
          <fill>
            <patternFill>
              <bgColor theme="0"/>
            </patternFill>
          </fill>
        </dxf>
        <dxf>
          <fill>
            <patternFill>
              <bgColor theme="4" tint="-0.499984740745262"/>
            </patternFill>
          </fill>
        </dxf>
        <dxf>
          <fill>
            <patternFill>
              <bgColor theme="0"/>
            </patternFill>
          </fill>
        </dxf>
        <dxf>
          <font>
            <color theme="0"/>
          </font>
          <fill>
            <patternFill>
              <bgColor theme="4" tint="-0.499984740745262"/>
            </patternFill>
          </fill>
        </dxf>
        <dxf>
          <fill>
            <patternFill>
              <bgColor theme="0" tint="-4.9989318521683403E-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unselectedItemWithData" dxfId="4"/>
            <x14:slicerStyleElement type="selectedItemWith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AA32" totalsRowShown="0">
  <autoFilter ref="A1:AA32" xr:uid="{0DBB79F2-AC11-4C76-8928-EA5B0E2D94C1}"/>
  <sortState xmlns:xlrd2="http://schemas.microsoft.com/office/spreadsheetml/2017/richdata2" ref="A2:V32">
    <sortCondition ref="B1:B32"/>
  </sortState>
  <tableColumns count="27">
    <tableColumn id="1" xr3:uid="{8FD3C868-8E10-4BB9-B786-7CEB0ED819EB}" name="ID RH"/>
    <tableColumn id="2" xr3:uid="{E6B745B2-44FA-4D33-BE5A-AC20019953FF}" name="Nome Completo"/>
    <tableColumn id="16" xr3:uid="{B056A6D8-5C5C-4DC1-88E5-5933B22CC028}" name="Sexo"/>
    <tableColumn id="4" xr3:uid="{6B3F25A2-7528-4152-A88E-CE7DCE6E2CE3}" name="Data de Nascimento" dataDxfId="9"/>
    <tableColumn id="28" xr3:uid="{F457D9B3-12E4-4E1F-B1C9-CDCAC452C6E7}" name="Idade" dataDxfId="8">
      <calculatedColumnFormula>INT(YEARFRAC(BaseFuncionarios[[#This Row],[Data de Nascimento]],TODAY()))</calculatedColumnFormula>
    </tableColumn>
    <tableColumn id="5" xr3:uid="{6B249B8D-B16F-4888-8948-E8866CD0601E}" name="Endereço"/>
    <tableColumn id="6" xr3:uid="{2C503D24-10E2-4C57-A0E8-FBD1BB149488}" name="Data de Contratacao" dataDxfId="7"/>
    <tableColumn id="7" xr3:uid="{1C2F470F-AB01-4F29-BF8E-252FA94766C8}" name="Data de Demissao" dataDxfId="6"/>
    <tableColumn id="8" xr3:uid="{FEE1A145-8939-4249-93CA-86839242E438}" name="Salario Base" dataCellStyle="Moeda"/>
    <tableColumn id="9" xr3:uid="{7A3B3C05-5E20-42F6-BD6D-52FB785FA242}" name="Impostos" dataCellStyle="Moeda"/>
    <tableColumn id="10" xr3:uid="{B4CEA821-0B91-406D-9834-EAD1D5049CCF}" name="Beneficios" dataCellStyle="Moeda"/>
    <tableColumn id="11" xr3:uid="{9616692A-C9BB-4A53-8E54-B0960E6F2515}" name="VT" dataCellStyle="Moeda"/>
    <tableColumn id="12" xr3:uid="{3E04372B-4E5A-4CA3-B944-2E9B042BC796}" name="VR" dataCellStyle="Moeda"/>
    <tableColumn id="27" xr3:uid="{5F38DC57-6B39-4078-BB4C-F86228E9FE76}" name="Salário Total" dataDxfId="5" dataCellStyle="Moeda">
      <calculatedColumnFormula>SUM(BaseFuncionarios[[#This Row],[Salario Base]:[VR]])</calculatedColumnFormula>
    </tableColumn>
    <tableColumn id="13" xr3:uid="{522BC458-16A8-49DC-A292-01C6832AD704}" name="Cargo"/>
    <tableColumn id="19" xr3:uid="{2F0E0CBA-C95E-4C5D-95CC-9A5D7004C558}" name="Nível" dataDxfId="4"/>
    <tableColumn id="20" xr3:uid="{618CDE59-67CA-4164-8A64-64AA9E8472DC}" name="Área" dataDxfId="3"/>
    <tableColumn id="17" xr3:uid="{0871C07C-8CFC-4AF9-87E7-584E6968824D}" name="TEMPO DE EMPRESA" dataDxfId="2">
      <calculatedColumnFormula>INT(YEARFRAC(BaseFuncionarios[[#This Row],[Data de Contratacao]],TODAY()))</calculatedColumnFormula>
    </tableColumn>
    <tableColumn id="26" xr3:uid="{455901E9-E1D8-4AD0-A89F-090F983F781B}" name="FAIXA DE TEMPO" dataDxfId="1">
      <calculatedColumnFormula>IF(BaseFuncionarios[[#This Row],[TEMPO DE EMPRESA]]&lt;=2,"0-2 anos",IF(BaseFuncionarios[[#This Row],[TEMPO DE EMPRESA]]&lt;=4,"2-4 anos",IF(BaseFuncionarios[[#This Row],[TEMPO DE EMPRESA]]&lt;=6,"4-6 anos","Acima de 6 anos")))</calculatedColumnFormula>
    </tableColumn>
    <tableColumn id="14" xr3:uid="{03BDD5D1-04ED-4607-85FD-D8C8DDCFDBB2}" name="Ferias Acumuladas"/>
    <tableColumn id="15" xr3:uid="{5A826C42-EDD4-4589-AFA9-CB2E8C28FDFA}" name="Horas Extras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showGridLines="0" tabSelected="1" zoomScale="85" zoomScaleNormal="85" workbookViewId="0"/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8.42578125" bestFit="1" customWidth="1"/>
    <col min="6" max="6" width="76.5703125" bestFit="1" customWidth="1"/>
    <col min="7" max="7" width="18.85546875" customWidth="1"/>
    <col min="8" max="8" width="13.7109375" customWidth="1"/>
    <col min="9" max="10" width="14.140625" bestFit="1" customWidth="1"/>
    <col min="11" max="13" width="12.28515625" bestFit="1" customWidth="1"/>
    <col min="14" max="14" width="14.28515625" bestFit="1" customWidth="1"/>
    <col min="15" max="15" width="13.85546875" customWidth="1"/>
    <col min="16" max="16" width="24.42578125" bestFit="1" customWidth="1"/>
    <col min="17" max="17" width="20.5703125" customWidth="1"/>
    <col min="18" max="18" width="14.7109375" bestFit="1" customWidth="1"/>
    <col min="19" max="19" width="21.7109375" bestFit="1" customWidth="1"/>
    <col min="20" max="20" width="18.42578125" bestFit="1" customWidth="1"/>
  </cols>
  <sheetData>
    <row r="1" spans="1:27" x14ac:dyDescent="0.25">
      <c r="A1" t="s">
        <v>0</v>
      </c>
      <c r="B1" t="s">
        <v>1</v>
      </c>
      <c r="C1" t="s">
        <v>55</v>
      </c>
      <c r="D1" t="s">
        <v>2</v>
      </c>
      <c r="E1" t="s">
        <v>102</v>
      </c>
      <c r="F1" t="s">
        <v>65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107</v>
      </c>
      <c r="O1" t="s">
        <v>10</v>
      </c>
      <c r="P1" t="s">
        <v>56</v>
      </c>
      <c r="Q1" t="s">
        <v>57</v>
      </c>
      <c r="R1" t="s">
        <v>91</v>
      </c>
      <c r="S1" t="s">
        <v>92</v>
      </c>
      <c r="T1" t="s">
        <v>11</v>
      </c>
      <c r="U1" t="s">
        <v>12</v>
      </c>
      <c r="V1" t="s">
        <v>54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25">
      <c r="A2">
        <v>1</v>
      </c>
      <c r="B2" t="s">
        <v>41</v>
      </c>
      <c r="C2" t="s">
        <v>97</v>
      </c>
      <c r="D2" s="1">
        <v>36233</v>
      </c>
      <c r="E2" s="7">
        <f ca="1">INT(YEARFRAC(BaseFuncionarios[[#This Row],[Data de Nascimento]],TODAY()))</f>
        <v>23</v>
      </c>
      <c r="F2" t="s">
        <v>67</v>
      </c>
      <c r="G2" s="1">
        <v>42803</v>
      </c>
      <c r="H2" s="1"/>
      <c r="I2" s="4">
        <v>11589</v>
      </c>
      <c r="J2" s="4">
        <v>863.73</v>
      </c>
      <c r="K2" s="4">
        <v>1343.58</v>
      </c>
      <c r="L2" s="4">
        <v>959.7</v>
      </c>
      <c r="M2" s="4">
        <v>1151.6399999999999</v>
      </c>
      <c r="N2" s="6">
        <f>SUM(BaseFuncionarios[[#This Row],[Salario Base]:[VR]])</f>
        <v>15907.65</v>
      </c>
      <c r="O2" t="s">
        <v>21</v>
      </c>
      <c r="P2" t="s">
        <v>58</v>
      </c>
      <c r="Q2" t="s">
        <v>63</v>
      </c>
      <c r="R2" s="8">
        <f ca="1">INT(YEARFRAC(BaseFuncionarios[[#This Row],[Data de Contratacao]],TODAY()))</f>
        <v>5</v>
      </c>
      <c r="S2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2">
        <v>26</v>
      </c>
      <c r="U2">
        <v>103</v>
      </c>
      <c r="V2">
        <v>8</v>
      </c>
      <c r="W2">
        <v>10</v>
      </c>
      <c r="X2">
        <v>10</v>
      </c>
      <c r="Y2">
        <v>8</v>
      </c>
      <c r="Z2">
        <v>2</v>
      </c>
      <c r="AA2">
        <v>10</v>
      </c>
    </row>
    <row r="3" spans="1:27" x14ac:dyDescent="0.25">
      <c r="A3">
        <v>2</v>
      </c>
      <c r="B3" t="s">
        <v>20</v>
      </c>
      <c r="C3" t="s">
        <v>97</v>
      </c>
      <c r="D3" s="1">
        <v>35703</v>
      </c>
      <c r="E3" s="7">
        <f ca="1">INT(YEARFRAC(BaseFuncionarios[[#This Row],[Data de Nascimento]],TODAY()))</f>
        <v>24</v>
      </c>
      <c r="F3" t="s">
        <v>75</v>
      </c>
      <c r="G3" s="1">
        <v>42906</v>
      </c>
      <c r="H3" s="1"/>
      <c r="I3" s="4">
        <v>1795</v>
      </c>
      <c r="J3" s="4">
        <v>179.5</v>
      </c>
      <c r="K3" s="4">
        <v>53.85</v>
      </c>
      <c r="L3" s="4">
        <v>179.5</v>
      </c>
      <c r="M3" s="4">
        <v>215.4</v>
      </c>
      <c r="N3" s="6">
        <f>SUM(BaseFuncionarios[[#This Row],[Salario Base]:[VR]])</f>
        <v>2423.25</v>
      </c>
      <c r="O3" t="s">
        <v>14</v>
      </c>
      <c r="P3" t="s">
        <v>64</v>
      </c>
      <c r="Q3" t="s">
        <v>61</v>
      </c>
      <c r="R3" s="8">
        <f ca="1">INT(YEARFRAC(BaseFuncionarios[[#This Row],[Data de Contratacao]],TODAY()))</f>
        <v>5</v>
      </c>
      <c r="S3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3">
        <v>46</v>
      </c>
      <c r="U3">
        <v>196</v>
      </c>
      <c r="V3">
        <v>9</v>
      </c>
      <c r="W3">
        <v>8</v>
      </c>
      <c r="X3">
        <v>10</v>
      </c>
      <c r="Y3">
        <v>7</v>
      </c>
      <c r="Z3">
        <v>10</v>
      </c>
      <c r="AA3">
        <v>10</v>
      </c>
    </row>
    <row r="4" spans="1:27" x14ac:dyDescent="0.25">
      <c r="A4">
        <v>3</v>
      </c>
      <c r="B4" t="s">
        <v>40</v>
      </c>
      <c r="C4" t="s">
        <v>97</v>
      </c>
      <c r="D4" s="1">
        <v>33786</v>
      </c>
      <c r="E4" s="7">
        <f ca="1">INT(YEARFRAC(BaseFuncionarios[[#This Row],[Data de Nascimento]],TODAY()))</f>
        <v>29</v>
      </c>
      <c r="F4" t="s">
        <v>72</v>
      </c>
      <c r="G4" s="1">
        <v>42387</v>
      </c>
      <c r="H4" s="1">
        <v>43087</v>
      </c>
      <c r="I4" s="4">
        <v>1599</v>
      </c>
      <c r="J4" s="4">
        <v>47.97</v>
      </c>
      <c r="K4" s="4">
        <v>47.97</v>
      </c>
      <c r="L4" s="4">
        <v>159.9</v>
      </c>
      <c r="M4" s="4">
        <v>191.88</v>
      </c>
      <c r="N4" s="6">
        <f>SUM(BaseFuncionarios[[#This Row],[Salario Base]:[VR]])</f>
        <v>2046.7200000000003</v>
      </c>
      <c r="O4" t="s">
        <v>18</v>
      </c>
      <c r="P4" t="s">
        <v>64</v>
      </c>
      <c r="Q4" t="s">
        <v>63</v>
      </c>
      <c r="R4" s="8">
        <f ca="1">INT(YEARFRAC(BaseFuncionarios[[#This Row],[Data de Contratacao]],TODAY()))</f>
        <v>6</v>
      </c>
      <c r="S4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4">
        <v>28</v>
      </c>
      <c r="U4">
        <v>94</v>
      </c>
      <c r="V4">
        <v>9.8000000000000007</v>
      </c>
      <c r="W4">
        <v>10</v>
      </c>
      <c r="X4">
        <v>10</v>
      </c>
      <c r="Y4">
        <v>9</v>
      </c>
      <c r="Z4">
        <v>10</v>
      </c>
      <c r="AA4">
        <v>10</v>
      </c>
    </row>
    <row r="5" spans="1:27" x14ac:dyDescent="0.25">
      <c r="A5">
        <v>4</v>
      </c>
      <c r="B5" t="s">
        <v>44</v>
      </c>
      <c r="C5" t="s">
        <v>97</v>
      </c>
      <c r="D5" s="1">
        <v>36289</v>
      </c>
      <c r="E5" s="7">
        <f ca="1">INT(YEARFRAC(BaseFuncionarios[[#This Row],[Data de Nascimento]],TODAY()))</f>
        <v>23</v>
      </c>
      <c r="F5" t="s">
        <v>74</v>
      </c>
      <c r="G5" s="1">
        <v>42859</v>
      </c>
      <c r="H5" s="1"/>
      <c r="I5" s="4">
        <v>1797</v>
      </c>
      <c r="J5" s="4">
        <v>125.79</v>
      </c>
      <c r="K5" s="4">
        <v>233.61</v>
      </c>
      <c r="L5" s="4">
        <v>179.70000000000002</v>
      </c>
      <c r="M5" s="4">
        <v>215.64</v>
      </c>
      <c r="N5" s="6">
        <f>SUM(BaseFuncionarios[[#This Row],[Salario Base]:[VR]])</f>
        <v>2551.7399999999998</v>
      </c>
      <c r="O5" t="s">
        <v>18</v>
      </c>
      <c r="P5" t="s">
        <v>64</v>
      </c>
      <c r="Q5" t="s">
        <v>63</v>
      </c>
      <c r="R5" s="8">
        <f ca="1">INT(YEARFRAC(BaseFuncionarios[[#This Row],[Data de Contratacao]],TODAY()))</f>
        <v>5</v>
      </c>
      <c r="S5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5">
        <v>39</v>
      </c>
      <c r="U5">
        <v>124</v>
      </c>
      <c r="V5">
        <v>7.6</v>
      </c>
      <c r="W5">
        <v>7</v>
      </c>
      <c r="X5">
        <v>8</v>
      </c>
      <c r="Y5">
        <v>4</v>
      </c>
      <c r="Z5">
        <v>10</v>
      </c>
      <c r="AA5">
        <v>9</v>
      </c>
    </row>
    <row r="6" spans="1:27" x14ac:dyDescent="0.25">
      <c r="A6">
        <v>5</v>
      </c>
      <c r="B6" t="s">
        <v>32</v>
      </c>
      <c r="C6" t="s">
        <v>98</v>
      </c>
      <c r="D6" s="1">
        <v>36494</v>
      </c>
      <c r="E6" s="7">
        <f ca="1">INT(YEARFRAC(BaseFuncionarios[[#This Row],[Data de Nascimento]],TODAY()))</f>
        <v>22</v>
      </c>
      <c r="F6" t="s">
        <v>76</v>
      </c>
      <c r="G6" s="1">
        <v>43202</v>
      </c>
      <c r="H6" s="1"/>
      <c r="I6" s="4">
        <v>1269</v>
      </c>
      <c r="J6" s="4">
        <v>101.52</v>
      </c>
      <c r="K6" s="4">
        <v>164.97</v>
      </c>
      <c r="L6" s="4">
        <v>126.9</v>
      </c>
      <c r="M6" s="4">
        <v>152.28</v>
      </c>
      <c r="N6" s="6">
        <f>SUM(BaseFuncionarios[[#This Row],[Salario Base]:[VR]])</f>
        <v>1814.67</v>
      </c>
      <c r="O6" t="s">
        <v>13</v>
      </c>
      <c r="P6" t="s">
        <v>64</v>
      </c>
      <c r="Q6" t="s">
        <v>62</v>
      </c>
      <c r="R6" s="8">
        <f ca="1">INT(YEARFRAC(BaseFuncionarios[[#This Row],[Data de Contratacao]],TODAY()))</f>
        <v>4</v>
      </c>
      <c r="S6" s="8" t="str">
        <f ca="1">IF(BaseFuncionarios[[#This Row],[TEMPO DE EMPRESA]]&lt;=2,"0-2 anos",IF(BaseFuncionarios[[#This Row],[TEMPO DE EMPRESA]]&lt;=4,"2-4 anos",IF(BaseFuncionarios[[#This Row],[TEMPO DE EMPRESA]]&lt;=6,"4-6 anos","Acima de 6 anos")))</f>
        <v>2-4 anos</v>
      </c>
      <c r="T6">
        <v>42</v>
      </c>
      <c r="U6">
        <v>82</v>
      </c>
      <c r="V6">
        <v>8.1999999999999993</v>
      </c>
      <c r="W6">
        <v>7</v>
      </c>
      <c r="X6">
        <v>8</v>
      </c>
      <c r="Y6">
        <v>6</v>
      </c>
      <c r="Z6">
        <v>10</v>
      </c>
      <c r="AA6">
        <v>10</v>
      </c>
    </row>
    <row r="7" spans="1:27" x14ac:dyDescent="0.25">
      <c r="A7">
        <v>6</v>
      </c>
      <c r="B7" t="s">
        <v>39</v>
      </c>
      <c r="C7" t="s">
        <v>98</v>
      </c>
      <c r="D7" s="1">
        <v>34826</v>
      </c>
      <c r="E7" s="7">
        <f ca="1">INT(YEARFRAC(BaseFuncionarios[[#This Row],[Data de Nascimento]],TODAY()))</f>
        <v>27</v>
      </c>
      <c r="F7" t="s">
        <v>73</v>
      </c>
      <c r="G7" s="1">
        <v>41396</v>
      </c>
      <c r="H7" s="1"/>
      <c r="I7" s="4">
        <v>11382</v>
      </c>
      <c r="J7" s="4">
        <v>213.62</v>
      </c>
      <c r="K7" s="4">
        <v>1281.72</v>
      </c>
      <c r="L7" s="4">
        <v>1068.1000000000001</v>
      </c>
      <c r="M7" s="4">
        <v>1281.72</v>
      </c>
      <c r="N7" s="6">
        <f>SUM(BaseFuncionarios[[#This Row],[Salario Base]:[VR]])</f>
        <v>15227.16</v>
      </c>
      <c r="O7" t="s">
        <v>17</v>
      </c>
      <c r="P7" t="s">
        <v>58</v>
      </c>
      <c r="Q7" t="s">
        <v>61</v>
      </c>
      <c r="R7" s="8">
        <f ca="1">INT(YEARFRAC(BaseFuncionarios[[#This Row],[Data de Contratacao]],TODAY()))</f>
        <v>9</v>
      </c>
      <c r="S7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7">
        <v>60</v>
      </c>
      <c r="U7">
        <v>145</v>
      </c>
      <c r="V7">
        <v>9.6</v>
      </c>
      <c r="W7">
        <v>10</v>
      </c>
      <c r="X7">
        <v>10</v>
      </c>
      <c r="Y7">
        <v>10</v>
      </c>
      <c r="Z7">
        <v>9</v>
      </c>
      <c r="AA7">
        <v>9</v>
      </c>
    </row>
    <row r="8" spans="1:27" x14ac:dyDescent="0.25">
      <c r="A8">
        <v>7</v>
      </c>
      <c r="B8" t="s">
        <v>25</v>
      </c>
      <c r="C8" t="s">
        <v>97</v>
      </c>
      <c r="D8" s="1">
        <v>29114</v>
      </c>
      <c r="E8" s="7">
        <f ca="1">INT(YEARFRAC(BaseFuncionarios[[#This Row],[Data de Nascimento]],TODAY()))</f>
        <v>42</v>
      </c>
      <c r="F8" t="s">
        <v>78</v>
      </c>
      <c r="G8" s="1">
        <v>41948</v>
      </c>
      <c r="H8" s="1">
        <v>42648</v>
      </c>
      <c r="I8" s="4">
        <v>11518</v>
      </c>
      <c r="J8" s="4">
        <v>436.95</v>
      </c>
      <c r="K8" s="4">
        <v>1310.85</v>
      </c>
      <c r="L8" s="4">
        <v>873.90000000000009</v>
      </c>
      <c r="M8" s="4">
        <v>1048.68</v>
      </c>
      <c r="N8" s="6">
        <f>SUM(BaseFuncionarios[[#This Row],[Salario Base]:[VR]])</f>
        <v>15188.380000000001</v>
      </c>
      <c r="O8" t="s">
        <v>19</v>
      </c>
      <c r="P8" t="s">
        <v>58</v>
      </c>
      <c r="Q8" t="s">
        <v>62</v>
      </c>
      <c r="R8" s="8">
        <f ca="1">INT(YEARFRAC(BaseFuncionarios[[#This Row],[Data de Contratacao]],TODAY()))</f>
        <v>7</v>
      </c>
      <c r="S8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8">
        <v>13</v>
      </c>
      <c r="U8">
        <v>114</v>
      </c>
      <c r="V8">
        <v>7.4</v>
      </c>
      <c r="W8">
        <v>6</v>
      </c>
      <c r="X8">
        <v>8</v>
      </c>
      <c r="Y8">
        <v>3</v>
      </c>
      <c r="Z8">
        <v>10</v>
      </c>
      <c r="AA8">
        <v>10</v>
      </c>
    </row>
    <row r="9" spans="1:27" x14ac:dyDescent="0.25">
      <c r="A9">
        <v>8</v>
      </c>
      <c r="B9" t="s">
        <v>26</v>
      </c>
      <c r="C9" t="s">
        <v>98</v>
      </c>
      <c r="D9" s="1">
        <v>32259</v>
      </c>
      <c r="E9" s="7">
        <f ca="1">INT(YEARFRAC(BaseFuncionarios[[#This Row],[Data de Nascimento]],TODAY()))</f>
        <v>34</v>
      </c>
      <c r="F9" t="s">
        <v>77</v>
      </c>
      <c r="G9" s="1">
        <v>41445</v>
      </c>
      <c r="H9" s="1"/>
      <c r="I9" s="4">
        <v>7505</v>
      </c>
      <c r="J9" s="4">
        <v>652.4</v>
      </c>
      <c r="K9" s="4">
        <v>848.12</v>
      </c>
      <c r="L9" s="4">
        <v>652.40000000000009</v>
      </c>
      <c r="M9" s="4">
        <v>782.88</v>
      </c>
      <c r="N9" s="6">
        <f>SUM(BaseFuncionarios[[#This Row],[Salario Base]:[VR]])</f>
        <v>10440.799999999999</v>
      </c>
      <c r="O9" t="s">
        <v>15</v>
      </c>
      <c r="P9" t="s">
        <v>60</v>
      </c>
      <c r="Q9" t="s">
        <v>61</v>
      </c>
      <c r="R9" s="8">
        <f ca="1">INT(YEARFRAC(BaseFuncionarios[[#This Row],[Data de Contratacao]],TODAY()))</f>
        <v>9</v>
      </c>
      <c r="S9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9">
        <v>37</v>
      </c>
      <c r="U9">
        <v>174</v>
      </c>
      <c r="V9">
        <v>6.8</v>
      </c>
      <c r="W9">
        <v>7</v>
      </c>
      <c r="X9">
        <v>4</v>
      </c>
      <c r="Y9">
        <v>3</v>
      </c>
      <c r="Z9">
        <v>10</v>
      </c>
      <c r="AA9">
        <v>10</v>
      </c>
    </row>
    <row r="10" spans="1:27" x14ac:dyDescent="0.25">
      <c r="A10">
        <v>9</v>
      </c>
      <c r="B10" t="s">
        <v>50</v>
      </c>
      <c r="C10" t="s">
        <v>98</v>
      </c>
      <c r="D10" s="1">
        <v>35323</v>
      </c>
      <c r="E10" s="7">
        <f ca="1">INT(YEARFRAC(BaseFuncionarios[[#This Row],[Data de Nascimento]],TODAY()))</f>
        <v>25</v>
      </c>
      <c r="F10" t="s">
        <v>77</v>
      </c>
      <c r="G10" s="1">
        <v>41893</v>
      </c>
      <c r="H10" s="1"/>
      <c r="I10" s="4">
        <v>7632</v>
      </c>
      <c r="J10" s="4">
        <v>434.21</v>
      </c>
      <c r="K10" s="4">
        <v>868.42</v>
      </c>
      <c r="L10" s="4">
        <v>620.30000000000007</v>
      </c>
      <c r="M10" s="4">
        <v>744.36</v>
      </c>
      <c r="N10" s="6">
        <f>SUM(BaseFuncionarios[[#This Row],[Salario Base]:[VR]])</f>
        <v>10299.289999999999</v>
      </c>
      <c r="O10" t="s">
        <v>15</v>
      </c>
      <c r="P10" t="s">
        <v>60</v>
      </c>
      <c r="Q10" t="s">
        <v>61</v>
      </c>
      <c r="R10" s="8">
        <f ca="1">INT(YEARFRAC(BaseFuncionarios[[#This Row],[Data de Contratacao]],TODAY()))</f>
        <v>7</v>
      </c>
      <c r="S10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10">
        <v>32</v>
      </c>
      <c r="U10">
        <v>132</v>
      </c>
      <c r="V10">
        <v>6.4</v>
      </c>
      <c r="W10">
        <v>0</v>
      </c>
      <c r="X10">
        <v>10</v>
      </c>
      <c r="Y10">
        <v>2</v>
      </c>
      <c r="Z10">
        <v>10</v>
      </c>
      <c r="AA10">
        <v>10</v>
      </c>
    </row>
    <row r="11" spans="1:27" x14ac:dyDescent="0.25">
      <c r="A11">
        <v>10</v>
      </c>
      <c r="B11" t="s">
        <v>48</v>
      </c>
      <c r="C11" t="s">
        <v>98</v>
      </c>
      <c r="D11" s="1">
        <v>32830</v>
      </c>
      <c r="E11" s="7">
        <f ca="1">INT(YEARFRAC(BaseFuncionarios[[#This Row],[Data de Nascimento]],TODAY()))</f>
        <v>32</v>
      </c>
      <c r="F11" t="s">
        <v>66</v>
      </c>
      <c r="G11" s="1">
        <v>41279</v>
      </c>
      <c r="H11" s="1"/>
      <c r="I11" s="4">
        <v>10661</v>
      </c>
      <c r="J11" s="4">
        <v>754.96</v>
      </c>
      <c r="K11" s="4">
        <v>660.59</v>
      </c>
      <c r="L11" s="4">
        <v>943.7</v>
      </c>
      <c r="M11" s="4">
        <v>1132.44</v>
      </c>
      <c r="N11" s="6">
        <f>SUM(BaseFuncionarios[[#This Row],[Salario Base]:[VR]])</f>
        <v>14152.69</v>
      </c>
      <c r="O11" t="s">
        <v>21</v>
      </c>
      <c r="P11" t="s">
        <v>58</v>
      </c>
      <c r="Q11" t="s">
        <v>63</v>
      </c>
      <c r="R11" s="8">
        <f ca="1">INT(YEARFRAC(BaseFuncionarios[[#This Row],[Data de Contratacao]],TODAY()))</f>
        <v>9</v>
      </c>
      <c r="S11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11">
        <v>7</v>
      </c>
      <c r="U11">
        <v>122</v>
      </c>
      <c r="V11">
        <v>9.6</v>
      </c>
      <c r="W11">
        <v>10</v>
      </c>
      <c r="X11">
        <v>10</v>
      </c>
      <c r="Y11">
        <v>8</v>
      </c>
      <c r="Z11">
        <v>10</v>
      </c>
      <c r="AA11">
        <v>10</v>
      </c>
    </row>
    <row r="12" spans="1:27" x14ac:dyDescent="0.25">
      <c r="A12">
        <v>11</v>
      </c>
      <c r="B12" t="s">
        <v>47</v>
      </c>
      <c r="C12" t="s">
        <v>98</v>
      </c>
      <c r="D12" s="1">
        <v>28509</v>
      </c>
      <c r="E12" s="7">
        <f ca="1">INT(YEARFRAC(BaseFuncionarios[[#This Row],[Data de Nascimento]],TODAY()))</f>
        <v>44</v>
      </c>
      <c r="F12" t="s">
        <v>71</v>
      </c>
      <c r="G12" s="1">
        <v>42614</v>
      </c>
      <c r="H12" s="1"/>
      <c r="I12" s="4">
        <v>6256</v>
      </c>
      <c r="J12" s="4">
        <v>476.1</v>
      </c>
      <c r="K12" s="4">
        <v>618.92999999999995</v>
      </c>
      <c r="L12" s="4">
        <v>476.1</v>
      </c>
      <c r="M12" s="4">
        <v>571.31999999999994</v>
      </c>
      <c r="N12" s="6">
        <f>SUM(BaseFuncionarios[[#This Row],[Salario Base]:[VR]])</f>
        <v>8398.4500000000007</v>
      </c>
      <c r="O12" t="s">
        <v>22</v>
      </c>
      <c r="P12" t="s">
        <v>60</v>
      </c>
      <c r="Q12" t="s">
        <v>62</v>
      </c>
      <c r="R12" s="8">
        <f ca="1">INT(YEARFRAC(BaseFuncionarios[[#This Row],[Data de Contratacao]],TODAY()))</f>
        <v>5</v>
      </c>
      <c r="S12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12">
        <v>19</v>
      </c>
      <c r="U12">
        <v>82</v>
      </c>
      <c r="V12">
        <v>8.4</v>
      </c>
      <c r="W12">
        <v>8</v>
      </c>
      <c r="X12">
        <v>10</v>
      </c>
      <c r="Y12">
        <v>8</v>
      </c>
      <c r="Z12">
        <v>10</v>
      </c>
      <c r="AA12">
        <v>6</v>
      </c>
    </row>
    <row r="13" spans="1:27" x14ac:dyDescent="0.25">
      <c r="A13">
        <v>12</v>
      </c>
      <c r="B13" t="s">
        <v>46</v>
      </c>
      <c r="C13" t="s">
        <v>97</v>
      </c>
      <c r="D13" s="1">
        <v>35335</v>
      </c>
      <c r="E13" s="7">
        <f ca="1">INT(YEARFRAC(BaseFuncionarios[[#This Row],[Data de Nascimento]],TODAY()))</f>
        <v>25</v>
      </c>
      <c r="F13" t="s">
        <v>70</v>
      </c>
      <c r="G13" s="1">
        <v>41905</v>
      </c>
      <c r="H13" s="1"/>
      <c r="I13" s="4">
        <v>959</v>
      </c>
      <c r="J13" s="4">
        <v>28.77</v>
      </c>
      <c r="K13" s="4">
        <v>47.95</v>
      </c>
      <c r="L13" s="4">
        <v>95.9</v>
      </c>
      <c r="M13" s="4">
        <v>115.08</v>
      </c>
      <c r="N13" s="6">
        <f>SUM(BaseFuncionarios[[#This Row],[Salario Base]:[VR]])</f>
        <v>1246.7</v>
      </c>
      <c r="O13" t="s">
        <v>13</v>
      </c>
      <c r="P13" t="s">
        <v>64</v>
      </c>
      <c r="Q13" t="s">
        <v>62</v>
      </c>
      <c r="R13" s="8">
        <f ca="1">INT(YEARFRAC(BaseFuncionarios[[#This Row],[Data de Contratacao]],TODAY()))</f>
        <v>7</v>
      </c>
      <c r="S13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13">
        <v>22</v>
      </c>
      <c r="U13">
        <v>81</v>
      </c>
      <c r="V13">
        <v>5.8</v>
      </c>
      <c r="W13">
        <v>8</v>
      </c>
      <c r="X13">
        <v>8</v>
      </c>
      <c r="Y13">
        <v>3</v>
      </c>
      <c r="Z13">
        <v>1</v>
      </c>
      <c r="AA13">
        <v>9</v>
      </c>
    </row>
    <row r="14" spans="1:27" x14ac:dyDescent="0.25">
      <c r="A14">
        <v>13</v>
      </c>
      <c r="B14" t="s">
        <v>31</v>
      </c>
      <c r="C14" t="s">
        <v>97</v>
      </c>
      <c r="D14" s="1">
        <v>35052</v>
      </c>
      <c r="E14" s="7">
        <f ca="1">INT(YEARFRAC(BaseFuncionarios[[#This Row],[Data de Nascimento]],TODAY()))</f>
        <v>26</v>
      </c>
      <c r="F14" t="s">
        <v>71</v>
      </c>
      <c r="G14" s="1">
        <v>41622</v>
      </c>
      <c r="H14" s="1"/>
      <c r="I14" s="4">
        <v>965</v>
      </c>
      <c r="J14" s="4">
        <v>48.25</v>
      </c>
      <c r="K14" s="4">
        <v>96.5</v>
      </c>
      <c r="L14" s="4">
        <v>96.5</v>
      </c>
      <c r="M14" s="4">
        <v>115.8</v>
      </c>
      <c r="N14" s="6">
        <f>SUM(BaseFuncionarios[[#This Row],[Salario Base]:[VR]])</f>
        <v>1322.05</v>
      </c>
      <c r="O14" t="s">
        <v>18</v>
      </c>
      <c r="P14" t="s">
        <v>64</v>
      </c>
      <c r="Q14" t="s">
        <v>63</v>
      </c>
      <c r="R14" s="8">
        <f ca="1">INT(YEARFRAC(BaseFuncionarios[[#This Row],[Data de Contratacao]],TODAY()))</f>
        <v>8</v>
      </c>
      <c r="S14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14">
        <v>13</v>
      </c>
      <c r="U14">
        <v>153</v>
      </c>
      <c r="V14">
        <v>8.4</v>
      </c>
      <c r="W14">
        <v>6</v>
      </c>
      <c r="X14">
        <v>8</v>
      </c>
      <c r="Y14">
        <v>9</v>
      </c>
      <c r="Z14">
        <v>9</v>
      </c>
      <c r="AA14">
        <v>10</v>
      </c>
    </row>
    <row r="15" spans="1:27" x14ac:dyDescent="0.25">
      <c r="A15">
        <v>14</v>
      </c>
      <c r="B15" t="s">
        <v>35</v>
      </c>
      <c r="C15" t="s">
        <v>98</v>
      </c>
      <c r="D15" s="1">
        <v>34960</v>
      </c>
      <c r="E15" s="7">
        <f ca="1">INT(YEARFRAC(BaseFuncionarios[[#This Row],[Data de Nascimento]],TODAY()))</f>
        <v>26</v>
      </c>
      <c r="F15" t="s">
        <v>69</v>
      </c>
      <c r="G15" s="1">
        <v>41530</v>
      </c>
      <c r="H15" s="1"/>
      <c r="I15" s="4">
        <v>978</v>
      </c>
      <c r="J15" s="4">
        <v>48.9</v>
      </c>
      <c r="K15" s="4">
        <v>78.239999999999995</v>
      </c>
      <c r="L15" s="4">
        <v>97.800000000000011</v>
      </c>
      <c r="M15" s="4">
        <v>117.36</v>
      </c>
      <c r="N15" s="6">
        <f>SUM(BaseFuncionarios[[#This Row],[Salario Base]:[VR]])</f>
        <v>1320.3</v>
      </c>
      <c r="O15" t="s">
        <v>18</v>
      </c>
      <c r="P15" t="s">
        <v>64</v>
      </c>
      <c r="Q15" t="s">
        <v>63</v>
      </c>
      <c r="R15" s="8">
        <f ca="1">INT(YEARFRAC(BaseFuncionarios[[#This Row],[Data de Contratacao]],TODAY()))</f>
        <v>8</v>
      </c>
      <c r="S15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15">
        <v>51</v>
      </c>
      <c r="U15">
        <v>74</v>
      </c>
      <c r="V15">
        <v>8.1999999999999993</v>
      </c>
      <c r="W15">
        <v>7</v>
      </c>
      <c r="X15">
        <v>7</v>
      </c>
      <c r="Y15">
        <v>8</v>
      </c>
      <c r="Z15">
        <v>10</v>
      </c>
      <c r="AA15">
        <v>9</v>
      </c>
    </row>
    <row r="16" spans="1:27" x14ac:dyDescent="0.25">
      <c r="A16">
        <v>15</v>
      </c>
      <c r="B16" t="s">
        <v>51</v>
      </c>
      <c r="C16" t="s">
        <v>97</v>
      </c>
      <c r="D16" s="1">
        <v>29553</v>
      </c>
      <c r="E16" s="7">
        <f ca="1">INT(YEARFRAC(BaseFuncionarios[[#This Row],[Data de Nascimento]],TODAY()))</f>
        <v>41</v>
      </c>
      <c r="F16" t="s">
        <v>76</v>
      </c>
      <c r="G16" s="1">
        <v>41286</v>
      </c>
      <c r="H16" s="1">
        <v>41986</v>
      </c>
      <c r="I16" s="4">
        <v>10000</v>
      </c>
      <c r="J16" s="4">
        <v>592.76</v>
      </c>
      <c r="K16" s="4">
        <v>931.48</v>
      </c>
      <c r="L16" s="4">
        <v>846.80000000000007</v>
      </c>
      <c r="M16" s="4">
        <v>1016.16</v>
      </c>
      <c r="N16" s="6">
        <f>SUM(BaseFuncionarios[[#This Row],[Salario Base]:[VR]])</f>
        <v>13387.199999999999</v>
      </c>
      <c r="O16" t="s">
        <v>17</v>
      </c>
      <c r="P16" t="s">
        <v>58</v>
      </c>
      <c r="Q16" t="s">
        <v>61</v>
      </c>
      <c r="R16" s="8">
        <f ca="1">INT(YEARFRAC(BaseFuncionarios[[#This Row],[Data de Contratacao]],TODAY()))</f>
        <v>9</v>
      </c>
      <c r="S16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16">
        <v>56</v>
      </c>
      <c r="U16">
        <v>11</v>
      </c>
      <c r="V16">
        <v>8.8000000000000007</v>
      </c>
      <c r="W16">
        <v>7</v>
      </c>
      <c r="X16">
        <v>8</v>
      </c>
      <c r="Y16">
        <v>9</v>
      </c>
      <c r="Z16">
        <v>10</v>
      </c>
      <c r="AA16">
        <v>10</v>
      </c>
    </row>
    <row r="17" spans="1:27" x14ac:dyDescent="0.25">
      <c r="A17">
        <v>16</v>
      </c>
      <c r="B17" t="s">
        <v>52</v>
      </c>
      <c r="C17" t="s">
        <v>97</v>
      </c>
      <c r="D17" s="1">
        <v>30989</v>
      </c>
      <c r="E17" s="7">
        <f ca="1">INT(YEARFRAC(BaseFuncionarios[[#This Row],[Data de Nascimento]],TODAY()))</f>
        <v>37</v>
      </c>
      <c r="F17" t="s">
        <v>69</v>
      </c>
      <c r="G17" s="1">
        <v>41343</v>
      </c>
      <c r="H17" s="1"/>
      <c r="I17" s="4">
        <v>16466</v>
      </c>
      <c r="J17" s="4">
        <v>1023.26</v>
      </c>
      <c r="K17" s="4">
        <v>1607.98</v>
      </c>
      <c r="L17" s="4">
        <v>1461.8000000000002</v>
      </c>
      <c r="M17" s="4">
        <v>1754.1599999999999</v>
      </c>
      <c r="N17" s="6">
        <f>SUM(BaseFuncionarios[[#This Row],[Salario Base]:[VR]])</f>
        <v>22313.199999999997</v>
      </c>
      <c r="O17" t="s">
        <v>29</v>
      </c>
      <c r="P17" t="s">
        <v>59</v>
      </c>
      <c r="Q17" t="s">
        <v>63</v>
      </c>
      <c r="R17" s="8">
        <f ca="1">INT(YEARFRAC(BaseFuncionarios[[#This Row],[Data de Contratacao]],TODAY()))</f>
        <v>9</v>
      </c>
      <c r="S17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17">
        <v>41</v>
      </c>
      <c r="U17">
        <v>58</v>
      </c>
      <c r="V17">
        <v>7.4</v>
      </c>
      <c r="W17">
        <v>1</v>
      </c>
      <c r="X17">
        <v>7</v>
      </c>
      <c r="Y17">
        <v>9</v>
      </c>
      <c r="Z17">
        <v>10</v>
      </c>
      <c r="AA17">
        <v>10</v>
      </c>
    </row>
    <row r="18" spans="1:27" x14ac:dyDescent="0.25">
      <c r="A18">
        <v>17</v>
      </c>
      <c r="B18" t="s">
        <v>42</v>
      </c>
      <c r="C18" t="s">
        <v>97</v>
      </c>
      <c r="D18" s="1">
        <v>34749</v>
      </c>
      <c r="E18" s="7">
        <f ca="1">INT(YEARFRAC(BaseFuncionarios[[#This Row],[Data de Nascimento]],TODAY()))</f>
        <v>27</v>
      </c>
      <c r="F18" t="s">
        <v>74</v>
      </c>
      <c r="G18" s="1">
        <v>41319</v>
      </c>
      <c r="H18" s="1"/>
      <c r="I18" s="4">
        <v>14887</v>
      </c>
      <c r="J18" s="4">
        <v>1072.8800000000001</v>
      </c>
      <c r="K18" s="4">
        <v>1341.1</v>
      </c>
      <c r="L18" s="4">
        <v>1341.1000000000001</v>
      </c>
      <c r="M18" s="4">
        <v>1609.32</v>
      </c>
      <c r="N18" s="6">
        <f>SUM(BaseFuncionarios[[#This Row],[Salario Base]:[VR]])</f>
        <v>20251.399999999998</v>
      </c>
      <c r="O18" t="s">
        <v>29</v>
      </c>
      <c r="P18" t="s">
        <v>59</v>
      </c>
      <c r="Q18" t="s">
        <v>63</v>
      </c>
      <c r="R18" s="8">
        <f ca="1">INT(YEARFRAC(BaseFuncionarios[[#This Row],[Data de Contratacao]],TODAY()))</f>
        <v>9</v>
      </c>
      <c r="S18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18">
        <v>23</v>
      </c>
      <c r="U18">
        <v>32</v>
      </c>
      <c r="V18">
        <v>7.8</v>
      </c>
      <c r="W18">
        <v>7</v>
      </c>
      <c r="X18">
        <v>10</v>
      </c>
      <c r="Y18">
        <v>7</v>
      </c>
      <c r="Z18">
        <v>9</v>
      </c>
      <c r="AA18">
        <v>6</v>
      </c>
    </row>
    <row r="19" spans="1:27" x14ac:dyDescent="0.25">
      <c r="A19">
        <v>18</v>
      </c>
      <c r="B19" t="s">
        <v>23</v>
      </c>
      <c r="C19" t="s">
        <v>97</v>
      </c>
      <c r="D19" s="1">
        <v>35709</v>
      </c>
      <c r="E19" s="7">
        <f ca="1">INT(YEARFRAC(BaseFuncionarios[[#This Row],[Data de Nascimento]],TODAY()))</f>
        <v>24</v>
      </c>
      <c r="F19" t="s">
        <v>73</v>
      </c>
      <c r="G19" s="1">
        <v>42279</v>
      </c>
      <c r="H19" s="1"/>
      <c r="I19" s="4">
        <v>1301</v>
      </c>
      <c r="J19" s="4">
        <v>65.05</v>
      </c>
      <c r="K19" s="4">
        <v>182.14</v>
      </c>
      <c r="L19" s="4">
        <v>130.1</v>
      </c>
      <c r="M19" s="4">
        <v>156.12</v>
      </c>
      <c r="N19" s="6">
        <f>SUM(BaseFuncionarios[[#This Row],[Salario Base]:[VR]])</f>
        <v>1834.4099999999999</v>
      </c>
      <c r="O19" t="s">
        <v>18</v>
      </c>
      <c r="P19" t="s">
        <v>64</v>
      </c>
      <c r="Q19" t="s">
        <v>63</v>
      </c>
      <c r="R19" s="8">
        <f ca="1">INT(YEARFRAC(BaseFuncionarios[[#This Row],[Data de Contratacao]],TODAY()))</f>
        <v>6</v>
      </c>
      <c r="S19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19">
        <v>16</v>
      </c>
      <c r="U19">
        <v>160</v>
      </c>
      <c r="V19">
        <v>7.6</v>
      </c>
      <c r="W19">
        <v>8</v>
      </c>
      <c r="X19">
        <v>1</v>
      </c>
      <c r="Y19">
        <v>9</v>
      </c>
      <c r="Z19">
        <v>10</v>
      </c>
      <c r="AA19">
        <v>10</v>
      </c>
    </row>
    <row r="20" spans="1:27" x14ac:dyDescent="0.25">
      <c r="A20">
        <v>19</v>
      </c>
      <c r="B20" t="s">
        <v>34</v>
      </c>
      <c r="C20" t="s">
        <v>98</v>
      </c>
      <c r="D20" s="1">
        <v>32151</v>
      </c>
      <c r="E20" s="7">
        <f ca="1">INT(YEARFRAC(BaseFuncionarios[[#This Row],[Data de Nascimento]],TODAY()))</f>
        <v>34</v>
      </c>
      <c r="F20" t="s">
        <v>78</v>
      </c>
      <c r="G20" s="1">
        <v>41526</v>
      </c>
      <c r="H20" s="1"/>
      <c r="I20" s="4">
        <v>6103</v>
      </c>
      <c r="J20" s="4">
        <v>385.7</v>
      </c>
      <c r="K20" s="4">
        <v>165.3</v>
      </c>
      <c r="L20" s="4">
        <v>551</v>
      </c>
      <c r="M20" s="4">
        <v>661.19999999999993</v>
      </c>
      <c r="N20" s="6">
        <f>SUM(BaseFuncionarios[[#This Row],[Salario Base]:[VR]])</f>
        <v>7866.2</v>
      </c>
      <c r="O20" t="s">
        <v>15</v>
      </c>
      <c r="P20" t="s">
        <v>60</v>
      </c>
      <c r="Q20" t="s">
        <v>61</v>
      </c>
      <c r="R20" s="8">
        <f ca="1">INT(YEARFRAC(BaseFuncionarios[[#This Row],[Data de Contratacao]],TODAY()))</f>
        <v>8</v>
      </c>
      <c r="S20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20">
        <v>60</v>
      </c>
      <c r="U20">
        <v>154</v>
      </c>
      <c r="V20">
        <v>7.2</v>
      </c>
      <c r="W20">
        <v>10</v>
      </c>
      <c r="X20">
        <v>8</v>
      </c>
      <c r="Y20">
        <v>8</v>
      </c>
      <c r="Z20">
        <v>2</v>
      </c>
      <c r="AA20">
        <v>8</v>
      </c>
    </row>
    <row r="21" spans="1:27" x14ac:dyDescent="0.25">
      <c r="A21">
        <v>20</v>
      </c>
      <c r="B21" t="s">
        <v>43</v>
      </c>
      <c r="C21" t="s">
        <v>98</v>
      </c>
      <c r="D21" s="1">
        <v>35084</v>
      </c>
      <c r="E21" s="7">
        <f ca="1">INT(YEARFRAC(BaseFuncionarios[[#This Row],[Data de Nascimento]],TODAY()))</f>
        <v>26</v>
      </c>
      <c r="F21" t="s">
        <v>68</v>
      </c>
      <c r="G21" s="1">
        <v>41654</v>
      </c>
      <c r="H21" s="1">
        <v>42354</v>
      </c>
      <c r="I21" s="4">
        <v>1924</v>
      </c>
      <c r="J21" s="4">
        <v>134.68</v>
      </c>
      <c r="K21" s="4">
        <v>192.4</v>
      </c>
      <c r="L21" s="4">
        <v>192.4</v>
      </c>
      <c r="M21" s="4">
        <v>230.88</v>
      </c>
      <c r="N21" s="6">
        <f>SUM(BaseFuncionarios[[#This Row],[Salario Base]:[VR]])</f>
        <v>2674.36</v>
      </c>
      <c r="O21" t="s">
        <v>13</v>
      </c>
      <c r="P21" t="s">
        <v>64</v>
      </c>
      <c r="Q21" t="s">
        <v>62</v>
      </c>
      <c r="R21" s="8">
        <f ca="1">INT(YEARFRAC(BaseFuncionarios[[#This Row],[Data de Contratacao]],TODAY()))</f>
        <v>8</v>
      </c>
      <c r="S21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21">
        <v>36</v>
      </c>
      <c r="U21">
        <v>183</v>
      </c>
      <c r="V21">
        <v>7.4</v>
      </c>
      <c r="W21">
        <v>7</v>
      </c>
      <c r="X21">
        <v>10</v>
      </c>
      <c r="Y21">
        <v>2</v>
      </c>
      <c r="Z21">
        <v>10</v>
      </c>
      <c r="AA21">
        <v>8</v>
      </c>
    </row>
    <row r="22" spans="1:27" x14ac:dyDescent="0.25">
      <c r="A22">
        <v>21</v>
      </c>
      <c r="B22" t="s">
        <v>24</v>
      </c>
      <c r="C22" t="s">
        <v>98</v>
      </c>
      <c r="D22" s="1">
        <v>30682</v>
      </c>
      <c r="E22" s="7">
        <f ca="1">INT(YEARFRAC(BaseFuncionarios[[#This Row],[Data de Nascimento]],TODAY()))</f>
        <v>38</v>
      </c>
      <c r="F22" t="s">
        <v>72</v>
      </c>
      <c r="G22" s="1">
        <v>41426</v>
      </c>
      <c r="H22" s="1"/>
      <c r="I22" s="4">
        <v>940</v>
      </c>
      <c r="J22" s="4">
        <v>94</v>
      </c>
      <c r="K22" s="4">
        <v>122.2</v>
      </c>
      <c r="L22" s="4">
        <v>94</v>
      </c>
      <c r="M22" s="4">
        <v>112.8</v>
      </c>
      <c r="N22" s="6">
        <f>SUM(BaseFuncionarios[[#This Row],[Salario Base]:[VR]])</f>
        <v>1363</v>
      </c>
      <c r="O22" t="s">
        <v>14</v>
      </c>
      <c r="P22" t="s">
        <v>64</v>
      </c>
      <c r="Q22" t="s">
        <v>61</v>
      </c>
      <c r="R22" s="8">
        <f ca="1">INT(YEARFRAC(BaseFuncionarios[[#This Row],[Data de Contratacao]],TODAY()))</f>
        <v>9</v>
      </c>
      <c r="S22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22">
        <v>14</v>
      </c>
      <c r="U22">
        <v>44</v>
      </c>
      <c r="V22">
        <v>7.8</v>
      </c>
      <c r="W22">
        <v>10</v>
      </c>
      <c r="X22">
        <v>0</v>
      </c>
      <c r="Y22">
        <v>9</v>
      </c>
      <c r="Z22">
        <v>10</v>
      </c>
      <c r="AA22">
        <v>10</v>
      </c>
    </row>
    <row r="23" spans="1:27" x14ac:dyDescent="0.25">
      <c r="A23">
        <v>22</v>
      </c>
      <c r="B23" t="s">
        <v>38</v>
      </c>
      <c r="C23" t="s">
        <v>97</v>
      </c>
      <c r="D23" s="1">
        <v>35473</v>
      </c>
      <c r="E23" s="7">
        <f ca="1">INT(YEARFRAC(BaseFuncionarios[[#This Row],[Data de Nascimento]],TODAY()))</f>
        <v>25</v>
      </c>
      <c r="F23" t="s">
        <v>66</v>
      </c>
      <c r="G23" s="1">
        <v>42043</v>
      </c>
      <c r="H23" s="1"/>
      <c r="I23" s="4">
        <v>6286</v>
      </c>
      <c r="J23" s="4">
        <v>351.26</v>
      </c>
      <c r="K23" s="4">
        <v>602.16</v>
      </c>
      <c r="L23" s="4">
        <v>501.8</v>
      </c>
      <c r="M23" s="4">
        <v>602.16</v>
      </c>
      <c r="N23" s="6">
        <f>SUM(BaseFuncionarios[[#This Row],[Salario Base]:[VR]])</f>
        <v>8343.380000000001</v>
      </c>
      <c r="O23" t="s">
        <v>15</v>
      </c>
      <c r="P23" t="s">
        <v>60</v>
      </c>
      <c r="Q23" t="s">
        <v>61</v>
      </c>
      <c r="R23" s="8">
        <f ca="1">INT(YEARFRAC(BaseFuncionarios[[#This Row],[Data de Contratacao]],TODAY()))</f>
        <v>7</v>
      </c>
      <c r="S23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23">
        <v>55</v>
      </c>
      <c r="U23">
        <v>57</v>
      </c>
      <c r="V23">
        <v>8.8000000000000007</v>
      </c>
      <c r="W23">
        <v>7</v>
      </c>
      <c r="X23">
        <v>10</v>
      </c>
      <c r="Y23">
        <v>8</v>
      </c>
      <c r="Z23">
        <v>10</v>
      </c>
      <c r="AA23">
        <v>9</v>
      </c>
    </row>
    <row r="24" spans="1:27" x14ac:dyDescent="0.25">
      <c r="A24">
        <v>23</v>
      </c>
      <c r="B24" t="s">
        <v>36</v>
      </c>
      <c r="C24" t="s">
        <v>97</v>
      </c>
      <c r="D24" s="1">
        <v>28775</v>
      </c>
      <c r="E24" s="7">
        <f ca="1">INT(YEARFRAC(BaseFuncionarios[[#This Row],[Data de Nascimento]],TODAY()))</f>
        <v>43</v>
      </c>
      <c r="F24" t="s">
        <v>71</v>
      </c>
      <c r="G24" s="1">
        <v>42269</v>
      </c>
      <c r="H24" s="1"/>
      <c r="I24" s="4">
        <v>7448</v>
      </c>
      <c r="J24" s="4">
        <v>391.79</v>
      </c>
      <c r="K24" s="4">
        <v>223.88</v>
      </c>
      <c r="L24" s="4">
        <v>559.70000000000005</v>
      </c>
      <c r="M24" s="4">
        <v>671.64</v>
      </c>
      <c r="N24" s="6">
        <f>SUM(BaseFuncionarios[[#This Row],[Salario Base]:[VR]])</f>
        <v>9295.01</v>
      </c>
      <c r="O24" t="s">
        <v>16</v>
      </c>
      <c r="P24" t="s">
        <v>60</v>
      </c>
      <c r="Q24" t="s">
        <v>63</v>
      </c>
      <c r="R24" s="8">
        <f ca="1">INT(YEARFRAC(BaseFuncionarios[[#This Row],[Data de Contratacao]],TODAY()))</f>
        <v>6</v>
      </c>
      <c r="S24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24">
        <v>26</v>
      </c>
      <c r="U24">
        <v>15</v>
      </c>
      <c r="V24">
        <v>8.6</v>
      </c>
      <c r="W24">
        <v>7</v>
      </c>
      <c r="X24">
        <v>8</v>
      </c>
      <c r="Y24">
        <v>8</v>
      </c>
      <c r="Z24">
        <v>10</v>
      </c>
      <c r="AA24">
        <v>10</v>
      </c>
    </row>
    <row r="25" spans="1:27" x14ac:dyDescent="0.25">
      <c r="A25">
        <v>24</v>
      </c>
      <c r="B25" t="s">
        <v>49</v>
      </c>
      <c r="C25" t="s">
        <v>98</v>
      </c>
      <c r="D25" s="1">
        <v>33671</v>
      </c>
      <c r="E25" s="7">
        <f ca="1">INT(YEARFRAC(BaseFuncionarios[[#This Row],[Data de Nascimento]],TODAY()))</f>
        <v>30</v>
      </c>
      <c r="F25" t="s">
        <v>76</v>
      </c>
      <c r="G25" s="1">
        <v>42016</v>
      </c>
      <c r="H25" s="1">
        <v>42716</v>
      </c>
      <c r="I25" s="4">
        <v>10804</v>
      </c>
      <c r="J25" s="4">
        <v>828.8</v>
      </c>
      <c r="K25" s="4">
        <v>1243.2</v>
      </c>
      <c r="L25" s="4">
        <v>1036</v>
      </c>
      <c r="M25" s="4">
        <v>1243.2</v>
      </c>
      <c r="N25" s="6">
        <f>SUM(BaseFuncionarios[[#This Row],[Salario Base]:[VR]])</f>
        <v>15155.2</v>
      </c>
      <c r="O25" t="s">
        <v>17</v>
      </c>
      <c r="P25" t="s">
        <v>58</v>
      </c>
      <c r="Q25" t="s">
        <v>61</v>
      </c>
      <c r="R25" s="8">
        <f ca="1">INT(YEARFRAC(BaseFuncionarios[[#This Row],[Data de Contratacao]],TODAY()))</f>
        <v>7</v>
      </c>
      <c r="S25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25">
        <v>49</v>
      </c>
      <c r="U25">
        <v>120</v>
      </c>
      <c r="V25">
        <v>9</v>
      </c>
      <c r="W25">
        <v>10</v>
      </c>
      <c r="X25">
        <v>8</v>
      </c>
      <c r="Y25">
        <v>7</v>
      </c>
      <c r="Z25">
        <v>10</v>
      </c>
      <c r="AA25">
        <v>10</v>
      </c>
    </row>
    <row r="26" spans="1:27" x14ac:dyDescent="0.25">
      <c r="A26">
        <v>25</v>
      </c>
      <c r="B26" t="s">
        <v>37</v>
      </c>
      <c r="C26" t="s">
        <v>97</v>
      </c>
      <c r="D26" s="1">
        <v>35593</v>
      </c>
      <c r="E26" s="7">
        <f ca="1">INT(YEARFRAC(BaseFuncionarios[[#This Row],[Data de Nascimento]],TODAY()))</f>
        <v>25</v>
      </c>
      <c r="F26" t="s">
        <v>73</v>
      </c>
      <c r="G26" s="1">
        <v>42163</v>
      </c>
      <c r="H26" s="1"/>
      <c r="I26" s="4">
        <v>5781</v>
      </c>
      <c r="J26" s="4">
        <v>295.56</v>
      </c>
      <c r="K26" s="4">
        <v>262.72000000000003</v>
      </c>
      <c r="L26" s="4">
        <v>328.40000000000003</v>
      </c>
      <c r="M26" s="4">
        <v>394.08</v>
      </c>
      <c r="N26" s="6">
        <f>SUM(BaseFuncionarios[[#This Row],[Salario Base]:[VR]])</f>
        <v>7061.76</v>
      </c>
      <c r="O26" t="s">
        <v>16</v>
      </c>
      <c r="P26" t="s">
        <v>60</v>
      </c>
      <c r="Q26" t="s">
        <v>63</v>
      </c>
      <c r="R26" s="8">
        <f ca="1">INT(YEARFRAC(BaseFuncionarios[[#This Row],[Data de Contratacao]],TODAY()))</f>
        <v>7</v>
      </c>
      <c r="S26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26">
        <v>56</v>
      </c>
      <c r="U26">
        <v>198</v>
      </c>
      <c r="V26">
        <v>8.4</v>
      </c>
      <c r="W26">
        <v>10</v>
      </c>
      <c r="X26">
        <v>10</v>
      </c>
      <c r="Y26">
        <v>10</v>
      </c>
      <c r="Z26">
        <v>3</v>
      </c>
      <c r="AA26">
        <v>9</v>
      </c>
    </row>
    <row r="27" spans="1:27" x14ac:dyDescent="0.25">
      <c r="A27">
        <v>26</v>
      </c>
      <c r="B27" t="s">
        <v>27</v>
      </c>
      <c r="C27" t="s">
        <v>98</v>
      </c>
      <c r="D27" s="1">
        <v>36031</v>
      </c>
      <c r="E27" s="7">
        <f ca="1">INT(YEARFRAC(BaseFuncionarios[[#This Row],[Data de Nascimento]],TODAY()))</f>
        <v>23</v>
      </c>
      <c r="F27" t="s">
        <v>73</v>
      </c>
      <c r="G27" s="1">
        <v>42601</v>
      </c>
      <c r="H27" s="1"/>
      <c r="I27" s="4">
        <v>3860</v>
      </c>
      <c r="J27" s="4">
        <v>175.38</v>
      </c>
      <c r="K27" s="4">
        <v>292.3</v>
      </c>
      <c r="L27" s="4">
        <v>292.3</v>
      </c>
      <c r="M27" s="4">
        <v>350.76</v>
      </c>
      <c r="N27" s="6">
        <f>SUM(BaseFuncionarios[[#This Row],[Salario Base]:[VR]])</f>
        <v>4970.7400000000007</v>
      </c>
      <c r="O27" t="s">
        <v>16</v>
      </c>
      <c r="P27" t="s">
        <v>60</v>
      </c>
      <c r="Q27" t="s">
        <v>63</v>
      </c>
      <c r="R27" s="8">
        <f ca="1">INT(YEARFRAC(BaseFuncionarios[[#This Row],[Data de Contratacao]],TODAY()))</f>
        <v>5</v>
      </c>
      <c r="S27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27">
        <v>45</v>
      </c>
      <c r="U27">
        <v>171</v>
      </c>
      <c r="V27">
        <v>8.8000000000000007</v>
      </c>
      <c r="W27">
        <v>7</v>
      </c>
      <c r="X27">
        <v>8</v>
      </c>
      <c r="Y27">
        <v>9</v>
      </c>
      <c r="Z27">
        <v>10</v>
      </c>
      <c r="AA27">
        <v>10</v>
      </c>
    </row>
    <row r="28" spans="1:27" x14ac:dyDescent="0.25">
      <c r="A28">
        <v>27</v>
      </c>
      <c r="B28" t="s">
        <v>45</v>
      </c>
      <c r="C28" t="s">
        <v>98</v>
      </c>
      <c r="D28" s="1">
        <v>36507</v>
      </c>
      <c r="E28" s="7">
        <f ca="1">INT(YEARFRAC(BaseFuncionarios[[#This Row],[Data de Nascimento]],TODAY()))</f>
        <v>22</v>
      </c>
      <c r="F28" t="s">
        <v>74</v>
      </c>
      <c r="G28" s="1">
        <v>43442</v>
      </c>
      <c r="H28" s="1"/>
      <c r="I28" s="4">
        <v>11566</v>
      </c>
      <c r="J28" s="4">
        <v>624.54</v>
      </c>
      <c r="K28" s="4">
        <v>624.54</v>
      </c>
      <c r="L28" s="4">
        <v>1040.9000000000001</v>
      </c>
      <c r="M28" s="4">
        <v>1249.08</v>
      </c>
      <c r="N28" s="6">
        <f>SUM(BaseFuncionarios[[#This Row],[Salario Base]:[VR]])</f>
        <v>15105.060000000001</v>
      </c>
      <c r="O28" t="s">
        <v>17</v>
      </c>
      <c r="P28" t="s">
        <v>58</v>
      </c>
      <c r="Q28" t="s">
        <v>61</v>
      </c>
      <c r="R28" s="8">
        <f ca="1">INT(YEARFRAC(BaseFuncionarios[[#This Row],[Data de Contratacao]],TODAY()))</f>
        <v>3</v>
      </c>
      <c r="S28" s="8" t="str">
        <f ca="1">IF(BaseFuncionarios[[#This Row],[TEMPO DE EMPRESA]]&lt;=2,"0-2 anos",IF(BaseFuncionarios[[#This Row],[TEMPO DE EMPRESA]]&lt;=4,"2-4 anos",IF(BaseFuncionarios[[#This Row],[TEMPO DE EMPRESA]]&lt;=6,"4-6 anos","Acima de 6 anos")))</f>
        <v>2-4 anos</v>
      </c>
      <c r="T28">
        <v>21</v>
      </c>
      <c r="U28">
        <v>63</v>
      </c>
      <c r="V28">
        <v>8.1999999999999993</v>
      </c>
      <c r="W28">
        <v>10</v>
      </c>
      <c r="X28">
        <v>8</v>
      </c>
      <c r="Y28">
        <v>3</v>
      </c>
      <c r="Z28">
        <v>10</v>
      </c>
      <c r="AA28">
        <v>10</v>
      </c>
    </row>
    <row r="29" spans="1:27" x14ac:dyDescent="0.25">
      <c r="A29">
        <v>28</v>
      </c>
      <c r="B29" t="s">
        <v>33</v>
      </c>
      <c r="C29" t="s">
        <v>97</v>
      </c>
      <c r="D29" s="1">
        <v>34480</v>
      </c>
      <c r="E29" s="7">
        <f ca="1">INT(YEARFRAC(BaseFuncionarios[[#This Row],[Data de Nascimento]],TODAY()))</f>
        <v>28</v>
      </c>
      <c r="F29" t="s">
        <v>66</v>
      </c>
      <c r="G29" s="1">
        <v>42762</v>
      </c>
      <c r="H29" s="1">
        <v>43462</v>
      </c>
      <c r="I29" s="4">
        <v>6637</v>
      </c>
      <c r="J29" s="4">
        <v>217.5</v>
      </c>
      <c r="K29" s="4">
        <v>304.5</v>
      </c>
      <c r="L29" s="4">
        <v>435</v>
      </c>
      <c r="M29" s="4">
        <v>522</v>
      </c>
      <c r="N29" s="6">
        <f>SUM(BaseFuncionarios[[#This Row],[Salario Base]:[VR]])</f>
        <v>8116</v>
      </c>
      <c r="O29" t="s">
        <v>15</v>
      </c>
      <c r="P29" t="s">
        <v>60</v>
      </c>
      <c r="Q29" t="s">
        <v>61</v>
      </c>
      <c r="R29" s="8">
        <f ca="1">INT(YEARFRAC(BaseFuncionarios[[#This Row],[Data de Contratacao]],TODAY()))</f>
        <v>5</v>
      </c>
      <c r="S29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29">
        <v>23</v>
      </c>
      <c r="U29">
        <v>189</v>
      </c>
      <c r="V29">
        <v>6.6</v>
      </c>
      <c r="W29">
        <v>1</v>
      </c>
      <c r="X29">
        <v>4</v>
      </c>
      <c r="Y29">
        <v>8</v>
      </c>
      <c r="Z29">
        <v>10</v>
      </c>
      <c r="AA29">
        <v>10</v>
      </c>
    </row>
    <row r="30" spans="1:27" x14ac:dyDescent="0.25">
      <c r="A30">
        <v>29</v>
      </c>
      <c r="B30" t="s">
        <v>28</v>
      </c>
      <c r="C30" t="s">
        <v>97</v>
      </c>
      <c r="D30" s="1">
        <v>30476</v>
      </c>
      <c r="E30" s="7">
        <f ca="1">INT(YEARFRAC(BaseFuncionarios[[#This Row],[Data de Nascimento]],TODAY()))</f>
        <v>39</v>
      </c>
      <c r="F30" t="s">
        <v>70</v>
      </c>
      <c r="G30" s="1">
        <v>42602</v>
      </c>
      <c r="H30" s="1"/>
      <c r="I30" s="4">
        <v>8752</v>
      </c>
      <c r="J30" s="4">
        <v>313.10000000000002</v>
      </c>
      <c r="K30" s="4">
        <v>375.72</v>
      </c>
      <c r="L30" s="4">
        <v>626.20000000000005</v>
      </c>
      <c r="M30" s="4">
        <v>751.43999999999994</v>
      </c>
      <c r="N30" s="6">
        <f>SUM(BaseFuncionarios[[#This Row],[Salario Base]:[VR]])</f>
        <v>10818.460000000001</v>
      </c>
      <c r="O30" t="s">
        <v>16</v>
      </c>
      <c r="P30" t="s">
        <v>60</v>
      </c>
      <c r="Q30" t="s">
        <v>63</v>
      </c>
      <c r="R30" s="8">
        <f ca="1">INT(YEARFRAC(BaseFuncionarios[[#This Row],[Data de Contratacao]],TODAY()))</f>
        <v>5</v>
      </c>
      <c r="S30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30">
        <v>21</v>
      </c>
      <c r="U30">
        <v>80</v>
      </c>
      <c r="V30">
        <v>8.6</v>
      </c>
      <c r="W30">
        <v>7</v>
      </c>
      <c r="X30">
        <v>10</v>
      </c>
      <c r="Y30">
        <v>8</v>
      </c>
      <c r="Z30">
        <v>9</v>
      </c>
      <c r="AA30">
        <v>9</v>
      </c>
    </row>
    <row r="31" spans="1:27" x14ac:dyDescent="0.25">
      <c r="A31">
        <v>30</v>
      </c>
      <c r="B31" t="s">
        <v>53</v>
      </c>
      <c r="C31" t="s">
        <v>98</v>
      </c>
      <c r="D31" s="1">
        <v>32955</v>
      </c>
      <c r="E31" s="7">
        <f ca="1">INT(YEARFRAC(BaseFuncionarios[[#This Row],[Data de Nascimento]],TODAY()))</f>
        <v>32</v>
      </c>
      <c r="F31" t="s">
        <v>71</v>
      </c>
      <c r="G31" s="1">
        <v>42408</v>
      </c>
      <c r="H31" s="1"/>
      <c r="I31" s="4">
        <v>872</v>
      </c>
      <c r="J31" s="4">
        <v>52.32</v>
      </c>
      <c r="K31" s="4">
        <v>113.36</v>
      </c>
      <c r="L31" s="4">
        <v>87.2</v>
      </c>
      <c r="M31" s="4">
        <v>104.64</v>
      </c>
      <c r="N31" s="6">
        <f>SUM(BaseFuncionarios[[#This Row],[Salario Base]:[VR]])</f>
        <v>1229.5200000000002</v>
      </c>
      <c r="O31" t="s">
        <v>14</v>
      </c>
      <c r="P31" t="s">
        <v>64</v>
      </c>
      <c r="Q31" t="s">
        <v>61</v>
      </c>
      <c r="R31" s="8">
        <f ca="1">INT(YEARFRAC(BaseFuncionarios[[#This Row],[Data de Contratacao]],TODAY()))</f>
        <v>6</v>
      </c>
      <c r="S31" s="8" t="str">
        <f ca="1">IF(BaseFuncionarios[[#This Row],[TEMPO DE EMPRESA]]&lt;=2,"0-2 anos",IF(BaseFuncionarios[[#This Row],[TEMPO DE EMPRESA]]&lt;=4,"2-4 anos",IF(BaseFuncionarios[[#This Row],[TEMPO DE EMPRESA]]&lt;=6,"4-6 anos","Acima de 6 anos")))</f>
        <v>4-6 anos</v>
      </c>
      <c r="T31">
        <v>53</v>
      </c>
      <c r="U31">
        <v>188</v>
      </c>
      <c r="V31">
        <v>9</v>
      </c>
      <c r="W31">
        <v>8</v>
      </c>
      <c r="X31">
        <v>9</v>
      </c>
      <c r="Y31">
        <v>9</v>
      </c>
      <c r="Z31">
        <v>9</v>
      </c>
      <c r="AA31">
        <v>10</v>
      </c>
    </row>
    <row r="32" spans="1:27" x14ac:dyDescent="0.25">
      <c r="A32">
        <v>31</v>
      </c>
      <c r="B32" t="s">
        <v>30</v>
      </c>
      <c r="C32" t="s">
        <v>97</v>
      </c>
      <c r="D32" s="1">
        <v>28911</v>
      </c>
      <c r="E32" s="7">
        <f ca="1">INT(YEARFRAC(BaseFuncionarios[[#This Row],[Data de Nascimento]],TODAY()))</f>
        <v>43</v>
      </c>
      <c r="F32" t="s">
        <v>74</v>
      </c>
      <c r="G32" s="1">
        <v>41493</v>
      </c>
      <c r="H32" s="1"/>
      <c r="I32" s="4">
        <v>12466</v>
      </c>
      <c r="J32" s="4">
        <v>1048.5</v>
      </c>
      <c r="K32" s="4">
        <v>629.1</v>
      </c>
      <c r="L32" s="4">
        <v>1048.5</v>
      </c>
      <c r="M32" s="4">
        <v>1258.2</v>
      </c>
      <c r="N32" s="6">
        <f>SUM(BaseFuncionarios[[#This Row],[Salario Base]:[VR]])</f>
        <v>16450.3</v>
      </c>
      <c r="O32" t="s">
        <v>19</v>
      </c>
      <c r="P32" t="s">
        <v>58</v>
      </c>
      <c r="Q32" t="s">
        <v>62</v>
      </c>
      <c r="R32" s="8">
        <f ca="1">INT(YEARFRAC(BaseFuncionarios[[#This Row],[Data de Contratacao]],TODAY()))</f>
        <v>8</v>
      </c>
      <c r="S32" s="8" t="str">
        <f ca="1">IF(BaseFuncionarios[[#This Row],[TEMPO DE EMPRESA]]&lt;=2,"0-2 anos",IF(BaseFuncionarios[[#This Row],[TEMPO DE EMPRESA]]&lt;=4,"2-4 anos",IF(BaseFuncionarios[[#This Row],[TEMPO DE EMPRESA]]&lt;=6,"4-6 anos","Acima de 6 anos")))</f>
        <v>Acima de 6 anos</v>
      </c>
      <c r="T32">
        <v>20</v>
      </c>
      <c r="U32">
        <v>175</v>
      </c>
      <c r="V32">
        <v>8.8000000000000007</v>
      </c>
      <c r="W32">
        <v>10</v>
      </c>
      <c r="X32">
        <v>10</v>
      </c>
      <c r="Y32">
        <v>8</v>
      </c>
      <c r="Z32">
        <v>10</v>
      </c>
      <c r="AA32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2983-CC1C-4833-9160-1D07DFD6C9FB}">
  <dimension ref="A1:N13"/>
  <sheetViews>
    <sheetView workbookViewId="0"/>
  </sheetViews>
  <sheetFormatPr defaultRowHeight="15" x14ac:dyDescent="0.25"/>
  <cols>
    <col min="1" max="1" width="20.140625" bestFit="1" customWidth="1"/>
    <col min="4" max="4" width="15.7109375" bestFit="1" customWidth="1"/>
    <col min="5" max="5" width="12.5703125" bestFit="1" customWidth="1"/>
    <col min="6" max="6" width="14.28515625" bestFit="1" customWidth="1"/>
    <col min="9" max="9" width="15.7109375" bestFit="1" customWidth="1"/>
    <col min="10" max="10" width="16.7109375" bestFit="1" customWidth="1"/>
    <col min="13" max="13" width="15.7109375" bestFit="1" customWidth="1"/>
    <col min="14" max="14" width="16.7109375" bestFit="1" customWidth="1"/>
  </cols>
  <sheetData>
    <row r="1" spans="1:14" ht="23.25" x14ac:dyDescent="0.35">
      <c r="A1" s="3" t="s">
        <v>104</v>
      </c>
    </row>
    <row r="3" spans="1:14" x14ac:dyDescent="0.25">
      <c r="A3" t="s">
        <v>84</v>
      </c>
      <c r="D3" t="s">
        <v>88</v>
      </c>
      <c r="E3" t="s">
        <v>90</v>
      </c>
      <c r="F3" t="s">
        <v>86</v>
      </c>
      <c r="I3" t="s">
        <v>88</v>
      </c>
      <c r="J3" t="s">
        <v>99</v>
      </c>
      <c r="M3" t="s">
        <v>88</v>
      </c>
      <c r="N3" t="s">
        <v>99</v>
      </c>
    </row>
    <row r="4" spans="1:14" x14ac:dyDescent="0.25">
      <c r="A4">
        <f>COUNTA(BaseFuncionarios[ID RH])</f>
        <v>31</v>
      </c>
      <c r="D4">
        <v>2013</v>
      </c>
      <c r="E4">
        <f>COUNTIFS(BaseFuncionarios[Data de Contratacao],"&gt;=01/01/"&amp;D4,BaseFuncionarios[Data de Contratacao],"&lt;=31/12/"&amp;D4)</f>
        <v>11</v>
      </c>
      <c r="F4">
        <f>COUNTIFS(BaseFuncionarios[Data de Demissao],"&gt;=01/01/"&amp;D4,BaseFuncionarios[Data de Demissao],"&lt;=31/12/"&amp;D4)</f>
        <v>0</v>
      </c>
      <c r="I4" t="s">
        <v>93</v>
      </c>
      <c r="J4">
        <f ca="1">COUNTIF(BaseFuncionarios[FAIXA DE TEMPO],I4)</f>
        <v>0</v>
      </c>
      <c r="M4" t="s">
        <v>97</v>
      </c>
      <c r="N4">
        <f>COUNTIF(BaseFuncionarios[Sexo],M4)</f>
        <v>17</v>
      </c>
    </row>
    <row r="5" spans="1:14" x14ac:dyDescent="0.25">
      <c r="D5">
        <v>2014</v>
      </c>
      <c r="E5">
        <f>COUNTIFS(BaseFuncionarios[Data de Contratacao],"&gt;=01/01/"&amp;D5,BaseFuncionarios[Data de Contratacao],"&lt;=31/12/"&amp;D5)</f>
        <v>4</v>
      </c>
      <c r="F5">
        <f>COUNTIFS(BaseFuncionarios[Data de Demissao],"&gt;=01/01/"&amp;D5,BaseFuncionarios[Data de Demissao],"&lt;=31/12/"&amp;D5)</f>
        <v>1</v>
      </c>
      <c r="I5" t="s">
        <v>94</v>
      </c>
      <c r="J5">
        <f ca="1">COUNTIF(BaseFuncionarios[FAIXA DE TEMPO],I5)</f>
        <v>2</v>
      </c>
      <c r="M5" t="s">
        <v>98</v>
      </c>
      <c r="N5">
        <f>COUNTIF(BaseFuncionarios[Sexo],M5)</f>
        <v>14</v>
      </c>
    </row>
    <row r="6" spans="1:14" x14ac:dyDescent="0.25">
      <c r="A6" t="s">
        <v>86</v>
      </c>
      <c r="D6">
        <v>2015</v>
      </c>
      <c r="E6">
        <f>COUNTIFS(BaseFuncionarios[Data de Contratacao],"&gt;=01/01/"&amp;D6,BaseFuncionarios[Data de Contratacao],"&lt;=31/12/"&amp;D6)</f>
        <v>5</v>
      </c>
      <c r="F6">
        <f>COUNTIFS(BaseFuncionarios[Data de Demissao],"&gt;=01/01/"&amp;D6,BaseFuncionarios[Data de Demissao],"&lt;=31/12/"&amp;D6)</f>
        <v>1</v>
      </c>
      <c r="I6" t="s">
        <v>95</v>
      </c>
      <c r="J6">
        <f ca="1">COUNTIF(BaseFuncionarios[FAIXA DE TEMPO],I6)</f>
        <v>11</v>
      </c>
      <c r="M6" t="s">
        <v>89</v>
      </c>
      <c r="N6">
        <f>SUM(N4:N5)</f>
        <v>31</v>
      </c>
    </row>
    <row r="7" spans="1:14" x14ac:dyDescent="0.25">
      <c r="A7">
        <f>COUNTIF(BaseFuncionarios[Data de Demissao],"&gt;0")</f>
        <v>6</v>
      </c>
      <c r="D7">
        <v>2016</v>
      </c>
      <c r="E7">
        <f>COUNTIFS(BaseFuncionarios[Data de Contratacao],"&gt;=01/01/"&amp;D7,BaseFuncionarios[Data de Contratacao],"&lt;=31/12/"&amp;D7)</f>
        <v>5</v>
      </c>
      <c r="F7">
        <f>COUNTIFS(BaseFuncionarios[Data de Demissao],"&gt;=01/01/"&amp;D7,BaseFuncionarios[Data de Demissao],"&lt;=31/12/"&amp;D7)</f>
        <v>2</v>
      </c>
      <c r="I7" t="s">
        <v>96</v>
      </c>
      <c r="J7">
        <f ca="1">COUNTIF(BaseFuncionarios[FAIXA DE TEMPO],I7)</f>
        <v>18</v>
      </c>
    </row>
    <row r="8" spans="1:14" x14ac:dyDescent="0.25">
      <c r="D8">
        <v>2017</v>
      </c>
      <c r="E8">
        <f>COUNTIFS(BaseFuncionarios[Data de Contratacao],"&gt;=01/01/"&amp;D8,BaseFuncionarios[Data de Contratacao],"&lt;=31/12/"&amp;D8)</f>
        <v>4</v>
      </c>
      <c r="F8">
        <f>COUNTIFS(BaseFuncionarios[Data de Demissao],"&gt;=01/01/"&amp;D8,BaseFuncionarios[Data de Demissao],"&lt;=31/12/"&amp;D8)</f>
        <v>1</v>
      </c>
      <c r="I8" t="s">
        <v>89</v>
      </c>
      <c r="J8">
        <f ca="1">SUM(J4:J7)</f>
        <v>31</v>
      </c>
    </row>
    <row r="9" spans="1:14" x14ac:dyDescent="0.25">
      <c r="A9" t="s">
        <v>85</v>
      </c>
      <c r="D9">
        <v>2018</v>
      </c>
      <c r="E9">
        <f>COUNTIFS(BaseFuncionarios[Data de Contratacao],"&gt;=01/01/"&amp;D9,BaseFuncionarios[Data de Contratacao],"&lt;=31/12/"&amp;D9)</f>
        <v>2</v>
      </c>
      <c r="F9">
        <f>COUNTIFS(BaseFuncionarios[Data de Demissao],"&gt;=01/01/"&amp;D9,BaseFuncionarios[Data de Demissao],"&lt;=31/12/"&amp;D9)</f>
        <v>1</v>
      </c>
    </row>
    <row r="10" spans="1:14" x14ac:dyDescent="0.25">
      <c r="A10">
        <f>A4-A7</f>
        <v>25</v>
      </c>
      <c r="D10" t="s">
        <v>89</v>
      </c>
      <c r="E10">
        <f>SUM(E4:E9)</f>
        <v>31</v>
      </c>
      <c r="F10">
        <f>SUM(F4:F9)</f>
        <v>6</v>
      </c>
    </row>
    <row r="12" spans="1:14" x14ac:dyDescent="0.25">
      <c r="A12" t="s">
        <v>87</v>
      </c>
    </row>
    <row r="13" spans="1:14" x14ac:dyDescent="0.25">
      <c r="A13" s="2">
        <f>A7/A4</f>
        <v>0.19354838709677419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D336-089C-4F9B-9993-25734F233548}">
  <dimension ref="A1:F12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23.28515625" bestFit="1" customWidth="1"/>
    <col min="5" max="5" width="18.85546875" bestFit="1" customWidth="1"/>
    <col min="6" max="6" width="14.140625" bestFit="1" customWidth="1"/>
  </cols>
  <sheetData>
    <row r="1" spans="1:6" ht="23.25" x14ac:dyDescent="0.35">
      <c r="A1" s="3" t="s">
        <v>105</v>
      </c>
    </row>
    <row r="3" spans="1:6" x14ac:dyDescent="0.25">
      <c r="A3" t="s">
        <v>106</v>
      </c>
      <c r="B3" t="str" cm="1">
        <f t="array" ref="B3">INDEX(BaseFuncionarios[Nome Completo],A12)</f>
        <v>Bárbara Rodrigues</v>
      </c>
      <c r="E3" t="s">
        <v>88</v>
      </c>
      <c r="F3" t="s">
        <v>100</v>
      </c>
    </row>
    <row r="4" spans="1:6" x14ac:dyDescent="0.25">
      <c r="A4" t="s">
        <v>57</v>
      </c>
      <c r="B4" t="str" cm="1">
        <f t="array" ref="B4">INDEX(BaseFuncionarios[Área],A12)</f>
        <v>Financeiro</v>
      </c>
      <c r="E4" t="s">
        <v>81</v>
      </c>
      <c r="F4" s="5" cm="1">
        <f t="array" ref="F4">INDEX(BaseFuncionarios[],$A$12,MATCH(E4,BaseFuncionarios[#Headers],0))</f>
        <v>8</v>
      </c>
    </row>
    <row r="5" spans="1:6" x14ac:dyDescent="0.25">
      <c r="A5" t="s">
        <v>56</v>
      </c>
      <c r="B5" t="str" cm="1">
        <f t="array" ref="B5">INDEX(BaseFuncionarios[Nível],A12)</f>
        <v>Coordenador</v>
      </c>
      <c r="E5" t="s">
        <v>82</v>
      </c>
      <c r="F5" s="5" cm="1">
        <f t="array" ref="F5">INDEX(BaseFuncionarios[],$A$12,MATCH(E5,BaseFuncionarios[#Headers],0))</f>
        <v>2</v>
      </c>
    </row>
    <row r="6" spans="1:6" x14ac:dyDescent="0.25">
      <c r="A6" t="s">
        <v>2</v>
      </c>
      <c r="B6" s="1" cm="1">
        <f t="array" ref="B6">INDEX(BaseFuncionarios[Data de Nascimento],A12)</f>
        <v>36233</v>
      </c>
      <c r="E6" t="s">
        <v>80</v>
      </c>
      <c r="F6" s="5" cm="1">
        <f t="array" ref="F6">INDEX(BaseFuncionarios[],$A$12,MATCH(E6,BaseFuncionarios[#Headers],0))</f>
        <v>10</v>
      </c>
    </row>
    <row r="7" spans="1:6" x14ac:dyDescent="0.25">
      <c r="A7" t="s">
        <v>101</v>
      </c>
      <c r="B7" s="1" cm="1">
        <f t="array" ref="B7">INDEX(BaseFuncionarios[Data de Contratacao],A12)</f>
        <v>42803</v>
      </c>
      <c r="E7" t="s">
        <v>83</v>
      </c>
      <c r="F7" s="5" cm="1">
        <f t="array" ref="F7">INDEX(BaseFuncionarios[],$A$12,MATCH(E7,BaseFuncionarios[#Headers],0))</f>
        <v>10</v>
      </c>
    </row>
    <row r="8" spans="1:6" x14ac:dyDescent="0.25">
      <c r="A8" t="s">
        <v>102</v>
      </c>
      <c r="B8" cm="1">
        <f t="array" aca="1" ref="B8" ca="1">INDEX(BaseFuncionarios[Idade],A12)</f>
        <v>23</v>
      </c>
      <c r="E8" t="s">
        <v>79</v>
      </c>
      <c r="F8" s="5" cm="1">
        <f t="array" ref="F8">INDEX(BaseFuncionarios[],$A$12,MATCH(E8,BaseFuncionarios[#Headers],0))</f>
        <v>10</v>
      </c>
    </row>
    <row r="9" spans="1:6" x14ac:dyDescent="0.25">
      <c r="A9" t="s">
        <v>103</v>
      </c>
      <c r="B9" s="4" cm="1">
        <f t="array" ref="B9">INDEX(BaseFuncionarios[Salário Total],A12)</f>
        <v>15907.65</v>
      </c>
      <c r="E9" t="s">
        <v>89</v>
      </c>
      <c r="F9" s="5">
        <f>AVERAGE(F4:F8)</f>
        <v>8</v>
      </c>
    </row>
    <row r="12" spans="1:6" x14ac:dyDescent="0.25">
      <c r="A1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2521C7-F9C8-4526-BD44-27F25C49D8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</vt:lpstr>
      <vt:lpstr>PAINEL 1</vt:lpstr>
      <vt:lpstr>PAINEL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pedro</cp:lastModifiedBy>
  <dcterms:created xsi:type="dcterms:W3CDTF">2018-09-26T16:56:27Z</dcterms:created>
  <dcterms:modified xsi:type="dcterms:W3CDTF">2022-06-26T20:46:42Z</dcterms:modified>
</cp:coreProperties>
</file>