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edro\Documents\Estudo\Excel\"/>
    </mc:Choice>
  </mc:AlternateContent>
  <xr:revisionPtr revIDLastSave="0" documentId="13_ncr:1_{A6CD56D1-884F-4421-82EC-1678AE40D90C}" xr6:coauthVersionLast="47" xr6:coauthVersionMax="47" xr10:uidLastSave="{00000000-0000-0000-0000-000000000000}"/>
  <bookViews>
    <workbookView xWindow="-21720" yWindow="-120" windowWidth="21840" windowHeight="13290" tabRatio="698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29" r:id="rId7"/>
    <sheet name="Dados para Gráficos" sheetId="19" state="hidden" r:id="rId8"/>
    <sheet name="Dashboard" sheetId="18" state="hidden" r:id="rId9"/>
  </sheets>
  <definedNames>
    <definedName name="_xlnm._FilterDatabase" localSheetId="3" hidden="1">Vendas!$C$4:$F$86</definedName>
    <definedName name="Int_Categoria">TB_Descontos[#Headers]</definedName>
    <definedName name="Int_CodVendedor">Vendedores!$A$5:$A$9</definedName>
    <definedName name="Int_DescMax">Vendedores!$D$5:$D$9</definedName>
    <definedName name="Int_Nome_Produtos">#REF!</definedName>
    <definedName name="Int_qtde">TB_Descontos[[#All],[Desconto por Categoria e Qtd]]</definedName>
    <definedName name="Int_Quantidade">#REF!</definedName>
    <definedName name="TB_DESCONTO">TB_Descontos[#All]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9" l="1"/>
  <c r="E11" i="29"/>
  <c r="E8" i="29"/>
  <c r="E5" i="29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H30" i="16" s="1"/>
  <c r="I30" i="16" s="1"/>
  <c r="E31" i="16"/>
  <c r="H31" i="16" s="1"/>
  <c r="I31" i="16" s="1"/>
  <c r="E32" i="16"/>
  <c r="H32" i="16" s="1"/>
  <c r="I32" i="16" s="1"/>
  <c r="E33" i="16"/>
  <c r="H33" i="16" s="1"/>
  <c r="I33" i="16" s="1"/>
  <c r="E34" i="16"/>
  <c r="H34" i="16" s="1"/>
  <c r="I34" i="16" s="1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H66" i="16" s="1"/>
  <c r="I66" i="16" s="1"/>
  <c r="E67" i="16"/>
  <c r="H67" i="16" s="1"/>
  <c r="I67" i="16" s="1"/>
  <c r="E68" i="16"/>
  <c r="H68" i="16" s="1"/>
  <c r="I68" i="16" s="1"/>
  <c r="E69" i="16"/>
  <c r="H69" i="16" s="1"/>
  <c r="I69" i="16" s="1"/>
  <c r="E70" i="16"/>
  <c r="H70" i="16" s="1"/>
  <c r="I70" i="16" s="1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J5" i="16"/>
  <c r="L5" i="16" s="1"/>
  <c r="J6" i="16"/>
  <c r="J7" i="16"/>
  <c r="J8" i="16"/>
  <c r="L8" i="16" s="1"/>
  <c r="J9" i="16"/>
  <c r="J10" i="16"/>
  <c r="J11" i="16"/>
  <c r="J12" i="16"/>
  <c r="L12" i="16" s="1"/>
  <c r="J13" i="16"/>
  <c r="L13" i="16" s="1"/>
  <c r="J14" i="16"/>
  <c r="L14" i="16" s="1"/>
  <c r="J15" i="16"/>
  <c r="J16" i="16"/>
  <c r="L16" i="16" s="1"/>
  <c r="J17" i="16"/>
  <c r="L17" i="16" s="1"/>
  <c r="J18" i="16"/>
  <c r="J19" i="16"/>
  <c r="J20" i="16"/>
  <c r="L20" i="16" s="1"/>
  <c r="J21" i="16"/>
  <c r="J22" i="16"/>
  <c r="J23" i="16"/>
  <c r="J24" i="16"/>
  <c r="L24" i="16" s="1"/>
  <c r="J25" i="16"/>
  <c r="L25" i="16" s="1"/>
  <c r="J26" i="16"/>
  <c r="L26" i="16" s="1"/>
  <c r="J27" i="16"/>
  <c r="L27" i="16" s="1"/>
  <c r="J28" i="16"/>
  <c r="L28" i="16" s="1"/>
  <c r="J29" i="16"/>
  <c r="L29" i="16" s="1"/>
  <c r="J30" i="16"/>
  <c r="J31" i="16"/>
  <c r="J32" i="16"/>
  <c r="L32" i="16" s="1"/>
  <c r="J33" i="16"/>
  <c r="J34" i="16"/>
  <c r="J35" i="16"/>
  <c r="J36" i="16"/>
  <c r="L36" i="16" s="1"/>
  <c r="J37" i="16"/>
  <c r="L37" i="16" s="1"/>
  <c r="J38" i="16"/>
  <c r="L38" i="16" s="1"/>
  <c r="J39" i="16"/>
  <c r="L39" i="16" s="1"/>
  <c r="J40" i="16"/>
  <c r="L40" i="16" s="1"/>
  <c r="J41" i="16"/>
  <c r="L41" i="16" s="1"/>
  <c r="J42" i="16"/>
  <c r="J43" i="16"/>
  <c r="J44" i="16"/>
  <c r="L44" i="16" s="1"/>
  <c r="J45" i="16"/>
  <c r="J46" i="16"/>
  <c r="J47" i="16"/>
  <c r="J48" i="16"/>
  <c r="L48" i="16" s="1"/>
  <c r="J49" i="16"/>
  <c r="L49" i="16" s="1"/>
  <c r="J50" i="16"/>
  <c r="L50" i="16" s="1"/>
  <c r="J51" i="16"/>
  <c r="L51" i="16" s="1"/>
  <c r="J52" i="16"/>
  <c r="L52" i="16" s="1"/>
  <c r="J53" i="16"/>
  <c r="L53" i="16" s="1"/>
  <c r="J54" i="16"/>
  <c r="J55" i="16"/>
  <c r="J56" i="16"/>
  <c r="L56" i="16" s="1"/>
  <c r="J57" i="16"/>
  <c r="J58" i="16"/>
  <c r="J59" i="16"/>
  <c r="J60" i="16"/>
  <c r="L60" i="16" s="1"/>
  <c r="J61" i="16"/>
  <c r="L61" i="16" s="1"/>
  <c r="J62" i="16"/>
  <c r="L62" i="16" s="1"/>
  <c r="J63" i="16"/>
  <c r="L63" i="16" s="1"/>
  <c r="J64" i="16"/>
  <c r="L64" i="16" s="1"/>
  <c r="J65" i="16"/>
  <c r="L65" i="16" s="1"/>
  <c r="J66" i="16"/>
  <c r="J67" i="16"/>
  <c r="J68" i="16"/>
  <c r="L68" i="16" s="1"/>
  <c r="J69" i="16"/>
  <c r="J70" i="16"/>
  <c r="J71" i="16"/>
  <c r="J72" i="16"/>
  <c r="L72" i="16" s="1"/>
  <c r="J73" i="16"/>
  <c r="L73" i="16" s="1"/>
  <c r="J74" i="16"/>
  <c r="L74" i="16" s="1"/>
  <c r="J75" i="16"/>
  <c r="L75" i="16" s="1"/>
  <c r="J76" i="16"/>
  <c r="L76" i="16" s="1"/>
  <c r="J77" i="16"/>
  <c r="L77" i="16" s="1"/>
  <c r="J78" i="16"/>
  <c r="J79" i="16"/>
  <c r="J80" i="16"/>
  <c r="L80" i="16" s="1"/>
  <c r="J81" i="16"/>
  <c r="J82" i="16"/>
  <c r="J83" i="16"/>
  <c r="J84" i="16"/>
  <c r="L84" i="16" s="1"/>
  <c r="J85" i="16"/>
  <c r="L85" i="16" s="1"/>
  <c r="J86" i="16"/>
  <c r="L86" i="16" s="1"/>
  <c r="G5" i="16"/>
  <c r="M5" i="16" s="1"/>
  <c r="G6" i="16"/>
  <c r="G7" i="16"/>
  <c r="G8" i="16"/>
  <c r="G9" i="16"/>
  <c r="G10" i="16"/>
  <c r="G11" i="16"/>
  <c r="G12" i="16"/>
  <c r="G13" i="16"/>
  <c r="G14" i="16"/>
  <c r="M14" i="16" s="1"/>
  <c r="G15" i="16"/>
  <c r="G16" i="16"/>
  <c r="M16" i="16" s="1"/>
  <c r="G17" i="16"/>
  <c r="M17" i="16" s="1"/>
  <c r="G18" i="16"/>
  <c r="G19" i="16"/>
  <c r="G20" i="16"/>
  <c r="G21" i="16"/>
  <c r="G22" i="16"/>
  <c r="G23" i="16"/>
  <c r="G24" i="16"/>
  <c r="G25" i="16"/>
  <c r="G26" i="16"/>
  <c r="M26" i="16" s="1"/>
  <c r="G27" i="16"/>
  <c r="M27" i="16" s="1"/>
  <c r="G28" i="16"/>
  <c r="M28" i="16" s="1"/>
  <c r="G29" i="16"/>
  <c r="M29" i="16" s="1"/>
  <c r="G30" i="16"/>
  <c r="G31" i="16"/>
  <c r="G32" i="16"/>
  <c r="G33" i="16"/>
  <c r="G34" i="16"/>
  <c r="G35" i="16"/>
  <c r="G36" i="16"/>
  <c r="G37" i="16"/>
  <c r="G38" i="16"/>
  <c r="M38" i="16" s="1"/>
  <c r="G39" i="16"/>
  <c r="M39" i="16" s="1"/>
  <c r="G40" i="16"/>
  <c r="M40" i="16" s="1"/>
  <c r="G41" i="16"/>
  <c r="M41" i="16" s="1"/>
  <c r="G42" i="16"/>
  <c r="G43" i="16"/>
  <c r="G44" i="16"/>
  <c r="G45" i="16"/>
  <c r="G46" i="16"/>
  <c r="G47" i="16"/>
  <c r="G48" i="16"/>
  <c r="G49" i="16"/>
  <c r="G50" i="16"/>
  <c r="M50" i="16" s="1"/>
  <c r="G51" i="16"/>
  <c r="M51" i="16" s="1"/>
  <c r="G52" i="16"/>
  <c r="M52" i="16" s="1"/>
  <c r="G53" i="16"/>
  <c r="M53" i="16" s="1"/>
  <c r="G54" i="16"/>
  <c r="G55" i="16"/>
  <c r="G56" i="16"/>
  <c r="G57" i="16"/>
  <c r="G58" i="16"/>
  <c r="G59" i="16"/>
  <c r="G60" i="16"/>
  <c r="G61" i="16"/>
  <c r="G62" i="16"/>
  <c r="M62" i="16" s="1"/>
  <c r="G63" i="16"/>
  <c r="M63" i="16" s="1"/>
  <c r="G64" i="16"/>
  <c r="M64" i="16" s="1"/>
  <c r="G65" i="16"/>
  <c r="M65" i="16" s="1"/>
  <c r="G66" i="16"/>
  <c r="G67" i="16"/>
  <c r="G68" i="16"/>
  <c r="G69" i="16"/>
  <c r="G70" i="16"/>
  <c r="G71" i="16"/>
  <c r="G72" i="16"/>
  <c r="G73" i="16"/>
  <c r="G74" i="16"/>
  <c r="M74" i="16" s="1"/>
  <c r="G75" i="16"/>
  <c r="M75" i="16" s="1"/>
  <c r="G76" i="16"/>
  <c r="M76" i="16" s="1"/>
  <c r="G77" i="16"/>
  <c r="M77" i="16" s="1"/>
  <c r="G78" i="16"/>
  <c r="G79" i="16"/>
  <c r="G80" i="16"/>
  <c r="G81" i="16"/>
  <c r="G82" i="16"/>
  <c r="G83" i="16"/>
  <c r="G84" i="16"/>
  <c r="G85" i="16"/>
  <c r="G86" i="16"/>
  <c r="M86" i="16" s="1"/>
  <c r="C11" i="24"/>
  <c r="F7" i="24"/>
  <c r="C10" i="24"/>
  <c r="C9" i="24"/>
  <c r="C7" i="24"/>
  <c r="C8" i="24"/>
  <c r="F9" i="24"/>
  <c r="M49" i="16" l="1"/>
  <c r="M84" i="16"/>
  <c r="M72" i="16"/>
  <c r="M60" i="16"/>
  <c r="M48" i="16"/>
  <c r="M36" i="16"/>
  <c r="M24" i="16"/>
  <c r="M12" i="16"/>
  <c r="M13" i="16"/>
  <c r="L79" i="16"/>
  <c r="M79" i="16" s="1"/>
  <c r="L67" i="16"/>
  <c r="M67" i="16" s="1"/>
  <c r="L55" i="16"/>
  <c r="M55" i="16" s="1"/>
  <c r="L43" i="16"/>
  <c r="L31" i="16"/>
  <c r="L19" i="16"/>
  <c r="M19" i="16" s="1"/>
  <c r="L7" i="16"/>
  <c r="M25" i="16"/>
  <c r="M80" i="16"/>
  <c r="M68" i="16"/>
  <c r="M56" i="16"/>
  <c r="M44" i="16"/>
  <c r="M32" i="16"/>
  <c r="M20" i="16"/>
  <c r="M8" i="16"/>
  <c r="L78" i="16"/>
  <c r="L66" i="16"/>
  <c r="L54" i="16"/>
  <c r="L42" i="16"/>
  <c r="L30" i="16"/>
  <c r="L18" i="16"/>
  <c r="L6" i="16"/>
  <c r="M61" i="16"/>
  <c r="M43" i="16"/>
  <c r="M31" i="16"/>
  <c r="M7" i="16"/>
  <c r="M73" i="16"/>
  <c r="M78" i="16"/>
  <c r="M66" i="16"/>
  <c r="M54" i="16"/>
  <c r="M42" i="16"/>
  <c r="M30" i="16"/>
  <c r="M18" i="16"/>
  <c r="M6" i="16"/>
  <c r="M85" i="16"/>
  <c r="M37" i="16"/>
  <c r="M45" i="16"/>
  <c r="M33" i="16"/>
  <c r="M83" i="16"/>
  <c r="M15" i="16"/>
  <c r="L81" i="16"/>
  <c r="M81" i="16" s="1"/>
  <c r="L69" i="16"/>
  <c r="M69" i="16" s="1"/>
  <c r="L57" i="16"/>
  <c r="M57" i="16" s="1"/>
  <c r="L45" i="16"/>
  <c r="L33" i="16"/>
  <c r="L83" i="16"/>
  <c r="L71" i="16"/>
  <c r="M71" i="16" s="1"/>
  <c r="L59" i="16"/>
  <c r="M59" i="16" s="1"/>
  <c r="L47" i="16"/>
  <c r="M47" i="16" s="1"/>
  <c r="L35" i="16"/>
  <c r="M35" i="16" s="1"/>
  <c r="L23" i="16"/>
  <c r="M23" i="16" s="1"/>
  <c r="L11" i="16"/>
  <c r="M11" i="16" s="1"/>
  <c r="L82" i="16"/>
  <c r="M82" i="16" s="1"/>
  <c r="L70" i="16"/>
  <c r="M70" i="16" s="1"/>
  <c r="L58" i="16"/>
  <c r="M58" i="16" s="1"/>
  <c r="L46" i="16"/>
  <c r="M46" i="16" s="1"/>
  <c r="L34" i="16"/>
  <c r="M34" i="16" s="1"/>
  <c r="L22" i="16"/>
  <c r="M22" i="16" s="1"/>
  <c r="L10" i="16"/>
  <c r="M10" i="16" s="1"/>
  <c r="L21" i="16"/>
  <c r="M21" i="16" s="1"/>
  <c r="L9" i="16"/>
  <c r="M9" i="16" s="1"/>
  <c r="L15" i="16"/>
  <c r="C12" i="24" a="1"/>
  <c r="C12" i="24" s="1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<sst xmlns="http://schemas.openxmlformats.org/spreadsheetml/2006/main" count="514" uniqueCount="179">
  <si>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</si>
  <si>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</si>
  <si>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</si>
  <si>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</si>
  <si>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</si>
  <si>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</si>
  <si>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</si>
  <si>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</si>
  <si>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</si>
  <si>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</si>
  <si>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</si>
  <si>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</si>
  <si>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</si>
  <si>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</si>
  <si>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</si>
  <si>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</si>
  <si>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</si>
  <si>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</si>
  <si>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</si>
  <si>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</si>
  <si>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</si>
  <si>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</si>
  <si>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</si>
  <si>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</si>
  <si>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</si>
  <si>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</si>
  <si>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</si>
  <si>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</si>
  <si>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</si>
  <si>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</si>
  <si>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</si>
  <si>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</si>
  <si>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</si>
  <si>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</si>
  <si>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</si>
  <si>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</si>
  <si>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</si>
  <si>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</si>
  <si>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</si>
  <si>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</si>
  <si>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</si>
  <si>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</si>
  <si>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</si>
  <si>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</si>
  <si>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</si>
  <si>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</si>
  <si>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</si>
  <si>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</si>
  <si>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</si>
  <si>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</si>
  <si>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</si>
  <si>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</si>
  <si>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</si>
  <si>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</si>
  <si>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</si>
  <si>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</si>
  <si>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</si>
  <si>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</si>
  <si>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</si>
  <si>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</si>
  <si>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</si>
  <si>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</si>
  <si>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</si>
  <si>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</si>
  <si>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</si>
  <si>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</si>
  <si>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</si>
  <si>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</si>
  <si>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</si>
  <si>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</si>
  <si>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</si>
  <si>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</si>
  <si>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</si>
  <si>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</si>
  <si>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</si>
  <si>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</si>
  <si>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</si>
  <si>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</si>
  <si>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</si>
  <si>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</si>
  <si>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</si>
  <si>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</si>
  <si>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</si>
  <si>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</si>
  <si>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</si>
  <si>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</si>
  <si>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</si>
  <si>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</si>
  <si>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</si>
  <si>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</si>
  <si>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</si>
  <si>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</si>
  <si>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</si>
  <si>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</si>
  <si>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</si>
  <si>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</si>
  <si>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</si>
  <si>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</si>
  <si>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</si>
  <si>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</si>
  <si>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</si>
  <si>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</si>
  <si>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</si>
  <si>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</si>
  <si>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</si>
  <si>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</si>
  <si>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</si>
  <si>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</si>
  <si>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</si>
  <si>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</si>
  <si>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</si>
  <si>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</si>
  <si>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</si>
  <si>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</si>
  <si>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</si>
  <si>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</si>
  <si>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</si>
  <si>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</si>
  <si>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</si>
  <si>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</si>
  <si>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</si>
  <si>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</si>
  <si>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</si>
  <si>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</si>
  <si>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</si>
  <si>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</si>
  <si>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</si>
  <si>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</si>
  <si>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</si>
  <si>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</si>
  <si>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</si>
  <si>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</si>
  <si>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</si>
  <si>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</si>
  <si>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</si>
  <si>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</si>
  <si>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</si>
  <si>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</si>
  <si>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</si>
  <si>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</si>
  <si>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</si>
  <si>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</si>
  <si>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</si>
  <si>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</si>
  <si>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</si>
  <si>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</si>
  <si>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</si>
  <si>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</si>
  <si>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</si>
  <si>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</si>
  <si>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</si>
  <si>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</si>
  <si>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</si>
  <si>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</si>
  <si>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</si>
  <si>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</si>
  <si>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</si>
  <si>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</si>
  <si>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</si>
  <si>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</si>
  <si>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</si>
  <si>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</si>
  <si>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</si>
  <si>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</si>
  <si>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</si>
  <si>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</si>
  <si>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</si>
  <si>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Desc. Vend.</t>
  </si>
  <si>
    <t>Indice</t>
  </si>
  <si>
    <t>Desc Passo a Passo</t>
  </si>
  <si>
    <t>Desc. Diretão</t>
  </si>
  <si>
    <t>Desconto Final</t>
  </si>
  <si>
    <t>Bolsa de Couro</t>
  </si>
  <si>
    <t>Calça Jeans</t>
  </si>
  <si>
    <t>Bolsa Coringa</t>
  </si>
  <si>
    <t>Ache o preço do produto que tenha aproximadamente 20 quantidades?</t>
  </si>
  <si>
    <t>Ache um produto com aproximadamente 35 quantidades?</t>
  </si>
  <si>
    <t>Responda sim. Se houver uma bermuda que custa 65,90?</t>
  </si>
  <si>
    <t>Qual o produto mais caro da lista?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</si>
</sst>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27" xfId="0" applyFont="1" applyFill="1" applyBorder="1" applyAlignment="1">
      <alignment horizontal="center"/>
    </xf>
    <xf numFmtId="0" fontId="24" fillId="7" borderId="24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2" xfId="0" applyFont="1" applyFill="1" applyBorder="1" applyAlignment="1">
      <alignment horizontal="center"/>
    </xf>
    <xf numFmtId="0" fontId="17" fillId="2" borderId="25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6" xfId="3" applyFont="1" applyFill="1" applyBorder="1" applyAlignment="1">
      <alignment horizontal="right"/>
    </xf>
    <xf numFmtId="0" fontId="17" fillId="2" borderId="28" xfId="3" applyFont="1" applyFill="1" applyBorder="1" applyAlignment="1">
      <alignment horizontal="right"/>
    </xf>
    <xf numFmtId="14" fontId="24" fillId="7" borderId="22" xfId="0" applyNumberFormat="1" applyFont="1" applyFill="1" applyBorder="1" applyAlignment="1">
      <alignment horizontal="center"/>
    </xf>
    <xf numFmtId="165" fontId="24" fillId="7" borderId="23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0" fontId="15" fillId="2" borderId="8" xfId="0" applyFont="1" applyFill="1" applyBorder="1" applyAlignment="1">
      <alignment horizontal="center"/>
    </xf>
    <xf numFmtId="1" fontId="14" fillId="7" borderId="8" xfId="0" applyNumberFormat="1" applyFont="1" applyFill="1" applyBorder="1" applyAlignment="1">
      <alignment horizontal="center"/>
    </xf>
    <xf numFmtId="1" fontId="14" fillId="7" borderId="31" xfId="0" applyNumberFormat="1" applyFont="1" applyFill="1" applyBorder="1" applyAlignment="1">
      <alignment horizontal="center"/>
    </xf>
    <xf numFmtId="1" fontId="14" fillId="7" borderId="30" xfId="0" applyNumberFormat="1" applyFont="1" applyFill="1" applyBorder="1" applyAlignment="1">
      <alignment horizontal="center"/>
    </xf>
    <xf numFmtId="0" fontId="15" fillId="2" borderId="32" xfId="3" applyFont="1" applyFill="1" applyBorder="1" applyAlignment="1">
      <alignment horizontal="center" vertical="center"/>
    </xf>
    <xf numFmtId="1" fontId="16" fillId="8" borderId="29" xfId="0" applyNumberFormat="1" applyFont="1" applyFill="1" applyBorder="1" applyAlignment="1">
      <alignment horizontal="center" vertical="center"/>
    </xf>
    <xf numFmtId="1" fontId="16" fillId="8" borderId="7" xfId="0" applyNumberFormat="1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 vertical="center"/>
    </xf>
    <xf numFmtId="0" fontId="15" fillId="2" borderId="17" xfId="3" applyFont="1" applyFill="1" applyBorder="1" applyAlignment="1">
      <alignment horizontal="center" vertical="center" wrapText="1"/>
    </xf>
    <xf numFmtId="0" fontId="16" fillId="0" borderId="3" xfId="5" applyNumberFormat="1" applyFont="1" applyFill="1" applyBorder="1" applyAlignment="1">
      <alignment horizontal="center" vertical="center"/>
    </xf>
    <xf numFmtId="0" fontId="16" fillId="0" borderId="6" xfId="5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4" xfId="0" applyFont="1" applyBorder="1"/>
    <xf numFmtId="1" fontId="16" fillId="0" borderId="33" xfId="0" applyNumberFormat="1" applyFont="1" applyBorder="1" applyAlignment="1">
      <alignment horizontal="center" vertical="center"/>
    </xf>
    <xf numFmtId="9" fontId="16" fillId="0" borderId="29" xfId="5" applyFont="1" applyBorder="1" applyAlignment="1">
      <alignment horizontal="center" vertical="center"/>
    </xf>
    <xf numFmtId="0" fontId="15" fillId="2" borderId="15" xfId="3" applyFont="1" applyFill="1" applyBorder="1" applyAlignment="1">
      <alignment horizontal="center" vertical="center" wrapText="1"/>
    </xf>
    <xf numFmtId="0" fontId="15" fillId="2" borderId="34" xfId="3" applyFont="1" applyFill="1" applyBorder="1" applyAlignment="1">
      <alignment horizontal="center" vertical="center"/>
    </xf>
    <xf numFmtId="0" fontId="15" fillId="2" borderId="13" xfId="3" applyFont="1" applyFill="1" applyBorder="1" applyAlignment="1">
      <alignment horizontal="center" vertical="center"/>
    </xf>
    <xf numFmtId="1" fontId="16" fillId="0" borderId="35" xfId="0" applyNumberFormat="1" applyFont="1" applyBorder="1" applyAlignment="1">
      <alignment horizontal="center" vertical="center"/>
    </xf>
    <xf numFmtId="9" fontId="16" fillId="0" borderId="30" xfId="5" applyFont="1" applyBorder="1" applyAlignment="1">
      <alignment horizontal="center" vertical="center"/>
    </xf>
    <xf numFmtId="9" fontId="16" fillId="0" borderId="8" xfId="5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7" fillId="2" borderId="16" xfId="3" applyFont="1" applyFill="1" applyBorder="1" applyAlignment="1">
      <alignment horizontal="center" vertical="center"/>
    </xf>
    <xf numFmtId="0" fontId="17" fillId="2" borderId="18" xfId="3" applyFont="1" applyFill="1" applyBorder="1" applyAlignment="1">
      <alignment horizontal="center" vertical="center"/>
    </xf>
    <xf numFmtId="0" fontId="17" fillId="2" borderId="17" xfId="3" applyFont="1" applyFill="1" applyBorder="1" applyAlignment="1">
      <alignment horizontal="center" vertical="center"/>
    </xf>
    <xf numFmtId="165" fontId="0" fillId="0" borderId="3" xfId="4" applyNumberFormat="1" applyFont="1" applyBorder="1"/>
    <xf numFmtId="165" fontId="0" fillId="0" borderId="6" xfId="4" applyNumberFormat="1" applyFont="1" applyBorder="1"/>
    <xf numFmtId="0" fontId="17" fillId="2" borderId="16" xfId="3" applyFont="1" applyFill="1" applyBorder="1" applyAlignment="1">
      <alignment horizontal="left" vertical="center"/>
    </xf>
    <xf numFmtId="0" fontId="17" fillId="2" borderId="18" xfId="3" applyFont="1" applyFill="1" applyBorder="1" applyAlignment="1">
      <alignment horizontal="left" vertical="center"/>
    </xf>
    <xf numFmtId="0" fontId="17" fillId="2" borderId="17" xfId="3" applyFont="1" applyFill="1" applyBorder="1" applyAlignment="1">
      <alignment horizontal="left" vertic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7" xfId="0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Montserrat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1602.5</c:v>
                </c:pt>
                <c:pt idx="1">
                  <c:v>2496.1699999999996</c:v>
                </c:pt>
                <c:pt idx="2">
                  <c:v>3174.97</c:v>
                </c:pt>
                <c:pt idx="3">
                  <c:v>3097.0549999999994</c:v>
                </c:pt>
                <c:pt idx="4">
                  <c:v>2403.52</c:v>
                </c:pt>
                <c:pt idx="5">
                  <c:v>2975.4649999999997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76200</xdr:rowOff>
    </xdr:from>
    <xdr:to>
      <xdr:col>0</xdr:col>
      <xdr:colOff>515619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685799</xdr:colOff>
      <xdr:row>0</xdr:row>
      <xdr:rowOff>85725</xdr:rowOff>
    </xdr:from>
    <xdr:to>
      <xdr:col>8</xdr:col>
      <xdr:colOff>1369694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561975</xdr:colOff>
      <xdr:row>0</xdr:row>
      <xdr:rowOff>85725</xdr:rowOff>
    </xdr:from>
    <xdr:to>
      <xdr:col>8</xdr:col>
      <xdr:colOff>17145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1014413</xdr:colOff>
      <xdr:row>0</xdr:row>
      <xdr:rowOff>85725</xdr:rowOff>
    </xdr:from>
    <xdr:to>
      <xdr:col>7</xdr:col>
      <xdr:colOff>469583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619125</xdr:colOff>
      <xdr:row>0</xdr:row>
      <xdr:rowOff>85725</xdr:rowOff>
    </xdr:from>
    <xdr:to>
      <xdr:col>6</xdr:col>
      <xdr:colOff>922020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42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41"/>
    <tableColumn id="2" xr3:uid="{E100D4E2-C3A0-43FF-A1D9-90A4BC2A9918}" name="Produtos"/>
    <tableColumn id="3" xr3:uid="{2EF7FEE0-6B6F-4534-86A0-46B6555B7BEF}" name="Tamanho" dataDxfId="40"/>
    <tableColumn id="4" xr3:uid="{4435A4B8-E7F0-4D66-A4F8-6A9FEAA36D5A}" name="Categoria"/>
    <tableColumn id="6" xr3:uid="{15F9CACC-A558-4A20-80CF-C2ADA2603221}" name="Estoque" dataDxfId="39"/>
    <tableColumn id="5" xr3:uid="{CA8AD0DE-58EC-4839-85FB-1DD75DA28087}" name="Preço Unitário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36" dataDxfId="35" headerRowCellStyle="Cabeçalho Meteora">
  <autoFilter ref="A4:N86" xr:uid="{AD739091-30BD-4C30-BDDA-7504C0C4B6E2}"/>
  <tableColumns count="14">
    <tableColumn id="7" xr3:uid="{5E8DE7C3-CDB6-4314-A5CC-C44D3C21973F}" name="Nº" dataDxfId="34" totalsRowDxfId="33">
      <calculatedColumnFormula>MONTH(TB_Vendas[[#This Row],[Data]])</calculatedColumnFormula>
    </tableColumn>
    <tableColumn id="10" xr3:uid="{BD1ABB49-B48B-4C50-A034-45488FDC03A8}" name="Mês" dataDxfId="32" totalsRowDxfId="31">
      <calculatedColumnFormula>PROPER(TEXT(DATE(,TB_Vendas[[#This Row],[Nº]],1),"Mmm"))</calculatedColumnFormula>
    </tableColumn>
    <tableColumn id="1" xr3:uid="{43632F1F-6978-4CE7-BB13-7CCE587D6821}" name="Data" dataDxfId="30" totalsRowDxfId="29"/>
    <tableColumn id="12" xr3:uid="{205A55AB-454E-4288-AE23-042C3C399E7A}" name="Código" dataDxfId="28" totalsRowDxfId="27"/>
    <tableColumn id="13" xr3:uid="{37EF6FB5-C843-48AF-94AB-EDDC48BC8197}" name="Categoria" dataDxfId="26" totalsRowDxfId="25">
      <calculatedColumnFormula>_xlfn.XLOOKUP(TB_Vendas[[#This Row],[Código]], TB_Produtos[Código], TB_Produtos[Categoria])</calculatedColumnFormula>
    </tableColumn>
    <tableColumn id="5" xr3:uid="{7DC2ADED-AF8A-4BC8-A38E-FEF676FE49C9}" name="Qtd" dataDxfId="24" totalsRowDxfId="23"/>
    <tableColumn id="9" xr3:uid="{05B7315B-2774-41BC-AFEC-4A19E452D6C7}" name="Preço Unitário" dataDxfId="22" totalsRowDxfId="21">
      <calculatedColumnFormula>_xlfn.XLOOKUP(TB_Vendas[[#This Row],[Código]], TB_Produtos[Código], TB_Produtos[Preço Unitário])</calculatedColumnFormula>
    </tableColumn>
    <tableColumn id="15" xr3:uid="{C86CB74A-9C28-4678-B0CD-ECB35FD2E820}" name="Indice" dataDxfId="20" totalsRowDxfId="19">
      <calculatedColumnFormula>_xlfn.XMATCH(TB_Vendas[[#This Row],[Categoria]], Int_Categoria,0)</calculatedColumnFormula>
    </tableColumn>
    <tableColumn id="14" xr3:uid="{E668C521-F829-4DBE-B473-4CB16DCD409B}" name="Desc Passo a Passo" dataDxfId="18" totalsRowDxfId="17" dataCellStyle="Porcentagem" totalsRowCellStyle="Porcentagem">
      <calculatedColumnFormula>VLOOKUP(TB_Vendas[[#This Row],[Qtd]], TB_DESCONTO, TB_Vendas[[#This Row],[Indice]],1)</calculatedColumnFormula>
    </tableColumn>
    <tableColumn id="2" xr3:uid="{4BEBDE19-FA81-4412-AC83-E0AE6998A9B4}" name="Desc. Diretão" dataDxfId="16" totalsRowDxfId="15" dataCellStyle="Porcentagem" totalsRowCellStyle="Porcentagem">
      <calculatedColumnFormula>INDEX(TB_DESCONTO, MATCH(TB_Vendas[[#This Row],[Qtd]], Int_qtde,1), MATCH(_xlfn.XLOOKUP(TB_Vendas[[#This Row],[Código]], TB_Produtos[Código], TB_Produtos[Categoria]), Int_Categoria,0))</calculatedColumnFormula>
    </tableColumn>
    <tableColumn id="4" xr3:uid="{3C3640B0-1FB4-4B91-8DB5-EB55D236D88C}" name="Desc. Vend." dataDxfId="14" totalsRowDxfId="13" dataCellStyle="Porcentagem" totalsRowCellStyle="Porcentagem">
      <calculatedColumnFormula>_xlfn.XLOOKUP(TB_Vendas[[#This Row],[Vendedor]], Int_CodVendedor, Int_DescMax)</calculatedColumnFormula>
    </tableColumn>
    <tableColumn id="11" xr3:uid="{51B2AC01-6F7D-438D-951E-4526099F3EFD}" name="Desconto Final" dataDxfId="12" totalsRowDxfId="11" dataCellStyle="Porcentagem" totalsRowCellStyle="Porcentagem">
      <calculatedColumnFormula>IF(TB_Vendas[[#This Row],[Desc. Diretão]] &gt; TB_Vendas[[#This Row],[Desc. Vend.]], TB_Vendas[[#This Row],[Desc. Vend.]], TB_Vendas[[#This Row],[Desc. Diretão]])</calculatedColumnFormula>
    </tableColumn>
    <tableColumn id="6" xr3:uid="{9459B662-6A4F-4486-82B1-12F67B8F842E}" name="Total" dataDxfId="10">
      <calculatedColumnFormula>(TB_Vendas[[#This Row],[Preço Unitário]] - (TB_Vendas[[#This Row],[Preço Unitário]] * TB_Vendas[[#This Row],[Desconto Final]])) * TB_Vendas[[#This Row],[Qtd]]</calculatedColumnFormula>
    </tableColumn>
    <tableColumn id="8" xr3:uid="{192FEBCA-1287-48A6-9BE6-69528F71C305}" name="Vendedor" dataDxfId="9" totalsRow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31400-99EF-4309-98D3-3966C4CE1B88}" name="TB_Descontos" displayName="TB_Descontos" ref="B8:E13" totalsRowShown="0" headerRowDxfId="7" headerRowBorderDxfId="6" tableBorderDxfId="5" totalsRowBorderDxfId="4" headerRowCellStyle="Cabeçalho Meteora">
  <autoFilter ref="B8:E13" xr:uid="{F7131400-99EF-4309-98D3-3966C4CE1B88}"/>
  <tableColumns count="4">
    <tableColumn id="1" xr3:uid="{564D428B-EA8A-4B39-AB5C-2B47ED9DD77E}" name="Desconto por Categoria e Qtd" dataDxfId="3"/>
    <tableColumn id="2" xr3:uid="{AC1028A9-848B-4031-8782-74C8B888F190}" name="Acessórios" dataDxfId="2" dataCellStyle="Porcentagem"/>
    <tableColumn id="3" xr3:uid="{AD86094E-1D44-441E-A919-1EBFD836E296}" name="Vestuário" dataDxfId="1" dataCellStyle="Porcentagem"/>
    <tableColumn id="4" xr3:uid="{0D27CB09-CE60-47C5-B5EF-021F93F18913}" name="Calçado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1:12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1:12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</row>
    <row r="5" spans="1:12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1:1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40" zoomScale="140" zoomScaleNormal="140" workbookViewId="0">
      <selection activeCell="F25" sqref="F25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96" t="s">
        <v>133</v>
      </c>
      <c r="C1" s="96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3" t="s">
        <v>74</v>
      </c>
      <c r="C4" s="53" t="s">
        <v>145</v>
      </c>
      <c r="D4" s="50" t="s">
        <v>146</v>
      </c>
    </row>
    <row r="5" spans="1:5" ht="22.5" customHeight="1">
      <c r="A5" s="56" t="s">
        <v>126</v>
      </c>
      <c r="B5" s="52" t="s">
        <v>73</v>
      </c>
      <c r="C5" s="52" t="s">
        <v>147</v>
      </c>
      <c r="D5" s="59">
        <v>0.2</v>
      </c>
    </row>
    <row r="6" spans="1:5" ht="22.5" customHeight="1">
      <c r="A6" s="56" t="s">
        <v>127</v>
      </c>
      <c r="B6" s="52" t="s">
        <v>75</v>
      </c>
      <c r="C6" s="52" t="s">
        <v>148</v>
      </c>
      <c r="D6" s="59">
        <v>0.25</v>
      </c>
    </row>
    <row r="7" spans="1:5" ht="22.5" customHeight="1">
      <c r="A7" s="56" t="s">
        <v>128</v>
      </c>
      <c r="B7" s="52" t="s">
        <v>72</v>
      </c>
      <c r="C7" s="52" t="s">
        <v>149</v>
      </c>
      <c r="D7" s="59">
        <v>0.1</v>
      </c>
    </row>
    <row r="8" spans="1:5" ht="22.5" customHeight="1">
      <c r="A8" s="56" t="s">
        <v>129</v>
      </c>
      <c r="B8" s="52" t="s">
        <v>131</v>
      </c>
      <c r="C8" s="52" t="s">
        <v>150</v>
      </c>
      <c r="D8" s="59">
        <v>0.2</v>
      </c>
    </row>
    <row r="9" spans="1:5" ht="22.5" customHeight="1" thickBot="1">
      <c r="A9" s="57" t="s">
        <v>130</v>
      </c>
      <c r="B9" s="58" t="s">
        <v>132</v>
      </c>
      <c r="C9" s="58" t="s">
        <v>151</v>
      </c>
      <c r="D9" s="60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="115" zoomScaleNormal="115" workbookViewId="0">
      <selection activeCell="E97" sqref="E97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7.5703125" style="1" bestFit="1" customWidth="1"/>
    <col min="6" max="6" width="10.140625" bestFit="1" customWidth="1"/>
    <col min="7" max="7" width="22.85546875" bestFit="1" customWidth="1"/>
    <col min="8" max="8" width="22.85546875" customWidth="1"/>
    <col min="9" max="9" width="30" bestFit="1" customWidth="1"/>
    <col min="10" max="10" width="22.140625" bestFit="1" customWidth="1"/>
    <col min="11" max="12" width="20.85546875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ht="19.5">
      <c r="A4" s="11" t="s">
        <v>125</v>
      </c>
      <c r="B4" s="35" t="s">
        <v>31</v>
      </c>
      <c r="C4" s="35" t="s">
        <v>76</v>
      </c>
      <c r="D4" s="35" t="s">
        <v>30</v>
      </c>
      <c r="E4" s="35" t="s">
        <v>10</v>
      </c>
      <c r="F4" s="35" t="s">
        <v>15</v>
      </c>
      <c r="G4" s="35" t="s">
        <v>11</v>
      </c>
      <c r="H4" s="35" t="s">
        <v>168</v>
      </c>
      <c r="I4" s="35" t="s">
        <v>169</v>
      </c>
      <c r="J4" s="35" t="s">
        <v>170</v>
      </c>
      <c r="K4" s="35" t="s">
        <v>167</v>
      </c>
      <c r="L4" s="35" t="s">
        <v>171</v>
      </c>
      <c r="M4" s="36" t="s">
        <v>16</v>
      </c>
      <c r="N4" s="35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 TB_Produtos[Código], TB_Produtos[Categoria])</f>
        <v>Acessórios</v>
      </c>
      <c r="F5" s="1">
        <v>1</v>
      </c>
      <c r="G5" s="29">
        <f>_xlfn.XLOOKUP(TB_Vendas[[#This Row],[Código]], TB_Produtos[Código], TB_Produtos[Preço Unitário])</f>
        <v>39.9</v>
      </c>
      <c r="H5" s="94">
        <f>_xlfn.XMATCH(TB_Vendas[[#This Row],[Categoria]], Int_Categoria,0)</f>
        <v>2</v>
      </c>
      <c r="I5" s="62">
        <f>VLOOKUP(TB_Vendas[[#This Row],[Qtd]], TB_DESCONTO, TB_Vendas[[#This Row],[Indice]],1)</f>
        <v>0</v>
      </c>
      <c r="J5" s="62">
        <f>INDEX(TB_DESCONTO, MATCH(TB_Vendas[[#This Row],[Qtd]], Int_qtde,1), MATCH(_xlfn.XLOOKUP(TB_Vendas[[#This Row],[Código]], TB_Produtos[Código], TB_Produtos[Categoria]), Int_Categoria,0))</f>
        <v>0</v>
      </c>
      <c r="K5" s="62">
        <f>_xlfn.XLOOKUP(TB_Vendas[[#This Row],[Vendedor]], Int_CodVendedor, Int_DescMax)</f>
        <v>0.25</v>
      </c>
      <c r="L5" s="62">
        <f>IF(TB_Vendas[[#This Row],[Desc. Diretão]] &gt; TB_Vendas[[#This Row],[Desc. Vend.]], TB_Vendas[[#This Row],[Desc. Vend.]], TB_Vendas[[#This Row],[Desc. Diretão]])</f>
        <v>0</v>
      </c>
      <c r="M5" s="8">
        <f>(TB_Vendas[[#This Row],[Preço Unitário]] - (TB_Vendas[[#This Row],[Preço Unitário]] * TB_Vendas[[#This Row],[Desconto Final]])) * 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 TB_Produtos[Código], TB_Produtos[Categoria])</f>
        <v>Acessórios</v>
      </c>
      <c r="F6" s="1">
        <v>1</v>
      </c>
      <c r="G6" s="29">
        <f>_xlfn.XLOOKUP(TB_Vendas[[#This Row],[Código]], TB_Produtos[Código], TB_Produtos[Preço Unitário])</f>
        <v>259.89999999999998</v>
      </c>
      <c r="H6" s="94">
        <f>_xlfn.XMATCH(TB_Vendas[[#This Row],[Categoria]], Int_Categoria,0)</f>
        <v>2</v>
      </c>
      <c r="I6" s="62">
        <f>VLOOKUP(TB_Vendas[[#This Row],[Qtd]], TB_DESCONTO, TB_Vendas[[#This Row],[Indice]],1)</f>
        <v>0</v>
      </c>
      <c r="J6" s="62">
        <f>INDEX(TB_DESCONTO, MATCH(TB_Vendas[[#This Row],[Qtd]], Int_qtde,1), MATCH(_xlfn.XLOOKUP(TB_Vendas[[#This Row],[Código]], TB_Produtos[Código], TB_Produtos[Categoria]), Int_Categoria,0))</f>
        <v>0</v>
      </c>
      <c r="K6" s="62">
        <f>_xlfn.XLOOKUP(TB_Vendas[[#This Row],[Vendedor]], Int_CodVendedor, Int_DescMax)</f>
        <v>0.25</v>
      </c>
      <c r="L6" s="62">
        <f>IF(TB_Vendas[[#This Row],[Desc. Diretão]] &gt; TB_Vendas[[#This Row],[Desc. Vend.]], TB_Vendas[[#This Row],[Desc. Vend.]], TB_Vendas[[#This Row],[Desc. Diretão]])</f>
        <v>0</v>
      </c>
      <c r="M6" s="8">
        <f>(TB_Vendas[[#This Row],[Preço Unitário]] - (TB_Vendas[[#This Row],[Preço Unitário]] * TB_Vendas[[#This Row],[Desconto Final]])) * 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 TB_Produtos[Código], TB_Produtos[Categoria])</f>
        <v>Vestuário</v>
      </c>
      <c r="F7" s="1">
        <v>2</v>
      </c>
      <c r="G7" s="29">
        <f>_xlfn.XLOOKUP(TB_Vendas[[#This Row],[Código]], TB_Produtos[Código], TB_Produtos[Preço Unitário])</f>
        <v>32.9</v>
      </c>
      <c r="H7" s="94">
        <f>_xlfn.XMATCH(TB_Vendas[[#This Row],[Categoria]], Int_Categoria,0)</f>
        <v>3</v>
      </c>
      <c r="I7" s="62">
        <f>VLOOKUP(TB_Vendas[[#This Row],[Qtd]], TB_DESCONTO, TB_Vendas[[#This Row],[Indice]],1)</f>
        <v>0.15</v>
      </c>
      <c r="J7" s="62">
        <f>INDEX(TB_DESCONTO, MATCH(TB_Vendas[[#This Row],[Qtd]], Int_qtde,1), MATCH(_xlfn.XLOOKUP(TB_Vendas[[#This Row],[Código]], TB_Produtos[Código], TB_Produtos[Categoria]), Int_Categoria,0))</f>
        <v>0.15</v>
      </c>
      <c r="K7" s="62">
        <f>_xlfn.XLOOKUP(TB_Vendas[[#This Row],[Vendedor]], Int_CodVendedor, Int_DescMax)</f>
        <v>0.2</v>
      </c>
      <c r="L7" s="62">
        <f>IF(TB_Vendas[[#This Row],[Desc. Diretão]] &gt; TB_Vendas[[#This Row],[Desc. Vend.]], TB_Vendas[[#This Row],[Desc. Vend.]], TB_Vendas[[#This Row],[Desc. Diretão]])</f>
        <v>0.15</v>
      </c>
      <c r="M7" s="8">
        <f>(TB_Vendas[[#This Row],[Preço Unitário]] - (TB_Vendas[[#This Row],[Preço Unitário]] * TB_Vendas[[#This Row],[Desconto Final]])) * TB_Vendas[[#This Row],[Qtd]]</f>
        <v>55.93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 TB_Produtos[Código], TB_Produtos[Categoria])</f>
        <v>Vestuário</v>
      </c>
      <c r="F8" s="1">
        <v>1</v>
      </c>
      <c r="G8" s="29">
        <f>_xlfn.XLOOKUP(TB_Vendas[[#This Row],[Código]], TB_Produtos[Código], TB_Produtos[Preço Unitário])</f>
        <v>46.9</v>
      </c>
      <c r="H8" s="94">
        <f>_xlfn.XMATCH(TB_Vendas[[#This Row],[Categoria]], Int_Categoria,0)</f>
        <v>3</v>
      </c>
      <c r="I8" s="62">
        <f>VLOOKUP(TB_Vendas[[#This Row],[Qtd]], TB_DESCONTO, TB_Vendas[[#This Row],[Indice]],1)</f>
        <v>0.1</v>
      </c>
      <c r="J8" s="62">
        <f>INDEX(TB_DESCONTO, MATCH(TB_Vendas[[#This Row],[Qtd]], Int_qtde,1), MATCH(_xlfn.XLOOKUP(TB_Vendas[[#This Row],[Código]], TB_Produtos[Código], TB_Produtos[Categoria]), Int_Categoria,0))</f>
        <v>0.1</v>
      </c>
      <c r="K8" s="62">
        <f>_xlfn.XLOOKUP(TB_Vendas[[#This Row],[Vendedor]], Int_CodVendedor, Int_DescMax)</f>
        <v>0.15</v>
      </c>
      <c r="L8" s="62">
        <f>IF(TB_Vendas[[#This Row],[Desc. Diretão]] &gt; TB_Vendas[[#This Row],[Desc. Vend.]], TB_Vendas[[#This Row],[Desc. Vend.]], TB_Vendas[[#This Row],[Desc. Diretão]])</f>
        <v>0.1</v>
      </c>
      <c r="M8" s="8">
        <f>(TB_Vendas[[#This Row],[Preço Unitário]] - (TB_Vendas[[#This Row],[Preço Unitário]] * TB_Vendas[[#This Row],[Desconto Final]])) * TB_Vendas[[#This Row],[Qtd]]</f>
        <v>42.21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 TB_Produtos[Código], TB_Produtos[Categoria])</f>
        <v>Vestuário</v>
      </c>
      <c r="F9" s="1">
        <v>1</v>
      </c>
      <c r="G9" s="29">
        <f>_xlfn.XLOOKUP(TB_Vendas[[#This Row],[Código]], TB_Produtos[Código], TB_Produtos[Preço Unitário])</f>
        <v>29.9</v>
      </c>
      <c r="H9" s="94">
        <f>_xlfn.XMATCH(TB_Vendas[[#This Row],[Categoria]], Int_Categoria,0)</f>
        <v>3</v>
      </c>
      <c r="I9" s="62">
        <f>VLOOKUP(TB_Vendas[[#This Row],[Qtd]], TB_DESCONTO, TB_Vendas[[#This Row],[Indice]],1)</f>
        <v>0.1</v>
      </c>
      <c r="J9" s="62">
        <f>INDEX(TB_DESCONTO, MATCH(TB_Vendas[[#This Row],[Qtd]], Int_qtde,1), MATCH(_xlfn.XLOOKUP(TB_Vendas[[#This Row],[Código]], TB_Produtos[Código], TB_Produtos[Categoria]), Int_Categoria,0))</f>
        <v>0.1</v>
      </c>
      <c r="K9" s="62">
        <f>_xlfn.XLOOKUP(TB_Vendas[[#This Row],[Vendedor]], Int_CodVendedor, Int_DescMax)</f>
        <v>0.25</v>
      </c>
      <c r="L9" s="62">
        <f>IF(TB_Vendas[[#This Row],[Desc. Diretão]] &gt; TB_Vendas[[#This Row],[Desc. Vend.]], TB_Vendas[[#This Row],[Desc. Vend.]], TB_Vendas[[#This Row],[Desc. Diretão]])</f>
        <v>0.1</v>
      </c>
      <c r="M9" s="8">
        <f>(TB_Vendas[[#This Row],[Preço Unitário]] - (TB_Vendas[[#This Row],[Preço Unitário]] * TB_Vendas[[#This Row],[Desconto Final]])) * TB_Vendas[[#This Row],[Qtd]]</f>
        <v>26.909999999999997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 TB_Produtos[Código], TB_Produtos[Categoria])</f>
        <v>Vestuário</v>
      </c>
      <c r="F10" s="1">
        <v>1</v>
      </c>
      <c r="G10" s="29">
        <f>_xlfn.XLOOKUP(TB_Vendas[[#This Row],[Código]], TB_Produtos[Código], TB_Produtos[Preço Unitário])</f>
        <v>299.89999999999998</v>
      </c>
      <c r="H10" s="94">
        <f>_xlfn.XMATCH(TB_Vendas[[#This Row],[Categoria]], Int_Categoria,0)</f>
        <v>3</v>
      </c>
      <c r="I10" s="62">
        <f>VLOOKUP(TB_Vendas[[#This Row],[Qtd]], TB_DESCONTO, TB_Vendas[[#This Row],[Indice]],1)</f>
        <v>0.1</v>
      </c>
      <c r="J10" s="62">
        <f>INDEX(TB_DESCONTO, MATCH(TB_Vendas[[#This Row],[Qtd]], Int_qtde,1), MATCH(_xlfn.XLOOKUP(TB_Vendas[[#This Row],[Código]], TB_Produtos[Código], TB_Produtos[Categoria]), Int_Categoria,0))</f>
        <v>0.1</v>
      </c>
      <c r="K10" s="62">
        <f>_xlfn.XLOOKUP(TB_Vendas[[#This Row],[Vendedor]], Int_CodVendedor, Int_DescMax)</f>
        <v>0.15</v>
      </c>
      <c r="L10" s="62">
        <f>IF(TB_Vendas[[#This Row],[Desc. Diretão]] &gt; TB_Vendas[[#This Row],[Desc. Vend.]], TB_Vendas[[#This Row],[Desc. Vend.]], TB_Vendas[[#This Row],[Desc. Diretão]])</f>
        <v>0.1</v>
      </c>
      <c r="M10" s="8">
        <f>(TB_Vendas[[#This Row],[Preço Unitário]] - (TB_Vendas[[#This Row],[Preço Unitário]] * TB_Vendas[[#This Row],[Desconto Final]])) * TB_Vendas[[#This Row],[Qtd]]</f>
        <v>269.90999999999997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 TB_Produtos[Código], TB_Produtos[Categoria])</f>
        <v>Vestuário</v>
      </c>
      <c r="F11" s="1">
        <v>1</v>
      </c>
      <c r="G11" s="29">
        <f>_xlfn.XLOOKUP(TB_Vendas[[#This Row],[Código]], TB_Produtos[Código], TB_Produtos[Preço Unitário])</f>
        <v>146</v>
      </c>
      <c r="H11" s="94">
        <f>_xlfn.XMATCH(TB_Vendas[[#This Row],[Categoria]], Int_Categoria,0)</f>
        <v>3</v>
      </c>
      <c r="I11" s="62">
        <f>VLOOKUP(TB_Vendas[[#This Row],[Qtd]], TB_DESCONTO, TB_Vendas[[#This Row],[Indice]],1)</f>
        <v>0.1</v>
      </c>
      <c r="J11" s="62">
        <f>INDEX(TB_DESCONTO, MATCH(TB_Vendas[[#This Row],[Qtd]], Int_qtde,1), MATCH(_xlfn.XLOOKUP(TB_Vendas[[#This Row],[Código]], TB_Produtos[Código], TB_Produtos[Categoria]), Int_Categoria,0))</f>
        <v>0.1</v>
      </c>
      <c r="K11" s="62">
        <f>_xlfn.XLOOKUP(TB_Vendas[[#This Row],[Vendedor]], Int_CodVendedor, Int_DescMax)</f>
        <v>0.1</v>
      </c>
      <c r="L11" s="62">
        <f>IF(TB_Vendas[[#This Row],[Desc. Diretão]] &gt; TB_Vendas[[#This Row],[Desc. Vend.]], TB_Vendas[[#This Row],[Desc. Vend.]], TB_Vendas[[#This Row],[Desc. Diretão]])</f>
        <v>0.1</v>
      </c>
      <c r="M11" s="8">
        <f>(TB_Vendas[[#This Row],[Preço Unitário]] - (TB_Vendas[[#This Row],[Preço Unitário]] * TB_Vendas[[#This Row],[Desconto Final]])) * TB_Vendas[[#This Row],[Qtd]]</f>
        <v>131.4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 TB_Produtos[Código], TB_Produtos[Categoria])</f>
        <v>Vestuário</v>
      </c>
      <c r="F12" s="1">
        <v>2</v>
      </c>
      <c r="G12" s="29">
        <f>_xlfn.XLOOKUP(TB_Vendas[[#This Row],[Código]], TB_Produtos[Código], TB_Produtos[Preço Unitário])</f>
        <v>89.9</v>
      </c>
      <c r="H12" s="94">
        <f>_xlfn.XMATCH(TB_Vendas[[#This Row],[Categoria]], Int_Categoria,0)</f>
        <v>3</v>
      </c>
      <c r="I12" s="62">
        <f>VLOOKUP(TB_Vendas[[#This Row],[Qtd]], TB_DESCONTO, TB_Vendas[[#This Row],[Indice]],1)</f>
        <v>0.15</v>
      </c>
      <c r="J12" s="62">
        <f>INDEX(TB_DESCONTO, MATCH(TB_Vendas[[#This Row],[Qtd]], Int_qtde,1), MATCH(_xlfn.XLOOKUP(TB_Vendas[[#This Row],[Código]], TB_Produtos[Código], TB_Produtos[Categoria]), Int_Categoria,0))</f>
        <v>0.15</v>
      </c>
      <c r="K12" s="62">
        <f>_xlfn.XLOOKUP(TB_Vendas[[#This Row],[Vendedor]], Int_CodVendedor, Int_DescMax)</f>
        <v>0.1</v>
      </c>
      <c r="L12" s="62">
        <f>IF(TB_Vendas[[#This Row],[Desc. Diretão]] &gt; TB_Vendas[[#This Row],[Desc. Vend.]], TB_Vendas[[#This Row],[Desc. Vend.]], TB_Vendas[[#This Row],[Desc. Diretão]])</f>
        <v>0.1</v>
      </c>
      <c r="M12" s="8">
        <f>(TB_Vendas[[#This Row],[Preço Unitário]] - (TB_Vendas[[#This Row],[Preço Unitário]] * TB_Vendas[[#This Row],[Desconto Final]])) * TB_Vendas[[#This Row],[Qtd]]</f>
        <v>161.82000000000002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 TB_Produtos[Código], TB_Produtos[Categoria])</f>
        <v>Calçado</v>
      </c>
      <c r="F13" s="1">
        <v>2</v>
      </c>
      <c r="G13" s="29">
        <f>_xlfn.XLOOKUP(TB_Vendas[[#This Row],[Código]], TB_Produtos[Código], TB_Produtos[Preço Unitário])</f>
        <v>250</v>
      </c>
      <c r="H13" s="94">
        <f>_xlfn.XMATCH(TB_Vendas[[#This Row],[Categoria]], Int_Categoria,0)</f>
        <v>4</v>
      </c>
      <c r="I13" s="62">
        <f>VLOOKUP(TB_Vendas[[#This Row],[Qtd]], TB_DESCONTO, TB_Vendas[[#This Row],[Indice]],1)</f>
        <v>0.1</v>
      </c>
      <c r="J13" s="62">
        <f>INDEX(TB_DESCONTO, MATCH(TB_Vendas[[#This Row],[Qtd]], Int_qtde,1), MATCH(_xlfn.XLOOKUP(TB_Vendas[[#This Row],[Código]], TB_Produtos[Código], TB_Produtos[Categoria]), Int_Categoria,0))</f>
        <v>0.1</v>
      </c>
      <c r="K13" s="62">
        <f>_xlfn.XLOOKUP(TB_Vendas[[#This Row],[Vendedor]], Int_CodVendedor, Int_DescMax)</f>
        <v>0.25</v>
      </c>
      <c r="L13" s="62">
        <f>IF(TB_Vendas[[#This Row],[Desc. Diretão]] &gt; TB_Vendas[[#This Row],[Desc. Vend.]], TB_Vendas[[#This Row],[Desc. Vend.]], TB_Vendas[[#This Row],[Desc. Diretão]])</f>
        <v>0.1</v>
      </c>
      <c r="M13" s="8">
        <f>(TB_Vendas[[#This Row],[Preço Unitário]] - (TB_Vendas[[#This Row],[Preço Unitário]] * TB_Vendas[[#This Row],[Desconto Final]])) * TB_Vendas[[#This Row],[Qtd]]</f>
        <v>450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 TB_Produtos[Código], TB_Produtos[Categoria])</f>
        <v>Vestuário</v>
      </c>
      <c r="F14" s="1">
        <v>1</v>
      </c>
      <c r="G14" s="29">
        <f>_xlfn.XLOOKUP(TB_Vendas[[#This Row],[Código]], TB_Produtos[Código], TB_Produtos[Preço Unitário])</f>
        <v>39.9</v>
      </c>
      <c r="H14" s="94">
        <f>_xlfn.XMATCH(TB_Vendas[[#This Row],[Categoria]], Int_Categoria,0)</f>
        <v>3</v>
      </c>
      <c r="I14" s="62">
        <f>VLOOKUP(TB_Vendas[[#This Row],[Qtd]], TB_DESCONTO, TB_Vendas[[#This Row],[Indice]],1)</f>
        <v>0.1</v>
      </c>
      <c r="J14" s="62">
        <f>INDEX(TB_DESCONTO, MATCH(TB_Vendas[[#This Row],[Qtd]], Int_qtde,1), MATCH(_xlfn.XLOOKUP(TB_Vendas[[#This Row],[Código]], TB_Produtos[Código], TB_Produtos[Categoria]), Int_Categoria,0))</f>
        <v>0.1</v>
      </c>
      <c r="K14" s="62">
        <f>_xlfn.XLOOKUP(TB_Vendas[[#This Row],[Vendedor]], Int_CodVendedor, Int_DescMax)</f>
        <v>0.25</v>
      </c>
      <c r="L14" s="62">
        <f>IF(TB_Vendas[[#This Row],[Desc. Diretão]] &gt; TB_Vendas[[#This Row],[Desc. Vend.]], TB_Vendas[[#This Row],[Desc. Vend.]], TB_Vendas[[#This Row],[Desc. Diretão]])</f>
        <v>0.1</v>
      </c>
      <c r="M14" s="8">
        <f>(TB_Vendas[[#This Row],[Preço Unitário]] - (TB_Vendas[[#This Row],[Preço Unitário]] * TB_Vendas[[#This Row],[Desconto Final]])) * TB_Vendas[[#This Row],[Qtd]]</f>
        <v>35.909999999999997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 TB_Produtos[Código], TB_Produtos[Categoria])</f>
        <v>Vestuário</v>
      </c>
      <c r="F15" s="1">
        <v>1</v>
      </c>
      <c r="G15" s="29">
        <f>_xlfn.XLOOKUP(TB_Vendas[[#This Row],[Código]], TB_Produtos[Código], TB_Produtos[Preço Unitário])</f>
        <v>142.9</v>
      </c>
      <c r="H15" s="94">
        <f>_xlfn.XMATCH(TB_Vendas[[#This Row],[Categoria]], Int_Categoria,0)</f>
        <v>3</v>
      </c>
      <c r="I15" s="62">
        <f>VLOOKUP(TB_Vendas[[#This Row],[Qtd]], TB_DESCONTO, TB_Vendas[[#This Row],[Indice]],1)</f>
        <v>0.1</v>
      </c>
      <c r="J15" s="62">
        <f>INDEX(TB_DESCONTO, MATCH(TB_Vendas[[#This Row],[Qtd]], Int_qtde,1), MATCH(_xlfn.XLOOKUP(TB_Vendas[[#This Row],[Código]], TB_Produtos[Código], TB_Produtos[Categoria]), Int_Categoria,0))</f>
        <v>0.1</v>
      </c>
      <c r="K15" s="62">
        <f>_xlfn.XLOOKUP(TB_Vendas[[#This Row],[Vendedor]], Int_CodVendedor, Int_DescMax)</f>
        <v>0.2</v>
      </c>
      <c r="L15" s="62">
        <f>IF(TB_Vendas[[#This Row],[Desc. Diretão]] &gt; TB_Vendas[[#This Row],[Desc. Vend.]], TB_Vendas[[#This Row],[Desc. Vend.]], TB_Vendas[[#This Row],[Desc. Diretão]])</f>
        <v>0.1</v>
      </c>
      <c r="M15" s="8">
        <f>(TB_Vendas[[#This Row],[Preço Unitário]] - (TB_Vendas[[#This Row],[Preço Unitário]] * TB_Vendas[[#This Row],[Desconto Final]])) * TB_Vendas[[#This Row],[Qtd]]</f>
        <v>128.61000000000001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 TB_Produtos[Código], TB_Produtos[Categoria])</f>
        <v>Vestuário</v>
      </c>
      <c r="F16" s="1">
        <v>1</v>
      </c>
      <c r="G16" s="29">
        <f>_xlfn.XLOOKUP(TB_Vendas[[#This Row],[Código]], TB_Produtos[Código], TB_Produtos[Preço Unitário])</f>
        <v>300</v>
      </c>
      <c r="H16" s="94">
        <f>_xlfn.XMATCH(TB_Vendas[[#This Row],[Categoria]], Int_Categoria,0)</f>
        <v>3</v>
      </c>
      <c r="I16" s="62">
        <f>VLOOKUP(TB_Vendas[[#This Row],[Qtd]], TB_DESCONTO, TB_Vendas[[#This Row],[Indice]],1)</f>
        <v>0.1</v>
      </c>
      <c r="J16" s="62">
        <f>INDEX(TB_DESCONTO, MATCH(TB_Vendas[[#This Row],[Qtd]], Int_qtde,1), MATCH(_xlfn.XLOOKUP(TB_Vendas[[#This Row],[Código]], TB_Produtos[Código], TB_Produtos[Categoria]), Int_Categoria,0))</f>
        <v>0.1</v>
      </c>
      <c r="K16" s="62">
        <f>_xlfn.XLOOKUP(TB_Vendas[[#This Row],[Vendedor]], Int_CodVendedor, Int_DescMax)</f>
        <v>0.1</v>
      </c>
      <c r="L16" s="62">
        <f>IF(TB_Vendas[[#This Row],[Desc. Diretão]] &gt; TB_Vendas[[#This Row],[Desc. Vend.]], TB_Vendas[[#This Row],[Desc. Vend.]], TB_Vendas[[#This Row],[Desc. Diretão]])</f>
        <v>0.1</v>
      </c>
      <c r="M16" s="8">
        <f>(TB_Vendas[[#This Row],[Preço Unitário]] - (TB_Vendas[[#This Row],[Preço Unitário]] * TB_Vendas[[#This Row],[Desconto Final]])) * TB_Vendas[[#This Row],[Qtd]]</f>
        <v>270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 TB_Produtos[Código], TB_Produtos[Categoria])</f>
        <v>Vestuário</v>
      </c>
      <c r="F17" s="1">
        <v>2</v>
      </c>
      <c r="G17" s="29">
        <f>_xlfn.XLOOKUP(TB_Vendas[[#This Row],[Código]], TB_Produtos[Código], TB_Produtos[Preço Unitário])</f>
        <v>289.89999999999998</v>
      </c>
      <c r="H17" s="94">
        <f>_xlfn.XMATCH(TB_Vendas[[#This Row],[Categoria]], Int_Categoria,0)</f>
        <v>3</v>
      </c>
      <c r="I17" s="62">
        <f>VLOOKUP(TB_Vendas[[#This Row],[Qtd]], TB_DESCONTO, TB_Vendas[[#This Row],[Indice]],1)</f>
        <v>0.15</v>
      </c>
      <c r="J17" s="62">
        <f>INDEX(TB_DESCONTO, MATCH(TB_Vendas[[#This Row],[Qtd]], Int_qtde,1), MATCH(_xlfn.XLOOKUP(TB_Vendas[[#This Row],[Código]], TB_Produtos[Código], TB_Produtos[Categoria]), Int_Categoria,0))</f>
        <v>0.15</v>
      </c>
      <c r="K17" s="62">
        <f>_xlfn.XLOOKUP(TB_Vendas[[#This Row],[Vendedor]], Int_CodVendedor, Int_DescMax)</f>
        <v>0.2</v>
      </c>
      <c r="L17" s="62">
        <f>IF(TB_Vendas[[#This Row],[Desc. Diretão]] &gt; TB_Vendas[[#This Row],[Desc. Vend.]], TB_Vendas[[#This Row],[Desc. Vend.]], TB_Vendas[[#This Row],[Desc. Diretão]])</f>
        <v>0.15</v>
      </c>
      <c r="M17" s="8">
        <f>(TB_Vendas[[#This Row],[Preço Unitário]] - (TB_Vendas[[#This Row],[Preço Unitário]] * TB_Vendas[[#This Row],[Desconto Final]])) * TB_Vendas[[#This Row],[Qtd]]</f>
        <v>492.83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 TB_Produtos[Código], TB_Produtos[Categoria])</f>
        <v>Calçado</v>
      </c>
      <c r="F18" s="1">
        <v>1</v>
      </c>
      <c r="G18" s="29">
        <f>_xlfn.XLOOKUP(TB_Vendas[[#This Row],[Código]], TB_Produtos[Código], TB_Produtos[Preço Unitário])</f>
        <v>249.9</v>
      </c>
      <c r="H18" s="94">
        <f>_xlfn.XMATCH(TB_Vendas[[#This Row],[Categoria]], Int_Categoria,0)</f>
        <v>4</v>
      </c>
      <c r="I18" s="62">
        <f>VLOOKUP(TB_Vendas[[#This Row],[Qtd]], TB_DESCONTO, TB_Vendas[[#This Row],[Indice]],1)</f>
        <v>0</v>
      </c>
      <c r="J18" s="62">
        <f>INDEX(TB_DESCONTO, MATCH(TB_Vendas[[#This Row],[Qtd]], Int_qtde,1), MATCH(_xlfn.XLOOKUP(TB_Vendas[[#This Row],[Código]], TB_Produtos[Código], TB_Produtos[Categoria]), Int_Categoria,0))</f>
        <v>0</v>
      </c>
      <c r="K18" s="62">
        <f>_xlfn.XLOOKUP(TB_Vendas[[#This Row],[Vendedor]], Int_CodVendedor, Int_DescMax)</f>
        <v>0.2</v>
      </c>
      <c r="L18" s="62">
        <f>IF(TB_Vendas[[#This Row],[Desc. Diretão]] &gt; TB_Vendas[[#This Row],[Desc. Vend.]], TB_Vendas[[#This Row],[Desc. Vend.]], TB_Vendas[[#This Row],[Desc. Diretão]])</f>
        <v>0</v>
      </c>
      <c r="M18" s="8">
        <f>(TB_Vendas[[#This Row],[Preço Unitário]] - (TB_Vendas[[#This Row],[Preço Unitário]] * TB_Vendas[[#This Row],[Desconto Final]])) * 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 TB_Produtos[Código], TB_Produtos[Categoria])</f>
        <v>Vestuário</v>
      </c>
      <c r="F19" s="1">
        <v>2</v>
      </c>
      <c r="G19" s="29">
        <f>_xlfn.XLOOKUP(TB_Vendas[[#This Row],[Código]], TB_Produtos[Código], TB_Produtos[Preço Unitário])</f>
        <v>39.9</v>
      </c>
      <c r="H19" s="94">
        <f>_xlfn.XMATCH(TB_Vendas[[#This Row],[Categoria]], Int_Categoria,0)</f>
        <v>3</v>
      </c>
      <c r="I19" s="62">
        <f>VLOOKUP(TB_Vendas[[#This Row],[Qtd]], TB_DESCONTO, TB_Vendas[[#This Row],[Indice]],1)</f>
        <v>0.15</v>
      </c>
      <c r="J19" s="62">
        <f>INDEX(TB_DESCONTO, MATCH(TB_Vendas[[#This Row],[Qtd]], Int_qtde,1), MATCH(_xlfn.XLOOKUP(TB_Vendas[[#This Row],[Código]], TB_Produtos[Código], TB_Produtos[Categoria]), Int_Categoria,0))</f>
        <v>0.15</v>
      </c>
      <c r="K19" s="62">
        <f>_xlfn.XLOOKUP(TB_Vendas[[#This Row],[Vendedor]], Int_CodVendedor, Int_DescMax)</f>
        <v>0.2</v>
      </c>
      <c r="L19" s="62">
        <f>IF(TB_Vendas[[#This Row],[Desc. Diretão]] &gt; TB_Vendas[[#This Row],[Desc. Vend.]], TB_Vendas[[#This Row],[Desc. Vend.]], TB_Vendas[[#This Row],[Desc. Diretão]])</f>
        <v>0.15</v>
      </c>
      <c r="M19" s="8">
        <f>(TB_Vendas[[#This Row],[Preço Unitário]] - (TB_Vendas[[#This Row],[Preço Unitário]] * TB_Vendas[[#This Row],[Desconto Final]])) * TB_Vendas[[#This Row],[Qtd]]</f>
        <v>67.83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 TB_Produtos[Código], TB_Produtos[Categoria])</f>
        <v>Vestuário</v>
      </c>
      <c r="F20" s="1">
        <v>4</v>
      </c>
      <c r="G20" s="29">
        <f>_xlfn.XLOOKUP(TB_Vendas[[#This Row],[Código]], TB_Produtos[Código], TB_Produtos[Preço Unitário])</f>
        <v>289.89999999999998</v>
      </c>
      <c r="H20" s="94">
        <f>_xlfn.XMATCH(TB_Vendas[[#This Row],[Categoria]], Int_Categoria,0)</f>
        <v>3</v>
      </c>
      <c r="I20" s="62">
        <f>VLOOKUP(TB_Vendas[[#This Row],[Qtd]], TB_DESCONTO, TB_Vendas[[#This Row],[Indice]],1)</f>
        <v>0.2</v>
      </c>
      <c r="J20" s="62">
        <f>INDEX(TB_DESCONTO, MATCH(TB_Vendas[[#This Row],[Qtd]], Int_qtde,1), MATCH(_xlfn.XLOOKUP(TB_Vendas[[#This Row],[Código]], TB_Produtos[Código], TB_Produtos[Categoria]), Int_Categoria,0))</f>
        <v>0.2</v>
      </c>
      <c r="K20" s="62">
        <f>_xlfn.XLOOKUP(TB_Vendas[[#This Row],[Vendedor]], Int_CodVendedor, Int_DescMax)</f>
        <v>0.2</v>
      </c>
      <c r="L20" s="62">
        <f>IF(TB_Vendas[[#This Row],[Desc. Diretão]] &gt; TB_Vendas[[#This Row],[Desc. Vend.]], TB_Vendas[[#This Row],[Desc. Vend.]], TB_Vendas[[#This Row],[Desc. Diretão]])</f>
        <v>0.2</v>
      </c>
      <c r="M20" s="8">
        <f>(TB_Vendas[[#This Row],[Preço Unitário]] - (TB_Vendas[[#This Row],[Preço Unitário]] * TB_Vendas[[#This Row],[Desconto Final]])) * TB_Vendas[[#This Row],[Qtd]]</f>
        <v>927.68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 TB_Produtos[Código], TB_Produtos[Categoria])</f>
        <v>Vestuário</v>
      </c>
      <c r="F21" s="1">
        <v>3</v>
      </c>
      <c r="G21" s="29">
        <f>_xlfn.XLOOKUP(TB_Vendas[[#This Row],[Código]], TB_Produtos[Código], TB_Produtos[Preço Unitário])</f>
        <v>180</v>
      </c>
      <c r="H21" s="94">
        <f>_xlfn.XMATCH(TB_Vendas[[#This Row],[Categoria]], Int_Categoria,0)</f>
        <v>3</v>
      </c>
      <c r="I21" s="62">
        <f>VLOOKUP(TB_Vendas[[#This Row],[Qtd]], TB_DESCONTO, TB_Vendas[[#This Row],[Indice]],1)</f>
        <v>0.2</v>
      </c>
      <c r="J21" s="62">
        <f>INDEX(TB_DESCONTO, MATCH(TB_Vendas[[#This Row],[Qtd]], Int_qtde,1), MATCH(_xlfn.XLOOKUP(TB_Vendas[[#This Row],[Código]], TB_Produtos[Código], TB_Produtos[Categoria]), Int_Categoria,0))</f>
        <v>0.2</v>
      </c>
      <c r="K21" s="62">
        <f>_xlfn.XLOOKUP(TB_Vendas[[#This Row],[Vendedor]], Int_CodVendedor, Int_DescMax)</f>
        <v>0.25</v>
      </c>
      <c r="L21" s="62">
        <f>IF(TB_Vendas[[#This Row],[Desc. Diretão]] &gt; TB_Vendas[[#This Row],[Desc. Vend.]], TB_Vendas[[#This Row],[Desc. Vend.]], TB_Vendas[[#This Row],[Desc. Diretão]])</f>
        <v>0.2</v>
      </c>
      <c r="M21" s="8">
        <f>(TB_Vendas[[#This Row],[Preço Unitário]] - (TB_Vendas[[#This Row],[Preço Unitário]] * TB_Vendas[[#This Row],[Desconto Final]])) * TB_Vendas[[#This Row],[Qtd]]</f>
        <v>432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 TB_Produtos[Código], TB_Produtos[Categoria])</f>
        <v>Vestuário</v>
      </c>
      <c r="F22" s="1">
        <v>2</v>
      </c>
      <c r="G22" s="29">
        <f>_xlfn.XLOOKUP(TB_Vendas[[#This Row],[Código]], TB_Produtos[Código], TB_Produtos[Preço Unitário])</f>
        <v>32.9</v>
      </c>
      <c r="H22" s="94">
        <f>_xlfn.XMATCH(TB_Vendas[[#This Row],[Categoria]], Int_Categoria,0)</f>
        <v>3</v>
      </c>
      <c r="I22" s="62">
        <f>VLOOKUP(TB_Vendas[[#This Row],[Qtd]], TB_DESCONTO, TB_Vendas[[#This Row],[Indice]],1)</f>
        <v>0.15</v>
      </c>
      <c r="J22" s="62">
        <f>INDEX(TB_DESCONTO, MATCH(TB_Vendas[[#This Row],[Qtd]], Int_qtde,1), MATCH(_xlfn.XLOOKUP(TB_Vendas[[#This Row],[Código]], TB_Produtos[Código], TB_Produtos[Categoria]), Int_Categoria,0))</f>
        <v>0.15</v>
      </c>
      <c r="K22" s="62">
        <f>_xlfn.XLOOKUP(TB_Vendas[[#This Row],[Vendedor]], Int_CodVendedor, Int_DescMax)</f>
        <v>0.2</v>
      </c>
      <c r="L22" s="62">
        <f>IF(TB_Vendas[[#This Row],[Desc. Diretão]] &gt; TB_Vendas[[#This Row],[Desc. Vend.]], TB_Vendas[[#This Row],[Desc. Vend.]], TB_Vendas[[#This Row],[Desc. Diretão]])</f>
        <v>0.15</v>
      </c>
      <c r="M22" s="8">
        <f>(TB_Vendas[[#This Row],[Preço Unitário]] - (TB_Vendas[[#This Row],[Preço Unitário]] * TB_Vendas[[#This Row],[Desconto Final]])) * TB_Vendas[[#This Row],[Qtd]]</f>
        <v>55.93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 TB_Produtos[Código], TB_Produtos[Categoria])</f>
        <v>Calçado</v>
      </c>
      <c r="F23" s="1">
        <v>3</v>
      </c>
      <c r="G23" s="29">
        <f>_xlfn.XLOOKUP(TB_Vendas[[#This Row],[Código]], TB_Produtos[Código], TB_Produtos[Preço Unitário])</f>
        <v>255</v>
      </c>
      <c r="H23" s="94">
        <f>_xlfn.XMATCH(TB_Vendas[[#This Row],[Categoria]], Int_Categoria,0)</f>
        <v>4</v>
      </c>
      <c r="I23" s="62">
        <f>VLOOKUP(TB_Vendas[[#This Row],[Qtd]], TB_DESCONTO, TB_Vendas[[#This Row],[Indice]],1)</f>
        <v>0.15</v>
      </c>
      <c r="J23" s="62">
        <f>INDEX(TB_DESCONTO, MATCH(TB_Vendas[[#This Row],[Qtd]], Int_qtde,1), MATCH(_xlfn.XLOOKUP(TB_Vendas[[#This Row],[Código]], TB_Produtos[Código], TB_Produtos[Categoria]), Int_Categoria,0))</f>
        <v>0.15</v>
      </c>
      <c r="K23" s="62">
        <f>_xlfn.XLOOKUP(TB_Vendas[[#This Row],[Vendedor]], Int_CodVendedor, Int_DescMax)</f>
        <v>0.2</v>
      </c>
      <c r="L23" s="62">
        <f>IF(TB_Vendas[[#This Row],[Desc. Diretão]] &gt; TB_Vendas[[#This Row],[Desc. Vend.]], TB_Vendas[[#This Row],[Desc. Vend.]], TB_Vendas[[#This Row],[Desc. Diretão]])</f>
        <v>0.15</v>
      </c>
      <c r="M23" s="8">
        <f>(TB_Vendas[[#This Row],[Preço Unitário]] - (TB_Vendas[[#This Row],[Preço Unitário]] * TB_Vendas[[#This Row],[Desconto Final]])) * TB_Vendas[[#This Row],[Qtd]]</f>
        <v>650.25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 TB_Produtos[Código], TB_Produtos[Categoria])</f>
        <v>Vestuário</v>
      </c>
      <c r="F24" s="1">
        <v>1</v>
      </c>
      <c r="G24" s="29">
        <f>_xlfn.XLOOKUP(TB_Vendas[[#This Row],[Código]], TB_Produtos[Código], TB_Produtos[Preço Unitário])</f>
        <v>142.9</v>
      </c>
      <c r="H24" s="94">
        <f>_xlfn.XMATCH(TB_Vendas[[#This Row],[Categoria]], Int_Categoria,0)</f>
        <v>3</v>
      </c>
      <c r="I24" s="62">
        <f>VLOOKUP(TB_Vendas[[#This Row],[Qtd]], TB_DESCONTO, TB_Vendas[[#This Row],[Indice]],1)</f>
        <v>0.1</v>
      </c>
      <c r="J24" s="62">
        <f>INDEX(TB_DESCONTO, MATCH(TB_Vendas[[#This Row],[Qtd]], Int_qtde,1), MATCH(_xlfn.XLOOKUP(TB_Vendas[[#This Row],[Código]], TB_Produtos[Código], TB_Produtos[Categoria]), Int_Categoria,0))</f>
        <v>0.1</v>
      </c>
      <c r="K24" s="62">
        <f>_xlfn.XLOOKUP(TB_Vendas[[#This Row],[Vendedor]], Int_CodVendedor, Int_DescMax)</f>
        <v>0.2</v>
      </c>
      <c r="L24" s="62">
        <f>IF(TB_Vendas[[#This Row],[Desc. Diretão]] &gt; TB_Vendas[[#This Row],[Desc. Vend.]], TB_Vendas[[#This Row],[Desc. Vend.]], TB_Vendas[[#This Row],[Desc. Diretão]])</f>
        <v>0.1</v>
      </c>
      <c r="M24" s="8">
        <f>(TB_Vendas[[#This Row],[Preço Unitário]] - (TB_Vendas[[#This Row],[Preço Unitário]] * TB_Vendas[[#This Row],[Desconto Final]])) * TB_Vendas[[#This Row],[Qtd]]</f>
        <v>128.61000000000001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 TB_Produtos[Código], TB_Produtos[Categoria])</f>
        <v>Vestuário</v>
      </c>
      <c r="F25" s="1">
        <v>4</v>
      </c>
      <c r="G25" s="29">
        <f>_xlfn.XLOOKUP(TB_Vendas[[#This Row],[Código]], TB_Produtos[Código], TB_Produtos[Preço Unitário])</f>
        <v>92.9</v>
      </c>
      <c r="H25" s="94">
        <f>_xlfn.XMATCH(TB_Vendas[[#This Row],[Categoria]], Int_Categoria,0)</f>
        <v>3</v>
      </c>
      <c r="I25" s="62">
        <f>VLOOKUP(TB_Vendas[[#This Row],[Qtd]], TB_DESCONTO, TB_Vendas[[#This Row],[Indice]],1)</f>
        <v>0.2</v>
      </c>
      <c r="J25" s="62">
        <f>INDEX(TB_DESCONTO, MATCH(TB_Vendas[[#This Row],[Qtd]], Int_qtde,1), MATCH(_xlfn.XLOOKUP(TB_Vendas[[#This Row],[Código]], TB_Produtos[Código], TB_Produtos[Categoria]), Int_Categoria,0))</f>
        <v>0.2</v>
      </c>
      <c r="K25" s="62">
        <f>_xlfn.XLOOKUP(TB_Vendas[[#This Row],[Vendedor]], Int_CodVendedor, Int_DescMax)</f>
        <v>0.1</v>
      </c>
      <c r="L25" s="62">
        <f>IF(TB_Vendas[[#This Row],[Desc. Diretão]] &gt; TB_Vendas[[#This Row],[Desc. Vend.]], TB_Vendas[[#This Row],[Desc. Vend.]], TB_Vendas[[#This Row],[Desc. Diretão]])</f>
        <v>0.1</v>
      </c>
      <c r="M25" s="8">
        <f>(TB_Vendas[[#This Row],[Preço Unitário]] - (TB_Vendas[[#This Row],[Preço Unitário]] * TB_Vendas[[#This Row],[Desconto Final]])) * TB_Vendas[[#This Row],[Qtd]]</f>
        <v>334.44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 TB_Produtos[Código], TB_Produtos[Categoria])</f>
        <v>Vestuário</v>
      </c>
      <c r="F26" s="1">
        <v>2</v>
      </c>
      <c r="G26" s="29">
        <f>_xlfn.XLOOKUP(TB_Vendas[[#This Row],[Código]], TB_Produtos[Código], TB_Produtos[Preço Unitário])</f>
        <v>54.9</v>
      </c>
      <c r="H26" s="94">
        <f>_xlfn.XMATCH(TB_Vendas[[#This Row],[Categoria]], Int_Categoria,0)</f>
        <v>3</v>
      </c>
      <c r="I26" s="62">
        <f>VLOOKUP(TB_Vendas[[#This Row],[Qtd]], TB_DESCONTO, TB_Vendas[[#This Row],[Indice]],1)</f>
        <v>0.15</v>
      </c>
      <c r="J26" s="62">
        <f>INDEX(TB_DESCONTO, MATCH(TB_Vendas[[#This Row],[Qtd]], Int_qtde,1), MATCH(_xlfn.XLOOKUP(TB_Vendas[[#This Row],[Código]], TB_Produtos[Código], TB_Produtos[Categoria]), Int_Categoria,0))</f>
        <v>0.15</v>
      </c>
      <c r="K26" s="62">
        <f>_xlfn.XLOOKUP(TB_Vendas[[#This Row],[Vendedor]], Int_CodVendedor, Int_DescMax)</f>
        <v>0.2</v>
      </c>
      <c r="L26" s="62">
        <f>IF(TB_Vendas[[#This Row],[Desc. Diretão]] &gt; TB_Vendas[[#This Row],[Desc. Vend.]], TB_Vendas[[#This Row],[Desc. Vend.]], TB_Vendas[[#This Row],[Desc. Diretão]])</f>
        <v>0.15</v>
      </c>
      <c r="M26" s="8">
        <f>(TB_Vendas[[#This Row],[Preço Unitário]] - (TB_Vendas[[#This Row],[Preço Unitário]] * TB_Vendas[[#This Row],[Desconto Final]])) * TB_Vendas[[#This Row],[Qtd]]</f>
        <v>93.33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 TB_Produtos[Código], TB_Produtos[Categoria])</f>
        <v>Vestuário</v>
      </c>
      <c r="F27" s="1">
        <v>3</v>
      </c>
      <c r="G27" s="29">
        <f>_xlfn.XLOOKUP(TB_Vendas[[#This Row],[Código]], TB_Produtos[Código], TB_Produtos[Preço Unitário])</f>
        <v>142.9</v>
      </c>
      <c r="H27" s="94">
        <f>_xlfn.XMATCH(TB_Vendas[[#This Row],[Categoria]], Int_Categoria,0)</f>
        <v>3</v>
      </c>
      <c r="I27" s="62">
        <f>VLOOKUP(TB_Vendas[[#This Row],[Qtd]], TB_DESCONTO, TB_Vendas[[#This Row],[Indice]],1)</f>
        <v>0.2</v>
      </c>
      <c r="J27" s="62">
        <f>INDEX(TB_DESCONTO, MATCH(TB_Vendas[[#This Row],[Qtd]], Int_qtde,1), MATCH(_xlfn.XLOOKUP(TB_Vendas[[#This Row],[Código]], TB_Produtos[Código], TB_Produtos[Categoria]), Int_Categoria,0))</f>
        <v>0.2</v>
      </c>
      <c r="K27" s="62">
        <f>_xlfn.XLOOKUP(TB_Vendas[[#This Row],[Vendedor]], Int_CodVendedor, Int_DescMax)</f>
        <v>0.25</v>
      </c>
      <c r="L27" s="62">
        <f>IF(TB_Vendas[[#This Row],[Desc. Diretão]] &gt; TB_Vendas[[#This Row],[Desc. Vend.]], TB_Vendas[[#This Row],[Desc. Vend.]], TB_Vendas[[#This Row],[Desc. Diretão]])</f>
        <v>0.2</v>
      </c>
      <c r="M27" s="8">
        <f>(TB_Vendas[[#This Row],[Preço Unitário]] - (TB_Vendas[[#This Row],[Preço Unitário]] * TB_Vendas[[#This Row],[Desconto Final]])) * TB_Vendas[[#This Row],[Qtd]]</f>
        <v>342.96000000000004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 TB_Produtos[Código], TB_Produtos[Categoria])</f>
        <v>Acessórios</v>
      </c>
      <c r="F28" s="1">
        <v>2</v>
      </c>
      <c r="G28" s="29">
        <f>_xlfn.XLOOKUP(TB_Vendas[[#This Row],[Código]], TB_Produtos[Código], TB_Produtos[Preço Unitário])</f>
        <v>120</v>
      </c>
      <c r="H28" s="94">
        <f>_xlfn.XMATCH(TB_Vendas[[#This Row],[Categoria]], Int_Categoria,0)</f>
        <v>2</v>
      </c>
      <c r="I28" s="62">
        <f>VLOOKUP(TB_Vendas[[#This Row],[Qtd]], TB_DESCONTO, TB_Vendas[[#This Row],[Indice]],1)</f>
        <v>0.05</v>
      </c>
      <c r="J28" s="62">
        <f>INDEX(TB_DESCONTO, MATCH(TB_Vendas[[#This Row],[Qtd]], Int_qtde,1), MATCH(_xlfn.XLOOKUP(TB_Vendas[[#This Row],[Código]], TB_Produtos[Código], TB_Produtos[Categoria]), Int_Categoria,0))</f>
        <v>0.05</v>
      </c>
      <c r="K28" s="62">
        <f>_xlfn.XLOOKUP(TB_Vendas[[#This Row],[Vendedor]], Int_CodVendedor, Int_DescMax)</f>
        <v>0.25</v>
      </c>
      <c r="L28" s="62">
        <f>IF(TB_Vendas[[#This Row],[Desc. Diretão]] &gt; TB_Vendas[[#This Row],[Desc. Vend.]], TB_Vendas[[#This Row],[Desc. Vend.]], TB_Vendas[[#This Row],[Desc. Diretão]])</f>
        <v>0.05</v>
      </c>
      <c r="M28" s="8">
        <f>(TB_Vendas[[#This Row],[Preço Unitário]] - (TB_Vendas[[#This Row],[Preço Unitário]] * TB_Vendas[[#This Row],[Desconto Final]])) * TB_Vendas[[#This Row],[Qtd]]</f>
        <v>228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 TB_Produtos[Código], TB_Produtos[Categoria])</f>
        <v>Vestuário</v>
      </c>
      <c r="F29" s="1">
        <v>1</v>
      </c>
      <c r="G29" s="29">
        <f>_xlfn.XLOOKUP(TB_Vendas[[#This Row],[Código]], TB_Produtos[Código], TB_Produtos[Preço Unitário])</f>
        <v>65.900000000000006</v>
      </c>
      <c r="H29" s="94">
        <f>_xlfn.XMATCH(TB_Vendas[[#This Row],[Categoria]], Int_Categoria,0)</f>
        <v>3</v>
      </c>
      <c r="I29" s="62">
        <f>VLOOKUP(TB_Vendas[[#This Row],[Qtd]], TB_DESCONTO, TB_Vendas[[#This Row],[Indice]],1)</f>
        <v>0.1</v>
      </c>
      <c r="J29" s="62">
        <f>INDEX(TB_DESCONTO, MATCH(TB_Vendas[[#This Row],[Qtd]], Int_qtde,1), MATCH(_xlfn.XLOOKUP(TB_Vendas[[#This Row],[Código]], TB_Produtos[Código], TB_Produtos[Categoria]), Int_Categoria,0))</f>
        <v>0.1</v>
      </c>
      <c r="K29" s="62">
        <f>_xlfn.XLOOKUP(TB_Vendas[[#This Row],[Vendedor]], Int_CodVendedor, Int_DescMax)</f>
        <v>0.2</v>
      </c>
      <c r="L29" s="62">
        <f>IF(TB_Vendas[[#This Row],[Desc. Diretão]] &gt; TB_Vendas[[#This Row],[Desc. Vend.]], TB_Vendas[[#This Row],[Desc. Vend.]], TB_Vendas[[#This Row],[Desc. Diretão]])</f>
        <v>0.1</v>
      </c>
      <c r="M29" s="8">
        <f>(TB_Vendas[[#This Row],[Preço Unitário]] - (TB_Vendas[[#This Row],[Preço Unitário]] * TB_Vendas[[#This Row],[Desconto Final]])) * TB_Vendas[[#This Row],[Qtd]]</f>
        <v>59.31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 TB_Produtos[Código], TB_Produtos[Categoria])</f>
        <v>Vestuário</v>
      </c>
      <c r="F30" s="1">
        <v>5</v>
      </c>
      <c r="G30" s="29">
        <f>_xlfn.XLOOKUP(TB_Vendas[[#This Row],[Código]], TB_Produtos[Código], TB_Produtos[Preço Unitário])</f>
        <v>32.9</v>
      </c>
      <c r="H30" s="94">
        <f>_xlfn.XMATCH(TB_Vendas[[#This Row],[Categoria]], Int_Categoria,0)</f>
        <v>3</v>
      </c>
      <c r="I30" s="62">
        <f>VLOOKUP(TB_Vendas[[#This Row],[Qtd]], TB_DESCONTO, TB_Vendas[[#This Row],[Indice]],1)</f>
        <v>0.25</v>
      </c>
      <c r="J30" s="62">
        <f>INDEX(TB_DESCONTO, MATCH(TB_Vendas[[#This Row],[Qtd]], Int_qtde,1), MATCH(_xlfn.XLOOKUP(TB_Vendas[[#This Row],[Código]], TB_Produtos[Código], TB_Produtos[Categoria]), Int_Categoria,0))</f>
        <v>0.25</v>
      </c>
      <c r="K30" s="62">
        <f>_xlfn.XLOOKUP(TB_Vendas[[#This Row],[Vendedor]], Int_CodVendedor, Int_DescMax)</f>
        <v>0.15</v>
      </c>
      <c r="L30" s="62">
        <f>IF(TB_Vendas[[#This Row],[Desc. Diretão]] &gt; TB_Vendas[[#This Row],[Desc. Vend.]], TB_Vendas[[#This Row],[Desc. Vend.]], TB_Vendas[[#This Row],[Desc. Diretão]])</f>
        <v>0.15</v>
      </c>
      <c r="M30" s="8">
        <f>(TB_Vendas[[#This Row],[Preço Unitário]] - (TB_Vendas[[#This Row],[Preço Unitário]] * TB_Vendas[[#This Row],[Desconto Final]])) * TB_Vendas[[#This Row],[Qtd]]</f>
        <v>139.82499999999999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 TB_Produtos[Código], TB_Produtos[Categoria])</f>
        <v>Vestuário</v>
      </c>
      <c r="F31" s="1">
        <v>2</v>
      </c>
      <c r="G31" s="29">
        <f>_xlfn.XLOOKUP(TB_Vendas[[#This Row],[Código]], TB_Produtos[Código], TB_Produtos[Preço Unitário])</f>
        <v>180</v>
      </c>
      <c r="H31" s="94">
        <f>_xlfn.XMATCH(TB_Vendas[[#This Row],[Categoria]], Int_Categoria,0)</f>
        <v>3</v>
      </c>
      <c r="I31" s="62">
        <f>VLOOKUP(TB_Vendas[[#This Row],[Qtd]], TB_DESCONTO, TB_Vendas[[#This Row],[Indice]],1)</f>
        <v>0.15</v>
      </c>
      <c r="J31" s="62">
        <f>INDEX(TB_DESCONTO, MATCH(TB_Vendas[[#This Row],[Qtd]], Int_qtde,1), MATCH(_xlfn.XLOOKUP(TB_Vendas[[#This Row],[Código]], TB_Produtos[Código], TB_Produtos[Categoria]), Int_Categoria,0))</f>
        <v>0.15</v>
      </c>
      <c r="K31" s="62">
        <f>_xlfn.XLOOKUP(TB_Vendas[[#This Row],[Vendedor]], Int_CodVendedor, Int_DescMax)</f>
        <v>0.25</v>
      </c>
      <c r="L31" s="62">
        <f>IF(TB_Vendas[[#This Row],[Desc. Diretão]] &gt; TB_Vendas[[#This Row],[Desc. Vend.]], TB_Vendas[[#This Row],[Desc. Vend.]], TB_Vendas[[#This Row],[Desc. Diretão]])</f>
        <v>0.15</v>
      </c>
      <c r="M31" s="8">
        <f>(TB_Vendas[[#This Row],[Preço Unitário]] - (TB_Vendas[[#This Row],[Preço Unitário]] * TB_Vendas[[#This Row],[Desconto Final]])) * TB_Vendas[[#This Row],[Qtd]]</f>
        <v>306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 TB_Produtos[Código], TB_Produtos[Categoria])</f>
        <v>Acessórios</v>
      </c>
      <c r="F32" s="1">
        <v>3</v>
      </c>
      <c r="G32" s="29">
        <f>_xlfn.XLOOKUP(TB_Vendas[[#This Row],[Código]], TB_Produtos[Código], TB_Produtos[Preço Unitário])</f>
        <v>349.9</v>
      </c>
      <c r="H32" s="94">
        <f>_xlfn.XMATCH(TB_Vendas[[#This Row],[Categoria]], Int_Categoria,0)</f>
        <v>2</v>
      </c>
      <c r="I32" s="62">
        <f>VLOOKUP(TB_Vendas[[#This Row],[Qtd]], TB_DESCONTO, TB_Vendas[[#This Row],[Indice]],1)</f>
        <v>0.15</v>
      </c>
      <c r="J32" s="62">
        <f>INDEX(TB_DESCONTO, MATCH(TB_Vendas[[#This Row],[Qtd]], Int_qtde,1), MATCH(_xlfn.XLOOKUP(TB_Vendas[[#This Row],[Código]], TB_Produtos[Código], TB_Produtos[Categoria]), Int_Categoria,0))</f>
        <v>0.15</v>
      </c>
      <c r="K32" s="62">
        <f>_xlfn.XLOOKUP(TB_Vendas[[#This Row],[Vendedor]], Int_CodVendedor, Int_DescMax)</f>
        <v>0.2</v>
      </c>
      <c r="L32" s="62">
        <f>IF(TB_Vendas[[#This Row],[Desc. Diretão]] &gt; TB_Vendas[[#This Row],[Desc. Vend.]], TB_Vendas[[#This Row],[Desc. Vend.]], TB_Vendas[[#This Row],[Desc. Diretão]])</f>
        <v>0.15</v>
      </c>
      <c r="M32" s="8">
        <f>(TB_Vendas[[#This Row],[Preço Unitário]] - (TB_Vendas[[#This Row],[Preço Unitário]] * TB_Vendas[[#This Row],[Desconto Final]])) * TB_Vendas[[#This Row],[Qtd]]</f>
        <v>892.24499999999989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 TB_Produtos[Código], TB_Produtos[Categoria])</f>
        <v>Vestuário</v>
      </c>
      <c r="F33" s="1">
        <v>1</v>
      </c>
      <c r="G33" s="29">
        <f>_xlfn.XLOOKUP(TB_Vendas[[#This Row],[Código]], TB_Produtos[Código], TB_Produtos[Preço Unitário])</f>
        <v>72.5</v>
      </c>
      <c r="H33" s="94">
        <f>_xlfn.XMATCH(TB_Vendas[[#This Row],[Categoria]], Int_Categoria,0)</f>
        <v>3</v>
      </c>
      <c r="I33" s="62">
        <f>VLOOKUP(TB_Vendas[[#This Row],[Qtd]], TB_DESCONTO, TB_Vendas[[#This Row],[Indice]],1)</f>
        <v>0.1</v>
      </c>
      <c r="J33" s="62">
        <f>INDEX(TB_DESCONTO, MATCH(TB_Vendas[[#This Row],[Qtd]], Int_qtde,1), MATCH(_xlfn.XLOOKUP(TB_Vendas[[#This Row],[Código]], TB_Produtos[Código], TB_Produtos[Categoria]), Int_Categoria,0))</f>
        <v>0.1</v>
      </c>
      <c r="K33" s="62">
        <f>_xlfn.XLOOKUP(TB_Vendas[[#This Row],[Vendedor]], Int_CodVendedor, Int_DescMax)</f>
        <v>0.1</v>
      </c>
      <c r="L33" s="62">
        <f>IF(TB_Vendas[[#This Row],[Desc. Diretão]] &gt; TB_Vendas[[#This Row],[Desc. Vend.]], TB_Vendas[[#This Row],[Desc. Vend.]], TB_Vendas[[#This Row],[Desc. Diretão]])</f>
        <v>0.1</v>
      </c>
      <c r="M33" s="8">
        <f>(TB_Vendas[[#This Row],[Preço Unitário]] - (TB_Vendas[[#This Row],[Preço Unitário]] * TB_Vendas[[#This Row],[Desconto Final]])) * TB_Vendas[[#This Row],[Qtd]]</f>
        <v>65.25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 TB_Produtos[Código], TB_Produtos[Categoria])</f>
        <v>Vestuário</v>
      </c>
      <c r="F34" s="1">
        <v>4</v>
      </c>
      <c r="G34" s="29">
        <f>_xlfn.XLOOKUP(TB_Vendas[[#This Row],[Código]], TB_Produtos[Código], TB_Produtos[Preço Unitário])</f>
        <v>259.89999999999998</v>
      </c>
      <c r="H34" s="94">
        <f>_xlfn.XMATCH(TB_Vendas[[#This Row],[Categoria]], Int_Categoria,0)</f>
        <v>3</v>
      </c>
      <c r="I34" s="62">
        <f>VLOOKUP(TB_Vendas[[#This Row],[Qtd]], TB_DESCONTO, TB_Vendas[[#This Row],[Indice]],1)</f>
        <v>0.2</v>
      </c>
      <c r="J34" s="62">
        <f>INDEX(TB_DESCONTO, MATCH(TB_Vendas[[#This Row],[Qtd]], Int_qtde,1), MATCH(_xlfn.XLOOKUP(TB_Vendas[[#This Row],[Código]], TB_Produtos[Código], TB_Produtos[Categoria]), Int_Categoria,0))</f>
        <v>0.2</v>
      </c>
      <c r="K34" s="62">
        <f>_xlfn.XLOOKUP(TB_Vendas[[#This Row],[Vendedor]], Int_CodVendedor, Int_DescMax)</f>
        <v>0.2</v>
      </c>
      <c r="L34" s="62">
        <f>IF(TB_Vendas[[#This Row],[Desc. Diretão]] &gt; TB_Vendas[[#This Row],[Desc. Vend.]], TB_Vendas[[#This Row],[Desc. Vend.]], TB_Vendas[[#This Row],[Desc. Diretão]])</f>
        <v>0.2</v>
      </c>
      <c r="M34" s="8">
        <f>(TB_Vendas[[#This Row],[Preço Unitário]] - (TB_Vendas[[#This Row],[Preço Unitário]] * TB_Vendas[[#This Row],[Desconto Final]])) * TB_Vendas[[#This Row],[Qtd]]</f>
        <v>831.68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 TB_Produtos[Código], TB_Produtos[Categoria])</f>
        <v>Vestuário</v>
      </c>
      <c r="F35" s="1">
        <v>3</v>
      </c>
      <c r="G35" s="29">
        <f>_xlfn.XLOOKUP(TB_Vendas[[#This Row],[Código]], TB_Produtos[Código], TB_Produtos[Preço Unitário])</f>
        <v>25.9</v>
      </c>
      <c r="H35" s="94">
        <f>_xlfn.XMATCH(TB_Vendas[[#This Row],[Categoria]], Int_Categoria,0)</f>
        <v>3</v>
      </c>
      <c r="I35" s="62">
        <f>VLOOKUP(TB_Vendas[[#This Row],[Qtd]], TB_DESCONTO, TB_Vendas[[#This Row],[Indice]],1)</f>
        <v>0.2</v>
      </c>
      <c r="J35" s="62">
        <f>INDEX(TB_DESCONTO, MATCH(TB_Vendas[[#This Row],[Qtd]], Int_qtde,1), MATCH(_xlfn.XLOOKUP(TB_Vendas[[#This Row],[Código]], TB_Produtos[Código], TB_Produtos[Categoria]), Int_Categoria,0))</f>
        <v>0.2</v>
      </c>
      <c r="K35" s="62">
        <f>_xlfn.XLOOKUP(TB_Vendas[[#This Row],[Vendedor]], Int_CodVendedor, Int_DescMax)</f>
        <v>0.25</v>
      </c>
      <c r="L35" s="62">
        <f>IF(TB_Vendas[[#This Row],[Desc. Diretão]] &gt; TB_Vendas[[#This Row],[Desc. Vend.]], TB_Vendas[[#This Row],[Desc. Vend.]], TB_Vendas[[#This Row],[Desc. Diretão]])</f>
        <v>0.2</v>
      </c>
      <c r="M35" s="8">
        <f>(TB_Vendas[[#This Row],[Preço Unitário]] - (TB_Vendas[[#This Row],[Preço Unitário]] * TB_Vendas[[#This Row],[Desconto Final]])) * TB_Vendas[[#This Row],[Qtd]]</f>
        <v>62.16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 TB_Produtos[Código], TB_Produtos[Categoria])</f>
        <v>Acessórios</v>
      </c>
      <c r="F36" s="1">
        <v>2</v>
      </c>
      <c r="G36" s="29">
        <f>_xlfn.XLOOKUP(TB_Vendas[[#This Row],[Código]], TB_Produtos[Código], TB_Produtos[Preço Unitário])</f>
        <v>145</v>
      </c>
      <c r="H36" s="94">
        <f>_xlfn.XMATCH(TB_Vendas[[#This Row],[Categoria]], Int_Categoria,0)</f>
        <v>2</v>
      </c>
      <c r="I36" s="62">
        <f>VLOOKUP(TB_Vendas[[#This Row],[Qtd]], TB_DESCONTO, TB_Vendas[[#This Row],[Indice]],1)</f>
        <v>0.05</v>
      </c>
      <c r="J36" s="62">
        <f>INDEX(TB_DESCONTO, MATCH(TB_Vendas[[#This Row],[Qtd]], Int_qtde,1), MATCH(_xlfn.XLOOKUP(TB_Vendas[[#This Row],[Código]], TB_Produtos[Código], TB_Produtos[Categoria]), Int_Categoria,0))</f>
        <v>0.05</v>
      </c>
      <c r="K36" s="62">
        <f>_xlfn.XLOOKUP(TB_Vendas[[#This Row],[Vendedor]], Int_CodVendedor, Int_DescMax)</f>
        <v>0.2</v>
      </c>
      <c r="L36" s="62">
        <f>IF(TB_Vendas[[#This Row],[Desc. Diretão]] &gt; TB_Vendas[[#This Row],[Desc. Vend.]], TB_Vendas[[#This Row],[Desc. Vend.]], TB_Vendas[[#This Row],[Desc. Diretão]])</f>
        <v>0.05</v>
      </c>
      <c r="M36" s="8">
        <f>(TB_Vendas[[#This Row],[Preço Unitário]] - (TB_Vendas[[#This Row],[Preço Unitário]] * TB_Vendas[[#This Row],[Desconto Final]])) * TB_Vendas[[#This Row],[Qtd]]</f>
        <v>275.5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 TB_Produtos[Código], TB_Produtos[Categoria])</f>
        <v>Acessórios</v>
      </c>
      <c r="F37" s="1">
        <v>1</v>
      </c>
      <c r="G37" s="29">
        <f>_xlfn.XLOOKUP(TB_Vendas[[#This Row],[Código]], TB_Produtos[Código], TB_Produtos[Preço Unitário])</f>
        <v>39.9</v>
      </c>
      <c r="H37" s="94">
        <f>_xlfn.XMATCH(TB_Vendas[[#This Row],[Categoria]], Int_Categoria,0)</f>
        <v>2</v>
      </c>
      <c r="I37" s="62">
        <f>VLOOKUP(TB_Vendas[[#This Row],[Qtd]], TB_DESCONTO, TB_Vendas[[#This Row],[Indice]],1)</f>
        <v>0</v>
      </c>
      <c r="J37" s="62">
        <f>INDEX(TB_DESCONTO, MATCH(TB_Vendas[[#This Row],[Qtd]], Int_qtde,1), MATCH(_xlfn.XLOOKUP(TB_Vendas[[#This Row],[Código]], TB_Produtos[Código], TB_Produtos[Categoria]), Int_Categoria,0))</f>
        <v>0</v>
      </c>
      <c r="K37" s="62">
        <f>_xlfn.XLOOKUP(TB_Vendas[[#This Row],[Vendedor]], Int_CodVendedor, Int_DescMax)</f>
        <v>0.25</v>
      </c>
      <c r="L37" s="62">
        <f>IF(TB_Vendas[[#This Row],[Desc. Diretão]] &gt; TB_Vendas[[#This Row],[Desc. Vend.]], TB_Vendas[[#This Row],[Desc. Vend.]], TB_Vendas[[#This Row],[Desc. Diretão]])</f>
        <v>0</v>
      </c>
      <c r="M37" s="8">
        <f>(TB_Vendas[[#This Row],[Preço Unitário]] - (TB_Vendas[[#This Row],[Preço Unitário]] * TB_Vendas[[#This Row],[Desconto Final]])) * 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 TB_Produtos[Código], TB_Produtos[Categoria])</f>
        <v>Acessórios</v>
      </c>
      <c r="F38" s="1">
        <v>3</v>
      </c>
      <c r="G38" s="29">
        <f>_xlfn.XLOOKUP(TB_Vendas[[#This Row],[Código]], TB_Produtos[Código], TB_Produtos[Preço Unitário])</f>
        <v>349.9</v>
      </c>
      <c r="H38" s="94">
        <f>_xlfn.XMATCH(TB_Vendas[[#This Row],[Categoria]], Int_Categoria,0)</f>
        <v>2</v>
      </c>
      <c r="I38" s="62">
        <f>VLOOKUP(TB_Vendas[[#This Row],[Qtd]], TB_DESCONTO, TB_Vendas[[#This Row],[Indice]],1)</f>
        <v>0.15</v>
      </c>
      <c r="J38" s="62">
        <f>INDEX(TB_DESCONTO, MATCH(TB_Vendas[[#This Row],[Qtd]], Int_qtde,1), MATCH(_xlfn.XLOOKUP(TB_Vendas[[#This Row],[Código]], TB_Produtos[Código], TB_Produtos[Categoria]), Int_Categoria,0))</f>
        <v>0.15</v>
      </c>
      <c r="K38" s="62">
        <f>_xlfn.XLOOKUP(TB_Vendas[[#This Row],[Vendedor]], Int_CodVendedor, Int_DescMax)</f>
        <v>0.2</v>
      </c>
      <c r="L38" s="62">
        <f>IF(TB_Vendas[[#This Row],[Desc. Diretão]] &gt; TB_Vendas[[#This Row],[Desc. Vend.]], TB_Vendas[[#This Row],[Desc. Vend.]], TB_Vendas[[#This Row],[Desc. Diretão]])</f>
        <v>0.15</v>
      </c>
      <c r="M38" s="8">
        <f>(TB_Vendas[[#This Row],[Preço Unitário]] - (TB_Vendas[[#This Row],[Preço Unitário]] * TB_Vendas[[#This Row],[Desconto Final]])) * TB_Vendas[[#This Row],[Qtd]]</f>
        <v>892.24499999999989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 TB_Produtos[Código], TB_Produtos[Categoria])</f>
        <v>Calçado</v>
      </c>
      <c r="F39" s="1">
        <v>4</v>
      </c>
      <c r="G39" s="29">
        <f>_xlfn.XLOOKUP(TB_Vendas[[#This Row],[Código]], TB_Produtos[Código], TB_Produtos[Preço Unitário])</f>
        <v>89.9</v>
      </c>
      <c r="H39" s="94">
        <f>_xlfn.XMATCH(TB_Vendas[[#This Row],[Categoria]], Int_Categoria,0)</f>
        <v>4</v>
      </c>
      <c r="I39" s="62">
        <f>VLOOKUP(TB_Vendas[[#This Row],[Qtd]], TB_DESCONTO, TB_Vendas[[#This Row],[Indice]],1)</f>
        <v>0.15</v>
      </c>
      <c r="J39" s="62">
        <f>INDEX(TB_DESCONTO, MATCH(TB_Vendas[[#This Row],[Qtd]], Int_qtde,1), MATCH(_xlfn.XLOOKUP(TB_Vendas[[#This Row],[Código]], TB_Produtos[Código], TB_Produtos[Categoria]), Int_Categoria,0))</f>
        <v>0.15</v>
      </c>
      <c r="K39" s="62">
        <f>_xlfn.XLOOKUP(TB_Vendas[[#This Row],[Vendedor]], Int_CodVendedor, Int_DescMax)</f>
        <v>0.2</v>
      </c>
      <c r="L39" s="62">
        <f>IF(TB_Vendas[[#This Row],[Desc. Diretão]] &gt; TB_Vendas[[#This Row],[Desc. Vend.]], TB_Vendas[[#This Row],[Desc. Vend.]], TB_Vendas[[#This Row],[Desc. Diretão]])</f>
        <v>0.15</v>
      </c>
      <c r="M39" s="8">
        <f>(TB_Vendas[[#This Row],[Preço Unitário]] - (TB_Vendas[[#This Row],[Preço Unitário]] * TB_Vendas[[#This Row],[Desconto Final]])) * TB_Vendas[[#This Row],[Qtd]]</f>
        <v>305.66000000000003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 TB_Produtos[Código], TB_Produtos[Categoria])</f>
        <v>Calçado</v>
      </c>
      <c r="F40" s="1">
        <v>2</v>
      </c>
      <c r="G40" s="29">
        <f>_xlfn.XLOOKUP(TB_Vendas[[#This Row],[Código]], TB_Produtos[Código], TB_Produtos[Preço Unitário])</f>
        <v>89.9</v>
      </c>
      <c r="H40" s="94">
        <f>_xlfn.XMATCH(TB_Vendas[[#This Row],[Categoria]], Int_Categoria,0)</f>
        <v>4</v>
      </c>
      <c r="I40" s="62">
        <f>VLOOKUP(TB_Vendas[[#This Row],[Qtd]], TB_DESCONTO, TB_Vendas[[#This Row],[Indice]],1)</f>
        <v>0.1</v>
      </c>
      <c r="J40" s="62">
        <f>INDEX(TB_DESCONTO, MATCH(TB_Vendas[[#This Row],[Qtd]], Int_qtde,1), MATCH(_xlfn.XLOOKUP(TB_Vendas[[#This Row],[Código]], TB_Produtos[Código], TB_Produtos[Categoria]), Int_Categoria,0))</f>
        <v>0.1</v>
      </c>
      <c r="K40" s="62">
        <f>_xlfn.XLOOKUP(TB_Vendas[[#This Row],[Vendedor]], Int_CodVendedor, Int_DescMax)</f>
        <v>0.2</v>
      </c>
      <c r="L40" s="62">
        <f>IF(TB_Vendas[[#This Row],[Desc. Diretão]] &gt; TB_Vendas[[#This Row],[Desc. Vend.]], TB_Vendas[[#This Row],[Desc. Vend.]], TB_Vendas[[#This Row],[Desc. Diretão]])</f>
        <v>0.1</v>
      </c>
      <c r="M40" s="8">
        <f>(TB_Vendas[[#This Row],[Preço Unitário]] - (TB_Vendas[[#This Row],[Preço Unitário]] * TB_Vendas[[#This Row],[Desconto Final]])) * TB_Vendas[[#This Row],[Qtd]]</f>
        <v>161.82000000000002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 TB_Produtos[Código], TB_Produtos[Categoria])</f>
        <v>Vestuário</v>
      </c>
      <c r="F41" s="1">
        <v>3</v>
      </c>
      <c r="G41" s="29">
        <f>_xlfn.XLOOKUP(TB_Vendas[[#This Row],[Código]], TB_Produtos[Código], TB_Produtos[Preço Unitário])</f>
        <v>69.900000000000006</v>
      </c>
      <c r="H41" s="94">
        <f>_xlfn.XMATCH(TB_Vendas[[#This Row],[Categoria]], Int_Categoria,0)</f>
        <v>3</v>
      </c>
      <c r="I41" s="62">
        <f>VLOOKUP(TB_Vendas[[#This Row],[Qtd]], TB_DESCONTO, TB_Vendas[[#This Row],[Indice]],1)</f>
        <v>0.2</v>
      </c>
      <c r="J41" s="62">
        <f>INDEX(TB_DESCONTO, MATCH(TB_Vendas[[#This Row],[Qtd]], Int_qtde,1), MATCH(_xlfn.XLOOKUP(TB_Vendas[[#This Row],[Código]], TB_Produtos[Código], TB_Produtos[Categoria]), Int_Categoria,0))</f>
        <v>0.2</v>
      </c>
      <c r="K41" s="62">
        <f>_xlfn.XLOOKUP(TB_Vendas[[#This Row],[Vendedor]], Int_CodVendedor, Int_DescMax)</f>
        <v>0.2</v>
      </c>
      <c r="L41" s="62">
        <f>IF(TB_Vendas[[#This Row],[Desc. Diretão]] &gt; TB_Vendas[[#This Row],[Desc. Vend.]], TB_Vendas[[#This Row],[Desc. Vend.]], TB_Vendas[[#This Row],[Desc. Diretão]])</f>
        <v>0.2</v>
      </c>
      <c r="M41" s="8">
        <f>(TB_Vendas[[#This Row],[Preço Unitário]] - (TB_Vendas[[#This Row],[Preço Unitário]] * TB_Vendas[[#This Row],[Desconto Final]])) * TB_Vendas[[#This Row],[Qtd]]</f>
        <v>167.76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 TB_Produtos[Código], TB_Produtos[Categoria])</f>
        <v>Acessórios</v>
      </c>
      <c r="F42" s="1">
        <v>1</v>
      </c>
      <c r="G42" s="29">
        <f>_xlfn.XLOOKUP(TB_Vendas[[#This Row],[Código]], TB_Produtos[Código], TB_Produtos[Preço Unitário])</f>
        <v>145</v>
      </c>
      <c r="H42" s="94">
        <f>_xlfn.XMATCH(TB_Vendas[[#This Row],[Categoria]], Int_Categoria,0)</f>
        <v>2</v>
      </c>
      <c r="I42" s="62">
        <f>VLOOKUP(TB_Vendas[[#This Row],[Qtd]], TB_DESCONTO, TB_Vendas[[#This Row],[Indice]],1)</f>
        <v>0</v>
      </c>
      <c r="J42" s="62">
        <f>INDEX(TB_DESCONTO, MATCH(TB_Vendas[[#This Row],[Qtd]], Int_qtde,1), MATCH(_xlfn.XLOOKUP(TB_Vendas[[#This Row],[Código]], TB_Produtos[Código], TB_Produtos[Categoria]), Int_Categoria,0))</f>
        <v>0</v>
      </c>
      <c r="K42" s="62">
        <f>_xlfn.XLOOKUP(TB_Vendas[[#This Row],[Vendedor]], Int_CodVendedor, Int_DescMax)</f>
        <v>0.15</v>
      </c>
      <c r="L42" s="62">
        <f>IF(TB_Vendas[[#This Row],[Desc. Diretão]] &gt; TB_Vendas[[#This Row],[Desc. Vend.]], TB_Vendas[[#This Row],[Desc. Vend.]], TB_Vendas[[#This Row],[Desc. Diretão]])</f>
        <v>0</v>
      </c>
      <c r="M42" s="8">
        <f>(TB_Vendas[[#This Row],[Preço Unitário]] - (TB_Vendas[[#This Row],[Preço Unitário]] * TB_Vendas[[#This Row],[Desconto Final]])) * 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 TB_Produtos[Código], TB_Produtos[Categoria])</f>
        <v>Vestuário</v>
      </c>
      <c r="F43" s="1">
        <v>4</v>
      </c>
      <c r="G43" s="29">
        <f>_xlfn.XLOOKUP(TB_Vendas[[#This Row],[Código]], TB_Produtos[Código], TB_Produtos[Preço Unitário])</f>
        <v>46.9</v>
      </c>
      <c r="H43" s="94">
        <f>_xlfn.XMATCH(TB_Vendas[[#This Row],[Categoria]], Int_Categoria,0)</f>
        <v>3</v>
      </c>
      <c r="I43" s="62">
        <f>VLOOKUP(TB_Vendas[[#This Row],[Qtd]], TB_DESCONTO, TB_Vendas[[#This Row],[Indice]],1)</f>
        <v>0.2</v>
      </c>
      <c r="J43" s="62">
        <f>INDEX(TB_DESCONTO, MATCH(TB_Vendas[[#This Row],[Qtd]], Int_qtde,1), MATCH(_xlfn.XLOOKUP(TB_Vendas[[#This Row],[Código]], TB_Produtos[Código], TB_Produtos[Categoria]), Int_Categoria,0))</f>
        <v>0.2</v>
      </c>
      <c r="K43" s="62">
        <f>_xlfn.XLOOKUP(TB_Vendas[[#This Row],[Vendedor]], Int_CodVendedor, Int_DescMax)</f>
        <v>0.2</v>
      </c>
      <c r="L43" s="62">
        <f>IF(TB_Vendas[[#This Row],[Desc. Diretão]] &gt; TB_Vendas[[#This Row],[Desc. Vend.]], TB_Vendas[[#This Row],[Desc. Vend.]], TB_Vendas[[#This Row],[Desc. Diretão]])</f>
        <v>0.2</v>
      </c>
      <c r="M43" s="8">
        <f>(TB_Vendas[[#This Row],[Preço Unitário]] - (TB_Vendas[[#This Row],[Preço Unitário]] * TB_Vendas[[#This Row],[Desconto Final]])) * TB_Vendas[[#This Row],[Qtd]]</f>
        <v>150.07999999999998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 TB_Produtos[Código], TB_Produtos[Categoria])</f>
        <v>Vestuário</v>
      </c>
      <c r="F44" s="1">
        <v>2</v>
      </c>
      <c r="G44" s="29">
        <f>_xlfn.XLOOKUP(TB_Vendas[[#This Row],[Código]], TB_Produtos[Código], TB_Produtos[Preço Unitário])</f>
        <v>72.5</v>
      </c>
      <c r="H44" s="94">
        <f>_xlfn.XMATCH(TB_Vendas[[#This Row],[Categoria]], Int_Categoria,0)</f>
        <v>3</v>
      </c>
      <c r="I44" s="62">
        <f>VLOOKUP(TB_Vendas[[#This Row],[Qtd]], TB_DESCONTO, TB_Vendas[[#This Row],[Indice]],1)</f>
        <v>0.15</v>
      </c>
      <c r="J44" s="62">
        <f>INDEX(TB_DESCONTO, MATCH(TB_Vendas[[#This Row],[Qtd]], Int_qtde,1), MATCH(_xlfn.XLOOKUP(TB_Vendas[[#This Row],[Código]], TB_Produtos[Código], TB_Produtos[Categoria]), Int_Categoria,0))</f>
        <v>0.15</v>
      </c>
      <c r="K44" s="62">
        <f>_xlfn.XLOOKUP(TB_Vendas[[#This Row],[Vendedor]], Int_CodVendedor, Int_DescMax)</f>
        <v>0.15</v>
      </c>
      <c r="L44" s="62">
        <f>IF(TB_Vendas[[#This Row],[Desc. Diretão]] &gt; TB_Vendas[[#This Row],[Desc. Vend.]], TB_Vendas[[#This Row],[Desc. Vend.]], TB_Vendas[[#This Row],[Desc. Diretão]])</f>
        <v>0.15</v>
      </c>
      <c r="M44" s="8">
        <f>(TB_Vendas[[#This Row],[Preço Unitário]] - (TB_Vendas[[#This Row],[Preço Unitário]] * TB_Vendas[[#This Row],[Desconto Final]])) * TB_Vendas[[#This Row],[Qtd]]</f>
        <v>123.25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 TB_Produtos[Código], TB_Produtos[Categoria])</f>
        <v>Vestuário</v>
      </c>
      <c r="F45" s="1">
        <v>3</v>
      </c>
      <c r="G45" s="29">
        <f>_xlfn.XLOOKUP(TB_Vendas[[#This Row],[Código]], TB_Produtos[Código], TB_Produtos[Preço Unitário])</f>
        <v>140</v>
      </c>
      <c r="H45" s="94">
        <f>_xlfn.XMATCH(TB_Vendas[[#This Row],[Categoria]], Int_Categoria,0)</f>
        <v>3</v>
      </c>
      <c r="I45" s="62">
        <f>VLOOKUP(TB_Vendas[[#This Row],[Qtd]], TB_DESCONTO, TB_Vendas[[#This Row],[Indice]],1)</f>
        <v>0.2</v>
      </c>
      <c r="J45" s="62">
        <f>INDEX(TB_DESCONTO, MATCH(TB_Vendas[[#This Row],[Qtd]], Int_qtde,1), MATCH(_xlfn.XLOOKUP(TB_Vendas[[#This Row],[Código]], TB_Produtos[Código], TB_Produtos[Categoria]), Int_Categoria,0))</f>
        <v>0.2</v>
      </c>
      <c r="K45" s="62">
        <f>_xlfn.XLOOKUP(TB_Vendas[[#This Row],[Vendedor]], Int_CodVendedor, Int_DescMax)</f>
        <v>0.2</v>
      </c>
      <c r="L45" s="62">
        <f>IF(TB_Vendas[[#This Row],[Desc. Diretão]] &gt; TB_Vendas[[#This Row],[Desc. Vend.]], TB_Vendas[[#This Row],[Desc. Vend.]], TB_Vendas[[#This Row],[Desc. Diretão]])</f>
        <v>0.2</v>
      </c>
      <c r="M45" s="8">
        <f>(TB_Vendas[[#This Row],[Preço Unitário]] - (TB_Vendas[[#This Row],[Preço Unitário]] * TB_Vendas[[#This Row],[Desconto Final]])) * TB_Vendas[[#This Row],[Qtd]]</f>
        <v>336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 TB_Produtos[Código], TB_Produtos[Categoria])</f>
        <v>Vestuário</v>
      </c>
      <c r="F46" s="1">
        <v>1</v>
      </c>
      <c r="G46" s="29">
        <f>_xlfn.XLOOKUP(TB_Vendas[[#This Row],[Código]], TB_Produtos[Código], TB_Produtos[Preço Unitário])</f>
        <v>91.4</v>
      </c>
      <c r="H46" s="94">
        <f>_xlfn.XMATCH(TB_Vendas[[#This Row],[Categoria]], Int_Categoria,0)</f>
        <v>3</v>
      </c>
      <c r="I46" s="62">
        <f>VLOOKUP(TB_Vendas[[#This Row],[Qtd]], TB_DESCONTO, TB_Vendas[[#This Row],[Indice]],1)</f>
        <v>0.1</v>
      </c>
      <c r="J46" s="62">
        <f>INDEX(TB_DESCONTO, MATCH(TB_Vendas[[#This Row],[Qtd]], Int_qtde,1), MATCH(_xlfn.XLOOKUP(TB_Vendas[[#This Row],[Código]], TB_Produtos[Código], TB_Produtos[Categoria]), Int_Categoria,0))</f>
        <v>0.1</v>
      </c>
      <c r="K46" s="62">
        <f>_xlfn.XLOOKUP(TB_Vendas[[#This Row],[Vendedor]], Int_CodVendedor, Int_DescMax)</f>
        <v>0.25</v>
      </c>
      <c r="L46" s="62">
        <f>IF(TB_Vendas[[#This Row],[Desc. Diretão]] &gt; TB_Vendas[[#This Row],[Desc. Vend.]], TB_Vendas[[#This Row],[Desc. Vend.]], TB_Vendas[[#This Row],[Desc. Diretão]])</f>
        <v>0.1</v>
      </c>
      <c r="M46" s="8">
        <f>(TB_Vendas[[#This Row],[Preço Unitário]] - (TB_Vendas[[#This Row],[Preço Unitário]] * TB_Vendas[[#This Row],[Desconto Final]])) * TB_Vendas[[#This Row],[Qtd]]</f>
        <v>82.26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 TB_Produtos[Código], TB_Produtos[Categoria])</f>
        <v>Acessórios</v>
      </c>
      <c r="F47" s="1">
        <v>2</v>
      </c>
      <c r="G47" s="29">
        <f>_xlfn.XLOOKUP(TB_Vendas[[#This Row],[Código]], TB_Produtos[Código], TB_Produtos[Preço Unitário])</f>
        <v>349.9</v>
      </c>
      <c r="H47" s="94">
        <f>_xlfn.XMATCH(TB_Vendas[[#This Row],[Categoria]], Int_Categoria,0)</f>
        <v>2</v>
      </c>
      <c r="I47" s="62">
        <f>VLOOKUP(TB_Vendas[[#This Row],[Qtd]], TB_DESCONTO, TB_Vendas[[#This Row],[Indice]],1)</f>
        <v>0.05</v>
      </c>
      <c r="J47" s="62">
        <f>INDEX(TB_DESCONTO, MATCH(TB_Vendas[[#This Row],[Qtd]], Int_qtde,1), MATCH(_xlfn.XLOOKUP(TB_Vendas[[#This Row],[Código]], TB_Produtos[Código], TB_Produtos[Categoria]), Int_Categoria,0))</f>
        <v>0.05</v>
      </c>
      <c r="K47" s="62">
        <f>_xlfn.XLOOKUP(TB_Vendas[[#This Row],[Vendedor]], Int_CodVendedor, Int_DescMax)</f>
        <v>0.2</v>
      </c>
      <c r="L47" s="62">
        <f>IF(TB_Vendas[[#This Row],[Desc. Diretão]] &gt; TB_Vendas[[#This Row],[Desc. Vend.]], TB_Vendas[[#This Row],[Desc. Vend.]], TB_Vendas[[#This Row],[Desc. Diretão]])</f>
        <v>0.05</v>
      </c>
      <c r="M47" s="8">
        <f>(TB_Vendas[[#This Row],[Preço Unitário]] - (TB_Vendas[[#This Row],[Preço Unitário]] * TB_Vendas[[#This Row],[Desconto Final]])) * TB_Vendas[[#This Row],[Qtd]]</f>
        <v>664.81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 TB_Produtos[Código], TB_Produtos[Categoria])</f>
        <v>Vestuário</v>
      </c>
      <c r="F48" s="1">
        <v>3</v>
      </c>
      <c r="G48" s="29">
        <f>_xlfn.XLOOKUP(TB_Vendas[[#This Row],[Código]], TB_Produtos[Código], TB_Produtos[Preço Unitário])</f>
        <v>65.900000000000006</v>
      </c>
      <c r="H48" s="94">
        <f>_xlfn.XMATCH(TB_Vendas[[#This Row],[Categoria]], Int_Categoria,0)</f>
        <v>3</v>
      </c>
      <c r="I48" s="62">
        <f>VLOOKUP(TB_Vendas[[#This Row],[Qtd]], TB_DESCONTO, TB_Vendas[[#This Row],[Indice]],1)</f>
        <v>0.2</v>
      </c>
      <c r="J48" s="62">
        <f>INDEX(TB_DESCONTO, MATCH(TB_Vendas[[#This Row],[Qtd]], Int_qtde,1), MATCH(_xlfn.XLOOKUP(TB_Vendas[[#This Row],[Código]], TB_Produtos[Código], TB_Produtos[Categoria]), Int_Categoria,0))</f>
        <v>0.2</v>
      </c>
      <c r="K48" s="62">
        <f>_xlfn.XLOOKUP(TB_Vendas[[#This Row],[Vendedor]], Int_CodVendedor, Int_DescMax)</f>
        <v>0.25</v>
      </c>
      <c r="L48" s="62">
        <f>IF(TB_Vendas[[#This Row],[Desc. Diretão]] &gt; TB_Vendas[[#This Row],[Desc. Vend.]], TB_Vendas[[#This Row],[Desc. Vend.]], TB_Vendas[[#This Row],[Desc. Diretão]])</f>
        <v>0.2</v>
      </c>
      <c r="M48" s="8">
        <f>(TB_Vendas[[#This Row],[Preço Unitário]] - (TB_Vendas[[#This Row],[Preço Unitário]] * TB_Vendas[[#This Row],[Desconto Final]])) * TB_Vendas[[#This Row],[Qtd]]</f>
        <v>158.16000000000003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 TB_Produtos[Código], TB_Produtos[Categoria])</f>
        <v>Vestuário</v>
      </c>
      <c r="F49" s="1">
        <v>2</v>
      </c>
      <c r="G49" s="29">
        <f>_xlfn.XLOOKUP(TB_Vendas[[#This Row],[Código]], TB_Produtos[Código], TB_Produtos[Preço Unitário])</f>
        <v>91.4</v>
      </c>
      <c r="H49" s="94">
        <f>_xlfn.XMATCH(TB_Vendas[[#This Row],[Categoria]], Int_Categoria,0)</f>
        <v>3</v>
      </c>
      <c r="I49" s="62">
        <f>VLOOKUP(TB_Vendas[[#This Row],[Qtd]], TB_DESCONTO, TB_Vendas[[#This Row],[Indice]],1)</f>
        <v>0.15</v>
      </c>
      <c r="J49" s="62">
        <f>INDEX(TB_DESCONTO, MATCH(TB_Vendas[[#This Row],[Qtd]], Int_qtde,1), MATCH(_xlfn.XLOOKUP(TB_Vendas[[#This Row],[Código]], TB_Produtos[Código], TB_Produtos[Categoria]), Int_Categoria,0))</f>
        <v>0.15</v>
      </c>
      <c r="K49" s="62">
        <f>_xlfn.XLOOKUP(TB_Vendas[[#This Row],[Vendedor]], Int_CodVendedor, Int_DescMax)</f>
        <v>0.2</v>
      </c>
      <c r="L49" s="62">
        <f>IF(TB_Vendas[[#This Row],[Desc. Diretão]] &gt; TB_Vendas[[#This Row],[Desc. Vend.]], TB_Vendas[[#This Row],[Desc. Vend.]], TB_Vendas[[#This Row],[Desc. Diretão]])</f>
        <v>0.15</v>
      </c>
      <c r="M49" s="8">
        <f>(TB_Vendas[[#This Row],[Preço Unitário]] - (TB_Vendas[[#This Row],[Preço Unitário]] * TB_Vendas[[#This Row],[Desconto Final]])) * TB_Vendas[[#This Row],[Qtd]]</f>
        <v>155.38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 TB_Produtos[Código], TB_Produtos[Categoria])</f>
        <v>Acessórios</v>
      </c>
      <c r="F50" s="1">
        <v>4</v>
      </c>
      <c r="G50" s="29">
        <f>_xlfn.XLOOKUP(TB_Vendas[[#This Row],[Código]], TB_Produtos[Código], TB_Produtos[Preço Unitário])</f>
        <v>259.89999999999998</v>
      </c>
      <c r="H50" s="94">
        <f>_xlfn.XMATCH(TB_Vendas[[#This Row],[Categoria]], Int_Categoria,0)</f>
        <v>2</v>
      </c>
      <c r="I50" s="62">
        <f>VLOOKUP(TB_Vendas[[#This Row],[Qtd]], TB_DESCONTO, TB_Vendas[[#This Row],[Indice]],1)</f>
        <v>0.15</v>
      </c>
      <c r="J50" s="62">
        <f>INDEX(TB_DESCONTO, MATCH(TB_Vendas[[#This Row],[Qtd]], Int_qtde,1), MATCH(_xlfn.XLOOKUP(TB_Vendas[[#This Row],[Código]], TB_Produtos[Código], TB_Produtos[Categoria]), Int_Categoria,0))</f>
        <v>0.15</v>
      </c>
      <c r="K50" s="62">
        <f>_xlfn.XLOOKUP(TB_Vendas[[#This Row],[Vendedor]], Int_CodVendedor, Int_DescMax)</f>
        <v>0.25</v>
      </c>
      <c r="L50" s="62">
        <f>IF(TB_Vendas[[#This Row],[Desc. Diretão]] &gt; TB_Vendas[[#This Row],[Desc. Vend.]], TB_Vendas[[#This Row],[Desc. Vend.]], TB_Vendas[[#This Row],[Desc. Diretão]])</f>
        <v>0.15</v>
      </c>
      <c r="M50" s="8">
        <f>(TB_Vendas[[#This Row],[Preço Unitário]] - (TB_Vendas[[#This Row],[Preço Unitário]] * TB_Vendas[[#This Row],[Desconto Final]])) * TB_Vendas[[#This Row],[Qtd]]</f>
        <v>883.66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 TB_Produtos[Código], TB_Produtos[Categoria])</f>
        <v>Acessórios</v>
      </c>
      <c r="F51" s="1">
        <v>3</v>
      </c>
      <c r="G51" s="29">
        <f>_xlfn.XLOOKUP(TB_Vendas[[#This Row],[Código]], TB_Produtos[Código], TB_Produtos[Preço Unitário])</f>
        <v>145</v>
      </c>
      <c r="H51" s="94">
        <f>_xlfn.XMATCH(TB_Vendas[[#This Row],[Categoria]], Int_Categoria,0)</f>
        <v>2</v>
      </c>
      <c r="I51" s="62">
        <f>VLOOKUP(TB_Vendas[[#This Row],[Qtd]], TB_DESCONTO, TB_Vendas[[#This Row],[Indice]],1)</f>
        <v>0.15</v>
      </c>
      <c r="J51" s="62">
        <f>INDEX(TB_DESCONTO, MATCH(TB_Vendas[[#This Row],[Qtd]], Int_qtde,1), MATCH(_xlfn.XLOOKUP(TB_Vendas[[#This Row],[Código]], TB_Produtos[Código], TB_Produtos[Categoria]), Int_Categoria,0))</f>
        <v>0.15</v>
      </c>
      <c r="K51" s="62">
        <f>_xlfn.XLOOKUP(TB_Vendas[[#This Row],[Vendedor]], Int_CodVendedor, Int_DescMax)</f>
        <v>0.2</v>
      </c>
      <c r="L51" s="62">
        <f>IF(TB_Vendas[[#This Row],[Desc. Diretão]] &gt; TB_Vendas[[#This Row],[Desc. Vend.]], TB_Vendas[[#This Row],[Desc. Vend.]], TB_Vendas[[#This Row],[Desc. Diretão]])</f>
        <v>0.15</v>
      </c>
      <c r="M51" s="8">
        <f>(TB_Vendas[[#This Row],[Preço Unitário]] - (TB_Vendas[[#This Row],[Preço Unitário]] * TB_Vendas[[#This Row],[Desconto Final]])) * TB_Vendas[[#This Row],[Qtd]]</f>
        <v>369.75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 TB_Produtos[Código], TB_Produtos[Categoria])</f>
        <v>Vestuário</v>
      </c>
      <c r="F52" s="1">
        <v>2</v>
      </c>
      <c r="G52" s="29">
        <f>_xlfn.XLOOKUP(TB_Vendas[[#This Row],[Código]], TB_Produtos[Código], TB_Produtos[Preço Unitário])</f>
        <v>142.9</v>
      </c>
      <c r="H52" s="94">
        <f>_xlfn.XMATCH(TB_Vendas[[#This Row],[Categoria]], Int_Categoria,0)</f>
        <v>3</v>
      </c>
      <c r="I52" s="62">
        <f>VLOOKUP(TB_Vendas[[#This Row],[Qtd]], TB_DESCONTO, TB_Vendas[[#This Row],[Indice]],1)</f>
        <v>0.15</v>
      </c>
      <c r="J52" s="62">
        <f>INDEX(TB_DESCONTO, MATCH(TB_Vendas[[#This Row],[Qtd]], Int_qtde,1), MATCH(_xlfn.XLOOKUP(TB_Vendas[[#This Row],[Código]], TB_Produtos[Código], TB_Produtos[Categoria]), Int_Categoria,0))</f>
        <v>0.15</v>
      </c>
      <c r="K52" s="62">
        <f>_xlfn.XLOOKUP(TB_Vendas[[#This Row],[Vendedor]], Int_CodVendedor, Int_DescMax)</f>
        <v>0.1</v>
      </c>
      <c r="L52" s="62">
        <f>IF(TB_Vendas[[#This Row],[Desc. Diretão]] &gt; TB_Vendas[[#This Row],[Desc. Vend.]], TB_Vendas[[#This Row],[Desc. Vend.]], TB_Vendas[[#This Row],[Desc. Diretão]])</f>
        <v>0.1</v>
      </c>
      <c r="M52" s="8">
        <f>(TB_Vendas[[#This Row],[Preço Unitário]] - (TB_Vendas[[#This Row],[Preço Unitário]] * TB_Vendas[[#This Row],[Desconto Final]])) * TB_Vendas[[#This Row],[Qtd]]</f>
        <v>257.22000000000003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 TB_Produtos[Código], TB_Produtos[Categoria])</f>
        <v>Vestuário</v>
      </c>
      <c r="F53" s="1">
        <v>2</v>
      </c>
      <c r="G53" s="29">
        <f>_xlfn.XLOOKUP(TB_Vendas[[#This Row],[Código]], TB_Produtos[Código], TB_Produtos[Preço Unitário])</f>
        <v>180</v>
      </c>
      <c r="H53" s="94">
        <f>_xlfn.XMATCH(TB_Vendas[[#This Row],[Categoria]], Int_Categoria,0)</f>
        <v>3</v>
      </c>
      <c r="I53" s="62">
        <f>VLOOKUP(TB_Vendas[[#This Row],[Qtd]], TB_DESCONTO, TB_Vendas[[#This Row],[Indice]],1)</f>
        <v>0.15</v>
      </c>
      <c r="J53" s="62">
        <f>INDEX(TB_DESCONTO, MATCH(TB_Vendas[[#This Row],[Qtd]], Int_qtde,1), MATCH(_xlfn.XLOOKUP(TB_Vendas[[#This Row],[Código]], TB_Produtos[Código], TB_Produtos[Categoria]), Int_Categoria,0))</f>
        <v>0.15</v>
      </c>
      <c r="K53" s="62">
        <f>_xlfn.XLOOKUP(TB_Vendas[[#This Row],[Vendedor]], Int_CodVendedor, Int_DescMax)</f>
        <v>0.2</v>
      </c>
      <c r="L53" s="62">
        <f>IF(TB_Vendas[[#This Row],[Desc. Diretão]] &gt; TB_Vendas[[#This Row],[Desc. Vend.]], TB_Vendas[[#This Row],[Desc. Vend.]], TB_Vendas[[#This Row],[Desc. Diretão]])</f>
        <v>0.15</v>
      </c>
      <c r="M53" s="8">
        <f>(TB_Vendas[[#This Row],[Preço Unitário]] - (TB_Vendas[[#This Row],[Preço Unitário]] * TB_Vendas[[#This Row],[Desconto Final]])) * TB_Vendas[[#This Row],[Qtd]]</f>
        <v>306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 TB_Produtos[Código], TB_Produtos[Categoria])</f>
        <v>Vestuário</v>
      </c>
      <c r="F54" s="1">
        <v>2</v>
      </c>
      <c r="G54" s="29">
        <f>_xlfn.XLOOKUP(TB_Vendas[[#This Row],[Código]], TB_Produtos[Código], TB_Produtos[Preço Unitário])</f>
        <v>42.5</v>
      </c>
      <c r="H54" s="94">
        <f>_xlfn.XMATCH(TB_Vendas[[#This Row],[Categoria]], Int_Categoria,0)</f>
        <v>3</v>
      </c>
      <c r="I54" s="62">
        <f>VLOOKUP(TB_Vendas[[#This Row],[Qtd]], TB_DESCONTO, TB_Vendas[[#This Row],[Indice]],1)</f>
        <v>0.15</v>
      </c>
      <c r="J54" s="62">
        <f>INDEX(TB_DESCONTO, MATCH(TB_Vendas[[#This Row],[Qtd]], Int_qtde,1), MATCH(_xlfn.XLOOKUP(TB_Vendas[[#This Row],[Código]], TB_Produtos[Código], TB_Produtos[Categoria]), Int_Categoria,0))</f>
        <v>0.15</v>
      </c>
      <c r="K54" s="62">
        <f>_xlfn.XLOOKUP(TB_Vendas[[#This Row],[Vendedor]], Int_CodVendedor, Int_DescMax)</f>
        <v>0.1</v>
      </c>
      <c r="L54" s="62">
        <f>IF(TB_Vendas[[#This Row],[Desc. Diretão]] &gt; TB_Vendas[[#This Row],[Desc. Vend.]], TB_Vendas[[#This Row],[Desc. Vend.]], TB_Vendas[[#This Row],[Desc. Diretão]])</f>
        <v>0.1</v>
      </c>
      <c r="M54" s="8">
        <f>(TB_Vendas[[#This Row],[Preço Unitário]] - (TB_Vendas[[#This Row],[Preço Unitário]] * TB_Vendas[[#This Row],[Desconto Final]])) * TB_Vendas[[#This Row],[Qtd]]</f>
        <v>76.5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 TB_Produtos[Código], TB_Produtos[Categoria])</f>
        <v>Vestuário</v>
      </c>
      <c r="F55" s="1">
        <v>1</v>
      </c>
      <c r="G55" s="29">
        <f>_xlfn.XLOOKUP(TB_Vendas[[#This Row],[Código]], TB_Produtos[Código], TB_Produtos[Preço Unitário])</f>
        <v>65.900000000000006</v>
      </c>
      <c r="H55" s="94">
        <f>_xlfn.XMATCH(TB_Vendas[[#This Row],[Categoria]], Int_Categoria,0)</f>
        <v>3</v>
      </c>
      <c r="I55" s="62">
        <f>VLOOKUP(TB_Vendas[[#This Row],[Qtd]], TB_DESCONTO, TB_Vendas[[#This Row],[Indice]],1)</f>
        <v>0.1</v>
      </c>
      <c r="J55" s="62">
        <f>INDEX(TB_DESCONTO, MATCH(TB_Vendas[[#This Row],[Qtd]], Int_qtde,1), MATCH(_xlfn.XLOOKUP(TB_Vendas[[#This Row],[Código]], TB_Produtos[Código], TB_Produtos[Categoria]), Int_Categoria,0))</f>
        <v>0.1</v>
      </c>
      <c r="K55" s="62">
        <f>_xlfn.XLOOKUP(TB_Vendas[[#This Row],[Vendedor]], Int_CodVendedor, Int_DescMax)</f>
        <v>0.25</v>
      </c>
      <c r="L55" s="62">
        <f>IF(TB_Vendas[[#This Row],[Desc. Diretão]] &gt; TB_Vendas[[#This Row],[Desc. Vend.]], TB_Vendas[[#This Row],[Desc. Vend.]], TB_Vendas[[#This Row],[Desc. Diretão]])</f>
        <v>0.1</v>
      </c>
      <c r="M55" s="8">
        <f>(TB_Vendas[[#This Row],[Preço Unitário]] - (TB_Vendas[[#This Row],[Preço Unitário]] * TB_Vendas[[#This Row],[Desconto Final]])) * TB_Vendas[[#This Row],[Qtd]]</f>
        <v>59.31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 TB_Produtos[Código], TB_Produtos[Categoria])</f>
        <v>Vestuário</v>
      </c>
      <c r="F56" s="1">
        <v>1</v>
      </c>
      <c r="G56" s="29">
        <f>_xlfn.XLOOKUP(TB_Vendas[[#This Row],[Código]], TB_Produtos[Código], TB_Produtos[Preço Unitário])</f>
        <v>180</v>
      </c>
      <c r="H56" s="94">
        <f>_xlfn.XMATCH(TB_Vendas[[#This Row],[Categoria]], Int_Categoria,0)</f>
        <v>3</v>
      </c>
      <c r="I56" s="62">
        <f>VLOOKUP(TB_Vendas[[#This Row],[Qtd]], TB_DESCONTO, TB_Vendas[[#This Row],[Indice]],1)</f>
        <v>0.1</v>
      </c>
      <c r="J56" s="62">
        <f>INDEX(TB_DESCONTO, MATCH(TB_Vendas[[#This Row],[Qtd]], Int_qtde,1), MATCH(_xlfn.XLOOKUP(TB_Vendas[[#This Row],[Código]], TB_Produtos[Código], TB_Produtos[Categoria]), Int_Categoria,0))</f>
        <v>0.1</v>
      </c>
      <c r="K56" s="62">
        <f>_xlfn.XLOOKUP(TB_Vendas[[#This Row],[Vendedor]], Int_CodVendedor, Int_DescMax)</f>
        <v>0.1</v>
      </c>
      <c r="L56" s="62">
        <f>IF(TB_Vendas[[#This Row],[Desc. Diretão]] &gt; TB_Vendas[[#This Row],[Desc. Vend.]], TB_Vendas[[#This Row],[Desc. Vend.]], TB_Vendas[[#This Row],[Desc. Diretão]])</f>
        <v>0.1</v>
      </c>
      <c r="M56" s="8">
        <f>(TB_Vendas[[#This Row],[Preço Unitário]] - (TB_Vendas[[#This Row],[Preço Unitário]] * TB_Vendas[[#This Row],[Desconto Final]])) * TB_Vendas[[#This Row],[Qtd]]</f>
        <v>162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 TB_Produtos[Código], TB_Produtos[Categoria])</f>
        <v>Vestuário</v>
      </c>
      <c r="F57" s="1">
        <v>3</v>
      </c>
      <c r="G57" s="29">
        <f>_xlfn.XLOOKUP(TB_Vendas[[#This Row],[Código]], TB_Produtos[Código], TB_Produtos[Preço Unitário])</f>
        <v>32.9</v>
      </c>
      <c r="H57" s="94">
        <f>_xlfn.XMATCH(TB_Vendas[[#This Row],[Categoria]], Int_Categoria,0)</f>
        <v>3</v>
      </c>
      <c r="I57" s="62">
        <f>VLOOKUP(TB_Vendas[[#This Row],[Qtd]], TB_DESCONTO, TB_Vendas[[#This Row],[Indice]],1)</f>
        <v>0.2</v>
      </c>
      <c r="J57" s="62">
        <f>INDEX(TB_DESCONTO, MATCH(TB_Vendas[[#This Row],[Qtd]], Int_qtde,1), MATCH(_xlfn.XLOOKUP(TB_Vendas[[#This Row],[Código]], TB_Produtos[Código], TB_Produtos[Categoria]), Int_Categoria,0))</f>
        <v>0.2</v>
      </c>
      <c r="K57" s="62">
        <f>_xlfn.XLOOKUP(TB_Vendas[[#This Row],[Vendedor]], Int_CodVendedor, Int_DescMax)</f>
        <v>0.25</v>
      </c>
      <c r="L57" s="62">
        <f>IF(TB_Vendas[[#This Row],[Desc. Diretão]] &gt; TB_Vendas[[#This Row],[Desc. Vend.]], TB_Vendas[[#This Row],[Desc. Vend.]], TB_Vendas[[#This Row],[Desc. Diretão]])</f>
        <v>0.2</v>
      </c>
      <c r="M57" s="8">
        <f>(TB_Vendas[[#This Row],[Preço Unitário]] - (TB_Vendas[[#This Row],[Preço Unitário]] * TB_Vendas[[#This Row],[Desconto Final]])) * TB_Vendas[[#This Row],[Qtd]]</f>
        <v>78.960000000000008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 TB_Produtos[Código], TB_Produtos[Categoria])</f>
        <v>Vestuário</v>
      </c>
      <c r="F58" s="1">
        <v>4</v>
      </c>
      <c r="G58" s="29">
        <f>_xlfn.XLOOKUP(TB_Vendas[[#This Row],[Código]], TB_Produtos[Código], TB_Produtos[Preço Unitário])</f>
        <v>92.9</v>
      </c>
      <c r="H58" s="94">
        <f>_xlfn.XMATCH(TB_Vendas[[#This Row],[Categoria]], Int_Categoria,0)</f>
        <v>3</v>
      </c>
      <c r="I58" s="62">
        <f>VLOOKUP(TB_Vendas[[#This Row],[Qtd]], TB_DESCONTO, TB_Vendas[[#This Row],[Indice]],1)</f>
        <v>0.2</v>
      </c>
      <c r="J58" s="62">
        <f>INDEX(TB_DESCONTO, MATCH(TB_Vendas[[#This Row],[Qtd]], Int_qtde,1), MATCH(_xlfn.XLOOKUP(TB_Vendas[[#This Row],[Código]], TB_Produtos[Código], TB_Produtos[Categoria]), Int_Categoria,0))</f>
        <v>0.2</v>
      </c>
      <c r="K58" s="62">
        <f>_xlfn.XLOOKUP(TB_Vendas[[#This Row],[Vendedor]], Int_CodVendedor, Int_DescMax)</f>
        <v>0.2</v>
      </c>
      <c r="L58" s="62">
        <f>IF(TB_Vendas[[#This Row],[Desc. Diretão]] &gt; TB_Vendas[[#This Row],[Desc. Vend.]], TB_Vendas[[#This Row],[Desc. Vend.]], TB_Vendas[[#This Row],[Desc. Diretão]])</f>
        <v>0.2</v>
      </c>
      <c r="M58" s="8">
        <f>(TB_Vendas[[#This Row],[Preço Unitário]] - (TB_Vendas[[#This Row],[Preço Unitário]] * TB_Vendas[[#This Row],[Desconto Final]])) * TB_Vendas[[#This Row],[Qtd]]</f>
        <v>297.28000000000003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 TB_Produtos[Código], TB_Produtos[Categoria])</f>
        <v>Calçado</v>
      </c>
      <c r="F59" s="1">
        <v>2</v>
      </c>
      <c r="G59" s="29">
        <f>_xlfn.XLOOKUP(TB_Vendas[[#This Row],[Código]], TB_Produtos[Código], TB_Produtos[Preço Unitário])</f>
        <v>259.89999999999998</v>
      </c>
      <c r="H59" s="94">
        <f>_xlfn.XMATCH(TB_Vendas[[#This Row],[Categoria]], Int_Categoria,0)</f>
        <v>4</v>
      </c>
      <c r="I59" s="62">
        <f>VLOOKUP(TB_Vendas[[#This Row],[Qtd]], TB_DESCONTO, TB_Vendas[[#This Row],[Indice]],1)</f>
        <v>0.1</v>
      </c>
      <c r="J59" s="62">
        <f>INDEX(TB_DESCONTO, MATCH(TB_Vendas[[#This Row],[Qtd]], Int_qtde,1), MATCH(_xlfn.XLOOKUP(TB_Vendas[[#This Row],[Código]], TB_Produtos[Código], TB_Produtos[Categoria]), Int_Categoria,0))</f>
        <v>0.1</v>
      </c>
      <c r="K59" s="62">
        <f>_xlfn.XLOOKUP(TB_Vendas[[#This Row],[Vendedor]], Int_CodVendedor, Int_DescMax)</f>
        <v>0.1</v>
      </c>
      <c r="L59" s="62">
        <f>IF(TB_Vendas[[#This Row],[Desc. Diretão]] &gt; TB_Vendas[[#This Row],[Desc. Vend.]], TB_Vendas[[#This Row],[Desc. Vend.]], TB_Vendas[[#This Row],[Desc. Diretão]])</f>
        <v>0.1</v>
      </c>
      <c r="M59" s="8">
        <f>(TB_Vendas[[#This Row],[Preço Unitário]] - (TB_Vendas[[#This Row],[Preço Unitário]] * TB_Vendas[[#This Row],[Desconto Final]])) * TB_Vendas[[#This Row],[Qtd]]</f>
        <v>467.81999999999994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 TB_Produtos[Código], TB_Produtos[Categoria])</f>
        <v>Vestuário</v>
      </c>
      <c r="F60" s="1">
        <v>1</v>
      </c>
      <c r="G60" s="29">
        <f>_xlfn.XLOOKUP(TB_Vendas[[#This Row],[Código]], TB_Produtos[Código], TB_Produtos[Preço Unitário])</f>
        <v>259.89999999999998</v>
      </c>
      <c r="H60" s="94">
        <f>_xlfn.XMATCH(TB_Vendas[[#This Row],[Categoria]], Int_Categoria,0)</f>
        <v>3</v>
      </c>
      <c r="I60" s="62">
        <f>VLOOKUP(TB_Vendas[[#This Row],[Qtd]], TB_DESCONTO, TB_Vendas[[#This Row],[Indice]],1)</f>
        <v>0.1</v>
      </c>
      <c r="J60" s="62">
        <f>INDEX(TB_DESCONTO, MATCH(TB_Vendas[[#This Row],[Qtd]], Int_qtde,1), MATCH(_xlfn.XLOOKUP(TB_Vendas[[#This Row],[Código]], TB_Produtos[Código], TB_Produtos[Categoria]), Int_Categoria,0))</f>
        <v>0.1</v>
      </c>
      <c r="K60" s="62">
        <f>_xlfn.XLOOKUP(TB_Vendas[[#This Row],[Vendedor]], Int_CodVendedor, Int_DescMax)</f>
        <v>0.15</v>
      </c>
      <c r="L60" s="62">
        <f>IF(TB_Vendas[[#This Row],[Desc. Diretão]] &gt; TB_Vendas[[#This Row],[Desc. Vend.]], TB_Vendas[[#This Row],[Desc. Vend.]], TB_Vendas[[#This Row],[Desc. Diretão]])</f>
        <v>0.1</v>
      </c>
      <c r="M60" s="8">
        <f>(TB_Vendas[[#This Row],[Preço Unitário]] - (TB_Vendas[[#This Row],[Preço Unitário]] * TB_Vendas[[#This Row],[Desconto Final]])) * TB_Vendas[[#This Row],[Qtd]]</f>
        <v>233.90999999999997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 TB_Produtos[Código], TB_Produtos[Categoria])</f>
        <v>Vestuário</v>
      </c>
      <c r="F61" s="1">
        <v>5</v>
      </c>
      <c r="G61" s="29">
        <f>_xlfn.XLOOKUP(TB_Vendas[[#This Row],[Código]], TB_Produtos[Código], TB_Produtos[Preço Unitário])</f>
        <v>42.5</v>
      </c>
      <c r="H61" s="94">
        <f>_xlfn.XMATCH(TB_Vendas[[#This Row],[Categoria]], Int_Categoria,0)</f>
        <v>3</v>
      </c>
      <c r="I61" s="62">
        <f>VLOOKUP(TB_Vendas[[#This Row],[Qtd]], TB_DESCONTO, TB_Vendas[[#This Row],[Indice]],1)</f>
        <v>0.25</v>
      </c>
      <c r="J61" s="62">
        <f>INDEX(TB_DESCONTO, MATCH(TB_Vendas[[#This Row],[Qtd]], Int_qtde,1), MATCH(_xlfn.XLOOKUP(TB_Vendas[[#This Row],[Código]], TB_Produtos[Código], TB_Produtos[Categoria]), Int_Categoria,0))</f>
        <v>0.25</v>
      </c>
      <c r="K61" s="62">
        <f>_xlfn.XLOOKUP(TB_Vendas[[#This Row],[Vendedor]], Int_CodVendedor, Int_DescMax)</f>
        <v>0.15</v>
      </c>
      <c r="L61" s="62">
        <f>IF(TB_Vendas[[#This Row],[Desc. Diretão]] &gt; TB_Vendas[[#This Row],[Desc. Vend.]], TB_Vendas[[#This Row],[Desc. Vend.]], TB_Vendas[[#This Row],[Desc. Diretão]])</f>
        <v>0.15</v>
      </c>
      <c r="M61" s="8">
        <f>(TB_Vendas[[#This Row],[Preço Unitário]] - (TB_Vendas[[#This Row],[Preço Unitário]] * TB_Vendas[[#This Row],[Desconto Final]])) * TB_Vendas[[#This Row],[Qtd]]</f>
        <v>180.625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 TB_Produtos[Código], TB_Produtos[Categoria])</f>
        <v>Vestuário</v>
      </c>
      <c r="F62" s="1">
        <v>2</v>
      </c>
      <c r="G62" s="29">
        <f>_xlfn.XLOOKUP(TB_Vendas[[#This Row],[Código]], TB_Produtos[Código], TB_Produtos[Preço Unitário])</f>
        <v>32.9</v>
      </c>
      <c r="H62" s="94">
        <f>_xlfn.XMATCH(TB_Vendas[[#This Row],[Categoria]], Int_Categoria,0)</f>
        <v>3</v>
      </c>
      <c r="I62" s="62">
        <f>VLOOKUP(TB_Vendas[[#This Row],[Qtd]], TB_DESCONTO, TB_Vendas[[#This Row],[Indice]],1)</f>
        <v>0.15</v>
      </c>
      <c r="J62" s="62">
        <f>INDEX(TB_DESCONTO, MATCH(TB_Vendas[[#This Row],[Qtd]], Int_qtde,1), MATCH(_xlfn.XLOOKUP(TB_Vendas[[#This Row],[Código]], TB_Produtos[Código], TB_Produtos[Categoria]), Int_Categoria,0))</f>
        <v>0.15</v>
      </c>
      <c r="K62" s="62">
        <f>_xlfn.XLOOKUP(TB_Vendas[[#This Row],[Vendedor]], Int_CodVendedor, Int_DescMax)</f>
        <v>0.15</v>
      </c>
      <c r="L62" s="62">
        <f>IF(TB_Vendas[[#This Row],[Desc. Diretão]] &gt; TB_Vendas[[#This Row],[Desc. Vend.]], TB_Vendas[[#This Row],[Desc. Vend.]], TB_Vendas[[#This Row],[Desc. Diretão]])</f>
        <v>0.15</v>
      </c>
      <c r="M62" s="8">
        <f>(TB_Vendas[[#This Row],[Preço Unitário]] - (TB_Vendas[[#This Row],[Preço Unitário]] * TB_Vendas[[#This Row],[Desconto Final]])) * TB_Vendas[[#This Row],[Qtd]]</f>
        <v>55.93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 TB_Produtos[Código], TB_Produtos[Categoria])</f>
        <v>Vestuário</v>
      </c>
      <c r="F63" s="1">
        <v>3</v>
      </c>
      <c r="G63" s="29">
        <f>_xlfn.XLOOKUP(TB_Vendas[[#This Row],[Código]], TB_Produtos[Código], TB_Produtos[Preço Unitário])</f>
        <v>92.9</v>
      </c>
      <c r="H63" s="94">
        <f>_xlfn.XMATCH(TB_Vendas[[#This Row],[Categoria]], Int_Categoria,0)</f>
        <v>3</v>
      </c>
      <c r="I63" s="62">
        <f>VLOOKUP(TB_Vendas[[#This Row],[Qtd]], TB_DESCONTO, TB_Vendas[[#This Row],[Indice]],1)</f>
        <v>0.2</v>
      </c>
      <c r="J63" s="62">
        <f>INDEX(TB_DESCONTO, MATCH(TB_Vendas[[#This Row],[Qtd]], Int_qtde,1), MATCH(_xlfn.XLOOKUP(TB_Vendas[[#This Row],[Código]], TB_Produtos[Código], TB_Produtos[Categoria]), Int_Categoria,0))</f>
        <v>0.2</v>
      </c>
      <c r="K63" s="62">
        <f>_xlfn.XLOOKUP(TB_Vendas[[#This Row],[Vendedor]], Int_CodVendedor, Int_DescMax)</f>
        <v>0.2</v>
      </c>
      <c r="L63" s="62">
        <f>IF(TB_Vendas[[#This Row],[Desc. Diretão]] &gt; TB_Vendas[[#This Row],[Desc. Vend.]], TB_Vendas[[#This Row],[Desc. Vend.]], TB_Vendas[[#This Row],[Desc. Diretão]])</f>
        <v>0.2</v>
      </c>
      <c r="M63" s="8">
        <f>(TB_Vendas[[#This Row],[Preço Unitário]] - (TB_Vendas[[#This Row],[Preço Unitário]] * TB_Vendas[[#This Row],[Desconto Final]])) * TB_Vendas[[#This Row],[Qtd]]</f>
        <v>222.96000000000004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 TB_Produtos[Código], TB_Produtos[Categoria])</f>
        <v>Vestuário</v>
      </c>
      <c r="F64" s="1">
        <v>10</v>
      </c>
      <c r="G64" s="29">
        <f>_xlfn.XLOOKUP(TB_Vendas[[#This Row],[Código]], TB_Produtos[Código], TB_Produtos[Preço Unitário])</f>
        <v>25.9</v>
      </c>
      <c r="H64" s="94">
        <f>_xlfn.XMATCH(TB_Vendas[[#This Row],[Categoria]], Int_Categoria,0)</f>
        <v>3</v>
      </c>
      <c r="I64" s="62">
        <f>VLOOKUP(TB_Vendas[[#This Row],[Qtd]], TB_DESCONTO, TB_Vendas[[#This Row],[Indice]],1)</f>
        <v>0.3</v>
      </c>
      <c r="J64" s="62">
        <f>INDEX(TB_DESCONTO, MATCH(TB_Vendas[[#This Row],[Qtd]], Int_qtde,1), MATCH(_xlfn.XLOOKUP(TB_Vendas[[#This Row],[Código]], TB_Produtos[Código], TB_Produtos[Categoria]), Int_Categoria,0))</f>
        <v>0.3</v>
      </c>
      <c r="K64" s="62">
        <f>_xlfn.XLOOKUP(TB_Vendas[[#This Row],[Vendedor]], Int_CodVendedor, Int_DescMax)</f>
        <v>0.2</v>
      </c>
      <c r="L64" s="62">
        <f>IF(TB_Vendas[[#This Row],[Desc. Diretão]] &gt; TB_Vendas[[#This Row],[Desc. Vend.]], TB_Vendas[[#This Row],[Desc. Vend.]], TB_Vendas[[#This Row],[Desc. Diretão]])</f>
        <v>0.2</v>
      </c>
      <c r="M64" s="8">
        <f>(TB_Vendas[[#This Row],[Preço Unitário]] - (TB_Vendas[[#This Row],[Preço Unitário]] * TB_Vendas[[#This Row],[Desconto Final]])) * TB_Vendas[[#This Row],[Qtd]]</f>
        <v>207.2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 TB_Produtos[Código], TB_Produtos[Categoria])</f>
        <v>Vestuário</v>
      </c>
      <c r="F65" s="1">
        <v>1</v>
      </c>
      <c r="G65" s="29">
        <f>_xlfn.XLOOKUP(TB_Vendas[[#This Row],[Código]], TB_Produtos[Código], TB_Produtos[Preço Unitário])</f>
        <v>72.5</v>
      </c>
      <c r="H65" s="94">
        <f>_xlfn.XMATCH(TB_Vendas[[#This Row],[Categoria]], Int_Categoria,0)</f>
        <v>3</v>
      </c>
      <c r="I65" s="62">
        <f>VLOOKUP(TB_Vendas[[#This Row],[Qtd]], TB_DESCONTO, TB_Vendas[[#This Row],[Indice]],1)</f>
        <v>0.1</v>
      </c>
      <c r="J65" s="62">
        <f>INDEX(TB_DESCONTO, MATCH(TB_Vendas[[#This Row],[Qtd]], Int_qtde,1), MATCH(_xlfn.XLOOKUP(TB_Vendas[[#This Row],[Código]], TB_Produtos[Código], TB_Produtos[Categoria]), Int_Categoria,0))</f>
        <v>0.1</v>
      </c>
      <c r="K65" s="62">
        <f>_xlfn.XLOOKUP(TB_Vendas[[#This Row],[Vendedor]], Int_CodVendedor, Int_DescMax)</f>
        <v>0.25</v>
      </c>
      <c r="L65" s="62">
        <f>IF(TB_Vendas[[#This Row],[Desc. Diretão]] &gt; TB_Vendas[[#This Row],[Desc. Vend.]], TB_Vendas[[#This Row],[Desc. Vend.]], TB_Vendas[[#This Row],[Desc. Diretão]])</f>
        <v>0.1</v>
      </c>
      <c r="M65" s="8">
        <f>(TB_Vendas[[#This Row],[Preço Unitário]] - (TB_Vendas[[#This Row],[Preço Unitário]] * TB_Vendas[[#This Row],[Desconto Final]])) * TB_Vendas[[#This Row],[Qtd]]</f>
        <v>65.25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 TB_Produtos[Código], TB_Produtos[Categoria])</f>
        <v>Vestuário</v>
      </c>
      <c r="F66" s="1">
        <v>4</v>
      </c>
      <c r="G66" s="29">
        <f>_xlfn.XLOOKUP(TB_Vendas[[#This Row],[Código]], TB_Produtos[Código], TB_Produtos[Preço Unitário])</f>
        <v>302.89999999999998</v>
      </c>
      <c r="H66" s="94">
        <f>_xlfn.XMATCH(TB_Vendas[[#This Row],[Categoria]], Int_Categoria,0)</f>
        <v>3</v>
      </c>
      <c r="I66" s="62">
        <f>VLOOKUP(TB_Vendas[[#This Row],[Qtd]], TB_DESCONTO, TB_Vendas[[#This Row],[Indice]],1)</f>
        <v>0.2</v>
      </c>
      <c r="J66" s="62">
        <f>INDEX(TB_DESCONTO, MATCH(TB_Vendas[[#This Row],[Qtd]], Int_qtde,1), MATCH(_xlfn.XLOOKUP(TB_Vendas[[#This Row],[Código]], TB_Produtos[Código], TB_Produtos[Categoria]), Int_Categoria,0))</f>
        <v>0.2</v>
      </c>
      <c r="K66" s="62">
        <f>_xlfn.XLOOKUP(TB_Vendas[[#This Row],[Vendedor]], Int_CodVendedor, Int_DescMax)</f>
        <v>0.15</v>
      </c>
      <c r="L66" s="62">
        <f>IF(TB_Vendas[[#This Row],[Desc. Diretão]] &gt; TB_Vendas[[#This Row],[Desc. Vend.]], TB_Vendas[[#This Row],[Desc. Vend.]], TB_Vendas[[#This Row],[Desc. Diretão]])</f>
        <v>0.15</v>
      </c>
      <c r="M66" s="8">
        <f>(TB_Vendas[[#This Row],[Preço Unitário]] - (TB_Vendas[[#This Row],[Preço Unitário]] * TB_Vendas[[#This Row],[Desconto Final]])) * TB_Vendas[[#This Row],[Qtd]]</f>
        <v>1029.8599999999999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 TB_Produtos[Código], TB_Produtos[Categoria])</f>
        <v>Vestuário</v>
      </c>
      <c r="F67" s="1">
        <v>8</v>
      </c>
      <c r="G67" s="29">
        <f>_xlfn.XLOOKUP(TB_Vendas[[#This Row],[Código]], TB_Produtos[Código], TB_Produtos[Preço Unitário])</f>
        <v>289.89999999999998</v>
      </c>
      <c r="H67" s="94">
        <f>_xlfn.XMATCH(TB_Vendas[[#This Row],[Categoria]], Int_Categoria,0)</f>
        <v>3</v>
      </c>
      <c r="I67" s="62">
        <f>VLOOKUP(TB_Vendas[[#This Row],[Qtd]], TB_DESCONTO, TB_Vendas[[#This Row],[Indice]],1)</f>
        <v>0.25</v>
      </c>
      <c r="J67" s="62">
        <f>INDEX(TB_DESCONTO, MATCH(TB_Vendas[[#This Row],[Qtd]], Int_qtde,1), MATCH(_xlfn.XLOOKUP(TB_Vendas[[#This Row],[Código]], TB_Produtos[Código], TB_Produtos[Categoria]), Int_Categoria,0))</f>
        <v>0.25</v>
      </c>
      <c r="K67" s="62">
        <f>_xlfn.XLOOKUP(TB_Vendas[[#This Row],[Vendedor]], Int_CodVendedor, Int_DescMax)</f>
        <v>0.2</v>
      </c>
      <c r="L67" s="62">
        <f>IF(TB_Vendas[[#This Row],[Desc. Diretão]] &gt; TB_Vendas[[#This Row],[Desc. Vend.]], TB_Vendas[[#This Row],[Desc. Vend.]], TB_Vendas[[#This Row],[Desc. Diretão]])</f>
        <v>0.2</v>
      </c>
      <c r="M67" s="8">
        <f>(TB_Vendas[[#This Row],[Preço Unitário]] - (TB_Vendas[[#This Row],[Preço Unitário]] * TB_Vendas[[#This Row],[Desconto Final]])) * TB_Vendas[[#This Row],[Qtd]]</f>
        <v>1855.36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 TB_Produtos[Código], TB_Produtos[Categoria])</f>
        <v>Vestuário</v>
      </c>
      <c r="F68" s="1">
        <v>2</v>
      </c>
      <c r="G68" s="29">
        <f>_xlfn.XLOOKUP(TB_Vendas[[#This Row],[Código]], TB_Produtos[Código], TB_Produtos[Preço Unitário])</f>
        <v>54.9</v>
      </c>
      <c r="H68" s="94">
        <f>_xlfn.XMATCH(TB_Vendas[[#This Row],[Categoria]], Int_Categoria,0)</f>
        <v>3</v>
      </c>
      <c r="I68" s="62">
        <f>VLOOKUP(TB_Vendas[[#This Row],[Qtd]], TB_DESCONTO, TB_Vendas[[#This Row],[Indice]],1)</f>
        <v>0.15</v>
      </c>
      <c r="J68" s="62">
        <f>INDEX(TB_DESCONTO, MATCH(TB_Vendas[[#This Row],[Qtd]], Int_qtde,1), MATCH(_xlfn.XLOOKUP(TB_Vendas[[#This Row],[Código]], TB_Produtos[Código], TB_Produtos[Categoria]), Int_Categoria,0))</f>
        <v>0.15</v>
      </c>
      <c r="K68" s="62">
        <f>_xlfn.XLOOKUP(TB_Vendas[[#This Row],[Vendedor]], Int_CodVendedor, Int_DescMax)</f>
        <v>0.2</v>
      </c>
      <c r="L68" s="62">
        <f>IF(TB_Vendas[[#This Row],[Desc. Diretão]] &gt; TB_Vendas[[#This Row],[Desc. Vend.]], TB_Vendas[[#This Row],[Desc. Vend.]], TB_Vendas[[#This Row],[Desc. Diretão]])</f>
        <v>0.15</v>
      </c>
      <c r="M68" s="8">
        <f>(TB_Vendas[[#This Row],[Preço Unitário]] - (TB_Vendas[[#This Row],[Preço Unitário]] * TB_Vendas[[#This Row],[Desconto Final]])) * TB_Vendas[[#This Row],[Qtd]]</f>
        <v>93.33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 TB_Produtos[Código], TB_Produtos[Categoria])</f>
        <v>Vestuário</v>
      </c>
      <c r="F69" s="1">
        <v>2</v>
      </c>
      <c r="G69" s="29">
        <f>_xlfn.XLOOKUP(TB_Vendas[[#This Row],[Código]], TB_Produtos[Código], TB_Produtos[Preço Unitário])</f>
        <v>39.9</v>
      </c>
      <c r="H69" s="94">
        <f>_xlfn.XMATCH(TB_Vendas[[#This Row],[Categoria]], Int_Categoria,0)</f>
        <v>3</v>
      </c>
      <c r="I69" s="62">
        <f>VLOOKUP(TB_Vendas[[#This Row],[Qtd]], TB_DESCONTO, TB_Vendas[[#This Row],[Indice]],1)</f>
        <v>0.15</v>
      </c>
      <c r="J69" s="62">
        <f>INDEX(TB_DESCONTO, MATCH(TB_Vendas[[#This Row],[Qtd]], Int_qtde,1), MATCH(_xlfn.XLOOKUP(TB_Vendas[[#This Row],[Código]], TB_Produtos[Código], TB_Produtos[Categoria]), Int_Categoria,0))</f>
        <v>0.15</v>
      </c>
      <c r="K69" s="62">
        <f>_xlfn.XLOOKUP(TB_Vendas[[#This Row],[Vendedor]], Int_CodVendedor, Int_DescMax)</f>
        <v>0.15</v>
      </c>
      <c r="L69" s="62">
        <f>IF(TB_Vendas[[#This Row],[Desc. Diretão]] &gt; TB_Vendas[[#This Row],[Desc. Vend.]], TB_Vendas[[#This Row],[Desc. Vend.]], TB_Vendas[[#This Row],[Desc. Diretão]])</f>
        <v>0.15</v>
      </c>
      <c r="M69" s="8">
        <f>(TB_Vendas[[#This Row],[Preço Unitário]] - (TB_Vendas[[#This Row],[Preço Unitário]] * TB_Vendas[[#This Row],[Desconto Final]])) * TB_Vendas[[#This Row],[Qtd]]</f>
        <v>67.83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 TB_Produtos[Código], TB_Produtos[Categoria])</f>
        <v>Vestuário</v>
      </c>
      <c r="F70" s="1">
        <v>7</v>
      </c>
      <c r="G70" s="29">
        <f>_xlfn.XLOOKUP(TB_Vendas[[#This Row],[Código]], TB_Produtos[Código], TB_Produtos[Preço Unitário])</f>
        <v>54.9</v>
      </c>
      <c r="H70" s="94">
        <f>_xlfn.XMATCH(TB_Vendas[[#This Row],[Categoria]], Int_Categoria,0)</f>
        <v>3</v>
      </c>
      <c r="I70" s="62">
        <f>VLOOKUP(TB_Vendas[[#This Row],[Qtd]], TB_DESCONTO, TB_Vendas[[#This Row],[Indice]],1)</f>
        <v>0.25</v>
      </c>
      <c r="J70" s="62">
        <f>INDEX(TB_DESCONTO, MATCH(TB_Vendas[[#This Row],[Qtd]], Int_qtde,1), MATCH(_xlfn.XLOOKUP(TB_Vendas[[#This Row],[Código]], TB_Produtos[Código], TB_Produtos[Categoria]), Int_Categoria,0))</f>
        <v>0.25</v>
      </c>
      <c r="K70" s="62">
        <f>_xlfn.XLOOKUP(TB_Vendas[[#This Row],[Vendedor]], Int_CodVendedor, Int_DescMax)</f>
        <v>0.2</v>
      </c>
      <c r="L70" s="62">
        <f>IF(TB_Vendas[[#This Row],[Desc. Diretão]] &gt; TB_Vendas[[#This Row],[Desc. Vend.]], TB_Vendas[[#This Row],[Desc. Vend.]], TB_Vendas[[#This Row],[Desc. Diretão]])</f>
        <v>0.2</v>
      </c>
      <c r="M70" s="8">
        <f>(TB_Vendas[[#This Row],[Preço Unitário]] - (TB_Vendas[[#This Row],[Preço Unitário]] * TB_Vendas[[#This Row],[Desconto Final]])) * TB_Vendas[[#This Row],[Qtd]]</f>
        <v>307.44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 TB_Produtos[Código], TB_Produtos[Categoria])</f>
        <v>Vestuário</v>
      </c>
      <c r="F71" s="1">
        <v>4</v>
      </c>
      <c r="G71" s="29">
        <f>_xlfn.XLOOKUP(TB_Vendas[[#This Row],[Código]], TB_Produtos[Código], TB_Produtos[Preço Unitário])</f>
        <v>299.89999999999998</v>
      </c>
      <c r="H71" s="94">
        <f>_xlfn.XMATCH(TB_Vendas[[#This Row],[Categoria]], Int_Categoria,0)</f>
        <v>3</v>
      </c>
      <c r="I71" s="62">
        <f>VLOOKUP(TB_Vendas[[#This Row],[Qtd]], TB_DESCONTO, TB_Vendas[[#This Row],[Indice]],1)</f>
        <v>0.2</v>
      </c>
      <c r="J71" s="62">
        <f>INDEX(TB_DESCONTO, MATCH(TB_Vendas[[#This Row],[Qtd]], Int_qtde,1), MATCH(_xlfn.XLOOKUP(TB_Vendas[[#This Row],[Código]], TB_Produtos[Código], TB_Produtos[Categoria]), Int_Categoria,0))</f>
        <v>0.2</v>
      </c>
      <c r="K71" s="62">
        <f>_xlfn.XLOOKUP(TB_Vendas[[#This Row],[Vendedor]], Int_CodVendedor, Int_DescMax)</f>
        <v>0.15</v>
      </c>
      <c r="L71" s="62">
        <f>IF(TB_Vendas[[#This Row],[Desc. Diretão]] &gt; TB_Vendas[[#This Row],[Desc. Vend.]], TB_Vendas[[#This Row],[Desc. Vend.]], TB_Vendas[[#This Row],[Desc. Diretão]])</f>
        <v>0.15</v>
      </c>
      <c r="M71" s="8">
        <f>(TB_Vendas[[#This Row],[Preço Unitário]] - (TB_Vendas[[#This Row],[Preço Unitário]] * TB_Vendas[[#This Row],[Desconto Final]])) * TB_Vendas[[#This Row],[Qtd]]</f>
        <v>1019.66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 TB_Produtos[Código], TB_Produtos[Categoria])</f>
        <v>Vestuário</v>
      </c>
      <c r="F72" s="1">
        <v>3</v>
      </c>
      <c r="G72" s="29">
        <f>_xlfn.XLOOKUP(TB_Vendas[[#This Row],[Código]], TB_Produtos[Código], TB_Produtos[Preço Unitário])</f>
        <v>259.89999999999998</v>
      </c>
      <c r="H72" s="94">
        <f>_xlfn.XMATCH(TB_Vendas[[#This Row],[Categoria]], Int_Categoria,0)</f>
        <v>3</v>
      </c>
      <c r="I72" s="62">
        <f>VLOOKUP(TB_Vendas[[#This Row],[Qtd]], TB_DESCONTO, TB_Vendas[[#This Row],[Indice]],1)</f>
        <v>0.2</v>
      </c>
      <c r="J72" s="62">
        <f>INDEX(TB_DESCONTO, MATCH(TB_Vendas[[#This Row],[Qtd]], Int_qtde,1), MATCH(_xlfn.XLOOKUP(TB_Vendas[[#This Row],[Código]], TB_Produtos[Código], TB_Produtos[Categoria]), Int_Categoria,0))</f>
        <v>0.2</v>
      </c>
      <c r="K72" s="62">
        <f>_xlfn.XLOOKUP(TB_Vendas[[#This Row],[Vendedor]], Int_CodVendedor, Int_DescMax)</f>
        <v>0.2</v>
      </c>
      <c r="L72" s="62">
        <f>IF(TB_Vendas[[#This Row],[Desc. Diretão]] &gt; TB_Vendas[[#This Row],[Desc. Vend.]], TB_Vendas[[#This Row],[Desc. Vend.]], TB_Vendas[[#This Row],[Desc. Diretão]])</f>
        <v>0.2</v>
      </c>
      <c r="M72" s="8">
        <f>(TB_Vendas[[#This Row],[Preço Unitário]] - (TB_Vendas[[#This Row],[Preço Unitário]] * TB_Vendas[[#This Row],[Desconto Final]])) * TB_Vendas[[#This Row],[Qtd]]</f>
        <v>623.76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 TB_Produtos[Código], TB_Produtos[Categoria])</f>
        <v>Vestuário</v>
      </c>
      <c r="F73" s="1">
        <v>9</v>
      </c>
      <c r="G73" s="29">
        <f>_xlfn.XLOOKUP(TB_Vendas[[#This Row],[Código]], TB_Produtos[Código], TB_Produtos[Preço Unitário])</f>
        <v>72.5</v>
      </c>
      <c r="H73" s="94">
        <f>_xlfn.XMATCH(TB_Vendas[[#This Row],[Categoria]], Int_Categoria,0)</f>
        <v>3</v>
      </c>
      <c r="I73" s="62">
        <f>VLOOKUP(TB_Vendas[[#This Row],[Qtd]], TB_DESCONTO, TB_Vendas[[#This Row],[Indice]],1)</f>
        <v>0.25</v>
      </c>
      <c r="J73" s="62">
        <f>INDEX(TB_DESCONTO, MATCH(TB_Vendas[[#This Row],[Qtd]], Int_qtde,1), MATCH(_xlfn.XLOOKUP(TB_Vendas[[#This Row],[Código]], TB_Produtos[Código], TB_Produtos[Categoria]), Int_Categoria,0))</f>
        <v>0.25</v>
      </c>
      <c r="K73" s="62">
        <f>_xlfn.XLOOKUP(TB_Vendas[[#This Row],[Vendedor]], Int_CodVendedor, Int_DescMax)</f>
        <v>0.1</v>
      </c>
      <c r="L73" s="62">
        <f>IF(TB_Vendas[[#This Row],[Desc. Diretão]] &gt; TB_Vendas[[#This Row],[Desc. Vend.]], TB_Vendas[[#This Row],[Desc. Vend.]], TB_Vendas[[#This Row],[Desc. Diretão]])</f>
        <v>0.1</v>
      </c>
      <c r="M73" s="8">
        <f>(TB_Vendas[[#This Row],[Preço Unitário]] - (TB_Vendas[[#This Row],[Preço Unitário]] * TB_Vendas[[#This Row],[Desconto Final]])) * TB_Vendas[[#This Row],[Qtd]]</f>
        <v>587.25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 TB_Produtos[Código], TB_Produtos[Categoria])</f>
        <v>Vestuário</v>
      </c>
      <c r="F74" s="1">
        <v>4</v>
      </c>
      <c r="G74" s="29">
        <f>_xlfn.XLOOKUP(TB_Vendas[[#This Row],[Código]], TB_Produtos[Código], TB_Produtos[Preço Unitário])</f>
        <v>300</v>
      </c>
      <c r="H74" s="94">
        <f>_xlfn.XMATCH(TB_Vendas[[#This Row],[Categoria]], Int_Categoria,0)</f>
        <v>3</v>
      </c>
      <c r="I74" s="62">
        <f>VLOOKUP(TB_Vendas[[#This Row],[Qtd]], TB_DESCONTO, TB_Vendas[[#This Row],[Indice]],1)</f>
        <v>0.2</v>
      </c>
      <c r="J74" s="62">
        <f>INDEX(TB_DESCONTO, MATCH(TB_Vendas[[#This Row],[Qtd]], Int_qtde,1), MATCH(_xlfn.XLOOKUP(TB_Vendas[[#This Row],[Código]], TB_Produtos[Código], TB_Produtos[Categoria]), Int_Categoria,0))</f>
        <v>0.2</v>
      </c>
      <c r="K74" s="62">
        <f>_xlfn.XLOOKUP(TB_Vendas[[#This Row],[Vendedor]], Int_CodVendedor, Int_DescMax)</f>
        <v>0.15</v>
      </c>
      <c r="L74" s="62">
        <f>IF(TB_Vendas[[#This Row],[Desc. Diretão]] &gt; TB_Vendas[[#This Row],[Desc. Vend.]], TB_Vendas[[#This Row],[Desc. Vend.]], TB_Vendas[[#This Row],[Desc. Diretão]])</f>
        <v>0.15</v>
      </c>
      <c r="M74" s="8">
        <f>(TB_Vendas[[#This Row],[Preço Unitário]] - (TB_Vendas[[#This Row],[Preço Unitário]] * TB_Vendas[[#This Row],[Desconto Final]])) * TB_Vendas[[#This Row],[Qtd]]</f>
        <v>1020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 TB_Produtos[Código], TB_Produtos[Categoria])</f>
        <v>Vestuário</v>
      </c>
      <c r="F75" s="1">
        <v>9</v>
      </c>
      <c r="G75" s="29">
        <f>_xlfn.XLOOKUP(TB_Vendas[[#This Row],[Código]], TB_Produtos[Código], TB_Produtos[Preço Unitário])</f>
        <v>65.900000000000006</v>
      </c>
      <c r="H75" s="94">
        <f>_xlfn.XMATCH(TB_Vendas[[#This Row],[Categoria]], Int_Categoria,0)</f>
        <v>3</v>
      </c>
      <c r="I75" s="62">
        <f>VLOOKUP(TB_Vendas[[#This Row],[Qtd]], TB_DESCONTO, TB_Vendas[[#This Row],[Indice]],1)</f>
        <v>0.25</v>
      </c>
      <c r="J75" s="62">
        <f>INDEX(TB_DESCONTO, MATCH(TB_Vendas[[#This Row],[Qtd]], Int_qtde,1), MATCH(_xlfn.XLOOKUP(TB_Vendas[[#This Row],[Código]], TB_Produtos[Código], TB_Produtos[Categoria]), Int_Categoria,0))</f>
        <v>0.25</v>
      </c>
      <c r="K75" s="62">
        <f>_xlfn.XLOOKUP(TB_Vendas[[#This Row],[Vendedor]], Int_CodVendedor, Int_DescMax)</f>
        <v>0.15</v>
      </c>
      <c r="L75" s="62">
        <f>IF(TB_Vendas[[#This Row],[Desc. Diretão]] &gt; TB_Vendas[[#This Row],[Desc. Vend.]], TB_Vendas[[#This Row],[Desc. Vend.]], TB_Vendas[[#This Row],[Desc. Diretão]])</f>
        <v>0.15</v>
      </c>
      <c r="M75" s="8">
        <f>(TB_Vendas[[#This Row],[Preço Unitário]] - (TB_Vendas[[#This Row],[Preço Unitário]] * TB_Vendas[[#This Row],[Desconto Final]])) * TB_Vendas[[#This Row],[Qtd]]</f>
        <v>504.13500000000005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 TB_Produtos[Código], TB_Produtos[Categoria])</f>
        <v>Vestuário</v>
      </c>
      <c r="F76" s="1">
        <v>10</v>
      </c>
      <c r="G76" s="29">
        <f>_xlfn.XLOOKUP(TB_Vendas[[#This Row],[Código]], TB_Produtos[Código], TB_Produtos[Preço Unitário])</f>
        <v>92.9</v>
      </c>
      <c r="H76" s="94">
        <f>_xlfn.XMATCH(TB_Vendas[[#This Row],[Categoria]], Int_Categoria,0)</f>
        <v>3</v>
      </c>
      <c r="I76" s="62">
        <f>VLOOKUP(TB_Vendas[[#This Row],[Qtd]], TB_DESCONTO, TB_Vendas[[#This Row],[Indice]],1)</f>
        <v>0.3</v>
      </c>
      <c r="J76" s="62">
        <f>INDEX(TB_DESCONTO, MATCH(TB_Vendas[[#This Row],[Qtd]], Int_qtde,1), MATCH(_xlfn.XLOOKUP(TB_Vendas[[#This Row],[Código]], TB_Produtos[Código], TB_Produtos[Categoria]), Int_Categoria,0))</f>
        <v>0.3</v>
      </c>
      <c r="K76" s="62">
        <f>_xlfn.XLOOKUP(TB_Vendas[[#This Row],[Vendedor]], Int_CodVendedor, Int_DescMax)</f>
        <v>0.15</v>
      </c>
      <c r="L76" s="62">
        <f>IF(TB_Vendas[[#This Row],[Desc. Diretão]] &gt; TB_Vendas[[#This Row],[Desc. Vend.]], TB_Vendas[[#This Row],[Desc. Vend.]], TB_Vendas[[#This Row],[Desc. Diretão]])</f>
        <v>0.15</v>
      </c>
      <c r="M76" s="8">
        <f>(TB_Vendas[[#This Row],[Preço Unitário]] - (TB_Vendas[[#This Row],[Preço Unitário]] * TB_Vendas[[#This Row],[Desconto Final]])) * TB_Vendas[[#This Row],[Qtd]]</f>
        <v>789.65000000000009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 TB_Produtos[Código], TB_Produtos[Categoria])</f>
        <v>Calçado</v>
      </c>
      <c r="F77" s="1">
        <v>1</v>
      </c>
      <c r="G77" s="29">
        <f>_xlfn.XLOOKUP(TB_Vendas[[#This Row],[Código]], TB_Produtos[Código], TB_Produtos[Preço Unitário])</f>
        <v>89.9</v>
      </c>
      <c r="H77" s="94">
        <f>_xlfn.XMATCH(TB_Vendas[[#This Row],[Categoria]], Int_Categoria,0)</f>
        <v>4</v>
      </c>
      <c r="I77" s="62">
        <f>VLOOKUP(TB_Vendas[[#This Row],[Qtd]], TB_DESCONTO, TB_Vendas[[#This Row],[Indice]],1)</f>
        <v>0</v>
      </c>
      <c r="J77" s="62">
        <f>INDEX(TB_DESCONTO, MATCH(TB_Vendas[[#This Row],[Qtd]], Int_qtde,1), MATCH(_xlfn.XLOOKUP(TB_Vendas[[#This Row],[Código]], TB_Produtos[Código], TB_Produtos[Categoria]), Int_Categoria,0))</f>
        <v>0</v>
      </c>
      <c r="K77" s="62">
        <f>_xlfn.XLOOKUP(TB_Vendas[[#This Row],[Vendedor]], Int_CodVendedor, Int_DescMax)</f>
        <v>0.1</v>
      </c>
      <c r="L77" s="62">
        <f>IF(TB_Vendas[[#This Row],[Desc. Diretão]] &gt; TB_Vendas[[#This Row],[Desc. Vend.]], TB_Vendas[[#This Row],[Desc. Vend.]], TB_Vendas[[#This Row],[Desc. Diretão]])</f>
        <v>0</v>
      </c>
      <c r="M77" s="8">
        <f>(TB_Vendas[[#This Row],[Preço Unitário]] - (TB_Vendas[[#This Row],[Preço Unitário]] * TB_Vendas[[#This Row],[Desconto Final]])) * 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 TB_Produtos[Código], TB_Produtos[Categoria])</f>
        <v>Vestuário</v>
      </c>
      <c r="F78" s="1">
        <v>2</v>
      </c>
      <c r="G78" s="29">
        <f>_xlfn.XLOOKUP(TB_Vendas[[#This Row],[Código]], TB_Produtos[Código], TB_Produtos[Preço Unitário])</f>
        <v>49.9</v>
      </c>
      <c r="H78" s="94">
        <f>_xlfn.XMATCH(TB_Vendas[[#This Row],[Categoria]], Int_Categoria,0)</f>
        <v>3</v>
      </c>
      <c r="I78" s="62">
        <f>VLOOKUP(TB_Vendas[[#This Row],[Qtd]], TB_DESCONTO, TB_Vendas[[#This Row],[Indice]],1)</f>
        <v>0.15</v>
      </c>
      <c r="J78" s="62">
        <f>INDEX(TB_DESCONTO, MATCH(TB_Vendas[[#This Row],[Qtd]], Int_qtde,1), MATCH(_xlfn.XLOOKUP(TB_Vendas[[#This Row],[Código]], TB_Produtos[Código], TB_Produtos[Categoria]), Int_Categoria,0))</f>
        <v>0.15</v>
      </c>
      <c r="K78" s="62">
        <f>_xlfn.XLOOKUP(TB_Vendas[[#This Row],[Vendedor]], Int_CodVendedor, Int_DescMax)</f>
        <v>0.1</v>
      </c>
      <c r="L78" s="62">
        <f>IF(TB_Vendas[[#This Row],[Desc. Diretão]] &gt; TB_Vendas[[#This Row],[Desc. Vend.]], TB_Vendas[[#This Row],[Desc. Vend.]], TB_Vendas[[#This Row],[Desc. Diretão]])</f>
        <v>0.1</v>
      </c>
      <c r="M78" s="8">
        <f>(TB_Vendas[[#This Row],[Preço Unitário]] - (TB_Vendas[[#This Row],[Preço Unitário]] * TB_Vendas[[#This Row],[Desconto Final]])) * TB_Vendas[[#This Row],[Qtd]]</f>
        <v>89.82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 TB_Produtos[Código], TB_Produtos[Categoria])</f>
        <v>Vestuário</v>
      </c>
      <c r="F79" s="1">
        <v>8</v>
      </c>
      <c r="G79" s="29">
        <f>_xlfn.XLOOKUP(TB_Vendas[[#This Row],[Código]], TB_Produtos[Código], TB_Produtos[Preço Unitário])</f>
        <v>70</v>
      </c>
      <c r="H79" s="94">
        <f>_xlfn.XMATCH(TB_Vendas[[#This Row],[Categoria]], Int_Categoria,0)</f>
        <v>3</v>
      </c>
      <c r="I79" s="62">
        <f>VLOOKUP(TB_Vendas[[#This Row],[Qtd]], TB_DESCONTO, TB_Vendas[[#This Row],[Indice]],1)</f>
        <v>0.25</v>
      </c>
      <c r="J79" s="62">
        <f>INDEX(TB_DESCONTO, MATCH(TB_Vendas[[#This Row],[Qtd]], Int_qtde,1), MATCH(_xlfn.XLOOKUP(TB_Vendas[[#This Row],[Código]], TB_Produtos[Código], TB_Produtos[Categoria]), Int_Categoria,0))</f>
        <v>0.25</v>
      </c>
      <c r="K79" s="62">
        <f>_xlfn.XLOOKUP(TB_Vendas[[#This Row],[Vendedor]], Int_CodVendedor, Int_DescMax)</f>
        <v>0.25</v>
      </c>
      <c r="L79" s="62">
        <f>IF(TB_Vendas[[#This Row],[Desc. Diretão]] &gt; TB_Vendas[[#This Row],[Desc. Vend.]], TB_Vendas[[#This Row],[Desc. Vend.]], TB_Vendas[[#This Row],[Desc. Diretão]])</f>
        <v>0.25</v>
      </c>
      <c r="M79" s="8">
        <f>(TB_Vendas[[#This Row],[Preço Unitário]] - (TB_Vendas[[#This Row],[Preço Unitário]] * TB_Vendas[[#This Row],[Desconto Final]])) * TB_Vendas[[#This Row],[Qtd]]</f>
        <v>420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 TB_Produtos[Código], TB_Produtos[Categoria])</f>
        <v>Vestuário</v>
      </c>
      <c r="F80" s="1">
        <v>5</v>
      </c>
      <c r="G80" s="29">
        <f>_xlfn.XLOOKUP(TB_Vendas[[#This Row],[Código]], TB_Produtos[Código], TB_Produtos[Preço Unitário])</f>
        <v>46.9</v>
      </c>
      <c r="H80" s="94">
        <f>_xlfn.XMATCH(TB_Vendas[[#This Row],[Categoria]], Int_Categoria,0)</f>
        <v>3</v>
      </c>
      <c r="I80" s="62">
        <f>VLOOKUP(TB_Vendas[[#This Row],[Qtd]], TB_DESCONTO, TB_Vendas[[#This Row],[Indice]],1)</f>
        <v>0.25</v>
      </c>
      <c r="J80" s="62">
        <f>INDEX(TB_DESCONTO, MATCH(TB_Vendas[[#This Row],[Qtd]], Int_qtde,1), MATCH(_xlfn.XLOOKUP(TB_Vendas[[#This Row],[Código]], TB_Produtos[Código], TB_Produtos[Categoria]), Int_Categoria,0))</f>
        <v>0.25</v>
      </c>
      <c r="K80" s="62">
        <f>_xlfn.XLOOKUP(TB_Vendas[[#This Row],[Vendedor]], Int_CodVendedor, Int_DescMax)</f>
        <v>0.1</v>
      </c>
      <c r="L80" s="62">
        <f>IF(TB_Vendas[[#This Row],[Desc. Diretão]] &gt; TB_Vendas[[#This Row],[Desc. Vend.]], TB_Vendas[[#This Row],[Desc. Vend.]], TB_Vendas[[#This Row],[Desc. Diretão]])</f>
        <v>0.1</v>
      </c>
      <c r="M80" s="8">
        <f>(TB_Vendas[[#This Row],[Preço Unitário]] - (TB_Vendas[[#This Row],[Preço Unitário]] * TB_Vendas[[#This Row],[Desconto Final]])) * TB_Vendas[[#This Row],[Qtd]]</f>
        <v>211.05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 TB_Produtos[Código], TB_Produtos[Categoria])</f>
        <v>Vestuário</v>
      </c>
      <c r="F81" s="1">
        <v>10</v>
      </c>
      <c r="G81" s="29">
        <f>_xlfn.XLOOKUP(TB_Vendas[[#This Row],[Código]], TB_Produtos[Código], TB_Produtos[Preço Unitário])</f>
        <v>289.89999999999998</v>
      </c>
      <c r="H81" s="94">
        <f>_xlfn.XMATCH(TB_Vendas[[#This Row],[Categoria]], Int_Categoria,0)</f>
        <v>3</v>
      </c>
      <c r="I81" s="62">
        <f>VLOOKUP(TB_Vendas[[#This Row],[Qtd]], TB_DESCONTO, TB_Vendas[[#This Row],[Indice]],1)</f>
        <v>0.3</v>
      </c>
      <c r="J81" s="62">
        <f>INDEX(TB_DESCONTO, MATCH(TB_Vendas[[#This Row],[Qtd]], Int_qtde,1), MATCH(_xlfn.XLOOKUP(TB_Vendas[[#This Row],[Código]], TB_Produtos[Código], TB_Produtos[Categoria]), Int_Categoria,0))</f>
        <v>0.3</v>
      </c>
      <c r="K81" s="62">
        <f>_xlfn.XLOOKUP(TB_Vendas[[#This Row],[Vendedor]], Int_CodVendedor, Int_DescMax)</f>
        <v>0.25</v>
      </c>
      <c r="L81" s="62">
        <f>IF(TB_Vendas[[#This Row],[Desc. Diretão]] &gt; TB_Vendas[[#This Row],[Desc. Vend.]], TB_Vendas[[#This Row],[Desc. Vend.]], TB_Vendas[[#This Row],[Desc. Diretão]])</f>
        <v>0.25</v>
      </c>
      <c r="M81" s="8">
        <f>(TB_Vendas[[#This Row],[Preço Unitário]] - (TB_Vendas[[#This Row],[Preço Unitário]] * TB_Vendas[[#This Row],[Desconto Final]])) * TB_Vendas[[#This Row],[Qtd]]</f>
        <v>2174.25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 TB_Produtos[Código], TB_Produtos[Categoria])</f>
        <v>Vestuário</v>
      </c>
      <c r="F82" s="1">
        <v>1</v>
      </c>
      <c r="G82" s="29">
        <f>_xlfn.XLOOKUP(TB_Vendas[[#This Row],[Código]], TB_Produtos[Código], TB_Produtos[Preço Unitário])</f>
        <v>42.5</v>
      </c>
      <c r="H82" s="94">
        <f>_xlfn.XMATCH(TB_Vendas[[#This Row],[Categoria]], Int_Categoria,0)</f>
        <v>3</v>
      </c>
      <c r="I82" s="62">
        <f>VLOOKUP(TB_Vendas[[#This Row],[Qtd]], TB_DESCONTO, TB_Vendas[[#This Row],[Indice]],1)</f>
        <v>0.1</v>
      </c>
      <c r="J82" s="62">
        <f>INDEX(TB_DESCONTO, MATCH(TB_Vendas[[#This Row],[Qtd]], Int_qtde,1), MATCH(_xlfn.XLOOKUP(TB_Vendas[[#This Row],[Código]], TB_Produtos[Código], TB_Produtos[Categoria]), Int_Categoria,0))</f>
        <v>0.1</v>
      </c>
      <c r="K82" s="62">
        <f>_xlfn.XLOOKUP(TB_Vendas[[#This Row],[Vendedor]], Int_CodVendedor, Int_DescMax)</f>
        <v>0.1</v>
      </c>
      <c r="L82" s="62">
        <f>IF(TB_Vendas[[#This Row],[Desc. Diretão]] &gt; TB_Vendas[[#This Row],[Desc. Vend.]], TB_Vendas[[#This Row],[Desc. Vend.]], TB_Vendas[[#This Row],[Desc. Diretão]])</f>
        <v>0.1</v>
      </c>
      <c r="M82" s="8">
        <f>(TB_Vendas[[#This Row],[Preço Unitário]] - (TB_Vendas[[#This Row],[Preço Unitário]] * TB_Vendas[[#This Row],[Desconto Final]])) * TB_Vendas[[#This Row],[Qtd]]</f>
        <v>38.25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 TB_Produtos[Código], TB_Produtos[Categoria])</f>
        <v>Calçado</v>
      </c>
      <c r="F83" s="1">
        <v>2</v>
      </c>
      <c r="G83" s="29">
        <f>_xlfn.XLOOKUP(TB_Vendas[[#This Row],[Código]], TB_Produtos[Código], TB_Produtos[Preço Unitário])</f>
        <v>89.9</v>
      </c>
      <c r="H83" s="94">
        <f>_xlfn.XMATCH(TB_Vendas[[#This Row],[Categoria]], Int_Categoria,0)</f>
        <v>4</v>
      </c>
      <c r="I83" s="62">
        <f>VLOOKUP(TB_Vendas[[#This Row],[Qtd]], TB_DESCONTO, TB_Vendas[[#This Row],[Indice]],1)</f>
        <v>0.1</v>
      </c>
      <c r="J83" s="62">
        <f>INDEX(TB_DESCONTO, MATCH(TB_Vendas[[#This Row],[Qtd]], Int_qtde,1), MATCH(_xlfn.XLOOKUP(TB_Vendas[[#This Row],[Código]], TB_Produtos[Código], TB_Produtos[Categoria]), Int_Categoria,0))</f>
        <v>0.1</v>
      </c>
      <c r="K83" s="62">
        <f>_xlfn.XLOOKUP(TB_Vendas[[#This Row],[Vendedor]], Int_CodVendedor, Int_DescMax)</f>
        <v>0.25</v>
      </c>
      <c r="L83" s="62">
        <f>IF(TB_Vendas[[#This Row],[Desc. Diretão]] &gt; TB_Vendas[[#This Row],[Desc. Vend.]], TB_Vendas[[#This Row],[Desc. Vend.]], TB_Vendas[[#This Row],[Desc. Diretão]])</f>
        <v>0.1</v>
      </c>
      <c r="M83" s="8">
        <f>(TB_Vendas[[#This Row],[Preço Unitário]] - (TB_Vendas[[#This Row],[Preço Unitário]] * TB_Vendas[[#This Row],[Desconto Final]])) * TB_Vendas[[#This Row],[Qtd]]</f>
        <v>161.82000000000002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 TB_Produtos[Código], TB_Produtos[Categoria])</f>
        <v>Calçado</v>
      </c>
      <c r="F84" s="1">
        <v>3</v>
      </c>
      <c r="G84" s="29">
        <f>_xlfn.XLOOKUP(TB_Vendas[[#This Row],[Código]], TB_Produtos[Código], TB_Produtos[Preço Unitário])</f>
        <v>255</v>
      </c>
      <c r="H84" s="94">
        <f>_xlfn.XMATCH(TB_Vendas[[#This Row],[Categoria]], Int_Categoria,0)</f>
        <v>4</v>
      </c>
      <c r="I84" s="62">
        <f>VLOOKUP(TB_Vendas[[#This Row],[Qtd]], TB_DESCONTO, TB_Vendas[[#This Row],[Indice]],1)</f>
        <v>0.15</v>
      </c>
      <c r="J84" s="62">
        <f>INDEX(TB_DESCONTO, MATCH(TB_Vendas[[#This Row],[Qtd]], Int_qtde,1), MATCH(_xlfn.XLOOKUP(TB_Vendas[[#This Row],[Código]], TB_Produtos[Código], TB_Produtos[Categoria]), Int_Categoria,0))</f>
        <v>0.15</v>
      </c>
      <c r="K84" s="62">
        <f>_xlfn.XLOOKUP(TB_Vendas[[#This Row],[Vendedor]], Int_CodVendedor, Int_DescMax)</f>
        <v>0.2</v>
      </c>
      <c r="L84" s="62">
        <f>IF(TB_Vendas[[#This Row],[Desc. Diretão]] &gt; TB_Vendas[[#This Row],[Desc. Vend.]], TB_Vendas[[#This Row],[Desc. Vend.]], TB_Vendas[[#This Row],[Desc. Diretão]])</f>
        <v>0.15</v>
      </c>
      <c r="M84" s="8">
        <f>(TB_Vendas[[#This Row],[Preço Unitário]] - (TB_Vendas[[#This Row],[Preço Unitário]] * TB_Vendas[[#This Row],[Desconto Final]])) * TB_Vendas[[#This Row],[Qtd]]</f>
        <v>650.25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 TB_Produtos[Código], TB_Produtos[Categoria])</f>
        <v>Vestuário</v>
      </c>
      <c r="F85" s="1">
        <v>6</v>
      </c>
      <c r="G85" s="29">
        <f>_xlfn.XLOOKUP(TB_Vendas[[#This Row],[Código]], TB_Produtos[Código], TB_Produtos[Preço Unitário])</f>
        <v>42.5</v>
      </c>
      <c r="H85" s="94">
        <f>_xlfn.XMATCH(TB_Vendas[[#This Row],[Categoria]], Int_Categoria,0)</f>
        <v>3</v>
      </c>
      <c r="I85" s="62">
        <f>VLOOKUP(TB_Vendas[[#This Row],[Qtd]], TB_DESCONTO, TB_Vendas[[#This Row],[Indice]],1)</f>
        <v>0.25</v>
      </c>
      <c r="J85" s="62">
        <f>INDEX(TB_DESCONTO, MATCH(TB_Vendas[[#This Row],[Qtd]], Int_qtde,1), MATCH(_xlfn.XLOOKUP(TB_Vendas[[#This Row],[Código]], TB_Produtos[Código], TB_Produtos[Categoria]), Int_Categoria,0))</f>
        <v>0.25</v>
      </c>
      <c r="K85" s="62">
        <f>_xlfn.XLOOKUP(TB_Vendas[[#This Row],[Vendedor]], Int_CodVendedor, Int_DescMax)</f>
        <v>0.2</v>
      </c>
      <c r="L85" s="62">
        <f>IF(TB_Vendas[[#This Row],[Desc. Diretão]] &gt; TB_Vendas[[#This Row],[Desc. Vend.]], TB_Vendas[[#This Row],[Desc. Vend.]], TB_Vendas[[#This Row],[Desc. Diretão]])</f>
        <v>0.2</v>
      </c>
      <c r="M85" s="8">
        <f>(TB_Vendas[[#This Row],[Preço Unitário]] - (TB_Vendas[[#This Row],[Preço Unitário]] * TB_Vendas[[#This Row],[Desconto Final]])) * TB_Vendas[[#This Row],[Qtd]]</f>
        <v>204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 TB_Produtos[Código], TB_Produtos[Categoria])</f>
        <v>Vestuário</v>
      </c>
      <c r="F86" s="1">
        <v>8</v>
      </c>
      <c r="G86" s="29">
        <f>_xlfn.XLOOKUP(TB_Vendas[[#This Row],[Código]], TB_Produtos[Código], TB_Produtos[Preço Unitário])</f>
        <v>39.9</v>
      </c>
      <c r="H86" s="94">
        <f>_xlfn.XMATCH(TB_Vendas[[#This Row],[Categoria]], Int_Categoria,0)</f>
        <v>3</v>
      </c>
      <c r="I86" s="62">
        <f>VLOOKUP(TB_Vendas[[#This Row],[Qtd]], TB_DESCONTO, TB_Vendas[[#This Row],[Indice]],1)</f>
        <v>0.25</v>
      </c>
      <c r="J86" s="62">
        <f>INDEX(TB_DESCONTO, MATCH(TB_Vendas[[#This Row],[Qtd]], Int_qtde,1), MATCH(_xlfn.XLOOKUP(TB_Vendas[[#This Row],[Código]], TB_Produtos[Código], TB_Produtos[Categoria]), Int_Categoria,0))</f>
        <v>0.25</v>
      </c>
      <c r="K86" s="62">
        <f>_xlfn.XLOOKUP(TB_Vendas[[#This Row],[Vendedor]], Int_CodVendedor, Int_DescMax)</f>
        <v>0.25</v>
      </c>
      <c r="L86" s="62">
        <f>IF(TB_Vendas[[#This Row],[Desc. Diretão]] &gt; TB_Vendas[[#This Row],[Desc. Vend.]], TB_Vendas[[#This Row],[Desc. Vend.]], TB_Vendas[[#This Row],[Desc. Diretão]])</f>
        <v>0.25</v>
      </c>
      <c r="M86" s="8">
        <f>(TB_Vendas[[#This Row],[Preço Unitário]] - (TB_Vendas[[#This Row],[Preço Unitário]] * TB_Vendas[[#This Row],[Desconto Final]])) * TB_Vendas[[#This Row],[Qtd]]</f>
        <v>239.39999999999998</v>
      </c>
      <c r="N86" s="1" t="s">
        <v>127</v>
      </c>
    </row>
  </sheetData>
  <phoneticPr fontId="12" type="noConversion"/>
  <conditionalFormatting sqref="F4:L4">
    <cfRule type="cellIs" dxfId="37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B6" sqref="B6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97" t="s">
        <v>153</v>
      </c>
      <c r="C4" s="97"/>
      <c r="D4" s="39"/>
      <c r="E4" s="97" t="s">
        <v>160</v>
      </c>
      <c r="F4" s="97"/>
    </row>
    <row r="5" spans="1:9" ht="5.25" customHeight="1" thickBot="1"/>
    <row r="6" spans="1:9" ht="24.6" customHeight="1" thickBot="1">
      <c r="B6" s="64" t="s">
        <v>154</v>
      </c>
      <c r="C6" s="63" t="s">
        <v>55</v>
      </c>
      <c r="E6" s="64" t="s">
        <v>159</v>
      </c>
      <c r="F6" s="68">
        <v>45086</v>
      </c>
    </row>
    <row r="7" spans="1:9" ht="24.6" customHeight="1" thickTop="1" thickBot="1">
      <c r="B7" s="64" t="s">
        <v>155</v>
      </c>
      <c r="C7" s="47" t="str">
        <f>IFERROR(VLOOKUP(C6,TB_Produtos[],2,FALSE), "")</f>
        <v>Jaqueta jeans</v>
      </c>
      <c r="E7" s="64" t="s">
        <v>162</v>
      </c>
      <c r="F7" s="47" t="str">
        <f>_xlfn.XLOOKUP(WEEKDAY(F6),'Cadastros Auxiliares'!B4:I4,'Cadastros Auxiliares'!B5:I5, "")</f>
        <v>Sexta-feira</v>
      </c>
      <c r="G7" s="46"/>
    </row>
    <row r="8" spans="1:9" ht="24.6" customHeight="1" thickTop="1" thickBot="1">
      <c r="B8" s="65" t="s">
        <v>156</v>
      </c>
      <c r="C8" s="45" t="str">
        <f>_xlfn.XLOOKUP(C6,TB_Produtos[Código],TB_Produtos[Tamanho], "")</f>
        <v>M</v>
      </c>
      <c r="E8" s="65" t="s">
        <v>163</v>
      </c>
      <c r="F8" s="69"/>
      <c r="G8" s="46"/>
    </row>
    <row r="9" spans="1:9" ht="24.6" customHeight="1" thickTop="1" thickBot="1">
      <c r="B9" s="66" t="s">
        <v>157</v>
      </c>
      <c r="C9" s="45" t="str">
        <f>_xlfn.XLOOKUP(C6, TB_Produtos[Código],TB_Produtos[Categoria], "")</f>
        <v>Vestuário</v>
      </c>
      <c r="E9" s="67" t="s">
        <v>161</v>
      </c>
      <c r="F9" s="48">
        <f>SUMIF(TB_Vendas[[#All],[Data]],Consultas!$F$6,TB_Vendas[[#All],[Qtd]])</f>
        <v>4</v>
      </c>
      <c r="G9" s="46"/>
    </row>
    <row r="10" spans="1:9" ht="24.6" customHeight="1" thickTop="1" thickBot="1">
      <c r="B10" s="66" t="s">
        <v>164</v>
      </c>
      <c r="C10" s="69">
        <f>_xlfn.XLOOKUP(C6, TB_Produtos[Código],TB_Produtos[Preço Unitário], "")</f>
        <v>259.89999999999998</v>
      </c>
      <c r="G10" s="46"/>
    </row>
    <row r="11" spans="1:9" ht="24.6" customHeight="1" thickTop="1" thickBot="1">
      <c r="B11" s="64" t="s">
        <v>158</v>
      </c>
      <c r="C11" s="47">
        <f>_xlfn.XLOOKUP(C6, TB_Produtos[Código],TB_Produtos[Estoque])</f>
        <v>16</v>
      </c>
      <c r="G11" s="46"/>
    </row>
    <row r="12" spans="1:9" ht="23.25" thickTop="1" thickBot="1">
      <c r="B12" s="70" t="s">
        <v>165</v>
      </c>
      <c r="C12" s="48" t="str" cm="1">
        <f t="array" ref="C12">_xlfn.IFS(C11=0,"Sem Estoque",C11&gt;=_xlfn.XLOOKUP(C9,'Cadastros Auxiliares'!G9:G11,'Cadastros Auxiliares'!H9:H11)," Estoque OK",1,"Rever Estoque")</f>
        <v xml:space="preserve"> Estoque OK</v>
      </c>
      <c r="E12" s="71"/>
    </row>
    <row r="13" spans="1:9" ht="23.25">
      <c r="E13" s="7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ErrorMessage="1" errorTitle="Insira um valor da lista!" xr:uid="{386D00EA-C09E-4AF2-85F6-0FFA8584E7FB}">
          <x14:formula1>
            <xm:f>Produtos!$B$6:$B$66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J20" sqref="J20"/>
    </sheetView>
  </sheetViews>
  <sheetFormatPr defaultRowHeight="15"/>
  <cols>
    <col min="1" max="1" width="8" customWidth="1"/>
    <col min="2" max="2" width="45" customWidth="1"/>
    <col min="3" max="3" width="18.28515625" customWidth="1"/>
    <col min="4" max="9" width="17.42578125" customWidth="1"/>
  </cols>
  <sheetData>
    <row r="1" spans="2:10" s="37" customFormat="1" ht="40.15" customHeight="1">
      <c r="B1" s="55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73" t="s">
        <v>30</v>
      </c>
      <c r="C4" s="74">
        <v>1</v>
      </c>
      <c r="D4" s="75">
        <v>2</v>
      </c>
      <c r="E4" s="74">
        <v>3</v>
      </c>
      <c r="F4" s="75">
        <v>4</v>
      </c>
      <c r="G4" s="74">
        <v>5</v>
      </c>
      <c r="H4" s="75">
        <v>6</v>
      </c>
      <c r="I4" s="76">
        <v>7</v>
      </c>
    </row>
    <row r="5" spans="2:10" s="51" customFormat="1" ht="22.5" thickBot="1">
      <c r="B5" s="77" t="s">
        <v>136</v>
      </c>
      <c r="C5" s="78" t="s">
        <v>137</v>
      </c>
      <c r="D5" s="78" t="s">
        <v>138</v>
      </c>
      <c r="E5" s="78" t="s">
        <v>139</v>
      </c>
      <c r="F5" s="78" t="s">
        <v>140</v>
      </c>
      <c r="G5" s="78" t="s">
        <v>141</v>
      </c>
      <c r="H5" s="78" t="s">
        <v>142</v>
      </c>
      <c r="I5" s="79" t="s">
        <v>143</v>
      </c>
    </row>
    <row r="7" spans="2:10" ht="15.75" thickBot="1"/>
    <row r="8" spans="2:10" ht="44.25" thickBot="1">
      <c r="B8" s="88" t="s">
        <v>152</v>
      </c>
      <c r="C8" s="89" t="s">
        <v>13</v>
      </c>
      <c r="D8" s="89" t="s">
        <v>12</v>
      </c>
      <c r="E8" s="90" t="s">
        <v>14</v>
      </c>
      <c r="G8" s="80" t="s">
        <v>10</v>
      </c>
      <c r="H8" s="81" t="s">
        <v>166</v>
      </c>
    </row>
    <row r="9" spans="2:10" ht="18.75" thickBot="1">
      <c r="B9" s="86">
        <v>1</v>
      </c>
      <c r="C9" s="54">
        <v>0</v>
      </c>
      <c r="D9" s="54">
        <v>0.1</v>
      </c>
      <c r="E9" s="87">
        <v>0</v>
      </c>
      <c r="G9" s="84" t="s">
        <v>13</v>
      </c>
      <c r="H9" s="82">
        <v>5</v>
      </c>
    </row>
    <row r="10" spans="2:10" ht="18.75" thickBot="1">
      <c r="B10" s="86">
        <v>2</v>
      </c>
      <c r="C10" s="54">
        <v>0.05</v>
      </c>
      <c r="D10" s="54">
        <v>0.15</v>
      </c>
      <c r="E10" s="87">
        <v>0.1</v>
      </c>
      <c r="G10" s="84" t="s">
        <v>12</v>
      </c>
      <c r="H10" s="82">
        <v>1</v>
      </c>
    </row>
    <row r="11" spans="2:10" ht="18.75" thickBot="1">
      <c r="B11" s="86">
        <v>3</v>
      </c>
      <c r="C11" s="54">
        <v>0.15</v>
      </c>
      <c r="D11" s="54">
        <v>0.2</v>
      </c>
      <c r="E11" s="87">
        <v>0.15</v>
      </c>
      <c r="G11" s="85" t="s">
        <v>14</v>
      </c>
      <c r="H11" s="83">
        <v>15</v>
      </c>
    </row>
    <row r="12" spans="2:10" ht="18.75" thickBot="1">
      <c r="B12" s="86">
        <v>5</v>
      </c>
      <c r="C12" s="54">
        <v>0.25</v>
      </c>
      <c r="D12" s="54">
        <v>0.25</v>
      </c>
      <c r="E12" s="87">
        <v>0.25</v>
      </c>
    </row>
    <row r="13" spans="2:10" ht="18">
      <c r="B13" s="91">
        <v>10</v>
      </c>
      <c r="C13" s="92">
        <v>0.3</v>
      </c>
      <c r="D13" s="92">
        <v>0.3</v>
      </c>
      <c r="E13" s="93">
        <v>0.3</v>
      </c>
      <c r="G13" s="61"/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E556-781B-4813-93A2-CC1B73FC48E0}">
  <dimension ref="A3:N14"/>
  <sheetViews>
    <sheetView tabSelected="1" workbookViewId="0">
      <selection activeCell="O7" sqref="O7"/>
    </sheetView>
  </sheetViews>
  <sheetFormatPr defaultRowHeight="15"/>
  <cols>
    <col min="1" max="1" width="14.28515625" bestFit="1" customWidth="1"/>
    <col min="2" max="2" width="11.140625" bestFit="1" customWidth="1"/>
    <col min="3" max="3" width="18.85546875" bestFit="1" customWidth="1"/>
  </cols>
  <sheetData>
    <row r="3" spans="1:14" ht="15.75" thickBot="1"/>
    <row r="4" spans="1:14" ht="18.75">
      <c r="A4" s="131" t="s">
        <v>0</v>
      </c>
      <c r="B4" s="132" t="s">
        <v>77</v>
      </c>
      <c r="C4" s="133" t="s">
        <v>11</v>
      </c>
      <c r="E4" s="136" t="s">
        <v>175</v>
      </c>
      <c r="F4" s="137"/>
      <c r="G4" s="137"/>
      <c r="H4" s="137"/>
      <c r="I4" s="137"/>
      <c r="J4" s="137"/>
      <c r="K4" s="137"/>
      <c r="L4" s="137"/>
      <c r="M4" s="137"/>
      <c r="N4" s="138"/>
    </row>
    <row r="5" spans="1:14" ht="15.75" thickBot="1">
      <c r="A5" s="3" t="s">
        <v>5</v>
      </c>
      <c r="B5" s="2">
        <v>48</v>
      </c>
      <c r="C5" s="134">
        <v>65.900000000000006</v>
      </c>
      <c r="E5" s="142">
        <f>_xlfn.XLOOKUP(20, B5:B12, C5:C12, "",-1)</f>
        <v>259.89999999999998</v>
      </c>
      <c r="F5" s="143"/>
      <c r="G5" s="143"/>
      <c r="H5" s="143"/>
      <c r="I5" s="143"/>
      <c r="J5" s="143"/>
      <c r="K5" s="143"/>
      <c r="L5" s="143"/>
      <c r="M5" s="143"/>
      <c r="N5" s="144"/>
    </row>
    <row r="6" spans="1:14" ht="15.75" thickBot="1">
      <c r="A6" s="3" t="s">
        <v>5</v>
      </c>
      <c r="B6" s="2">
        <v>17</v>
      </c>
      <c r="C6" s="134">
        <v>63.9</v>
      </c>
    </row>
    <row r="7" spans="1:14" ht="18.75">
      <c r="A7" s="3" t="s">
        <v>5</v>
      </c>
      <c r="B7" s="2">
        <v>37</v>
      </c>
      <c r="C7" s="134">
        <v>70.900000000000006</v>
      </c>
      <c r="E7" s="136" t="s">
        <v>176</v>
      </c>
      <c r="F7" s="137"/>
      <c r="G7" s="137"/>
      <c r="H7" s="137"/>
      <c r="I7" s="137"/>
      <c r="J7" s="137"/>
      <c r="K7" s="137"/>
      <c r="L7" s="137"/>
      <c r="M7" s="137"/>
      <c r="N7" s="138"/>
    </row>
    <row r="8" spans="1:14" ht="15.75" thickBot="1">
      <c r="A8" s="3" t="s">
        <v>174</v>
      </c>
      <c r="B8" s="2">
        <v>36</v>
      </c>
      <c r="C8" s="134">
        <v>145</v>
      </c>
      <c r="E8" s="139" t="str">
        <f>_xlfn.XLOOKUP(35,B5:B12,A5:A12, "", -1)</f>
        <v>Calça Jeans</v>
      </c>
      <c r="F8" s="140"/>
      <c r="G8" s="140"/>
      <c r="H8" s="140"/>
      <c r="I8" s="140"/>
      <c r="J8" s="140"/>
      <c r="K8" s="140"/>
      <c r="L8" s="140"/>
      <c r="M8" s="140"/>
      <c r="N8" s="141"/>
    </row>
    <row r="9" spans="1:14" ht="15.75" thickBot="1">
      <c r="A9" s="3" t="s">
        <v>172</v>
      </c>
      <c r="B9" s="2">
        <v>19</v>
      </c>
      <c r="C9" s="134">
        <v>259.89999999999998</v>
      </c>
    </row>
    <row r="10" spans="1:14" ht="18.75">
      <c r="A10" s="3" t="s">
        <v>6</v>
      </c>
      <c r="B10" s="2">
        <v>23</v>
      </c>
      <c r="C10" s="134">
        <v>39.9</v>
      </c>
      <c r="E10" s="136" t="s">
        <v>177</v>
      </c>
      <c r="F10" s="137"/>
      <c r="G10" s="137"/>
      <c r="H10" s="137"/>
      <c r="I10" s="137"/>
      <c r="J10" s="137"/>
      <c r="K10" s="137"/>
      <c r="L10" s="137"/>
      <c r="M10" s="137"/>
      <c r="N10" s="138"/>
    </row>
    <row r="11" spans="1:14" ht="15.75" thickBot="1">
      <c r="A11" s="3" t="s">
        <v>173</v>
      </c>
      <c r="B11" s="2">
        <v>24</v>
      </c>
      <c r="C11" s="134">
        <v>85.9</v>
      </c>
      <c r="E11" s="139" t="str">
        <f>IF(_xlfn.XLOOKUP(65.9, C5:C12, A5:A12) = "Bermuda", "sim", "não")</f>
        <v>sim</v>
      </c>
      <c r="F11" s="140"/>
      <c r="G11" s="140"/>
      <c r="H11" s="140"/>
      <c r="I11" s="140"/>
      <c r="J11" s="140"/>
      <c r="K11" s="140"/>
      <c r="L11" s="140"/>
      <c r="M11" s="140"/>
      <c r="N11" s="141"/>
    </row>
    <row r="12" spans="1:14" ht="15.75" thickBot="1">
      <c r="A12" s="4" t="s">
        <v>173</v>
      </c>
      <c r="B12" s="5">
        <v>35</v>
      </c>
      <c r="C12" s="135">
        <v>89.9</v>
      </c>
    </row>
    <row r="13" spans="1:14" ht="18.75">
      <c r="E13" s="136" t="s">
        <v>178</v>
      </c>
      <c r="F13" s="137"/>
      <c r="G13" s="137"/>
      <c r="H13" s="137"/>
      <c r="I13" s="137"/>
      <c r="J13" s="137"/>
      <c r="K13" s="137"/>
      <c r="L13" s="137"/>
      <c r="M13" s="137"/>
      <c r="N13" s="138"/>
    </row>
    <row r="14" spans="1:14" ht="15.75" thickBot="1">
      <c r="E14" s="139" t="str">
        <f>_xlfn.XLOOKUP(MAX(C5:C12),C5:C12,A5:A12)</f>
        <v>Bolsa de Couro</v>
      </c>
      <c r="F14" s="140"/>
      <c r="G14" s="140"/>
      <c r="H14" s="140"/>
      <c r="I14" s="140"/>
      <c r="J14" s="140"/>
      <c r="K14" s="140"/>
      <c r="L14" s="140"/>
      <c r="M14" s="140"/>
      <c r="N14" s="141"/>
    </row>
  </sheetData>
  <mergeCells count="8">
    <mergeCell ref="E13:N13"/>
    <mergeCell ref="E14:N14"/>
    <mergeCell ref="E11:N11"/>
    <mergeCell ref="E8:N8"/>
    <mergeCell ref="E5:N5"/>
    <mergeCell ref="E4:N4"/>
    <mergeCell ref="E7:N7"/>
    <mergeCell ref="E10:N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1602.5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2496.1699999999996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3174.97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3097.0549999999994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2403.52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2975.4649999999997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98" t="s">
        <v>78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100"/>
      <c r="AQ2" s="98" t="s">
        <v>79</v>
      </c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100"/>
      <c r="BK2" s="98" t="s">
        <v>80</v>
      </c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100"/>
    </row>
    <row r="3" spans="3:80" ht="9.75" customHeight="1" thickBot="1">
      <c r="W3" s="101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  <c r="AQ3" s="101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3"/>
      <c r="BK3" s="101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3"/>
    </row>
    <row r="4" spans="3:80" ht="9.75" customHeight="1">
      <c r="W4" s="104">
        <f>COUNTA(TB_Produtos[Código])</f>
        <v>60</v>
      </c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6"/>
      <c r="AQ4" s="104">
        <f>SUM(TB_Vendas[Qtd])</f>
        <v>250</v>
      </c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6"/>
      <c r="BK4" s="113">
        <f>SUM(TB_Vendas[Total])</f>
        <v>27991.945</v>
      </c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5"/>
    </row>
    <row r="5" spans="3:80" ht="9.75" customHeight="1">
      <c r="W5" s="107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9"/>
      <c r="AQ5" s="107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9"/>
      <c r="BK5" s="116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8"/>
    </row>
    <row r="6" spans="3:80" ht="9.75" customHeight="1">
      <c r="W6" s="107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9"/>
      <c r="AQ6" s="107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9"/>
      <c r="BK6" s="116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8"/>
    </row>
    <row r="7" spans="3:80" ht="9.75" customHeight="1" thickBot="1">
      <c r="W7" s="110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2"/>
      <c r="AQ7" s="110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2"/>
      <c r="BK7" s="119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1"/>
    </row>
    <row r="8" spans="3:80" ht="9.75" customHeight="1" thickBot="1"/>
    <row r="9" spans="3:80" ht="9.75" customHeight="1">
      <c r="C9" s="98" t="s">
        <v>81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100"/>
    </row>
    <row r="10" spans="3:80" ht="9.75" customHeight="1" thickBot="1">
      <c r="C10" s="10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3"/>
    </row>
    <row r="11" spans="3:80" ht="9.75" customHeight="1">
      <c r="C11" s="122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4"/>
    </row>
    <row r="12" spans="3:80" ht="9.75" customHeight="1">
      <c r="C12" s="125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7"/>
    </row>
    <row r="13" spans="3:80" ht="9.75" customHeight="1">
      <c r="C13" s="125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7"/>
    </row>
    <row r="14" spans="3:80" ht="9.75" customHeight="1">
      <c r="C14" s="125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7"/>
    </row>
    <row r="15" spans="3:80" ht="9.75" customHeight="1">
      <c r="C15" s="125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7"/>
    </row>
    <row r="16" spans="3:80" ht="9.75" customHeight="1">
      <c r="C16" s="125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7"/>
    </row>
    <row r="17" spans="3:80" ht="9.75" customHeight="1">
      <c r="C17" s="125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6"/>
      <c r="BZ17" s="126"/>
      <c r="CA17" s="126"/>
      <c r="CB17" s="127"/>
    </row>
    <row r="18" spans="3:80" ht="9.75" customHeight="1">
      <c r="C18" s="125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7"/>
    </row>
    <row r="19" spans="3:80" ht="9.75" customHeight="1">
      <c r="C19" s="125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7"/>
    </row>
    <row r="20" spans="3:80" ht="9.75" customHeight="1">
      <c r="C20" s="125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7"/>
    </row>
    <row r="21" spans="3:80" ht="9.75" customHeight="1">
      <c r="C21" s="125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7"/>
    </row>
    <row r="22" spans="3:80" ht="9.75" customHeight="1">
      <c r="C22" s="125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6"/>
      <c r="BY22" s="126"/>
      <c r="BZ22" s="126"/>
      <c r="CA22" s="126"/>
      <c r="CB22" s="127"/>
    </row>
    <row r="23" spans="3:80" ht="9.75" customHeight="1">
      <c r="C23" s="125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6"/>
      <c r="BY23" s="126"/>
      <c r="BZ23" s="126"/>
      <c r="CA23" s="126"/>
      <c r="CB23" s="127"/>
    </row>
    <row r="24" spans="3:80" ht="9.75" customHeight="1" thickBot="1">
      <c r="C24" s="128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30"/>
    </row>
    <row r="25" spans="3:80" ht="9.75" customHeight="1" thickBot="1"/>
    <row r="26" spans="3:80" ht="9.75" customHeight="1">
      <c r="C26" s="98" t="s">
        <v>82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100"/>
      <c r="AO26" s="13"/>
      <c r="AP26" s="13"/>
      <c r="AQ26" s="98" t="s">
        <v>83</v>
      </c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100"/>
    </row>
    <row r="27" spans="3:80" ht="9.75" customHeight="1" thickBot="1"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3"/>
      <c r="AP27" s="13"/>
      <c r="AQ27" s="101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3"/>
    </row>
    <row r="28" spans="3:80" ht="9.75" customHeight="1">
      <c r="C28" s="122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4"/>
      <c r="AQ28" s="122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4"/>
    </row>
    <row r="29" spans="3:80" ht="9.75" customHeight="1">
      <c r="C29" s="125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7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7"/>
    </row>
    <row r="30" spans="3:80" ht="9.75" customHeight="1">
      <c r="C30" s="125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7"/>
      <c r="AQ30" s="125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7"/>
    </row>
    <row r="31" spans="3:80" ht="9.75" customHeight="1">
      <c r="C31" s="125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7"/>
      <c r="AQ31" s="125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  <c r="BV31" s="126"/>
      <c r="BW31" s="126"/>
      <c r="BX31" s="126"/>
      <c r="BY31" s="126"/>
      <c r="BZ31" s="126"/>
      <c r="CA31" s="126"/>
      <c r="CB31" s="127"/>
    </row>
    <row r="32" spans="3:80" ht="9.75" customHeight="1">
      <c r="C32" s="125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7"/>
      <c r="AQ32" s="125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7"/>
    </row>
    <row r="33" spans="3:80" ht="9.75" customHeight="1">
      <c r="C33" s="125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7"/>
      <c r="AQ33" s="125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6"/>
      <c r="BU33" s="126"/>
      <c r="BV33" s="126"/>
      <c r="BW33" s="126"/>
      <c r="BX33" s="126"/>
      <c r="BY33" s="126"/>
      <c r="BZ33" s="126"/>
      <c r="CA33" s="126"/>
      <c r="CB33" s="127"/>
    </row>
    <row r="34" spans="3:80" ht="9.75" customHeight="1"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7"/>
      <c r="AQ34" s="125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  <c r="BZ34" s="126"/>
      <c r="CA34" s="126"/>
      <c r="CB34" s="127"/>
    </row>
    <row r="35" spans="3:80" ht="9.75" customHeight="1">
      <c r="C35" s="125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7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26"/>
      <c r="BY35" s="126"/>
      <c r="BZ35" s="126"/>
      <c r="CA35" s="126"/>
      <c r="CB35" s="127"/>
    </row>
    <row r="36" spans="3:80" ht="9.75" customHeight="1">
      <c r="C36" s="125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7"/>
      <c r="AQ36" s="125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7"/>
    </row>
    <row r="37" spans="3:80" ht="9.75" customHeight="1">
      <c r="C37" s="125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7"/>
      <c r="AQ37" s="125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  <c r="BR37" s="126"/>
      <c r="BS37" s="126"/>
      <c r="BT37" s="126"/>
      <c r="BU37" s="126"/>
      <c r="BV37" s="126"/>
      <c r="BW37" s="126"/>
      <c r="BX37" s="126"/>
      <c r="BY37" s="126"/>
      <c r="BZ37" s="126"/>
      <c r="CA37" s="126"/>
      <c r="CB37" s="127"/>
    </row>
    <row r="38" spans="3:80" ht="9.75" customHeight="1">
      <c r="C38" s="125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7"/>
      <c r="AQ38" s="125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  <c r="BZ38" s="126"/>
      <c r="CA38" s="126"/>
      <c r="CB38" s="127"/>
    </row>
    <row r="39" spans="3:80" ht="9.75" customHeight="1">
      <c r="C39" s="125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7"/>
      <c r="AQ39" s="125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7"/>
    </row>
    <row r="40" spans="3:80" ht="9.75" customHeight="1">
      <c r="C40" s="125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7"/>
      <c r="AQ40" s="125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  <c r="BZ40" s="126"/>
      <c r="CA40" s="126"/>
      <c r="CB40" s="127"/>
    </row>
    <row r="41" spans="3:80" ht="9.75" customHeight="1">
      <c r="C41" s="125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7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7"/>
    </row>
    <row r="42" spans="3:80" ht="9.75" customHeight="1">
      <c r="C42" s="125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7"/>
      <c r="AQ42" s="125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  <c r="BZ42" s="126"/>
      <c r="CA42" s="126"/>
      <c r="CB42" s="127"/>
    </row>
    <row r="43" spans="3:80" ht="9.75" customHeight="1"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7"/>
      <c r="AQ43" s="125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  <c r="BR43" s="126"/>
      <c r="BS43" s="126"/>
      <c r="BT43" s="126"/>
      <c r="BU43" s="126"/>
      <c r="BV43" s="126"/>
      <c r="BW43" s="126"/>
      <c r="BX43" s="126"/>
      <c r="BY43" s="126"/>
      <c r="BZ43" s="126"/>
      <c r="CA43" s="126"/>
      <c r="CB43" s="127"/>
    </row>
    <row r="44" spans="3:80" ht="9.75" customHeight="1">
      <c r="C44" s="125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7"/>
      <c r="AQ44" s="125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  <c r="BZ44" s="126"/>
      <c r="CA44" s="126"/>
      <c r="CB44" s="127"/>
    </row>
    <row r="45" spans="3:80" ht="9.75" customHeight="1">
      <c r="C45" s="125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7"/>
      <c r="AQ45" s="125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  <c r="BR45" s="126"/>
      <c r="BS45" s="126"/>
      <c r="BT45" s="126"/>
      <c r="BU45" s="126"/>
      <c r="BV45" s="126"/>
      <c r="BW45" s="126"/>
      <c r="BX45" s="126"/>
      <c r="BY45" s="126"/>
      <c r="BZ45" s="126"/>
      <c r="CA45" s="126"/>
      <c r="CB45" s="127"/>
    </row>
    <row r="46" spans="3:80" ht="9.75" customHeight="1" thickBot="1"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30"/>
      <c r="AQ46" s="128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30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Dados para Gráficos</vt:lpstr>
      <vt:lpstr>Dashboard</vt:lpstr>
      <vt:lpstr>Int_Categoria</vt:lpstr>
      <vt:lpstr>Int_CodVendedor</vt:lpstr>
      <vt:lpstr>Int_DescMax</vt:lpstr>
      <vt:lpstr>Int_qtde</vt:lpstr>
      <vt:lpstr>TB_DESCONTO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Pedro Henricky</cp:lastModifiedBy>
  <cp:lastPrinted>2023-06-07T14:57:58Z</cp:lastPrinted>
  <dcterms:created xsi:type="dcterms:W3CDTF">2023-06-02T17:54:12Z</dcterms:created>
  <dcterms:modified xsi:type="dcterms:W3CDTF">2025-03-13T01:21:01Z</dcterms:modified>
</cp:coreProperties>
</file>