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psantanna\Dropbox\Co-authored Projects\IPS\Submission\Simulations\401k\Results\ITT\"/>
    </mc:Choice>
  </mc:AlternateContent>
  <xr:revisionPtr revIDLastSave="0" documentId="13_ncr:1_{026E7C60-50F1-4527-B956-824C0E3D38CE}" xr6:coauthVersionLast="47" xr6:coauthVersionMax="47" xr10:uidLastSave="{00000000-0000-0000-0000-000000000000}"/>
  <bookViews>
    <workbookView xWindow="-120" yWindow="-120" windowWidth="38640" windowHeight="21120" activeTab="2" xr2:uid="{00000000-000D-0000-FFFF-FFFF00000000}"/>
  </bookViews>
  <sheets>
    <sheet name="inference" sheetId="34" r:id="rId1"/>
    <sheet name="balance" sheetId="44" r:id="rId2"/>
    <sheet name="Point" sheetId="30" r:id="rId3"/>
    <sheet name="Tables-n=200" sheetId="36" r:id="rId4"/>
    <sheet name="Tables-n=500" sheetId="35" r:id="rId5"/>
    <sheet name="Tables-n=1000" sheetId="43" r:id="rId6"/>
    <sheet name="Table-n=200-corr" sheetId="37" r:id="rId7"/>
    <sheet name="Table-n=200-miss" sheetId="38" r:id="rId8"/>
    <sheet name="Table-n=500-corr" sheetId="40" r:id="rId9"/>
    <sheet name="Table-n=500-miss" sheetId="39" r:id="rId10"/>
    <sheet name="Table-n=1000-corr" sheetId="42" r:id="rId11"/>
    <sheet name="Table-n=1000-miss" sheetId="41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8" i="41" l="1"/>
  <c r="AD8" i="43" s="1"/>
  <c r="O8" i="42"/>
  <c r="W8" i="43" s="1"/>
  <c r="O8" i="39"/>
  <c r="AD8" i="35" s="1"/>
  <c r="O8" i="40"/>
  <c r="W8" i="35" s="1"/>
  <c r="O8" i="38"/>
  <c r="AD8" i="36" s="1"/>
  <c r="O8" i="37"/>
  <c r="W8" i="36" s="1"/>
  <c r="G45" i="41"/>
  <c r="H45" i="41" s="1"/>
  <c r="F45" i="41"/>
  <c r="M45" i="43" s="1"/>
  <c r="D45" i="41"/>
  <c r="C45" i="41"/>
  <c r="J45" i="43" s="1"/>
  <c r="G44" i="41"/>
  <c r="H44" i="41" s="1"/>
  <c r="F44" i="41"/>
  <c r="M44" i="43" s="1"/>
  <c r="D44" i="41"/>
  <c r="E44" i="41" s="1"/>
  <c r="L44" i="43" s="1"/>
  <c r="C44" i="41"/>
  <c r="J44" i="43" s="1"/>
  <c r="G43" i="41"/>
  <c r="H43" i="41" s="1"/>
  <c r="F43" i="41"/>
  <c r="M43" i="43" s="1"/>
  <c r="D43" i="41"/>
  <c r="E43" i="41" s="1"/>
  <c r="L43" i="43" s="1"/>
  <c r="C43" i="41"/>
  <c r="J43" i="43" s="1"/>
  <c r="G42" i="41"/>
  <c r="H42" i="41" s="1"/>
  <c r="F42" i="41"/>
  <c r="M42" i="43" s="1"/>
  <c r="D42" i="41"/>
  <c r="C42" i="41"/>
  <c r="J42" i="43" s="1"/>
  <c r="G41" i="41"/>
  <c r="H41" i="41" s="1"/>
  <c r="F41" i="41"/>
  <c r="M41" i="43" s="1"/>
  <c r="D41" i="41"/>
  <c r="E41" i="41" s="1"/>
  <c r="L41" i="43" s="1"/>
  <c r="C41" i="41"/>
  <c r="J41" i="43" s="1"/>
  <c r="G40" i="41"/>
  <c r="H40" i="41" s="1"/>
  <c r="F40" i="41"/>
  <c r="M40" i="43" s="1"/>
  <c r="D40" i="41"/>
  <c r="C40" i="41"/>
  <c r="J40" i="43" s="1"/>
  <c r="G38" i="41"/>
  <c r="H38" i="41" s="1"/>
  <c r="F38" i="41"/>
  <c r="M38" i="43" s="1"/>
  <c r="D38" i="41"/>
  <c r="C38" i="41"/>
  <c r="J38" i="43" s="1"/>
  <c r="G37" i="41"/>
  <c r="H37" i="41" s="1"/>
  <c r="F37" i="41"/>
  <c r="M37" i="43" s="1"/>
  <c r="D37" i="41"/>
  <c r="E37" i="41" s="1"/>
  <c r="L37" i="43" s="1"/>
  <c r="C37" i="41"/>
  <c r="J37" i="43" s="1"/>
  <c r="G36" i="41"/>
  <c r="H36" i="41" s="1"/>
  <c r="F36" i="41"/>
  <c r="M36" i="43" s="1"/>
  <c r="D36" i="41"/>
  <c r="C36" i="41"/>
  <c r="J36" i="43" s="1"/>
  <c r="G35" i="41"/>
  <c r="H35" i="41" s="1"/>
  <c r="F35" i="41"/>
  <c r="M35" i="43" s="1"/>
  <c r="D35" i="41"/>
  <c r="K35" i="43" s="1"/>
  <c r="C35" i="41"/>
  <c r="J35" i="43" s="1"/>
  <c r="G34" i="41"/>
  <c r="H34" i="41" s="1"/>
  <c r="F34" i="41"/>
  <c r="M34" i="43" s="1"/>
  <c r="D34" i="41"/>
  <c r="C34" i="41"/>
  <c r="J34" i="43" s="1"/>
  <c r="G33" i="41"/>
  <c r="H33" i="41" s="1"/>
  <c r="F33" i="41"/>
  <c r="M33" i="43" s="1"/>
  <c r="D33" i="41"/>
  <c r="C33" i="41"/>
  <c r="J33" i="43" s="1"/>
  <c r="G31" i="41"/>
  <c r="H31" i="41" s="1"/>
  <c r="F31" i="41"/>
  <c r="M31" i="43" s="1"/>
  <c r="D31" i="41"/>
  <c r="C31" i="41"/>
  <c r="J31" i="43" s="1"/>
  <c r="G30" i="41"/>
  <c r="H30" i="41" s="1"/>
  <c r="F30" i="41"/>
  <c r="M30" i="43" s="1"/>
  <c r="D30" i="41"/>
  <c r="E30" i="41" s="1"/>
  <c r="L30" i="43" s="1"/>
  <c r="C30" i="41"/>
  <c r="J30" i="43" s="1"/>
  <c r="G29" i="41"/>
  <c r="H29" i="41" s="1"/>
  <c r="F29" i="41"/>
  <c r="M29" i="43" s="1"/>
  <c r="D29" i="41"/>
  <c r="K29" i="43" s="1"/>
  <c r="C29" i="41"/>
  <c r="J29" i="43" s="1"/>
  <c r="G28" i="41"/>
  <c r="H28" i="41" s="1"/>
  <c r="F28" i="41"/>
  <c r="M28" i="43" s="1"/>
  <c r="D28" i="41"/>
  <c r="K28" i="43" s="1"/>
  <c r="C28" i="41"/>
  <c r="J28" i="43" s="1"/>
  <c r="G27" i="41"/>
  <c r="H27" i="41" s="1"/>
  <c r="F27" i="41"/>
  <c r="M27" i="43" s="1"/>
  <c r="D27" i="41"/>
  <c r="C27" i="41"/>
  <c r="J27" i="43" s="1"/>
  <c r="G26" i="41"/>
  <c r="H26" i="41" s="1"/>
  <c r="F26" i="41"/>
  <c r="M26" i="43" s="1"/>
  <c r="D26" i="41"/>
  <c r="C26" i="41"/>
  <c r="J26" i="43" s="1"/>
  <c r="G24" i="41"/>
  <c r="H24" i="41" s="1"/>
  <c r="F24" i="41"/>
  <c r="M24" i="43" s="1"/>
  <c r="D24" i="41"/>
  <c r="C24" i="41"/>
  <c r="J24" i="43" s="1"/>
  <c r="G23" i="41"/>
  <c r="H23" i="41" s="1"/>
  <c r="F23" i="41"/>
  <c r="M23" i="43" s="1"/>
  <c r="D23" i="41"/>
  <c r="E23" i="41" s="1"/>
  <c r="L23" i="43" s="1"/>
  <c r="C23" i="41"/>
  <c r="J23" i="43" s="1"/>
  <c r="G22" i="41"/>
  <c r="H22" i="41" s="1"/>
  <c r="F22" i="41"/>
  <c r="M22" i="43" s="1"/>
  <c r="D22" i="41"/>
  <c r="K22" i="43" s="1"/>
  <c r="C22" i="41"/>
  <c r="J22" i="43" s="1"/>
  <c r="G21" i="41"/>
  <c r="H21" i="41" s="1"/>
  <c r="F21" i="41"/>
  <c r="M21" i="43" s="1"/>
  <c r="D21" i="41"/>
  <c r="K21" i="43" s="1"/>
  <c r="C21" i="41"/>
  <c r="J21" i="43" s="1"/>
  <c r="G20" i="41"/>
  <c r="H20" i="41" s="1"/>
  <c r="F20" i="41"/>
  <c r="M20" i="43" s="1"/>
  <c r="D20" i="41"/>
  <c r="K20" i="43" s="1"/>
  <c r="C20" i="41"/>
  <c r="J20" i="43" s="1"/>
  <c r="G19" i="41"/>
  <c r="H19" i="41" s="1"/>
  <c r="F19" i="41"/>
  <c r="M19" i="43" s="1"/>
  <c r="D19" i="41"/>
  <c r="K19" i="43" s="1"/>
  <c r="C19" i="41"/>
  <c r="J19" i="43" s="1"/>
  <c r="G17" i="41"/>
  <c r="H17" i="41" s="1"/>
  <c r="F17" i="41"/>
  <c r="M17" i="43" s="1"/>
  <c r="D17" i="41"/>
  <c r="C17" i="41"/>
  <c r="J17" i="43" s="1"/>
  <c r="G16" i="41"/>
  <c r="H16" i="41" s="1"/>
  <c r="F16" i="41"/>
  <c r="M16" i="43" s="1"/>
  <c r="D16" i="41"/>
  <c r="E16" i="41" s="1"/>
  <c r="L16" i="43" s="1"/>
  <c r="C16" i="41"/>
  <c r="J16" i="43" s="1"/>
  <c r="G15" i="41"/>
  <c r="H15" i="41" s="1"/>
  <c r="F15" i="41"/>
  <c r="M15" i="43" s="1"/>
  <c r="D15" i="41"/>
  <c r="K15" i="43" s="1"/>
  <c r="C15" i="41"/>
  <c r="J15" i="43" s="1"/>
  <c r="G14" i="41"/>
  <c r="H14" i="41" s="1"/>
  <c r="F14" i="41"/>
  <c r="M14" i="43" s="1"/>
  <c r="D14" i="41"/>
  <c r="C14" i="41"/>
  <c r="J14" i="43" s="1"/>
  <c r="G13" i="41"/>
  <c r="H13" i="41" s="1"/>
  <c r="F13" i="41"/>
  <c r="M13" i="43" s="1"/>
  <c r="D13" i="41"/>
  <c r="C13" i="41"/>
  <c r="J13" i="43" s="1"/>
  <c r="G12" i="41"/>
  <c r="H12" i="41" s="1"/>
  <c r="F12" i="41"/>
  <c r="M12" i="43" s="1"/>
  <c r="D12" i="41"/>
  <c r="C12" i="41"/>
  <c r="J12" i="43" s="1"/>
  <c r="G10" i="41"/>
  <c r="H10" i="41" s="1"/>
  <c r="F10" i="41"/>
  <c r="M10" i="43" s="1"/>
  <c r="D10" i="41"/>
  <c r="K10" i="43" s="1"/>
  <c r="C10" i="41"/>
  <c r="J10" i="43" s="1"/>
  <c r="G9" i="41"/>
  <c r="H9" i="41" s="1"/>
  <c r="F9" i="41"/>
  <c r="M9" i="43" s="1"/>
  <c r="D9" i="41"/>
  <c r="C9" i="41"/>
  <c r="J9" i="43" s="1"/>
  <c r="G8" i="41"/>
  <c r="H8" i="41" s="1"/>
  <c r="F8" i="41"/>
  <c r="M8" i="43" s="1"/>
  <c r="D8" i="41"/>
  <c r="C8" i="41"/>
  <c r="J8" i="43" s="1"/>
  <c r="G7" i="41"/>
  <c r="H7" i="41" s="1"/>
  <c r="F7" i="41"/>
  <c r="M7" i="43" s="1"/>
  <c r="D7" i="41"/>
  <c r="C7" i="41"/>
  <c r="J7" i="43" s="1"/>
  <c r="G6" i="41"/>
  <c r="H6" i="41" s="1"/>
  <c r="F6" i="41"/>
  <c r="M6" i="43" s="1"/>
  <c r="D6" i="41"/>
  <c r="C6" i="41"/>
  <c r="J6" i="43" s="1"/>
  <c r="G5" i="41"/>
  <c r="H5" i="41" s="1"/>
  <c r="F5" i="41"/>
  <c r="M5" i="43" s="1"/>
  <c r="D5" i="41"/>
  <c r="K5" i="43" s="1"/>
  <c r="C5" i="41"/>
  <c r="J5" i="43" s="1"/>
  <c r="G45" i="42"/>
  <c r="H45" i="42" s="1"/>
  <c r="F45" i="42"/>
  <c r="F45" i="43" s="1"/>
  <c r="D45" i="42"/>
  <c r="C45" i="42"/>
  <c r="C45" i="43" s="1"/>
  <c r="G44" i="42"/>
  <c r="H44" i="42" s="1"/>
  <c r="F44" i="42"/>
  <c r="F44" i="43" s="1"/>
  <c r="D44" i="42"/>
  <c r="E44" i="42" s="1"/>
  <c r="E44" i="43" s="1"/>
  <c r="C44" i="42"/>
  <c r="C44" i="43" s="1"/>
  <c r="G43" i="42"/>
  <c r="H43" i="42" s="1"/>
  <c r="F43" i="42"/>
  <c r="F43" i="43" s="1"/>
  <c r="D43" i="42"/>
  <c r="D43" i="43" s="1"/>
  <c r="C43" i="42"/>
  <c r="C43" i="43" s="1"/>
  <c r="G42" i="42"/>
  <c r="H42" i="42" s="1"/>
  <c r="F42" i="42"/>
  <c r="F42" i="43" s="1"/>
  <c r="D42" i="42"/>
  <c r="D42" i="43" s="1"/>
  <c r="C42" i="42"/>
  <c r="C42" i="43" s="1"/>
  <c r="G41" i="42"/>
  <c r="H41" i="42" s="1"/>
  <c r="F41" i="42"/>
  <c r="F41" i="43" s="1"/>
  <c r="D41" i="42"/>
  <c r="C41" i="42"/>
  <c r="C41" i="43" s="1"/>
  <c r="G40" i="42"/>
  <c r="H40" i="42" s="1"/>
  <c r="F40" i="42"/>
  <c r="F40" i="43" s="1"/>
  <c r="D40" i="42"/>
  <c r="C40" i="42"/>
  <c r="C40" i="43" s="1"/>
  <c r="G38" i="42"/>
  <c r="H38" i="42" s="1"/>
  <c r="F38" i="42"/>
  <c r="F38" i="43" s="1"/>
  <c r="D38" i="42"/>
  <c r="C38" i="42"/>
  <c r="C38" i="43" s="1"/>
  <c r="G37" i="42"/>
  <c r="H37" i="42" s="1"/>
  <c r="F37" i="42"/>
  <c r="F37" i="43" s="1"/>
  <c r="D37" i="42"/>
  <c r="D37" i="43" s="1"/>
  <c r="C37" i="42"/>
  <c r="C37" i="43" s="1"/>
  <c r="G36" i="42"/>
  <c r="H36" i="42" s="1"/>
  <c r="F36" i="42"/>
  <c r="F36" i="43" s="1"/>
  <c r="D36" i="42"/>
  <c r="D36" i="43" s="1"/>
  <c r="C36" i="42"/>
  <c r="C36" i="43" s="1"/>
  <c r="G35" i="42"/>
  <c r="H35" i="42" s="1"/>
  <c r="F35" i="42"/>
  <c r="F35" i="43" s="1"/>
  <c r="D35" i="42"/>
  <c r="C35" i="42"/>
  <c r="C35" i="43" s="1"/>
  <c r="G34" i="42"/>
  <c r="H34" i="42" s="1"/>
  <c r="F34" i="42"/>
  <c r="F34" i="43" s="1"/>
  <c r="D34" i="42"/>
  <c r="C34" i="42"/>
  <c r="C34" i="43" s="1"/>
  <c r="G33" i="42"/>
  <c r="H33" i="42" s="1"/>
  <c r="F33" i="42"/>
  <c r="F33" i="43" s="1"/>
  <c r="D33" i="42"/>
  <c r="D33" i="43" s="1"/>
  <c r="C33" i="42"/>
  <c r="C33" i="43" s="1"/>
  <c r="G31" i="42"/>
  <c r="H31" i="42" s="1"/>
  <c r="F31" i="42"/>
  <c r="F31" i="43" s="1"/>
  <c r="D31" i="42"/>
  <c r="D31" i="43" s="1"/>
  <c r="C31" i="42"/>
  <c r="C31" i="43" s="1"/>
  <c r="G30" i="42"/>
  <c r="H30" i="42" s="1"/>
  <c r="F30" i="42"/>
  <c r="F30" i="43" s="1"/>
  <c r="D30" i="42"/>
  <c r="E30" i="42" s="1"/>
  <c r="E30" i="43" s="1"/>
  <c r="C30" i="42"/>
  <c r="C30" i="43" s="1"/>
  <c r="G29" i="42"/>
  <c r="H29" i="42" s="1"/>
  <c r="F29" i="42"/>
  <c r="F29" i="43" s="1"/>
  <c r="D29" i="42"/>
  <c r="D29" i="43" s="1"/>
  <c r="C29" i="42"/>
  <c r="C29" i="43" s="1"/>
  <c r="G28" i="42"/>
  <c r="H28" i="42" s="1"/>
  <c r="F28" i="42"/>
  <c r="F28" i="43" s="1"/>
  <c r="D28" i="42"/>
  <c r="D28" i="43" s="1"/>
  <c r="C28" i="42"/>
  <c r="C28" i="43" s="1"/>
  <c r="G27" i="42"/>
  <c r="H27" i="42" s="1"/>
  <c r="F27" i="42"/>
  <c r="F27" i="43" s="1"/>
  <c r="D27" i="42"/>
  <c r="E27" i="42" s="1"/>
  <c r="E27" i="43" s="1"/>
  <c r="C27" i="42"/>
  <c r="C27" i="43" s="1"/>
  <c r="G26" i="42"/>
  <c r="H26" i="42" s="1"/>
  <c r="F26" i="42"/>
  <c r="F26" i="43" s="1"/>
  <c r="D26" i="42"/>
  <c r="D26" i="43" s="1"/>
  <c r="C26" i="42"/>
  <c r="C26" i="43" s="1"/>
  <c r="G24" i="42"/>
  <c r="H24" i="42" s="1"/>
  <c r="F24" i="42"/>
  <c r="F24" i="43" s="1"/>
  <c r="D24" i="42"/>
  <c r="D24" i="43" s="1"/>
  <c r="C24" i="42"/>
  <c r="C24" i="43" s="1"/>
  <c r="G23" i="42"/>
  <c r="H23" i="42" s="1"/>
  <c r="F23" i="42"/>
  <c r="F23" i="43" s="1"/>
  <c r="D23" i="42"/>
  <c r="D23" i="43" s="1"/>
  <c r="C23" i="42"/>
  <c r="C23" i="43" s="1"/>
  <c r="G22" i="42"/>
  <c r="H22" i="42" s="1"/>
  <c r="F22" i="42"/>
  <c r="F22" i="43" s="1"/>
  <c r="D22" i="42"/>
  <c r="D22" i="43" s="1"/>
  <c r="C22" i="42"/>
  <c r="C22" i="43" s="1"/>
  <c r="G21" i="42"/>
  <c r="H21" i="42" s="1"/>
  <c r="F21" i="42"/>
  <c r="F21" i="43" s="1"/>
  <c r="D21" i="42"/>
  <c r="D21" i="43" s="1"/>
  <c r="C21" i="42"/>
  <c r="C21" i="43" s="1"/>
  <c r="G20" i="42"/>
  <c r="H20" i="42" s="1"/>
  <c r="F20" i="42"/>
  <c r="F20" i="43" s="1"/>
  <c r="D20" i="42"/>
  <c r="D20" i="43" s="1"/>
  <c r="C20" i="42"/>
  <c r="C20" i="43" s="1"/>
  <c r="G19" i="42"/>
  <c r="H19" i="42" s="1"/>
  <c r="F19" i="42"/>
  <c r="F19" i="43" s="1"/>
  <c r="D19" i="42"/>
  <c r="C19" i="42"/>
  <c r="C19" i="43" s="1"/>
  <c r="G17" i="42"/>
  <c r="H17" i="42" s="1"/>
  <c r="F17" i="42"/>
  <c r="F17" i="43" s="1"/>
  <c r="D17" i="42"/>
  <c r="C17" i="42"/>
  <c r="C17" i="43" s="1"/>
  <c r="G16" i="42"/>
  <c r="H16" i="42" s="1"/>
  <c r="F16" i="42"/>
  <c r="F16" i="43" s="1"/>
  <c r="D16" i="42"/>
  <c r="E16" i="42" s="1"/>
  <c r="E16" i="43" s="1"/>
  <c r="C16" i="42"/>
  <c r="C16" i="43" s="1"/>
  <c r="G15" i="42"/>
  <c r="H15" i="42" s="1"/>
  <c r="F15" i="42"/>
  <c r="F15" i="43" s="1"/>
  <c r="D15" i="42"/>
  <c r="D15" i="43" s="1"/>
  <c r="C15" i="42"/>
  <c r="C15" i="43" s="1"/>
  <c r="G14" i="42"/>
  <c r="H14" i="42" s="1"/>
  <c r="F14" i="42"/>
  <c r="F14" i="43" s="1"/>
  <c r="D14" i="42"/>
  <c r="C14" i="42"/>
  <c r="C14" i="43" s="1"/>
  <c r="G13" i="42"/>
  <c r="H13" i="42" s="1"/>
  <c r="F13" i="42"/>
  <c r="F13" i="43" s="1"/>
  <c r="D13" i="42"/>
  <c r="E13" i="42" s="1"/>
  <c r="E13" i="43" s="1"/>
  <c r="C13" i="42"/>
  <c r="C13" i="43" s="1"/>
  <c r="G12" i="42"/>
  <c r="H12" i="42" s="1"/>
  <c r="F12" i="42"/>
  <c r="F12" i="43" s="1"/>
  <c r="D12" i="42"/>
  <c r="C12" i="42"/>
  <c r="C12" i="43" s="1"/>
  <c r="G10" i="42"/>
  <c r="H10" i="42" s="1"/>
  <c r="F10" i="42"/>
  <c r="F10" i="43" s="1"/>
  <c r="D10" i="42"/>
  <c r="C10" i="42"/>
  <c r="C10" i="43" s="1"/>
  <c r="G9" i="42"/>
  <c r="H9" i="42" s="1"/>
  <c r="F9" i="42"/>
  <c r="F9" i="43" s="1"/>
  <c r="D9" i="42"/>
  <c r="E9" i="42" s="1"/>
  <c r="E9" i="43" s="1"/>
  <c r="C9" i="42"/>
  <c r="C9" i="43" s="1"/>
  <c r="G8" i="42"/>
  <c r="H8" i="42" s="1"/>
  <c r="F8" i="42"/>
  <c r="F8" i="43" s="1"/>
  <c r="D8" i="42"/>
  <c r="C8" i="42"/>
  <c r="C8" i="43" s="1"/>
  <c r="G7" i="42"/>
  <c r="H7" i="42" s="1"/>
  <c r="F7" i="42"/>
  <c r="F7" i="43" s="1"/>
  <c r="D7" i="42"/>
  <c r="C7" i="42"/>
  <c r="C7" i="43" s="1"/>
  <c r="G6" i="42"/>
  <c r="H6" i="42" s="1"/>
  <c r="F6" i="42"/>
  <c r="F6" i="43" s="1"/>
  <c r="D6" i="42"/>
  <c r="D6" i="43" s="1"/>
  <c r="C6" i="42"/>
  <c r="C6" i="43" s="1"/>
  <c r="G5" i="42"/>
  <c r="H5" i="42" s="1"/>
  <c r="F5" i="42"/>
  <c r="F5" i="43" s="1"/>
  <c r="D5" i="42"/>
  <c r="C5" i="42"/>
  <c r="C5" i="43" s="1"/>
  <c r="G45" i="39"/>
  <c r="H45" i="39" s="1"/>
  <c r="F45" i="39"/>
  <c r="M45" i="35" s="1"/>
  <c r="D45" i="39"/>
  <c r="C45" i="39"/>
  <c r="J45" i="35" s="1"/>
  <c r="G44" i="39"/>
  <c r="H44" i="39" s="1"/>
  <c r="F44" i="39"/>
  <c r="M44" i="35" s="1"/>
  <c r="D44" i="39"/>
  <c r="E44" i="39" s="1"/>
  <c r="L44" i="35" s="1"/>
  <c r="C44" i="39"/>
  <c r="J44" i="35" s="1"/>
  <c r="G43" i="39"/>
  <c r="H43" i="39" s="1"/>
  <c r="F43" i="39"/>
  <c r="M43" i="35" s="1"/>
  <c r="D43" i="39"/>
  <c r="C43" i="39"/>
  <c r="J43" i="35" s="1"/>
  <c r="G42" i="39"/>
  <c r="H42" i="39" s="1"/>
  <c r="F42" i="39"/>
  <c r="M42" i="35" s="1"/>
  <c r="D42" i="39"/>
  <c r="C42" i="39"/>
  <c r="J42" i="35" s="1"/>
  <c r="G41" i="39"/>
  <c r="H41" i="39" s="1"/>
  <c r="F41" i="39"/>
  <c r="M41" i="35" s="1"/>
  <c r="D41" i="39"/>
  <c r="E41" i="39" s="1"/>
  <c r="L41" i="35" s="1"/>
  <c r="C41" i="39"/>
  <c r="J41" i="35" s="1"/>
  <c r="G40" i="39"/>
  <c r="H40" i="39" s="1"/>
  <c r="F40" i="39"/>
  <c r="M40" i="35" s="1"/>
  <c r="D40" i="39"/>
  <c r="C40" i="39"/>
  <c r="J40" i="35" s="1"/>
  <c r="G38" i="39"/>
  <c r="H38" i="39" s="1"/>
  <c r="F38" i="39"/>
  <c r="M38" i="35" s="1"/>
  <c r="D38" i="39"/>
  <c r="C38" i="39"/>
  <c r="J38" i="35" s="1"/>
  <c r="G37" i="39"/>
  <c r="H37" i="39" s="1"/>
  <c r="I37" i="39" s="1"/>
  <c r="O37" i="35" s="1"/>
  <c r="F37" i="39"/>
  <c r="M37" i="35" s="1"/>
  <c r="D37" i="39"/>
  <c r="E37" i="39" s="1"/>
  <c r="L37" i="35" s="1"/>
  <c r="C37" i="39"/>
  <c r="J37" i="35" s="1"/>
  <c r="G36" i="39"/>
  <c r="H36" i="39" s="1"/>
  <c r="F36" i="39"/>
  <c r="M36" i="35" s="1"/>
  <c r="D36" i="39"/>
  <c r="C36" i="39"/>
  <c r="J36" i="35" s="1"/>
  <c r="G35" i="39"/>
  <c r="H35" i="39" s="1"/>
  <c r="F35" i="39"/>
  <c r="M35" i="35" s="1"/>
  <c r="D35" i="39"/>
  <c r="K35" i="35" s="1"/>
  <c r="C35" i="39"/>
  <c r="J35" i="35" s="1"/>
  <c r="G34" i="39"/>
  <c r="H34" i="39" s="1"/>
  <c r="F34" i="39"/>
  <c r="M34" i="35" s="1"/>
  <c r="D34" i="39"/>
  <c r="K34" i="35" s="1"/>
  <c r="C34" i="39"/>
  <c r="J34" i="35" s="1"/>
  <c r="G33" i="39"/>
  <c r="H33" i="39" s="1"/>
  <c r="F33" i="39"/>
  <c r="M33" i="35" s="1"/>
  <c r="D33" i="39"/>
  <c r="K33" i="35" s="1"/>
  <c r="C33" i="39"/>
  <c r="J33" i="35" s="1"/>
  <c r="G31" i="39"/>
  <c r="H31" i="39" s="1"/>
  <c r="F31" i="39"/>
  <c r="M31" i="35" s="1"/>
  <c r="D31" i="39"/>
  <c r="K31" i="35" s="1"/>
  <c r="C31" i="39"/>
  <c r="J31" i="35" s="1"/>
  <c r="G30" i="39"/>
  <c r="H30" i="39" s="1"/>
  <c r="F30" i="39"/>
  <c r="M30" i="35" s="1"/>
  <c r="D30" i="39"/>
  <c r="K30" i="35" s="1"/>
  <c r="C30" i="39"/>
  <c r="J30" i="35" s="1"/>
  <c r="G29" i="39"/>
  <c r="H29" i="39" s="1"/>
  <c r="F29" i="39"/>
  <c r="M29" i="35" s="1"/>
  <c r="D29" i="39"/>
  <c r="K29" i="35" s="1"/>
  <c r="C29" i="39"/>
  <c r="J29" i="35" s="1"/>
  <c r="G28" i="39"/>
  <c r="H28" i="39" s="1"/>
  <c r="F28" i="39"/>
  <c r="M28" i="35" s="1"/>
  <c r="D28" i="39"/>
  <c r="C28" i="39"/>
  <c r="J28" i="35" s="1"/>
  <c r="G27" i="39"/>
  <c r="H27" i="39" s="1"/>
  <c r="F27" i="39"/>
  <c r="M27" i="35" s="1"/>
  <c r="D27" i="39"/>
  <c r="E27" i="39" s="1"/>
  <c r="L27" i="35" s="1"/>
  <c r="C27" i="39"/>
  <c r="J27" i="35" s="1"/>
  <c r="G26" i="39"/>
  <c r="H26" i="39" s="1"/>
  <c r="F26" i="39"/>
  <c r="M26" i="35" s="1"/>
  <c r="D26" i="39"/>
  <c r="C26" i="39"/>
  <c r="J26" i="35" s="1"/>
  <c r="G24" i="39"/>
  <c r="H24" i="39" s="1"/>
  <c r="F24" i="39"/>
  <c r="M24" i="35" s="1"/>
  <c r="D24" i="39"/>
  <c r="K24" i="35" s="1"/>
  <c r="C24" i="39"/>
  <c r="J24" i="35" s="1"/>
  <c r="G23" i="39"/>
  <c r="H23" i="39" s="1"/>
  <c r="F23" i="39"/>
  <c r="M23" i="35" s="1"/>
  <c r="D23" i="39"/>
  <c r="K23" i="35" s="1"/>
  <c r="C23" i="39"/>
  <c r="J23" i="35" s="1"/>
  <c r="G22" i="39"/>
  <c r="H22" i="39" s="1"/>
  <c r="F22" i="39"/>
  <c r="M22" i="35" s="1"/>
  <c r="D22" i="39"/>
  <c r="K22" i="35" s="1"/>
  <c r="C22" i="39"/>
  <c r="J22" i="35" s="1"/>
  <c r="G21" i="39"/>
  <c r="H21" i="39" s="1"/>
  <c r="F21" i="39"/>
  <c r="M21" i="35" s="1"/>
  <c r="D21" i="39"/>
  <c r="K21" i="35" s="1"/>
  <c r="C21" i="39"/>
  <c r="J21" i="35" s="1"/>
  <c r="G20" i="39"/>
  <c r="H20" i="39" s="1"/>
  <c r="F20" i="39"/>
  <c r="M20" i="35" s="1"/>
  <c r="D20" i="39"/>
  <c r="K20" i="35" s="1"/>
  <c r="C20" i="39"/>
  <c r="J20" i="35" s="1"/>
  <c r="G19" i="39"/>
  <c r="H19" i="39" s="1"/>
  <c r="F19" i="39"/>
  <c r="M19" i="35" s="1"/>
  <c r="D19" i="39"/>
  <c r="K19" i="35" s="1"/>
  <c r="C19" i="39"/>
  <c r="J19" i="35" s="1"/>
  <c r="G17" i="39"/>
  <c r="H17" i="39" s="1"/>
  <c r="F17" i="39"/>
  <c r="M17" i="35" s="1"/>
  <c r="D17" i="39"/>
  <c r="K17" i="35" s="1"/>
  <c r="C17" i="39"/>
  <c r="J17" i="35" s="1"/>
  <c r="G16" i="39"/>
  <c r="H16" i="39" s="1"/>
  <c r="F16" i="39"/>
  <c r="M16" i="35" s="1"/>
  <c r="D16" i="39"/>
  <c r="E16" i="39" s="1"/>
  <c r="L16" i="35" s="1"/>
  <c r="C16" i="39"/>
  <c r="J16" i="35" s="1"/>
  <c r="G15" i="39"/>
  <c r="H15" i="39" s="1"/>
  <c r="F15" i="39"/>
  <c r="M15" i="35" s="1"/>
  <c r="D15" i="39"/>
  <c r="C15" i="39"/>
  <c r="J15" i="35" s="1"/>
  <c r="G14" i="39"/>
  <c r="H14" i="39" s="1"/>
  <c r="F14" i="39"/>
  <c r="M14" i="35" s="1"/>
  <c r="D14" i="39"/>
  <c r="C14" i="39"/>
  <c r="J14" i="35" s="1"/>
  <c r="G13" i="39"/>
  <c r="H13" i="39" s="1"/>
  <c r="F13" i="39"/>
  <c r="M13" i="35" s="1"/>
  <c r="D13" i="39"/>
  <c r="E13" i="39" s="1"/>
  <c r="L13" i="35" s="1"/>
  <c r="C13" i="39"/>
  <c r="J13" i="35" s="1"/>
  <c r="G12" i="39"/>
  <c r="H12" i="39" s="1"/>
  <c r="F12" i="39"/>
  <c r="M12" i="35" s="1"/>
  <c r="D12" i="39"/>
  <c r="K12" i="35" s="1"/>
  <c r="C12" i="39"/>
  <c r="J12" i="35" s="1"/>
  <c r="G10" i="39"/>
  <c r="H10" i="39" s="1"/>
  <c r="F10" i="39"/>
  <c r="D10" i="39"/>
  <c r="C10" i="39"/>
  <c r="G9" i="39"/>
  <c r="H9" i="39" s="1"/>
  <c r="F9" i="39"/>
  <c r="D9" i="39"/>
  <c r="C9" i="39"/>
  <c r="G8" i="39"/>
  <c r="H8" i="39" s="1"/>
  <c r="F8" i="39"/>
  <c r="D8" i="39"/>
  <c r="C8" i="39"/>
  <c r="G7" i="39"/>
  <c r="H7" i="39" s="1"/>
  <c r="F7" i="39"/>
  <c r="D7" i="39"/>
  <c r="C7" i="39"/>
  <c r="G6" i="39"/>
  <c r="H6" i="39" s="1"/>
  <c r="F6" i="39"/>
  <c r="D6" i="39"/>
  <c r="C6" i="39"/>
  <c r="G5" i="39"/>
  <c r="H5" i="39" s="1"/>
  <c r="F5" i="39"/>
  <c r="M5" i="35" s="1"/>
  <c r="D5" i="39"/>
  <c r="K5" i="35" s="1"/>
  <c r="C5" i="39"/>
  <c r="J5" i="35" s="1"/>
  <c r="G45" i="40"/>
  <c r="H45" i="40" s="1"/>
  <c r="F45" i="40"/>
  <c r="F45" i="35" s="1"/>
  <c r="D45" i="40"/>
  <c r="D45" i="35" s="1"/>
  <c r="C45" i="40"/>
  <c r="C45" i="35" s="1"/>
  <c r="G44" i="40"/>
  <c r="H44" i="40" s="1"/>
  <c r="F44" i="40"/>
  <c r="F44" i="35" s="1"/>
  <c r="D44" i="40"/>
  <c r="E44" i="40" s="1"/>
  <c r="E44" i="35" s="1"/>
  <c r="C44" i="40"/>
  <c r="C44" i="35" s="1"/>
  <c r="G43" i="40"/>
  <c r="H43" i="40" s="1"/>
  <c r="F43" i="40"/>
  <c r="F43" i="35" s="1"/>
  <c r="D43" i="40"/>
  <c r="D43" i="35" s="1"/>
  <c r="C43" i="40"/>
  <c r="C43" i="35" s="1"/>
  <c r="G42" i="40"/>
  <c r="H42" i="40" s="1"/>
  <c r="F42" i="40"/>
  <c r="F42" i="35" s="1"/>
  <c r="D42" i="40"/>
  <c r="C42" i="40"/>
  <c r="C42" i="35" s="1"/>
  <c r="G41" i="40"/>
  <c r="H41" i="40" s="1"/>
  <c r="F41" i="40"/>
  <c r="F41" i="35" s="1"/>
  <c r="D41" i="40"/>
  <c r="C41" i="40"/>
  <c r="C41" i="35" s="1"/>
  <c r="G40" i="40"/>
  <c r="H40" i="40" s="1"/>
  <c r="F40" i="40"/>
  <c r="F40" i="35" s="1"/>
  <c r="D40" i="40"/>
  <c r="C40" i="40"/>
  <c r="C40" i="35" s="1"/>
  <c r="G38" i="40"/>
  <c r="H38" i="40" s="1"/>
  <c r="F38" i="40"/>
  <c r="F38" i="35" s="1"/>
  <c r="D38" i="40"/>
  <c r="C38" i="40"/>
  <c r="C38" i="35" s="1"/>
  <c r="G37" i="40"/>
  <c r="H37" i="40" s="1"/>
  <c r="F37" i="40"/>
  <c r="F37" i="35" s="1"/>
  <c r="D37" i="40"/>
  <c r="E37" i="40" s="1"/>
  <c r="E37" i="35" s="1"/>
  <c r="C37" i="40"/>
  <c r="C37" i="35" s="1"/>
  <c r="G36" i="40"/>
  <c r="H36" i="40" s="1"/>
  <c r="F36" i="40"/>
  <c r="F36" i="35" s="1"/>
  <c r="D36" i="40"/>
  <c r="C36" i="40"/>
  <c r="C36" i="35" s="1"/>
  <c r="G35" i="40"/>
  <c r="H35" i="40" s="1"/>
  <c r="F35" i="40"/>
  <c r="F35" i="35" s="1"/>
  <c r="D35" i="40"/>
  <c r="D35" i="35" s="1"/>
  <c r="C35" i="40"/>
  <c r="C35" i="35" s="1"/>
  <c r="G34" i="40"/>
  <c r="H34" i="40" s="1"/>
  <c r="F34" i="40"/>
  <c r="F34" i="35" s="1"/>
  <c r="D34" i="40"/>
  <c r="D34" i="35" s="1"/>
  <c r="C34" i="40"/>
  <c r="C34" i="35" s="1"/>
  <c r="G33" i="40"/>
  <c r="H33" i="40" s="1"/>
  <c r="F33" i="40"/>
  <c r="F33" i="35" s="1"/>
  <c r="D33" i="40"/>
  <c r="D33" i="35" s="1"/>
  <c r="C33" i="40"/>
  <c r="C33" i="35" s="1"/>
  <c r="G31" i="40"/>
  <c r="H31" i="40" s="1"/>
  <c r="F31" i="40"/>
  <c r="F31" i="35" s="1"/>
  <c r="D31" i="40"/>
  <c r="D31" i="35" s="1"/>
  <c r="C31" i="40"/>
  <c r="C31" i="35" s="1"/>
  <c r="G30" i="40"/>
  <c r="H30" i="40" s="1"/>
  <c r="F30" i="40"/>
  <c r="F30" i="35" s="1"/>
  <c r="D30" i="40"/>
  <c r="D30" i="35" s="1"/>
  <c r="C30" i="40"/>
  <c r="C30" i="35" s="1"/>
  <c r="G29" i="40"/>
  <c r="H29" i="40" s="1"/>
  <c r="F29" i="40"/>
  <c r="F29" i="35" s="1"/>
  <c r="D29" i="40"/>
  <c r="D29" i="35" s="1"/>
  <c r="C29" i="40"/>
  <c r="C29" i="35" s="1"/>
  <c r="G28" i="40"/>
  <c r="H28" i="40" s="1"/>
  <c r="F28" i="40"/>
  <c r="F28" i="35" s="1"/>
  <c r="D28" i="40"/>
  <c r="D28" i="35" s="1"/>
  <c r="C28" i="40"/>
  <c r="C28" i="35" s="1"/>
  <c r="G27" i="40"/>
  <c r="H27" i="40" s="1"/>
  <c r="F27" i="40"/>
  <c r="F27" i="35" s="1"/>
  <c r="D27" i="40"/>
  <c r="D27" i="35" s="1"/>
  <c r="C27" i="40"/>
  <c r="C27" i="35" s="1"/>
  <c r="G26" i="40"/>
  <c r="H26" i="40" s="1"/>
  <c r="F26" i="40"/>
  <c r="F26" i="35" s="1"/>
  <c r="D26" i="40"/>
  <c r="C26" i="40"/>
  <c r="C26" i="35" s="1"/>
  <c r="G24" i="40"/>
  <c r="H24" i="40" s="1"/>
  <c r="F24" i="40"/>
  <c r="F24" i="35" s="1"/>
  <c r="D24" i="40"/>
  <c r="D24" i="35" s="1"/>
  <c r="C24" i="40"/>
  <c r="C24" i="35" s="1"/>
  <c r="G23" i="40"/>
  <c r="H23" i="40" s="1"/>
  <c r="F23" i="40"/>
  <c r="F23" i="35" s="1"/>
  <c r="D23" i="40"/>
  <c r="C23" i="40"/>
  <c r="C23" i="35" s="1"/>
  <c r="G22" i="40"/>
  <c r="H22" i="40" s="1"/>
  <c r="F22" i="40"/>
  <c r="F22" i="35" s="1"/>
  <c r="D22" i="40"/>
  <c r="D22" i="35" s="1"/>
  <c r="C22" i="40"/>
  <c r="C22" i="35" s="1"/>
  <c r="G21" i="40"/>
  <c r="H21" i="40" s="1"/>
  <c r="F21" i="40"/>
  <c r="F21" i="35" s="1"/>
  <c r="D21" i="40"/>
  <c r="D21" i="35" s="1"/>
  <c r="C21" i="40"/>
  <c r="C21" i="35" s="1"/>
  <c r="G20" i="40"/>
  <c r="H20" i="40" s="1"/>
  <c r="F20" i="40"/>
  <c r="F20" i="35" s="1"/>
  <c r="D20" i="40"/>
  <c r="D20" i="35" s="1"/>
  <c r="C20" i="40"/>
  <c r="C20" i="35" s="1"/>
  <c r="G19" i="40"/>
  <c r="H19" i="40" s="1"/>
  <c r="F19" i="40"/>
  <c r="F19" i="35" s="1"/>
  <c r="D19" i="40"/>
  <c r="D19" i="35" s="1"/>
  <c r="C19" i="40"/>
  <c r="C19" i="35" s="1"/>
  <c r="G17" i="40"/>
  <c r="H17" i="40" s="1"/>
  <c r="F17" i="40"/>
  <c r="F17" i="35" s="1"/>
  <c r="D17" i="40"/>
  <c r="D17" i="35" s="1"/>
  <c r="C17" i="40"/>
  <c r="C17" i="35" s="1"/>
  <c r="G16" i="40"/>
  <c r="H16" i="40" s="1"/>
  <c r="F16" i="40"/>
  <c r="F16" i="35" s="1"/>
  <c r="D16" i="40"/>
  <c r="E16" i="40" s="1"/>
  <c r="E16" i="35" s="1"/>
  <c r="C16" i="40"/>
  <c r="C16" i="35" s="1"/>
  <c r="G15" i="40"/>
  <c r="H15" i="40" s="1"/>
  <c r="F15" i="40"/>
  <c r="F15" i="35" s="1"/>
  <c r="D15" i="40"/>
  <c r="D15" i="35" s="1"/>
  <c r="C15" i="40"/>
  <c r="C15" i="35" s="1"/>
  <c r="G14" i="40"/>
  <c r="H14" i="40" s="1"/>
  <c r="F14" i="40"/>
  <c r="F14" i="35" s="1"/>
  <c r="D14" i="40"/>
  <c r="C14" i="40"/>
  <c r="C14" i="35" s="1"/>
  <c r="G13" i="40"/>
  <c r="H13" i="40" s="1"/>
  <c r="F13" i="40"/>
  <c r="F13" i="35" s="1"/>
  <c r="D13" i="40"/>
  <c r="E13" i="40" s="1"/>
  <c r="E13" i="35" s="1"/>
  <c r="C13" i="40"/>
  <c r="C13" i="35" s="1"/>
  <c r="G12" i="40"/>
  <c r="H12" i="40" s="1"/>
  <c r="F12" i="40"/>
  <c r="F12" i="35" s="1"/>
  <c r="D12" i="40"/>
  <c r="C12" i="40"/>
  <c r="C12" i="35" s="1"/>
  <c r="G10" i="40"/>
  <c r="H10" i="40" s="1"/>
  <c r="F10" i="40"/>
  <c r="F10" i="35" s="1"/>
  <c r="D10" i="40"/>
  <c r="D10" i="35" s="1"/>
  <c r="C10" i="40"/>
  <c r="C10" i="35" s="1"/>
  <c r="G9" i="40"/>
  <c r="H9" i="40" s="1"/>
  <c r="F9" i="40"/>
  <c r="F9" i="35" s="1"/>
  <c r="D9" i="40"/>
  <c r="E9" i="40" s="1"/>
  <c r="E9" i="35" s="1"/>
  <c r="C9" i="40"/>
  <c r="C9" i="35" s="1"/>
  <c r="G8" i="40"/>
  <c r="H8" i="40" s="1"/>
  <c r="F8" i="40"/>
  <c r="D8" i="40"/>
  <c r="C8" i="40"/>
  <c r="G7" i="40"/>
  <c r="H7" i="40" s="1"/>
  <c r="F7" i="40"/>
  <c r="D7" i="40"/>
  <c r="C7" i="40"/>
  <c r="G6" i="40"/>
  <c r="H6" i="40" s="1"/>
  <c r="F6" i="40"/>
  <c r="D6" i="40"/>
  <c r="C6" i="40"/>
  <c r="G5" i="40"/>
  <c r="G5" i="35" s="1"/>
  <c r="F5" i="40"/>
  <c r="F5" i="35" s="1"/>
  <c r="D5" i="40"/>
  <c r="D5" i="35" s="1"/>
  <c r="C5" i="40"/>
  <c r="G45" i="38"/>
  <c r="H45" i="38" s="1"/>
  <c r="F45" i="38"/>
  <c r="M45" i="36" s="1"/>
  <c r="D45" i="38"/>
  <c r="C45" i="38"/>
  <c r="J45" i="36" s="1"/>
  <c r="G44" i="38"/>
  <c r="H44" i="38" s="1"/>
  <c r="F44" i="38"/>
  <c r="M44" i="36" s="1"/>
  <c r="D44" i="38"/>
  <c r="E44" i="38" s="1"/>
  <c r="C44" i="38"/>
  <c r="J44" i="36" s="1"/>
  <c r="G43" i="38"/>
  <c r="H43" i="38" s="1"/>
  <c r="F43" i="38"/>
  <c r="M43" i="36" s="1"/>
  <c r="D43" i="38"/>
  <c r="K43" i="36" s="1"/>
  <c r="C43" i="38"/>
  <c r="J43" i="36" s="1"/>
  <c r="G42" i="38"/>
  <c r="H42" i="38" s="1"/>
  <c r="F42" i="38"/>
  <c r="M42" i="36" s="1"/>
  <c r="D42" i="38"/>
  <c r="C42" i="38"/>
  <c r="J42" i="36" s="1"/>
  <c r="G41" i="38"/>
  <c r="H41" i="38" s="1"/>
  <c r="F41" i="38"/>
  <c r="M41" i="36" s="1"/>
  <c r="D41" i="38"/>
  <c r="E41" i="38" s="1"/>
  <c r="C41" i="38"/>
  <c r="J41" i="36" s="1"/>
  <c r="G40" i="38"/>
  <c r="H40" i="38" s="1"/>
  <c r="F40" i="38"/>
  <c r="M40" i="36" s="1"/>
  <c r="D40" i="38"/>
  <c r="C40" i="38"/>
  <c r="J40" i="36" s="1"/>
  <c r="G38" i="38"/>
  <c r="H38" i="38" s="1"/>
  <c r="F38" i="38"/>
  <c r="M38" i="36" s="1"/>
  <c r="D38" i="38"/>
  <c r="C38" i="38"/>
  <c r="J38" i="36" s="1"/>
  <c r="G37" i="38"/>
  <c r="H37" i="38" s="1"/>
  <c r="F37" i="38"/>
  <c r="M37" i="36" s="1"/>
  <c r="D37" i="38"/>
  <c r="E37" i="38" s="1"/>
  <c r="L37" i="36" s="1"/>
  <c r="C37" i="38"/>
  <c r="J37" i="36" s="1"/>
  <c r="G36" i="38"/>
  <c r="H36" i="38" s="1"/>
  <c r="F36" i="38"/>
  <c r="M36" i="36" s="1"/>
  <c r="D36" i="38"/>
  <c r="C36" i="38"/>
  <c r="J36" i="36" s="1"/>
  <c r="G35" i="38"/>
  <c r="H35" i="38" s="1"/>
  <c r="F35" i="38"/>
  <c r="M35" i="36" s="1"/>
  <c r="D35" i="38"/>
  <c r="C35" i="38"/>
  <c r="J35" i="36" s="1"/>
  <c r="G34" i="38"/>
  <c r="H34" i="38" s="1"/>
  <c r="F34" i="38"/>
  <c r="M34" i="36" s="1"/>
  <c r="D34" i="38"/>
  <c r="K34" i="36" s="1"/>
  <c r="C34" i="38"/>
  <c r="J34" i="36" s="1"/>
  <c r="G33" i="38"/>
  <c r="H33" i="38" s="1"/>
  <c r="F33" i="38"/>
  <c r="M33" i="36" s="1"/>
  <c r="D33" i="38"/>
  <c r="C33" i="38"/>
  <c r="J33" i="36" s="1"/>
  <c r="G31" i="38"/>
  <c r="H31" i="38" s="1"/>
  <c r="F31" i="38"/>
  <c r="M31" i="36" s="1"/>
  <c r="D31" i="38"/>
  <c r="C31" i="38"/>
  <c r="J31" i="36" s="1"/>
  <c r="G30" i="38"/>
  <c r="H30" i="38" s="1"/>
  <c r="F30" i="38"/>
  <c r="M30" i="36" s="1"/>
  <c r="D30" i="38"/>
  <c r="E30" i="38" s="1"/>
  <c r="C30" i="38"/>
  <c r="J30" i="36" s="1"/>
  <c r="G29" i="38"/>
  <c r="H29" i="38" s="1"/>
  <c r="F29" i="38"/>
  <c r="M29" i="36" s="1"/>
  <c r="D29" i="38"/>
  <c r="C29" i="38"/>
  <c r="J29" i="36" s="1"/>
  <c r="G28" i="38"/>
  <c r="H28" i="38" s="1"/>
  <c r="F28" i="38"/>
  <c r="M28" i="36" s="1"/>
  <c r="D28" i="38"/>
  <c r="E28" i="38" s="1"/>
  <c r="L28" i="36" s="1"/>
  <c r="C28" i="38"/>
  <c r="J28" i="36" s="1"/>
  <c r="G27" i="38"/>
  <c r="H27" i="38" s="1"/>
  <c r="F27" i="38"/>
  <c r="M27" i="36" s="1"/>
  <c r="D27" i="38"/>
  <c r="E27" i="38" s="1"/>
  <c r="L27" i="36" s="1"/>
  <c r="C27" i="38"/>
  <c r="J27" i="36" s="1"/>
  <c r="G26" i="38"/>
  <c r="H26" i="38" s="1"/>
  <c r="F26" i="38"/>
  <c r="M26" i="36" s="1"/>
  <c r="D26" i="38"/>
  <c r="C26" i="38"/>
  <c r="J26" i="36" s="1"/>
  <c r="G24" i="38"/>
  <c r="H24" i="38" s="1"/>
  <c r="F24" i="38"/>
  <c r="M24" i="36" s="1"/>
  <c r="D24" i="38"/>
  <c r="C24" i="38"/>
  <c r="J24" i="36" s="1"/>
  <c r="G23" i="38"/>
  <c r="H23" i="38" s="1"/>
  <c r="F23" i="38"/>
  <c r="M23" i="36" s="1"/>
  <c r="D23" i="38"/>
  <c r="C23" i="38"/>
  <c r="J23" i="36" s="1"/>
  <c r="G22" i="38"/>
  <c r="H22" i="38" s="1"/>
  <c r="F22" i="38"/>
  <c r="M22" i="36" s="1"/>
  <c r="D22" i="38"/>
  <c r="C22" i="38"/>
  <c r="J22" i="36" s="1"/>
  <c r="G21" i="38"/>
  <c r="H21" i="38" s="1"/>
  <c r="F21" i="38"/>
  <c r="M21" i="36" s="1"/>
  <c r="D21" i="38"/>
  <c r="K21" i="36" s="1"/>
  <c r="C21" i="38"/>
  <c r="J21" i="36" s="1"/>
  <c r="G20" i="38"/>
  <c r="H20" i="38" s="1"/>
  <c r="F20" i="38"/>
  <c r="M20" i="36" s="1"/>
  <c r="D20" i="38"/>
  <c r="C20" i="38"/>
  <c r="J20" i="36" s="1"/>
  <c r="G19" i="38"/>
  <c r="H19" i="38" s="1"/>
  <c r="F19" i="38"/>
  <c r="D19" i="38"/>
  <c r="K19" i="36" s="1"/>
  <c r="C19" i="38"/>
  <c r="J19" i="36" s="1"/>
  <c r="G17" i="38"/>
  <c r="H17" i="38" s="1"/>
  <c r="F17" i="38"/>
  <c r="M17" i="36" s="1"/>
  <c r="D17" i="38"/>
  <c r="C17" i="38"/>
  <c r="J17" i="36" s="1"/>
  <c r="G16" i="38"/>
  <c r="H16" i="38" s="1"/>
  <c r="F16" i="38"/>
  <c r="M16" i="36" s="1"/>
  <c r="D16" i="38"/>
  <c r="E16" i="38" s="1"/>
  <c r="C16" i="38"/>
  <c r="J16" i="36" s="1"/>
  <c r="G15" i="38"/>
  <c r="H15" i="38" s="1"/>
  <c r="F15" i="38"/>
  <c r="M15" i="36" s="1"/>
  <c r="D15" i="38"/>
  <c r="C15" i="38"/>
  <c r="J15" i="36" s="1"/>
  <c r="G14" i="38"/>
  <c r="H14" i="38" s="1"/>
  <c r="F14" i="38"/>
  <c r="M14" i="36" s="1"/>
  <c r="D14" i="38"/>
  <c r="C14" i="38"/>
  <c r="J14" i="36" s="1"/>
  <c r="G13" i="38"/>
  <c r="H13" i="38" s="1"/>
  <c r="F13" i="38"/>
  <c r="M13" i="36" s="1"/>
  <c r="D13" i="38"/>
  <c r="C13" i="38"/>
  <c r="J13" i="36" s="1"/>
  <c r="G12" i="38"/>
  <c r="H12" i="38" s="1"/>
  <c r="F12" i="38"/>
  <c r="M12" i="36" s="1"/>
  <c r="D12" i="38"/>
  <c r="K12" i="36" s="1"/>
  <c r="C12" i="38"/>
  <c r="J12" i="36" s="1"/>
  <c r="G10" i="38"/>
  <c r="H10" i="38" s="1"/>
  <c r="F10" i="38"/>
  <c r="D10" i="38"/>
  <c r="C10" i="38"/>
  <c r="G9" i="38"/>
  <c r="H9" i="38" s="1"/>
  <c r="F9" i="38"/>
  <c r="D9" i="38"/>
  <c r="E9" i="38" s="1"/>
  <c r="C9" i="38"/>
  <c r="G8" i="38"/>
  <c r="H8" i="38" s="1"/>
  <c r="F8" i="38"/>
  <c r="D8" i="38"/>
  <c r="C8" i="38"/>
  <c r="G7" i="38"/>
  <c r="H7" i="38" s="1"/>
  <c r="F7" i="38"/>
  <c r="D7" i="38"/>
  <c r="C7" i="38"/>
  <c r="G6" i="38"/>
  <c r="H6" i="38" s="1"/>
  <c r="F6" i="38"/>
  <c r="D6" i="38"/>
  <c r="C6" i="38"/>
  <c r="G5" i="38"/>
  <c r="H5" i="38" s="1"/>
  <c r="F5" i="38"/>
  <c r="D5" i="38"/>
  <c r="C5" i="38"/>
  <c r="P10" i="41"/>
  <c r="AE10" i="43" s="1"/>
  <c r="O10" i="41"/>
  <c r="AD10" i="43" s="1"/>
  <c r="N10" i="41"/>
  <c r="AC10" i="43" s="1"/>
  <c r="M10" i="41"/>
  <c r="AB10" i="43" s="1"/>
  <c r="L10" i="41"/>
  <c r="AA10" i="43" s="1"/>
  <c r="K10" i="41"/>
  <c r="Z10" i="43" s="1"/>
  <c r="P9" i="41"/>
  <c r="AE9" i="43" s="1"/>
  <c r="O9" i="41"/>
  <c r="AD9" i="43" s="1"/>
  <c r="AD16" i="43" s="1"/>
  <c r="N9" i="41"/>
  <c r="AC9" i="43" s="1"/>
  <c r="AC16" i="43" s="1"/>
  <c r="M9" i="41"/>
  <c r="AB9" i="43" s="1"/>
  <c r="AB16" i="43" s="1"/>
  <c r="L9" i="41"/>
  <c r="AA9" i="43" s="1"/>
  <c r="K9" i="41"/>
  <c r="Z9" i="43" s="1"/>
  <c r="P8" i="41"/>
  <c r="AE8" i="43" s="1"/>
  <c r="N8" i="41"/>
  <c r="AC8" i="43" s="1"/>
  <c r="M8" i="41"/>
  <c r="AB8" i="43" s="1"/>
  <c r="L8" i="41"/>
  <c r="AA8" i="43" s="1"/>
  <c r="K8" i="41"/>
  <c r="Z8" i="43" s="1"/>
  <c r="P7" i="41"/>
  <c r="AE7" i="43" s="1"/>
  <c r="O7" i="41"/>
  <c r="AD7" i="43" s="1"/>
  <c r="N7" i="41"/>
  <c r="AC7" i="43" s="1"/>
  <c r="M7" i="41"/>
  <c r="AB7" i="43" s="1"/>
  <c r="AB14" i="43" s="1"/>
  <c r="L7" i="41"/>
  <c r="AA7" i="43" s="1"/>
  <c r="K7" i="41"/>
  <c r="Z7" i="43" s="1"/>
  <c r="P6" i="41"/>
  <c r="AE6" i="43" s="1"/>
  <c r="O6" i="41"/>
  <c r="AD6" i="43" s="1"/>
  <c r="N6" i="41"/>
  <c r="AC6" i="43" s="1"/>
  <c r="M6" i="41"/>
  <c r="AB6" i="43" s="1"/>
  <c r="L6" i="41"/>
  <c r="AA6" i="43" s="1"/>
  <c r="K6" i="41"/>
  <c r="Z6" i="43" s="1"/>
  <c r="P5" i="41"/>
  <c r="AE5" i="43" s="1"/>
  <c r="O5" i="41"/>
  <c r="AD5" i="43" s="1"/>
  <c r="N5" i="41"/>
  <c r="AC5" i="43" s="1"/>
  <c r="M5" i="41"/>
  <c r="AB5" i="43" s="1"/>
  <c r="L5" i="41"/>
  <c r="AA5" i="43" s="1"/>
  <c r="K5" i="41"/>
  <c r="Z5" i="43" s="1"/>
  <c r="P10" i="42"/>
  <c r="X10" i="43" s="1"/>
  <c r="O10" i="42"/>
  <c r="W10" i="43" s="1"/>
  <c r="N10" i="42"/>
  <c r="V10" i="43" s="1"/>
  <c r="M10" i="42"/>
  <c r="U10" i="43" s="1"/>
  <c r="L10" i="42"/>
  <c r="T10" i="43" s="1"/>
  <c r="K10" i="42"/>
  <c r="S10" i="43" s="1"/>
  <c r="P9" i="42"/>
  <c r="X9" i="43" s="1"/>
  <c r="O9" i="42"/>
  <c r="W9" i="43" s="1"/>
  <c r="N9" i="42"/>
  <c r="V9" i="43" s="1"/>
  <c r="M9" i="42"/>
  <c r="U9" i="43" s="1"/>
  <c r="L9" i="42"/>
  <c r="T9" i="43" s="1"/>
  <c r="K9" i="42"/>
  <c r="S9" i="43" s="1"/>
  <c r="P8" i="42"/>
  <c r="X8" i="43" s="1"/>
  <c r="N8" i="42"/>
  <c r="V8" i="43" s="1"/>
  <c r="M8" i="42"/>
  <c r="U8" i="43" s="1"/>
  <c r="L8" i="42"/>
  <c r="T8" i="43" s="1"/>
  <c r="K8" i="42"/>
  <c r="S8" i="43" s="1"/>
  <c r="P7" i="42"/>
  <c r="X7" i="43" s="1"/>
  <c r="O7" i="42"/>
  <c r="W7" i="43" s="1"/>
  <c r="N7" i="42"/>
  <c r="V7" i="43" s="1"/>
  <c r="M7" i="42"/>
  <c r="U7" i="43" s="1"/>
  <c r="L7" i="42"/>
  <c r="T7" i="43" s="1"/>
  <c r="K7" i="42"/>
  <c r="S7" i="43" s="1"/>
  <c r="P6" i="42"/>
  <c r="X6" i="43" s="1"/>
  <c r="O6" i="42"/>
  <c r="W6" i="43" s="1"/>
  <c r="N6" i="42"/>
  <c r="V6" i="43" s="1"/>
  <c r="M6" i="42"/>
  <c r="U6" i="43" s="1"/>
  <c r="L6" i="42"/>
  <c r="T6" i="43" s="1"/>
  <c r="K6" i="42"/>
  <c r="S6" i="43" s="1"/>
  <c r="P5" i="42"/>
  <c r="X5" i="43" s="1"/>
  <c r="O5" i="42"/>
  <c r="W5" i="43" s="1"/>
  <c r="N5" i="42"/>
  <c r="V5" i="43" s="1"/>
  <c r="M5" i="42"/>
  <c r="U5" i="43" s="1"/>
  <c r="L5" i="42"/>
  <c r="T5" i="43" s="1"/>
  <c r="K5" i="42"/>
  <c r="S5" i="43" s="1"/>
  <c r="P10" i="39"/>
  <c r="AE10" i="35" s="1"/>
  <c r="O10" i="39"/>
  <c r="AD10" i="35" s="1"/>
  <c r="N10" i="39"/>
  <c r="AC10" i="35" s="1"/>
  <c r="M10" i="39"/>
  <c r="AB10" i="35" s="1"/>
  <c r="L10" i="39"/>
  <c r="AA10" i="35" s="1"/>
  <c r="K10" i="39"/>
  <c r="Z10" i="35" s="1"/>
  <c r="P9" i="39"/>
  <c r="AE9" i="35" s="1"/>
  <c r="AE16" i="35" s="1"/>
  <c r="O9" i="39"/>
  <c r="AD9" i="35" s="1"/>
  <c r="AD16" i="35" s="1"/>
  <c r="N9" i="39"/>
  <c r="AC9" i="35" s="1"/>
  <c r="M9" i="39"/>
  <c r="AB9" i="35" s="1"/>
  <c r="AB16" i="35" s="1"/>
  <c r="L9" i="39"/>
  <c r="AA9" i="35" s="1"/>
  <c r="K9" i="39"/>
  <c r="Z9" i="35" s="1"/>
  <c r="P8" i="39"/>
  <c r="AE8" i="35" s="1"/>
  <c r="N8" i="39"/>
  <c r="AC8" i="35" s="1"/>
  <c r="M8" i="39"/>
  <c r="AB8" i="35" s="1"/>
  <c r="L8" i="39"/>
  <c r="AA8" i="35" s="1"/>
  <c r="K8" i="39"/>
  <c r="Z8" i="35" s="1"/>
  <c r="P7" i="39"/>
  <c r="AE7" i="35" s="1"/>
  <c r="O7" i="39"/>
  <c r="AD7" i="35" s="1"/>
  <c r="N7" i="39"/>
  <c r="AC7" i="35" s="1"/>
  <c r="M7" i="39"/>
  <c r="AB7" i="35" s="1"/>
  <c r="L7" i="39"/>
  <c r="AA7" i="35" s="1"/>
  <c r="K7" i="39"/>
  <c r="Z7" i="35" s="1"/>
  <c r="P6" i="39"/>
  <c r="AE6" i="35" s="1"/>
  <c r="O6" i="39"/>
  <c r="AD6" i="35" s="1"/>
  <c r="N6" i="39"/>
  <c r="AC6" i="35" s="1"/>
  <c r="M6" i="39"/>
  <c r="AB6" i="35" s="1"/>
  <c r="L6" i="39"/>
  <c r="AA6" i="35" s="1"/>
  <c r="K6" i="39"/>
  <c r="Z6" i="35" s="1"/>
  <c r="P5" i="39"/>
  <c r="AE5" i="35" s="1"/>
  <c r="O5" i="39"/>
  <c r="AD5" i="35" s="1"/>
  <c r="N5" i="39"/>
  <c r="AC5" i="35" s="1"/>
  <c r="M5" i="39"/>
  <c r="AB5" i="35" s="1"/>
  <c r="L5" i="39"/>
  <c r="AA5" i="35" s="1"/>
  <c r="K5" i="39"/>
  <c r="Z5" i="35" s="1"/>
  <c r="P10" i="40"/>
  <c r="X10" i="35" s="1"/>
  <c r="O10" i="40"/>
  <c r="W10" i="35" s="1"/>
  <c r="N10" i="40"/>
  <c r="V10" i="35" s="1"/>
  <c r="M10" i="40"/>
  <c r="U10" i="35" s="1"/>
  <c r="L10" i="40"/>
  <c r="T10" i="35" s="1"/>
  <c r="K10" i="40"/>
  <c r="S10" i="35" s="1"/>
  <c r="P9" i="40"/>
  <c r="X9" i="35" s="1"/>
  <c r="O9" i="40"/>
  <c r="W9" i="35" s="1"/>
  <c r="N9" i="40"/>
  <c r="V9" i="35" s="1"/>
  <c r="M9" i="40"/>
  <c r="U9" i="35" s="1"/>
  <c r="L9" i="40"/>
  <c r="T9" i="35" s="1"/>
  <c r="K9" i="40"/>
  <c r="S9" i="35" s="1"/>
  <c r="P8" i="40"/>
  <c r="X8" i="35" s="1"/>
  <c r="N8" i="40"/>
  <c r="V8" i="35" s="1"/>
  <c r="M8" i="40"/>
  <c r="U8" i="35" s="1"/>
  <c r="L8" i="40"/>
  <c r="T8" i="35" s="1"/>
  <c r="K8" i="40"/>
  <c r="S8" i="35" s="1"/>
  <c r="P7" i="40"/>
  <c r="X7" i="35" s="1"/>
  <c r="O7" i="40"/>
  <c r="W7" i="35" s="1"/>
  <c r="N7" i="40"/>
  <c r="V7" i="35" s="1"/>
  <c r="M7" i="40"/>
  <c r="U7" i="35" s="1"/>
  <c r="L7" i="40"/>
  <c r="T7" i="35" s="1"/>
  <c r="K7" i="40"/>
  <c r="S7" i="35" s="1"/>
  <c r="P6" i="40"/>
  <c r="X6" i="35" s="1"/>
  <c r="O6" i="40"/>
  <c r="W6" i="35" s="1"/>
  <c r="N6" i="40"/>
  <c r="V6" i="35" s="1"/>
  <c r="M6" i="40"/>
  <c r="U6" i="35" s="1"/>
  <c r="L6" i="40"/>
  <c r="T6" i="35" s="1"/>
  <c r="K6" i="40"/>
  <c r="S6" i="35" s="1"/>
  <c r="P5" i="40"/>
  <c r="X5" i="35" s="1"/>
  <c r="O5" i="40"/>
  <c r="W5" i="35" s="1"/>
  <c r="N5" i="40"/>
  <c r="V5" i="35" s="1"/>
  <c r="M5" i="40"/>
  <c r="U5" i="35" s="1"/>
  <c r="L5" i="40"/>
  <c r="T5" i="35" s="1"/>
  <c r="K5" i="40"/>
  <c r="S5" i="35" s="1"/>
  <c r="P10" i="38"/>
  <c r="AE10" i="36" s="1"/>
  <c r="O10" i="38"/>
  <c r="AD10" i="36" s="1"/>
  <c r="N10" i="38"/>
  <c r="AC10" i="36" s="1"/>
  <c r="M10" i="38"/>
  <c r="AB10" i="36" s="1"/>
  <c r="L10" i="38"/>
  <c r="AA10" i="36" s="1"/>
  <c r="K10" i="38"/>
  <c r="Z10" i="36" s="1"/>
  <c r="P9" i="38"/>
  <c r="AE9" i="36" s="1"/>
  <c r="O9" i="38"/>
  <c r="AD9" i="36" s="1"/>
  <c r="N9" i="38"/>
  <c r="AC9" i="36" s="1"/>
  <c r="AC16" i="36" s="1"/>
  <c r="M9" i="38"/>
  <c r="AB9" i="36" s="1"/>
  <c r="L9" i="38"/>
  <c r="AA9" i="36" s="1"/>
  <c r="AA16" i="36" s="1"/>
  <c r="K9" i="38"/>
  <c r="Z9" i="36" s="1"/>
  <c r="P8" i="38"/>
  <c r="AE8" i="36" s="1"/>
  <c r="N8" i="38"/>
  <c r="AC8" i="36" s="1"/>
  <c r="M8" i="38"/>
  <c r="AB8" i="36" s="1"/>
  <c r="L8" i="38"/>
  <c r="AA8" i="36" s="1"/>
  <c r="K8" i="38"/>
  <c r="Z8" i="36" s="1"/>
  <c r="P7" i="38"/>
  <c r="AE7" i="36" s="1"/>
  <c r="O7" i="38"/>
  <c r="AD7" i="36" s="1"/>
  <c r="N7" i="38"/>
  <c r="AC7" i="36" s="1"/>
  <c r="M7" i="38"/>
  <c r="AB7" i="36" s="1"/>
  <c r="L7" i="38"/>
  <c r="AA7" i="36" s="1"/>
  <c r="K7" i="38"/>
  <c r="Z7" i="36" s="1"/>
  <c r="P6" i="38"/>
  <c r="AE6" i="36" s="1"/>
  <c r="O6" i="38"/>
  <c r="AD6" i="36" s="1"/>
  <c r="N6" i="38"/>
  <c r="AC6" i="36" s="1"/>
  <c r="M6" i="38"/>
  <c r="AB6" i="36" s="1"/>
  <c r="L6" i="38"/>
  <c r="AA6" i="36" s="1"/>
  <c r="K6" i="38"/>
  <c r="Z6" i="36" s="1"/>
  <c r="P5" i="38"/>
  <c r="AE5" i="36" s="1"/>
  <c r="O5" i="38"/>
  <c r="AD5" i="36" s="1"/>
  <c r="N5" i="38"/>
  <c r="AC5" i="36" s="1"/>
  <c r="M5" i="38"/>
  <c r="AB5" i="36" s="1"/>
  <c r="L5" i="38"/>
  <c r="AA5" i="36" s="1"/>
  <c r="K5" i="38"/>
  <c r="Z5" i="36" s="1"/>
  <c r="O7" i="37"/>
  <c r="W7" i="36" s="1"/>
  <c r="P10" i="37"/>
  <c r="X10" i="36" s="1"/>
  <c r="P9" i="37"/>
  <c r="X9" i="36" s="1"/>
  <c r="X16" i="36" s="1"/>
  <c r="P8" i="37"/>
  <c r="X8" i="36" s="1"/>
  <c r="X15" i="36" s="1"/>
  <c r="P7" i="37"/>
  <c r="X7" i="36" s="1"/>
  <c r="P6" i="37"/>
  <c r="X6" i="36" s="1"/>
  <c r="X13" i="36" s="1"/>
  <c r="P5" i="37"/>
  <c r="X5" i="36" s="1"/>
  <c r="O10" i="37"/>
  <c r="W10" i="36" s="1"/>
  <c r="O9" i="37"/>
  <c r="W9" i="36" s="1"/>
  <c r="O6" i="37"/>
  <c r="W6" i="36" s="1"/>
  <c r="O5" i="37"/>
  <c r="W5" i="36" s="1"/>
  <c r="N10" i="37"/>
  <c r="V10" i="36" s="1"/>
  <c r="N9" i="37"/>
  <c r="V9" i="36" s="1"/>
  <c r="N8" i="37"/>
  <c r="V8" i="36" s="1"/>
  <c r="N7" i="37"/>
  <c r="V7" i="36" s="1"/>
  <c r="N6" i="37"/>
  <c r="V6" i="36" s="1"/>
  <c r="N5" i="37"/>
  <c r="V5" i="36" s="1"/>
  <c r="M10" i="37"/>
  <c r="U10" i="36" s="1"/>
  <c r="M9" i="37"/>
  <c r="U9" i="36" s="1"/>
  <c r="U16" i="36" s="1"/>
  <c r="M8" i="37"/>
  <c r="U8" i="36" s="1"/>
  <c r="M7" i="37"/>
  <c r="U7" i="36" s="1"/>
  <c r="U14" i="36" s="1"/>
  <c r="M6" i="37"/>
  <c r="U6" i="36" s="1"/>
  <c r="U13" i="36" s="1"/>
  <c r="M5" i="37"/>
  <c r="U5" i="36" s="1"/>
  <c r="L10" i="37"/>
  <c r="T10" i="36" s="1"/>
  <c r="L9" i="37"/>
  <c r="T9" i="36" s="1"/>
  <c r="L8" i="37"/>
  <c r="T8" i="36" s="1"/>
  <c r="L7" i="37"/>
  <c r="T7" i="36" s="1"/>
  <c r="L6" i="37"/>
  <c r="T6" i="36" s="1"/>
  <c r="L5" i="37"/>
  <c r="T5" i="36" s="1"/>
  <c r="K10" i="37"/>
  <c r="S10" i="36" s="1"/>
  <c r="K9" i="37"/>
  <c r="S9" i="36" s="1"/>
  <c r="K8" i="37"/>
  <c r="S8" i="36" s="1"/>
  <c r="K7" i="37"/>
  <c r="S7" i="36" s="1"/>
  <c r="K6" i="37"/>
  <c r="S6" i="36" s="1"/>
  <c r="K5" i="37"/>
  <c r="S5" i="36" s="1"/>
  <c r="K45" i="36"/>
  <c r="K42" i="36"/>
  <c r="M19" i="36"/>
  <c r="G45" i="37"/>
  <c r="H45" i="37" s="1"/>
  <c r="G44" i="37"/>
  <c r="H44" i="37" s="1"/>
  <c r="G43" i="37"/>
  <c r="H43" i="37" s="1"/>
  <c r="G42" i="37"/>
  <c r="H42" i="37" s="1"/>
  <c r="G41" i="37"/>
  <c r="H41" i="37" s="1"/>
  <c r="G40" i="37"/>
  <c r="H40" i="37" s="1"/>
  <c r="F45" i="37"/>
  <c r="F45" i="36" s="1"/>
  <c r="F44" i="37"/>
  <c r="F44" i="36" s="1"/>
  <c r="F43" i="37"/>
  <c r="F43" i="36" s="1"/>
  <c r="F42" i="37"/>
  <c r="F42" i="36" s="1"/>
  <c r="F41" i="37"/>
  <c r="F41" i="36" s="1"/>
  <c r="F40" i="37"/>
  <c r="F40" i="36" s="1"/>
  <c r="D45" i="37"/>
  <c r="D44" i="37"/>
  <c r="D44" i="36" s="1"/>
  <c r="D43" i="37"/>
  <c r="D43" i="36" s="1"/>
  <c r="D42" i="37"/>
  <c r="D41" i="37"/>
  <c r="D40" i="37"/>
  <c r="C45" i="37"/>
  <c r="C45" i="36" s="1"/>
  <c r="C44" i="37"/>
  <c r="C44" i="36" s="1"/>
  <c r="C43" i="37"/>
  <c r="C43" i="36" s="1"/>
  <c r="C42" i="37"/>
  <c r="C42" i="36" s="1"/>
  <c r="C41" i="37"/>
  <c r="C41" i="36" s="1"/>
  <c r="C40" i="37"/>
  <c r="C40" i="36" s="1"/>
  <c r="G17" i="37"/>
  <c r="H17" i="37" s="1"/>
  <c r="G16" i="37"/>
  <c r="H16" i="37" s="1"/>
  <c r="G15" i="37"/>
  <c r="H15" i="37" s="1"/>
  <c r="G14" i="37"/>
  <c r="H14" i="37" s="1"/>
  <c r="G13" i="37"/>
  <c r="H13" i="37" s="1"/>
  <c r="G12" i="37"/>
  <c r="H12" i="37" s="1"/>
  <c r="F17" i="37"/>
  <c r="F17" i="36" s="1"/>
  <c r="F16" i="37"/>
  <c r="F16" i="36" s="1"/>
  <c r="F15" i="37"/>
  <c r="F15" i="36" s="1"/>
  <c r="F14" i="37"/>
  <c r="F14" i="36" s="1"/>
  <c r="F13" i="37"/>
  <c r="F13" i="36" s="1"/>
  <c r="F12" i="37"/>
  <c r="F12" i="36" s="1"/>
  <c r="C12" i="37"/>
  <c r="C12" i="36" s="1"/>
  <c r="D17" i="37"/>
  <c r="D17" i="36" s="1"/>
  <c r="D16" i="37"/>
  <c r="D16" i="36" s="1"/>
  <c r="D15" i="37"/>
  <c r="D15" i="36" s="1"/>
  <c r="D14" i="37"/>
  <c r="D14" i="36" s="1"/>
  <c r="D13" i="37"/>
  <c r="D13" i="36" s="1"/>
  <c r="D12" i="37"/>
  <c r="D12" i="36" s="1"/>
  <c r="C17" i="37"/>
  <c r="C17" i="36" s="1"/>
  <c r="C16" i="37"/>
  <c r="C16" i="36" s="1"/>
  <c r="C15" i="37"/>
  <c r="C15" i="36" s="1"/>
  <c r="C14" i="37"/>
  <c r="C14" i="36" s="1"/>
  <c r="C13" i="37"/>
  <c r="C13" i="36" s="1"/>
  <c r="C5" i="37"/>
  <c r="C5" i="36" s="1"/>
  <c r="E42" i="38" l="1"/>
  <c r="E43" i="39"/>
  <c r="L43" i="35" s="1"/>
  <c r="E15" i="39"/>
  <c r="L15" i="35" s="1"/>
  <c r="E40" i="37"/>
  <c r="AB15" i="36"/>
  <c r="Z17" i="36"/>
  <c r="K30" i="36"/>
  <c r="E41" i="42"/>
  <c r="E41" i="43" s="1"/>
  <c r="E13" i="41"/>
  <c r="L13" i="43" s="1"/>
  <c r="E27" i="41"/>
  <c r="L27" i="43" s="1"/>
  <c r="E17" i="41"/>
  <c r="L17" i="43" s="1"/>
  <c r="E45" i="39"/>
  <c r="L45" i="35" s="1"/>
  <c r="E17" i="42"/>
  <c r="E17" i="43" s="1"/>
  <c r="E45" i="42"/>
  <c r="E45" i="43" s="1"/>
  <c r="E31" i="41"/>
  <c r="L31" i="43" s="1"/>
  <c r="E45" i="41"/>
  <c r="L45" i="43" s="1"/>
  <c r="E20" i="38"/>
  <c r="E45" i="37"/>
  <c r="E22" i="38"/>
  <c r="L22" i="36" s="1"/>
  <c r="G20" i="35"/>
  <c r="N44" i="35"/>
  <c r="N34" i="35"/>
  <c r="N31" i="35"/>
  <c r="N17" i="35"/>
  <c r="S12" i="43"/>
  <c r="X14" i="36"/>
  <c r="AC13" i="43"/>
  <c r="G43" i="43"/>
  <c r="G42" i="43"/>
  <c r="G30" i="43"/>
  <c r="N44" i="43"/>
  <c r="N35" i="35"/>
  <c r="N16" i="43"/>
  <c r="N15" i="43"/>
  <c r="N14" i="43"/>
  <c r="G37" i="35"/>
  <c r="N8" i="43"/>
  <c r="G35" i="35"/>
  <c r="G22" i="35"/>
  <c r="S14" i="36"/>
  <c r="Z15" i="36"/>
  <c r="W13" i="43"/>
  <c r="Z13" i="43"/>
  <c r="X13" i="43"/>
  <c r="AA13" i="43"/>
  <c r="U15" i="36"/>
  <c r="AD17" i="43"/>
  <c r="AB13" i="35"/>
  <c r="AB17" i="36"/>
  <c r="AC13" i="35"/>
  <c r="X15" i="43"/>
  <c r="AD12" i="35"/>
  <c r="V17" i="36"/>
  <c r="AC15" i="35"/>
  <c r="X17" i="43"/>
  <c r="E34" i="42"/>
  <c r="E34" i="43" s="1"/>
  <c r="E6" i="41"/>
  <c r="L6" i="43" s="1"/>
  <c r="E34" i="41"/>
  <c r="L34" i="43" s="1"/>
  <c r="E7" i="38"/>
  <c r="D37" i="35"/>
  <c r="E7" i="42"/>
  <c r="E7" i="43" s="1"/>
  <c r="E35" i="42"/>
  <c r="E35" i="43" s="1"/>
  <c r="D27" i="43"/>
  <c r="E7" i="41"/>
  <c r="L7" i="43" s="1"/>
  <c r="E8" i="38"/>
  <c r="D16" i="43"/>
  <c r="E36" i="40"/>
  <c r="E36" i="35" s="1"/>
  <c r="E8" i="39"/>
  <c r="E36" i="39"/>
  <c r="L36" i="35" s="1"/>
  <c r="E8" i="42"/>
  <c r="E8" i="43" s="1"/>
  <c r="E36" i="42"/>
  <c r="E36" i="43" s="1"/>
  <c r="E8" i="41"/>
  <c r="L8" i="43" s="1"/>
  <c r="E22" i="41"/>
  <c r="L22" i="43" s="1"/>
  <c r="E36" i="41"/>
  <c r="L36" i="43" s="1"/>
  <c r="E38" i="41"/>
  <c r="L38" i="43" s="1"/>
  <c r="E26" i="40"/>
  <c r="E26" i="35" s="1"/>
  <c r="K38" i="43"/>
  <c r="E26" i="38"/>
  <c r="L26" i="36" s="1"/>
  <c r="E40" i="38"/>
  <c r="L40" i="36" s="1"/>
  <c r="E12" i="40"/>
  <c r="E12" i="35" s="1"/>
  <c r="K44" i="36"/>
  <c r="E40" i="40"/>
  <c r="E40" i="35" s="1"/>
  <c r="E26" i="39"/>
  <c r="L26" i="35" s="1"/>
  <c r="E40" i="39"/>
  <c r="L40" i="35" s="1"/>
  <c r="E12" i="42"/>
  <c r="E12" i="43" s="1"/>
  <c r="E40" i="42"/>
  <c r="E40" i="43" s="1"/>
  <c r="E12" i="41"/>
  <c r="L12" i="43" s="1"/>
  <c r="E26" i="41"/>
  <c r="L26" i="43" s="1"/>
  <c r="E40" i="41"/>
  <c r="L40" i="43" s="1"/>
  <c r="K44" i="35"/>
  <c r="K37" i="43"/>
  <c r="E13" i="38"/>
  <c r="L13" i="36" s="1"/>
  <c r="K30" i="43"/>
  <c r="E27" i="40"/>
  <c r="E27" i="35" s="1"/>
  <c r="K43" i="35"/>
  <c r="E14" i="38"/>
  <c r="L14" i="36" s="1"/>
  <c r="K37" i="35"/>
  <c r="E14" i="39"/>
  <c r="L14" i="35" s="1"/>
  <c r="E42" i="39"/>
  <c r="L42" i="35" s="1"/>
  <c r="E42" i="41"/>
  <c r="L42" i="43" s="1"/>
  <c r="E28" i="39"/>
  <c r="L28" i="35" s="1"/>
  <c r="E14" i="42"/>
  <c r="E14" i="43" s="1"/>
  <c r="E28" i="41"/>
  <c r="L28" i="43" s="1"/>
  <c r="E29" i="40"/>
  <c r="E29" i="35" s="1"/>
  <c r="E15" i="42"/>
  <c r="E15" i="43" s="1"/>
  <c r="E29" i="41"/>
  <c r="L29" i="43" s="1"/>
  <c r="E41" i="37"/>
  <c r="E42" i="37"/>
  <c r="K13" i="43"/>
  <c r="E31" i="38"/>
  <c r="E45" i="38"/>
  <c r="E5" i="38"/>
  <c r="E33" i="41"/>
  <c r="L33" i="43" s="1"/>
  <c r="D44" i="35"/>
  <c r="E6" i="38"/>
  <c r="E22" i="40"/>
  <c r="E22" i="35" s="1"/>
  <c r="E6" i="39"/>
  <c r="E10" i="41"/>
  <c r="L10" i="43" s="1"/>
  <c r="K17" i="43"/>
  <c r="E24" i="38"/>
  <c r="D17" i="43"/>
  <c r="E10" i="38"/>
  <c r="K28" i="35"/>
  <c r="K27" i="35"/>
  <c r="E41" i="40"/>
  <c r="E41" i="35" s="1"/>
  <c r="K26" i="35"/>
  <c r="D13" i="43"/>
  <c r="K31" i="43"/>
  <c r="E42" i="40"/>
  <c r="E42" i="35" s="1"/>
  <c r="D8" i="43"/>
  <c r="K12" i="43"/>
  <c r="E29" i="38"/>
  <c r="L29" i="36" s="1"/>
  <c r="K16" i="35"/>
  <c r="E15" i="38"/>
  <c r="L15" i="36" s="1"/>
  <c r="E14" i="41"/>
  <c r="L14" i="43" s="1"/>
  <c r="E42" i="42"/>
  <c r="E42" i="43" s="1"/>
  <c r="E43" i="40"/>
  <c r="E43" i="35" s="1"/>
  <c r="D16" i="35"/>
  <c r="E16" i="37"/>
  <c r="D45" i="43"/>
  <c r="E43" i="42"/>
  <c r="E43" i="43" s="1"/>
  <c r="E17" i="37"/>
  <c r="E15" i="37"/>
  <c r="D9" i="35"/>
  <c r="K41" i="43"/>
  <c r="D44" i="43"/>
  <c r="E13" i="37"/>
  <c r="K45" i="35"/>
  <c r="E14" i="37"/>
  <c r="E12" i="37"/>
  <c r="K40" i="43"/>
  <c r="G29" i="43"/>
  <c r="N22" i="35"/>
  <c r="N21" i="35"/>
  <c r="G12" i="35"/>
  <c r="N20" i="35"/>
  <c r="G10" i="35"/>
  <c r="N29" i="43"/>
  <c r="G23" i="43"/>
  <c r="G9" i="35"/>
  <c r="G40" i="35"/>
  <c r="N45" i="35"/>
  <c r="N22" i="43"/>
  <c r="G15" i="43"/>
  <c r="N13" i="36"/>
  <c r="N12" i="36"/>
  <c r="G36" i="35"/>
  <c r="G13" i="43"/>
  <c r="N33" i="35"/>
  <c r="G36" i="43"/>
  <c r="N42" i="43"/>
  <c r="N43" i="43"/>
  <c r="G24" i="35"/>
  <c r="G37" i="43"/>
  <c r="G23" i="35"/>
  <c r="G21" i="35"/>
  <c r="N37" i="43"/>
  <c r="N36" i="43"/>
  <c r="G28" i="43"/>
  <c r="N29" i="36"/>
  <c r="N19" i="35"/>
  <c r="G14" i="43"/>
  <c r="N41" i="43"/>
  <c r="N28" i="43"/>
  <c r="N30" i="35"/>
  <c r="N16" i="35"/>
  <c r="G12" i="43"/>
  <c r="G40" i="43"/>
  <c r="G10" i="43"/>
  <c r="N38" i="43"/>
  <c r="N24" i="43"/>
  <c r="N27" i="43"/>
  <c r="G24" i="43"/>
  <c r="N10" i="43"/>
  <c r="G27" i="43"/>
  <c r="G26" i="43"/>
  <c r="G41" i="43"/>
  <c r="G34" i="35"/>
  <c r="G19" i="35"/>
  <c r="N29" i="35"/>
  <c r="N13" i="43"/>
  <c r="N26" i="43"/>
  <c r="N43" i="35"/>
  <c r="G38" i="43"/>
  <c r="G9" i="43"/>
  <c r="N23" i="43"/>
  <c r="G8" i="43"/>
  <c r="N45" i="36"/>
  <c r="G33" i="35"/>
  <c r="G17" i="35"/>
  <c r="N9" i="43"/>
  <c r="N40" i="43"/>
  <c r="G45" i="35"/>
  <c r="N42" i="35"/>
  <c r="N14" i="35"/>
  <c r="G22" i="43"/>
  <c r="N27" i="35"/>
  <c r="G21" i="43"/>
  <c r="G7" i="43"/>
  <c r="N21" i="43"/>
  <c r="N12" i="43"/>
  <c r="G31" i="35"/>
  <c r="G16" i="35"/>
  <c r="N41" i="35"/>
  <c r="G44" i="35"/>
  <c r="N13" i="35"/>
  <c r="N35" i="43"/>
  <c r="N7" i="43"/>
  <c r="G35" i="43"/>
  <c r="G20" i="43"/>
  <c r="G6" i="43"/>
  <c r="N28" i="35"/>
  <c r="G30" i="35"/>
  <c r="N40" i="35"/>
  <c r="N20" i="43"/>
  <c r="N12" i="35"/>
  <c r="N34" i="43"/>
  <c r="N6" i="43"/>
  <c r="G38" i="35"/>
  <c r="N26" i="35"/>
  <c r="G34" i="43"/>
  <c r="G19" i="43"/>
  <c r="G29" i="35"/>
  <c r="G15" i="35"/>
  <c r="N38" i="35"/>
  <c r="N19" i="43"/>
  <c r="G26" i="35"/>
  <c r="G43" i="35"/>
  <c r="G5" i="43"/>
  <c r="N5" i="43"/>
  <c r="N33" i="43"/>
  <c r="N15" i="35"/>
  <c r="G33" i="43"/>
  <c r="G17" i="43"/>
  <c r="G28" i="35"/>
  <c r="G14" i="35"/>
  <c r="N37" i="35"/>
  <c r="G42" i="35"/>
  <c r="N24" i="35"/>
  <c r="G45" i="43"/>
  <c r="N31" i="43"/>
  <c r="N17" i="43"/>
  <c r="N45" i="43"/>
  <c r="G13" i="35"/>
  <c r="N23" i="35"/>
  <c r="G31" i="43"/>
  <c r="G16" i="43"/>
  <c r="G27" i="35"/>
  <c r="G41" i="35"/>
  <c r="N36" i="35"/>
  <c r="G44" i="43"/>
  <c r="N30" i="43"/>
  <c r="E35" i="39"/>
  <c r="L35" i="35" s="1"/>
  <c r="E10" i="42"/>
  <c r="E10" i="43" s="1"/>
  <c r="D35" i="43"/>
  <c r="D34" i="43"/>
  <c r="E38" i="39"/>
  <c r="L38" i="35" s="1"/>
  <c r="E44" i="37"/>
  <c r="D14" i="43"/>
  <c r="K9" i="43"/>
  <c r="E28" i="40"/>
  <c r="E28" i="35" s="1"/>
  <c r="E38" i="42"/>
  <c r="E38" i="43" s="1"/>
  <c r="E24" i="41"/>
  <c r="L24" i="43" s="1"/>
  <c r="K15" i="35"/>
  <c r="E14" i="40"/>
  <c r="E14" i="35" s="1"/>
  <c r="E35" i="41"/>
  <c r="L35" i="43" s="1"/>
  <c r="E17" i="38"/>
  <c r="L17" i="36" s="1"/>
  <c r="E43" i="38"/>
  <c r="L43" i="36" s="1"/>
  <c r="E15" i="40"/>
  <c r="E15" i="35" s="1"/>
  <c r="E38" i="38"/>
  <c r="L38" i="36" s="1"/>
  <c r="E43" i="37"/>
  <c r="E43" i="36" s="1"/>
  <c r="D41" i="43"/>
  <c r="K45" i="43"/>
  <c r="K36" i="43"/>
  <c r="K27" i="43"/>
  <c r="K8" i="43"/>
  <c r="D42" i="35"/>
  <c r="D23" i="35"/>
  <c r="D14" i="35"/>
  <c r="K42" i="35"/>
  <c r="K14" i="35"/>
  <c r="E24" i="40"/>
  <c r="E24" i="35" s="1"/>
  <c r="E30" i="40"/>
  <c r="E30" i="35" s="1"/>
  <c r="K13" i="36"/>
  <c r="D40" i="43"/>
  <c r="D30" i="43"/>
  <c r="D12" i="43"/>
  <c r="K44" i="43"/>
  <c r="K26" i="43"/>
  <c r="K16" i="43"/>
  <c r="K7" i="43"/>
  <c r="E17" i="40"/>
  <c r="E17" i="35" s="1"/>
  <c r="D41" i="35"/>
  <c r="D13" i="35"/>
  <c r="K41" i="35"/>
  <c r="K13" i="35"/>
  <c r="E33" i="38"/>
  <c r="L33" i="36" s="1"/>
  <c r="K14" i="36"/>
  <c r="E30" i="39"/>
  <c r="L30" i="35" s="1"/>
  <c r="E29" i="42"/>
  <c r="E29" i="43" s="1"/>
  <c r="E38" i="40"/>
  <c r="E38" i="35" s="1"/>
  <c r="E37" i="42"/>
  <c r="E37" i="43" s="1"/>
  <c r="E5" i="40"/>
  <c r="E5" i="35" s="1"/>
  <c r="E45" i="40"/>
  <c r="E45" i="35" s="1"/>
  <c r="E17" i="39"/>
  <c r="L17" i="35" s="1"/>
  <c r="E10" i="39"/>
  <c r="K20" i="36"/>
  <c r="E34" i="38"/>
  <c r="E19" i="40"/>
  <c r="E19" i="35" s="1"/>
  <c r="E29" i="39"/>
  <c r="L29" i="35" s="1"/>
  <c r="E31" i="39"/>
  <c r="L31" i="35" s="1"/>
  <c r="D38" i="43"/>
  <c r="D10" i="43"/>
  <c r="K43" i="43"/>
  <c r="K34" i="43"/>
  <c r="K24" i="43"/>
  <c r="K6" i="43"/>
  <c r="E22" i="42"/>
  <c r="E22" i="43" s="1"/>
  <c r="E33" i="40"/>
  <c r="E33" i="35" s="1"/>
  <c r="D40" i="35"/>
  <c r="D12" i="35"/>
  <c r="K40" i="35"/>
  <c r="E6" i="40"/>
  <c r="E19" i="39"/>
  <c r="L19" i="35" s="1"/>
  <c r="D36" i="35"/>
  <c r="E24" i="42"/>
  <c r="E24" i="43" s="1"/>
  <c r="E35" i="38"/>
  <c r="E33" i="39"/>
  <c r="L33" i="35" s="1"/>
  <c r="E24" i="39"/>
  <c r="L24" i="35" s="1"/>
  <c r="E21" i="38"/>
  <c r="L21" i="36" s="1"/>
  <c r="E34" i="40"/>
  <c r="E34" i="35" s="1"/>
  <c r="E31" i="42"/>
  <c r="E31" i="43" s="1"/>
  <c r="K36" i="35"/>
  <c r="E5" i="42"/>
  <c r="E5" i="43" s="1"/>
  <c r="E19" i="42"/>
  <c r="E19" i="43" s="1"/>
  <c r="D19" i="43"/>
  <c r="D9" i="43"/>
  <c r="K42" i="43"/>
  <c r="K33" i="43"/>
  <c r="K23" i="43"/>
  <c r="K14" i="43"/>
  <c r="D7" i="43"/>
  <c r="E7" i="40"/>
  <c r="E7" i="35" s="1"/>
  <c r="E21" i="40"/>
  <c r="E21" i="35" s="1"/>
  <c r="D38" i="35"/>
  <c r="K38" i="35"/>
  <c r="D5" i="43"/>
  <c r="E36" i="38"/>
  <c r="L36" i="36" s="1"/>
  <c r="E34" i="39"/>
  <c r="L34" i="35" s="1"/>
  <c r="E10" i="40"/>
  <c r="E10" i="35" s="1"/>
  <c r="D26" i="35"/>
  <c r="E31" i="40"/>
  <c r="E31" i="35" s="1"/>
  <c r="E35" i="40"/>
  <c r="E35" i="35" s="1"/>
  <c r="E33" i="42"/>
  <c r="E33" i="43" s="1"/>
  <c r="E22" i="39"/>
  <c r="L22" i="35" s="1"/>
  <c r="E7" i="39"/>
  <c r="E21" i="39"/>
  <c r="L21" i="35" s="1"/>
  <c r="E6" i="42"/>
  <c r="E6" i="43" s="1"/>
  <c r="E20" i="42"/>
  <c r="E20" i="43" s="1"/>
  <c r="E12" i="38"/>
  <c r="L12" i="36" s="1"/>
  <c r="E8" i="40"/>
  <c r="E5" i="41"/>
  <c r="L5" i="43" s="1"/>
  <c r="E19" i="41"/>
  <c r="L19" i="43" s="1"/>
  <c r="S17" i="36"/>
  <c r="U17" i="35"/>
  <c r="W15" i="36"/>
  <c r="AA15" i="36"/>
  <c r="V17" i="35"/>
  <c r="V13" i="43"/>
  <c r="AD15" i="36"/>
  <c r="V12" i="43"/>
  <c r="AE12" i="35"/>
  <c r="V12" i="36"/>
  <c r="T13" i="43"/>
  <c r="U12" i="35"/>
  <c r="V12" i="35"/>
  <c r="V17" i="43"/>
  <c r="V13" i="36"/>
  <c r="U13" i="35"/>
  <c r="V13" i="35"/>
  <c r="S14" i="35"/>
  <c r="U12" i="43"/>
  <c r="U14" i="35"/>
  <c r="S15" i="35"/>
  <c r="T17" i="36"/>
  <c r="AB13" i="36"/>
  <c r="T14" i="36"/>
  <c r="W12" i="35"/>
  <c r="X12" i="35"/>
  <c r="W13" i="35"/>
  <c r="X13" i="35"/>
  <c r="AC12" i="43"/>
  <c r="AD12" i="43"/>
  <c r="T13" i="36"/>
  <c r="V14" i="36"/>
  <c r="AD14" i="35"/>
  <c r="S13" i="43"/>
  <c r="W13" i="36"/>
  <c r="AE14" i="35"/>
  <c r="AC17" i="43"/>
  <c r="AE13" i="35"/>
  <c r="U17" i="43"/>
  <c r="X17" i="35"/>
  <c r="T14" i="35"/>
  <c r="AC12" i="35"/>
  <c r="AB12" i="43"/>
  <c r="AB13" i="43"/>
  <c r="X14" i="35"/>
  <c r="U15" i="35"/>
  <c r="AE17" i="35"/>
  <c r="U13" i="43"/>
  <c r="AB17" i="43"/>
  <c r="AC14" i="43"/>
  <c r="T13" i="35"/>
  <c r="V15" i="35"/>
  <c r="AD14" i="43"/>
  <c r="W17" i="35"/>
  <c r="Z17" i="43"/>
  <c r="AE17" i="36"/>
  <c r="S17" i="43"/>
  <c r="AC12" i="36"/>
  <c r="W17" i="43"/>
  <c r="X12" i="36"/>
  <c r="AC13" i="36"/>
  <c r="AE13" i="36"/>
  <c r="AE16" i="36"/>
  <c r="AC15" i="36"/>
  <c r="W12" i="43"/>
  <c r="AD12" i="36"/>
  <c r="AE12" i="36"/>
  <c r="W14" i="36"/>
  <c r="AA13" i="35"/>
  <c r="AE15" i="36"/>
  <c r="AB17" i="35"/>
  <c r="U12" i="36"/>
  <c r="AC17" i="35"/>
  <c r="AD13" i="36"/>
  <c r="AD16" i="36"/>
  <c r="U17" i="36"/>
  <c r="X17" i="36"/>
  <c r="AA14" i="43"/>
  <c r="Z12" i="36"/>
  <c r="S13" i="35"/>
  <c r="AC17" i="36"/>
  <c r="Z14" i="36"/>
  <c r="AC14" i="36"/>
  <c r="X12" i="43"/>
  <c r="AD14" i="36"/>
  <c r="S16" i="36"/>
  <c r="S13" i="36"/>
  <c r="AE14" i="36"/>
  <c r="AB16" i="36"/>
  <c r="S15" i="43"/>
  <c r="T17" i="35"/>
  <c r="W12" i="36"/>
  <c r="AE17" i="43"/>
  <c r="T16" i="36"/>
  <c r="V14" i="35"/>
  <c r="Z14" i="43"/>
  <c r="AB12" i="36"/>
  <c r="V16" i="36"/>
  <c r="AB14" i="36"/>
  <c r="AD13" i="43"/>
  <c r="AE12" i="43"/>
  <c r="Z13" i="35"/>
  <c r="AE14" i="43"/>
  <c r="AE13" i="43"/>
  <c r="AA17" i="43"/>
  <c r="AA12" i="43"/>
  <c r="Z16" i="43"/>
  <c r="Z12" i="43"/>
  <c r="AA16" i="43"/>
  <c r="T12" i="43"/>
  <c r="T17" i="43"/>
  <c r="T14" i="43"/>
  <c r="AD17" i="35"/>
  <c r="AD13" i="35"/>
  <c r="Z16" i="35"/>
  <c r="Z17" i="35"/>
  <c r="Z14" i="35"/>
  <c r="Z12" i="35"/>
  <c r="AA17" i="35"/>
  <c r="AA14" i="35"/>
  <c r="AA16" i="35"/>
  <c r="T12" i="35"/>
  <c r="S17" i="35"/>
  <c r="S12" i="35"/>
  <c r="AD17" i="36"/>
  <c r="AA13" i="36"/>
  <c r="AA17" i="36"/>
  <c r="Z16" i="36"/>
  <c r="AA14" i="36"/>
  <c r="Z13" i="36"/>
  <c r="AA12" i="36"/>
  <c r="W16" i="36"/>
  <c r="W17" i="36"/>
  <c r="V15" i="36"/>
  <c r="T12" i="36"/>
  <c r="T15" i="36"/>
  <c r="S12" i="36"/>
  <c r="S15" i="36"/>
  <c r="T15" i="43"/>
  <c r="U14" i="43"/>
  <c r="V15" i="43"/>
  <c r="W15" i="43"/>
  <c r="S14" i="43"/>
  <c r="V14" i="43"/>
  <c r="X14" i="43"/>
  <c r="AB15" i="43"/>
  <c r="AC15" i="43"/>
  <c r="U15" i="43"/>
  <c r="Z15" i="43"/>
  <c r="AD15" i="43"/>
  <c r="AA15" i="43"/>
  <c r="AE15" i="43"/>
  <c r="S16" i="43"/>
  <c r="T16" i="43"/>
  <c r="U16" i="43"/>
  <c r="V16" i="43"/>
  <c r="W16" i="43"/>
  <c r="X16" i="43"/>
  <c r="W14" i="43"/>
  <c r="AE16" i="43"/>
  <c r="AB14" i="35"/>
  <c r="AA12" i="35"/>
  <c r="AB12" i="35"/>
  <c r="T15" i="35"/>
  <c r="W14" i="35"/>
  <c r="X15" i="35"/>
  <c r="S16" i="35"/>
  <c r="T16" i="35"/>
  <c r="AD15" i="35"/>
  <c r="U16" i="35"/>
  <c r="Z15" i="35"/>
  <c r="V16" i="35"/>
  <c r="W16" i="35"/>
  <c r="AE15" i="35"/>
  <c r="X16" i="35"/>
  <c r="AA15" i="35"/>
  <c r="AB15" i="35"/>
  <c r="AC16" i="35"/>
  <c r="AC14" i="35"/>
  <c r="W15" i="35"/>
  <c r="H5" i="40"/>
  <c r="I5" i="40" s="1"/>
  <c r="H5" i="35" s="1"/>
  <c r="N5" i="35"/>
  <c r="I33" i="39"/>
  <c r="O33" i="35" s="1"/>
  <c r="I38" i="39"/>
  <c r="O38" i="35" s="1"/>
  <c r="I34" i="39"/>
  <c r="O34" i="35" s="1"/>
  <c r="I35" i="39"/>
  <c r="O35" i="35" s="1"/>
  <c r="I19" i="41"/>
  <c r="O19" i="43" s="1"/>
  <c r="I21" i="41"/>
  <c r="O21" i="43" s="1"/>
  <c r="I22" i="41"/>
  <c r="O22" i="43" s="1"/>
  <c r="I20" i="41"/>
  <c r="O20" i="43" s="1"/>
  <c r="I24" i="41"/>
  <c r="O24" i="43" s="1"/>
  <c r="I23" i="41"/>
  <c r="O23" i="43" s="1"/>
  <c r="I13" i="41"/>
  <c r="O13" i="43" s="1"/>
  <c r="I12" i="41"/>
  <c r="O12" i="43" s="1"/>
  <c r="I15" i="41"/>
  <c r="O15" i="43" s="1"/>
  <c r="I16" i="41"/>
  <c r="O16" i="43" s="1"/>
  <c r="I14" i="41"/>
  <c r="O14" i="43" s="1"/>
  <c r="I17" i="41"/>
  <c r="O17" i="43" s="1"/>
  <c r="I37" i="41"/>
  <c r="O37" i="43" s="1"/>
  <c r="I36" i="41"/>
  <c r="O36" i="43" s="1"/>
  <c r="I38" i="41"/>
  <c r="O38" i="43" s="1"/>
  <c r="I35" i="41"/>
  <c r="O35" i="43" s="1"/>
  <c r="I34" i="41"/>
  <c r="O34" i="43" s="1"/>
  <c r="I33" i="41"/>
  <c r="O33" i="43" s="1"/>
  <c r="I29" i="41"/>
  <c r="O29" i="43" s="1"/>
  <c r="I28" i="41"/>
  <c r="O28" i="43" s="1"/>
  <c r="I31" i="41"/>
  <c r="O31" i="43" s="1"/>
  <c r="I27" i="41"/>
  <c r="O27" i="43" s="1"/>
  <c r="I30" i="41"/>
  <c r="O30" i="43" s="1"/>
  <c r="I26" i="41"/>
  <c r="O26" i="43" s="1"/>
  <c r="I45" i="41"/>
  <c r="O45" i="43" s="1"/>
  <c r="I44" i="41"/>
  <c r="O44" i="43" s="1"/>
  <c r="I41" i="41"/>
  <c r="O41" i="43" s="1"/>
  <c r="I43" i="41"/>
  <c r="O43" i="43" s="1"/>
  <c r="I42" i="41"/>
  <c r="O42" i="43" s="1"/>
  <c r="I40" i="41"/>
  <c r="O40" i="43" s="1"/>
  <c r="I8" i="41"/>
  <c r="O8" i="43" s="1"/>
  <c r="I5" i="41"/>
  <c r="O5" i="43" s="1"/>
  <c r="I7" i="41"/>
  <c r="O7" i="43" s="1"/>
  <c r="I6" i="41"/>
  <c r="O6" i="43" s="1"/>
  <c r="I10" i="41"/>
  <c r="O10" i="43" s="1"/>
  <c r="I9" i="41"/>
  <c r="O9" i="43" s="1"/>
  <c r="E9" i="41"/>
  <c r="L9" i="43" s="1"/>
  <c r="E15" i="41"/>
  <c r="L15" i="43" s="1"/>
  <c r="E20" i="41"/>
  <c r="L20" i="43" s="1"/>
  <c r="E21" i="41"/>
  <c r="L21" i="43" s="1"/>
  <c r="I37" i="42"/>
  <c r="H37" i="43" s="1"/>
  <c r="I33" i="42"/>
  <c r="H33" i="43" s="1"/>
  <c r="I36" i="42"/>
  <c r="H36" i="43" s="1"/>
  <c r="I35" i="42"/>
  <c r="H35" i="43" s="1"/>
  <c r="I38" i="42"/>
  <c r="H38" i="43" s="1"/>
  <c r="I34" i="42"/>
  <c r="H34" i="43" s="1"/>
  <c r="I13" i="42"/>
  <c r="H13" i="43" s="1"/>
  <c r="I12" i="42"/>
  <c r="H12" i="43" s="1"/>
  <c r="I15" i="42"/>
  <c r="H15" i="43" s="1"/>
  <c r="I14" i="42"/>
  <c r="H14" i="43" s="1"/>
  <c r="I17" i="42"/>
  <c r="H17" i="43" s="1"/>
  <c r="I16" i="42"/>
  <c r="H16" i="43" s="1"/>
  <c r="I30" i="42"/>
  <c r="H30" i="43" s="1"/>
  <c r="I29" i="42"/>
  <c r="H29" i="43" s="1"/>
  <c r="I28" i="42"/>
  <c r="H28" i="43" s="1"/>
  <c r="I27" i="42"/>
  <c r="H27" i="43" s="1"/>
  <c r="I31" i="42"/>
  <c r="H31" i="43" s="1"/>
  <c r="I26" i="42"/>
  <c r="H26" i="43" s="1"/>
  <c r="I5" i="42"/>
  <c r="H5" i="43" s="1"/>
  <c r="I7" i="42"/>
  <c r="H7" i="43" s="1"/>
  <c r="I8" i="42"/>
  <c r="H8" i="43" s="1"/>
  <c r="I6" i="42"/>
  <c r="H6" i="43" s="1"/>
  <c r="I10" i="42"/>
  <c r="H10" i="43" s="1"/>
  <c r="I9" i="42"/>
  <c r="H9" i="43" s="1"/>
  <c r="I21" i="42"/>
  <c r="H21" i="43" s="1"/>
  <c r="I19" i="42"/>
  <c r="H19" i="43" s="1"/>
  <c r="I23" i="42"/>
  <c r="H23" i="43" s="1"/>
  <c r="I20" i="42"/>
  <c r="H20" i="43" s="1"/>
  <c r="I22" i="42"/>
  <c r="H22" i="43" s="1"/>
  <c r="I24" i="42"/>
  <c r="H24" i="43" s="1"/>
  <c r="I45" i="42"/>
  <c r="H45" i="43" s="1"/>
  <c r="I44" i="42"/>
  <c r="H44" i="43" s="1"/>
  <c r="I43" i="42"/>
  <c r="H43" i="43" s="1"/>
  <c r="I40" i="42"/>
  <c r="H40" i="43" s="1"/>
  <c r="I42" i="42"/>
  <c r="H42" i="43" s="1"/>
  <c r="I41" i="42"/>
  <c r="H41" i="43" s="1"/>
  <c r="E26" i="42"/>
  <c r="E26" i="43" s="1"/>
  <c r="E28" i="42"/>
  <c r="E28" i="43" s="1"/>
  <c r="E21" i="42"/>
  <c r="E21" i="43" s="1"/>
  <c r="E23" i="42"/>
  <c r="E23" i="43" s="1"/>
  <c r="I13" i="39"/>
  <c r="O13" i="35" s="1"/>
  <c r="I17" i="39"/>
  <c r="O17" i="35" s="1"/>
  <c r="I12" i="39"/>
  <c r="O12" i="35" s="1"/>
  <c r="I14" i="39"/>
  <c r="O14" i="35" s="1"/>
  <c r="I16" i="39"/>
  <c r="O16" i="35" s="1"/>
  <c r="I15" i="39"/>
  <c r="O15" i="35" s="1"/>
  <c r="I5" i="39"/>
  <c r="O5" i="35" s="1"/>
  <c r="I7" i="39"/>
  <c r="I9" i="39"/>
  <c r="I10" i="39"/>
  <c r="I8" i="39"/>
  <c r="I6" i="39"/>
  <c r="I29" i="39"/>
  <c r="O29" i="35" s="1"/>
  <c r="I31" i="39"/>
  <c r="O31" i="35" s="1"/>
  <c r="I26" i="39"/>
  <c r="O26" i="35" s="1"/>
  <c r="I28" i="39"/>
  <c r="O28" i="35" s="1"/>
  <c r="I30" i="39"/>
  <c r="O30" i="35" s="1"/>
  <c r="I27" i="39"/>
  <c r="O27" i="35" s="1"/>
  <c r="I45" i="39"/>
  <c r="O45" i="35" s="1"/>
  <c r="I41" i="39"/>
  <c r="O41" i="35" s="1"/>
  <c r="I44" i="39"/>
  <c r="O44" i="35" s="1"/>
  <c r="I43" i="39"/>
  <c r="O43" i="35" s="1"/>
  <c r="I42" i="39"/>
  <c r="O42" i="35" s="1"/>
  <c r="I40" i="39"/>
  <c r="O40" i="35" s="1"/>
  <c r="I24" i="39"/>
  <c r="O24" i="35" s="1"/>
  <c r="I21" i="39"/>
  <c r="O21" i="35" s="1"/>
  <c r="I20" i="39"/>
  <c r="O20" i="35" s="1"/>
  <c r="I19" i="39"/>
  <c r="O19" i="35" s="1"/>
  <c r="I23" i="39"/>
  <c r="O23" i="35" s="1"/>
  <c r="I22" i="39"/>
  <c r="O22" i="35" s="1"/>
  <c r="E12" i="39"/>
  <c r="L12" i="35" s="1"/>
  <c r="E20" i="39"/>
  <c r="L20" i="35" s="1"/>
  <c r="E5" i="39"/>
  <c r="L5" i="35" s="1"/>
  <c r="I36" i="39"/>
  <c r="O36" i="35" s="1"/>
  <c r="E9" i="39"/>
  <c r="L9" i="35" s="1"/>
  <c r="E23" i="39"/>
  <c r="L23" i="35" s="1"/>
  <c r="I7" i="40"/>
  <c r="I6" i="40"/>
  <c r="I8" i="40"/>
  <c r="I10" i="40"/>
  <c r="H10" i="35" s="1"/>
  <c r="I9" i="40"/>
  <c r="H9" i="35" s="1"/>
  <c r="I13" i="40"/>
  <c r="H13" i="35" s="1"/>
  <c r="I14" i="40"/>
  <c r="H14" i="35" s="1"/>
  <c r="I16" i="40"/>
  <c r="H16" i="35" s="1"/>
  <c r="I12" i="40"/>
  <c r="H12" i="35" s="1"/>
  <c r="I17" i="40"/>
  <c r="H17" i="35" s="1"/>
  <c r="I15" i="40"/>
  <c r="H15" i="35" s="1"/>
  <c r="I37" i="40"/>
  <c r="H37" i="35" s="1"/>
  <c r="I38" i="40"/>
  <c r="H38" i="35" s="1"/>
  <c r="I36" i="40"/>
  <c r="H36" i="35" s="1"/>
  <c r="I35" i="40"/>
  <c r="H35" i="35" s="1"/>
  <c r="I34" i="40"/>
  <c r="H34" i="35" s="1"/>
  <c r="I33" i="40"/>
  <c r="H33" i="35" s="1"/>
  <c r="I29" i="40"/>
  <c r="H29" i="35" s="1"/>
  <c r="I30" i="40"/>
  <c r="H30" i="35" s="1"/>
  <c r="I28" i="40"/>
  <c r="H28" i="35" s="1"/>
  <c r="I31" i="40"/>
  <c r="H31" i="35" s="1"/>
  <c r="I27" i="40"/>
  <c r="H27" i="35" s="1"/>
  <c r="I26" i="40"/>
  <c r="H26" i="35" s="1"/>
  <c r="I45" i="40"/>
  <c r="H45" i="35" s="1"/>
  <c r="I41" i="40"/>
  <c r="H41" i="35" s="1"/>
  <c r="I44" i="40"/>
  <c r="H44" i="35" s="1"/>
  <c r="I43" i="40"/>
  <c r="H43" i="35" s="1"/>
  <c r="I40" i="40"/>
  <c r="H40" i="35" s="1"/>
  <c r="I42" i="40"/>
  <c r="H42" i="35" s="1"/>
  <c r="I21" i="40"/>
  <c r="H21" i="35" s="1"/>
  <c r="I19" i="40"/>
  <c r="H19" i="35" s="1"/>
  <c r="I24" i="40"/>
  <c r="H24" i="35" s="1"/>
  <c r="I20" i="40"/>
  <c r="H20" i="35" s="1"/>
  <c r="I22" i="40"/>
  <c r="H22" i="35" s="1"/>
  <c r="I23" i="40"/>
  <c r="H23" i="35" s="1"/>
  <c r="E20" i="40"/>
  <c r="E20" i="35" s="1"/>
  <c r="E23" i="40"/>
  <c r="E23" i="35" s="1"/>
  <c r="I6" i="38"/>
  <c r="I5" i="38"/>
  <c r="I7" i="38"/>
  <c r="I8" i="38"/>
  <c r="I10" i="38"/>
  <c r="I9" i="38"/>
  <c r="I13" i="38"/>
  <c r="O13" i="36" s="1"/>
  <c r="I16" i="38"/>
  <c r="O16" i="36" s="1"/>
  <c r="I12" i="38"/>
  <c r="O12" i="36" s="1"/>
  <c r="I15" i="38"/>
  <c r="O15" i="36" s="1"/>
  <c r="I14" i="38"/>
  <c r="O14" i="36" s="1"/>
  <c r="I17" i="38"/>
  <c r="O17" i="36" s="1"/>
  <c r="I37" i="38"/>
  <c r="O37" i="36" s="1"/>
  <c r="I38" i="38"/>
  <c r="O38" i="36" s="1"/>
  <c r="I33" i="38"/>
  <c r="O33" i="36" s="1"/>
  <c r="I36" i="38"/>
  <c r="O36" i="36" s="1"/>
  <c r="I35" i="38"/>
  <c r="O35" i="36" s="1"/>
  <c r="I34" i="38"/>
  <c r="O34" i="36" s="1"/>
  <c r="I19" i="38"/>
  <c r="O19" i="36" s="1"/>
  <c r="I24" i="38"/>
  <c r="O24" i="36" s="1"/>
  <c r="I22" i="38"/>
  <c r="O22" i="36" s="1"/>
  <c r="I21" i="38"/>
  <c r="O21" i="36" s="1"/>
  <c r="I23" i="38"/>
  <c r="O23" i="36" s="1"/>
  <c r="I20" i="38"/>
  <c r="O20" i="36" s="1"/>
  <c r="I29" i="38"/>
  <c r="I28" i="38"/>
  <c r="O28" i="36" s="1"/>
  <c r="I31" i="38"/>
  <c r="O31" i="36" s="1"/>
  <c r="I27" i="38"/>
  <c r="O27" i="36" s="1"/>
  <c r="I26" i="38"/>
  <c r="O26" i="36" s="1"/>
  <c r="I30" i="38"/>
  <c r="O30" i="36" s="1"/>
  <c r="I45" i="38"/>
  <c r="I44" i="38"/>
  <c r="O44" i="36" s="1"/>
  <c r="I41" i="38"/>
  <c r="O41" i="36" s="1"/>
  <c r="I43" i="38"/>
  <c r="O43" i="36" s="1"/>
  <c r="I40" i="38"/>
  <c r="O40" i="36" s="1"/>
  <c r="I42" i="38"/>
  <c r="O42" i="36" s="1"/>
  <c r="K29" i="36"/>
  <c r="E19" i="38"/>
  <c r="L19" i="36" s="1"/>
  <c r="E23" i="38"/>
  <c r="L23" i="36" s="1"/>
  <c r="K16" i="36"/>
  <c r="K17" i="36"/>
  <c r="K33" i="36"/>
  <c r="N33" i="36"/>
  <c r="K41" i="36"/>
  <c r="N42" i="36"/>
  <c r="K28" i="36"/>
  <c r="K37" i="36"/>
  <c r="N27" i="36"/>
  <c r="N36" i="36"/>
  <c r="K27" i="36"/>
  <c r="N28" i="36"/>
  <c r="L31" i="36"/>
  <c r="N20" i="36"/>
  <c r="N44" i="36"/>
  <c r="N19" i="36"/>
  <c r="N43" i="36"/>
  <c r="N17" i="36"/>
  <c r="L35" i="36"/>
  <c r="K26" i="36"/>
  <c r="L42" i="36"/>
  <c r="N16" i="36"/>
  <c r="L16" i="36"/>
  <c r="L41" i="36"/>
  <c r="N24" i="36"/>
  <c r="N40" i="36"/>
  <c r="K36" i="36"/>
  <c r="N31" i="36"/>
  <c r="N21" i="36"/>
  <c r="N41" i="36"/>
  <c r="L30" i="36"/>
  <c r="N23" i="36"/>
  <c r="L44" i="36"/>
  <c r="K40" i="36"/>
  <c r="N15" i="36"/>
  <c r="K31" i="36"/>
  <c r="K35" i="36"/>
  <c r="K23" i="36"/>
  <c r="L24" i="36"/>
  <c r="N35" i="36"/>
  <c r="L45" i="36"/>
  <c r="N38" i="36"/>
  <c r="N30" i="36"/>
  <c r="K15" i="36"/>
  <c r="N22" i="36"/>
  <c r="K38" i="36"/>
  <c r="N14" i="36"/>
  <c r="N26" i="36"/>
  <c r="K22" i="36"/>
  <c r="L34" i="36"/>
  <c r="N37" i="36"/>
  <c r="N34" i="36"/>
  <c r="K24" i="36"/>
  <c r="G43" i="36"/>
  <c r="G44" i="36"/>
  <c r="I17" i="37"/>
  <c r="H17" i="36" s="1"/>
  <c r="I16" i="37"/>
  <c r="H16" i="36" s="1"/>
  <c r="I13" i="37"/>
  <c r="H13" i="36" s="1"/>
  <c r="G14" i="36"/>
  <c r="G15" i="36"/>
  <c r="G16" i="36"/>
  <c r="G17" i="36"/>
  <c r="I41" i="37"/>
  <c r="H41" i="36" s="1"/>
  <c r="I40" i="37"/>
  <c r="H40" i="36" s="1"/>
  <c r="I42" i="37"/>
  <c r="H42" i="36" s="1"/>
  <c r="I45" i="37"/>
  <c r="H45" i="36" s="1"/>
  <c r="I43" i="37"/>
  <c r="H43" i="36" s="1"/>
  <c r="I44" i="37"/>
  <c r="H44" i="36" s="1"/>
  <c r="I15" i="37"/>
  <c r="H15" i="36" s="1"/>
  <c r="G45" i="36"/>
  <c r="I14" i="37"/>
  <c r="H14" i="36" s="1"/>
  <c r="D40" i="36"/>
  <c r="I12" i="37"/>
  <c r="H12" i="36" s="1"/>
  <c r="D45" i="36"/>
  <c r="D41" i="36"/>
  <c r="G12" i="36"/>
  <c r="G40" i="36"/>
  <c r="G41" i="36"/>
  <c r="E42" i="36"/>
  <c r="D42" i="36"/>
  <c r="G13" i="36"/>
  <c r="G42" i="36"/>
  <c r="L20" i="36"/>
  <c r="M10" i="36"/>
  <c r="J10" i="36"/>
  <c r="M9" i="36"/>
  <c r="L9" i="36"/>
  <c r="J9" i="36"/>
  <c r="M8" i="36"/>
  <c r="J8" i="36"/>
  <c r="M7" i="36"/>
  <c r="J7" i="36"/>
  <c r="M6" i="36"/>
  <c r="J6" i="36"/>
  <c r="M5" i="36"/>
  <c r="J5" i="36"/>
  <c r="G38" i="37"/>
  <c r="H38" i="37" s="1"/>
  <c r="F38" i="37"/>
  <c r="F38" i="36" s="1"/>
  <c r="D38" i="37"/>
  <c r="D38" i="36" s="1"/>
  <c r="C38" i="37"/>
  <c r="C38" i="36" s="1"/>
  <c r="G37" i="37"/>
  <c r="H37" i="37" s="1"/>
  <c r="F37" i="37"/>
  <c r="F37" i="36" s="1"/>
  <c r="D37" i="37"/>
  <c r="E37" i="37" s="1"/>
  <c r="E37" i="36" s="1"/>
  <c r="C37" i="37"/>
  <c r="C37" i="36" s="1"/>
  <c r="G36" i="37"/>
  <c r="H36" i="37" s="1"/>
  <c r="F36" i="37"/>
  <c r="F36" i="36" s="1"/>
  <c r="D36" i="37"/>
  <c r="C36" i="37"/>
  <c r="C36" i="36" s="1"/>
  <c r="G35" i="37"/>
  <c r="H35" i="37" s="1"/>
  <c r="F35" i="37"/>
  <c r="F35" i="36" s="1"/>
  <c r="D35" i="37"/>
  <c r="C35" i="37"/>
  <c r="C35" i="36" s="1"/>
  <c r="G34" i="37"/>
  <c r="H34" i="37" s="1"/>
  <c r="F34" i="37"/>
  <c r="F34" i="36" s="1"/>
  <c r="D34" i="37"/>
  <c r="C34" i="37"/>
  <c r="C34" i="36" s="1"/>
  <c r="G33" i="37"/>
  <c r="H33" i="37" s="1"/>
  <c r="F33" i="37"/>
  <c r="F33" i="36" s="1"/>
  <c r="D33" i="37"/>
  <c r="D33" i="36" s="1"/>
  <c r="C33" i="37"/>
  <c r="C33" i="36" s="1"/>
  <c r="G31" i="37"/>
  <c r="H31" i="37" s="1"/>
  <c r="F31" i="37"/>
  <c r="F31" i="36" s="1"/>
  <c r="D31" i="37"/>
  <c r="D31" i="36" s="1"/>
  <c r="C31" i="37"/>
  <c r="C31" i="36" s="1"/>
  <c r="G30" i="37"/>
  <c r="H30" i="37" s="1"/>
  <c r="F30" i="37"/>
  <c r="F30" i="36" s="1"/>
  <c r="D30" i="37"/>
  <c r="E30" i="37" s="1"/>
  <c r="E30" i="36" s="1"/>
  <c r="C30" i="37"/>
  <c r="C30" i="36" s="1"/>
  <c r="G29" i="37"/>
  <c r="H29" i="37" s="1"/>
  <c r="F29" i="37"/>
  <c r="F29" i="36" s="1"/>
  <c r="D29" i="37"/>
  <c r="D29" i="36" s="1"/>
  <c r="C29" i="37"/>
  <c r="C29" i="36" s="1"/>
  <c r="G28" i="37"/>
  <c r="H28" i="37" s="1"/>
  <c r="F28" i="37"/>
  <c r="F28" i="36" s="1"/>
  <c r="D28" i="37"/>
  <c r="C28" i="37"/>
  <c r="C28" i="36" s="1"/>
  <c r="G27" i="37"/>
  <c r="F27" i="37"/>
  <c r="F27" i="36" s="1"/>
  <c r="D27" i="37"/>
  <c r="C27" i="37"/>
  <c r="C27" i="36" s="1"/>
  <c r="G26" i="37"/>
  <c r="F26" i="37"/>
  <c r="F26" i="36" s="1"/>
  <c r="D26" i="37"/>
  <c r="C26" i="37"/>
  <c r="C26" i="36" s="1"/>
  <c r="G24" i="37"/>
  <c r="G24" i="36" s="1"/>
  <c r="F24" i="37"/>
  <c r="F24" i="36" s="1"/>
  <c r="D24" i="37"/>
  <c r="D24" i="36" s="1"/>
  <c r="C24" i="37"/>
  <c r="C24" i="36" s="1"/>
  <c r="G23" i="37"/>
  <c r="H23" i="37" s="1"/>
  <c r="F23" i="37"/>
  <c r="F23" i="36" s="1"/>
  <c r="D23" i="37"/>
  <c r="C23" i="37"/>
  <c r="C23" i="36" s="1"/>
  <c r="G22" i="37"/>
  <c r="H22" i="37" s="1"/>
  <c r="F22" i="37"/>
  <c r="F22" i="36" s="1"/>
  <c r="D22" i="37"/>
  <c r="C22" i="37"/>
  <c r="C22" i="36" s="1"/>
  <c r="G21" i="37"/>
  <c r="G21" i="36" s="1"/>
  <c r="F21" i="37"/>
  <c r="F21" i="36" s="1"/>
  <c r="D21" i="37"/>
  <c r="D21" i="36" s="1"/>
  <c r="C21" i="37"/>
  <c r="C21" i="36" s="1"/>
  <c r="G20" i="37"/>
  <c r="H20" i="37" s="1"/>
  <c r="F20" i="37"/>
  <c r="F20" i="36" s="1"/>
  <c r="D20" i="37"/>
  <c r="D20" i="36" s="1"/>
  <c r="C20" i="37"/>
  <c r="C20" i="36" s="1"/>
  <c r="G19" i="37"/>
  <c r="H19" i="37" s="1"/>
  <c r="F19" i="37"/>
  <c r="F19" i="36" s="1"/>
  <c r="D19" i="37"/>
  <c r="C19" i="37"/>
  <c r="C19" i="36" s="1"/>
  <c r="G10" i="37"/>
  <c r="G10" i="36" s="1"/>
  <c r="F10" i="37"/>
  <c r="F10" i="36" s="1"/>
  <c r="D10" i="37"/>
  <c r="D10" i="36" s="1"/>
  <c r="C10" i="37"/>
  <c r="C10" i="36" s="1"/>
  <c r="G9" i="37"/>
  <c r="H9" i="37" s="1"/>
  <c r="F9" i="37"/>
  <c r="F9" i="36" s="1"/>
  <c r="D9" i="37"/>
  <c r="E9" i="37" s="1"/>
  <c r="E9" i="36" s="1"/>
  <c r="C9" i="37"/>
  <c r="C9" i="36" s="1"/>
  <c r="G8" i="37"/>
  <c r="H8" i="37" s="1"/>
  <c r="F8" i="37"/>
  <c r="F8" i="36" s="1"/>
  <c r="D8" i="37"/>
  <c r="C8" i="37"/>
  <c r="C8" i="36" s="1"/>
  <c r="G7" i="37"/>
  <c r="H7" i="37" s="1"/>
  <c r="F7" i="37"/>
  <c r="F7" i="36" s="1"/>
  <c r="D7" i="37"/>
  <c r="D7" i="36" s="1"/>
  <c r="C7" i="37"/>
  <c r="C7" i="36" s="1"/>
  <c r="G6" i="37"/>
  <c r="F6" i="37"/>
  <c r="F6" i="36" s="1"/>
  <c r="D6" i="37"/>
  <c r="C6" i="37"/>
  <c r="C6" i="36" s="1"/>
  <c r="G5" i="37"/>
  <c r="F5" i="37"/>
  <c r="F5" i="36" s="1"/>
  <c r="D5" i="37"/>
  <c r="F8" i="35"/>
  <c r="C8" i="35"/>
  <c r="F7" i="35"/>
  <c r="C7" i="35"/>
  <c r="F6" i="35"/>
  <c r="D6" i="35"/>
  <c r="C6" i="35"/>
  <c r="C5" i="35"/>
  <c r="M10" i="35"/>
  <c r="K10" i="35"/>
  <c r="J10" i="35"/>
  <c r="M9" i="35"/>
  <c r="J9" i="35"/>
  <c r="M8" i="35"/>
  <c r="K8" i="35"/>
  <c r="J8" i="35"/>
  <c r="N7" i="35"/>
  <c r="M7" i="35"/>
  <c r="K7" i="35"/>
  <c r="J7" i="35"/>
  <c r="M6" i="35"/>
  <c r="K6" i="35"/>
  <c r="J6" i="35"/>
  <c r="E23" i="37" l="1"/>
  <c r="E23" i="36" s="1"/>
  <c r="O29" i="36"/>
  <c r="O45" i="36"/>
  <c r="E44" i="36"/>
  <c r="I9" i="37"/>
  <c r="H9" i="36" s="1"/>
  <c r="E40" i="36"/>
  <c r="E5" i="37"/>
  <c r="E5" i="36" s="1"/>
  <c r="E26" i="37"/>
  <c r="E26" i="36" s="1"/>
  <c r="E41" i="36"/>
  <c r="E45" i="36"/>
  <c r="N10" i="36"/>
  <c r="E28" i="37"/>
  <c r="E28" i="36" s="1"/>
  <c r="E13" i="36"/>
  <c r="E17" i="36"/>
  <c r="E15" i="36"/>
  <c r="E12" i="36"/>
  <c r="E14" i="36"/>
  <c r="E16" i="36"/>
  <c r="L8" i="36"/>
  <c r="H24" i="37"/>
  <c r="H21" i="37"/>
  <c r="E22" i="37"/>
  <c r="E22" i="36" s="1"/>
  <c r="E35" i="37"/>
  <c r="E35" i="36" s="1"/>
  <c r="L7" i="36"/>
  <c r="E27" i="37"/>
  <c r="E27" i="36" s="1"/>
  <c r="E34" i="37"/>
  <c r="E34" i="36" s="1"/>
  <c r="E36" i="37"/>
  <c r="E36" i="36" s="1"/>
  <c r="H10" i="37"/>
  <c r="G38" i="36"/>
  <c r="E8" i="35"/>
  <c r="E6" i="35"/>
  <c r="D23" i="36"/>
  <c r="N6" i="35"/>
  <c r="G30" i="36"/>
  <c r="G20" i="36"/>
  <c r="G22" i="36"/>
  <c r="G29" i="36"/>
  <c r="E7" i="37"/>
  <c r="E7" i="36" s="1"/>
  <c r="D8" i="35"/>
  <c r="D34" i="36"/>
  <c r="E19" i="37"/>
  <c r="E19" i="36" s="1"/>
  <c r="E21" i="37"/>
  <c r="E21" i="36" s="1"/>
  <c r="D9" i="36"/>
  <c r="D27" i="36"/>
  <c r="D37" i="36"/>
  <c r="E6" i="37"/>
  <c r="E6" i="36" s="1"/>
  <c r="D7" i="35"/>
  <c r="D22" i="36"/>
  <c r="D35" i="36"/>
  <c r="E8" i="37"/>
  <c r="E8" i="36" s="1"/>
  <c r="E33" i="37"/>
  <c r="E33" i="36" s="1"/>
  <c r="L5" i="36"/>
  <c r="D5" i="36"/>
  <c r="D6" i="36"/>
  <c r="D30" i="36"/>
  <c r="E20" i="37"/>
  <c r="E20" i="36" s="1"/>
  <c r="D8" i="36"/>
  <c r="D28" i="36"/>
  <c r="E29" i="37"/>
  <c r="E29" i="36" s="1"/>
  <c r="K9" i="35"/>
  <c r="D19" i="36"/>
  <c r="D26" i="36"/>
  <c r="D36" i="36"/>
  <c r="N10" i="35"/>
  <c r="H26" i="37"/>
  <c r="G26" i="36"/>
  <c r="G7" i="35"/>
  <c r="N9" i="35"/>
  <c r="H6" i="37"/>
  <c r="G6" i="36"/>
  <c r="H5" i="37"/>
  <c r="G5" i="36"/>
  <c r="G27" i="36"/>
  <c r="H27" i="37"/>
  <c r="N8" i="35"/>
  <c r="G8" i="35"/>
  <c r="G9" i="36"/>
  <c r="G35" i="36"/>
  <c r="N6" i="36"/>
  <c r="G34" i="36"/>
  <c r="G23" i="36"/>
  <c r="G33" i="36"/>
  <c r="N7" i="36"/>
  <c r="G31" i="36"/>
  <c r="N8" i="36"/>
  <c r="G6" i="35"/>
  <c r="G7" i="36"/>
  <c r="G19" i="36"/>
  <c r="G28" i="36"/>
  <c r="G37" i="36"/>
  <c r="N9" i="36"/>
  <c r="N5" i="36"/>
  <c r="G8" i="36"/>
  <c r="G36" i="36"/>
  <c r="L6" i="36"/>
  <c r="L10" i="36"/>
  <c r="E31" i="37"/>
  <c r="E31" i="36" s="1"/>
  <c r="E38" i="37"/>
  <c r="E38" i="36" s="1"/>
  <c r="E24" i="37"/>
  <c r="E24" i="36" s="1"/>
  <c r="I7" i="37"/>
  <c r="H7" i="36" s="1"/>
  <c r="I8" i="37"/>
  <c r="H8" i="36" s="1"/>
  <c r="I29" i="37"/>
  <c r="H29" i="36" s="1"/>
  <c r="I30" i="37"/>
  <c r="H30" i="36" s="1"/>
  <c r="I31" i="37"/>
  <c r="H31" i="36" s="1"/>
  <c r="I28" i="37"/>
  <c r="H28" i="36" s="1"/>
  <c r="I38" i="37"/>
  <c r="H38" i="36" s="1"/>
  <c r="I33" i="37"/>
  <c r="H33" i="36" s="1"/>
  <c r="I34" i="37"/>
  <c r="H34" i="36" s="1"/>
  <c r="I35" i="37"/>
  <c r="H35" i="36" s="1"/>
  <c r="I36" i="37"/>
  <c r="H36" i="36" s="1"/>
  <c r="I37" i="37"/>
  <c r="H37" i="36" s="1"/>
  <c r="I20" i="37"/>
  <c r="H20" i="36" s="1"/>
  <c r="I22" i="37"/>
  <c r="H22" i="36" s="1"/>
  <c r="I23" i="37"/>
  <c r="H23" i="36" s="1"/>
  <c r="I19" i="37"/>
  <c r="H19" i="36" s="1"/>
  <c r="E10" i="37"/>
  <c r="E10" i="36" s="1"/>
  <c r="L6" i="35"/>
  <c r="L8" i="35"/>
  <c r="L10" i="35"/>
  <c r="L7" i="35"/>
  <c r="O10" i="35"/>
  <c r="O9" i="35"/>
  <c r="I26" i="37" l="1"/>
  <c r="H26" i="36" s="1"/>
  <c r="I10" i="37"/>
  <c r="H10" i="36" s="1"/>
  <c r="I24" i="37"/>
  <c r="H24" i="36" s="1"/>
  <c r="I5" i="37"/>
  <c r="H5" i="36" s="1"/>
  <c r="I21" i="37"/>
  <c r="H21" i="36" s="1"/>
  <c r="O7" i="35"/>
  <c r="O6" i="35"/>
  <c r="I27" i="37"/>
  <c r="H27" i="36" s="1"/>
  <c r="I6" i="37"/>
  <c r="H6" i="36" s="1"/>
  <c r="O8" i="35"/>
  <c r="H7" i="35"/>
  <c r="H6" i="35"/>
  <c r="H8" i="35"/>
  <c r="O9" i="36"/>
  <c r="O6" i="36"/>
  <c r="O10" i="36"/>
  <c r="K10" i="36"/>
  <c r="K7" i="36"/>
  <c r="K6" i="36"/>
  <c r="O7" i="36"/>
  <c r="K8" i="36"/>
  <c r="O5" i="36"/>
  <c r="K5" i="36"/>
  <c r="K9" i="36"/>
  <c r="O8" i="36" l="1"/>
</calcChain>
</file>

<file path=xl/sharedStrings.xml><?xml version="1.0" encoding="utf-8"?>
<sst xmlns="http://schemas.openxmlformats.org/spreadsheetml/2006/main" count="798" uniqueCount="220">
  <si>
    <t>Bias</t>
  </si>
  <si>
    <t>RMSE</t>
  </si>
  <si>
    <t>$GLM$</t>
  </si>
  <si>
    <t>$IPS_{exp}$</t>
  </si>
  <si>
    <t>$IPS_{proj}$</t>
  </si>
  <si>
    <t>$IPS_{ind}$</t>
  </si>
  <si>
    <t>sample size n</t>
  </si>
  <si>
    <t>n</t>
  </si>
  <si>
    <t>ATE-bias-IPS-exp</t>
  </si>
  <si>
    <t>ATE-bias-IPS-ind</t>
  </si>
  <si>
    <t>ATE-bias-IPS-proj</t>
  </si>
  <si>
    <t>ATE-bias-GLM</t>
  </si>
  <si>
    <t>QTE-0.25-bias-IPS-exp</t>
  </si>
  <si>
    <t>QTE-0.25-bias-IPS-ind</t>
  </si>
  <si>
    <t>QTE-0.25-bias-IPS-proj</t>
  </si>
  <si>
    <t>QTE-0.25-bias-GLM</t>
  </si>
  <si>
    <t>QTE-0.5-bias-IPS-exp</t>
  </si>
  <si>
    <t>QTE-0.5-bias-IPS-ind</t>
  </si>
  <si>
    <t>QTE-0.5-bias-IPS-proj</t>
  </si>
  <si>
    <t>QTE-0.5-bias-GLM</t>
  </si>
  <si>
    <t>QTE-0.75-bias-IPS-exp</t>
  </si>
  <si>
    <t>QTE-0.75-bias-IPS-ind</t>
  </si>
  <si>
    <t>QTE-0.75-bias-IPS-proj</t>
  </si>
  <si>
    <t>QTE-0.75-bias-GLM</t>
  </si>
  <si>
    <t>ATE-RMSE-IPS-exp</t>
  </si>
  <si>
    <t>ATE-RMSE-IPS-ind</t>
  </si>
  <si>
    <t>ATE-RMSE-IPS-proj</t>
  </si>
  <si>
    <t>ATE-RMSE-GLM</t>
  </si>
  <si>
    <t>QTE-0.25-RMSE-IPS-exp</t>
  </si>
  <si>
    <t>QTE-0.25-RMSE-IPS-ind</t>
  </si>
  <si>
    <t>QTE-0.25-RMSE-IPS-proj</t>
  </si>
  <si>
    <t>QTE-0.25-RMSE-GLM</t>
  </si>
  <si>
    <t>QTE-0.5-RMSE-IPS-exp</t>
  </si>
  <si>
    <t>QTE-0.5-RMSE-IPS-ind</t>
  </si>
  <si>
    <t>QTE-0.5-RMSE-IPS-proj</t>
  </si>
  <si>
    <t>QTE-0.5-RMSE-GLM</t>
  </si>
  <si>
    <t>QTE-0.75-RMSE-IPS-exp</t>
  </si>
  <si>
    <t>QTE-0.75-RMSE-IPS-ind</t>
  </si>
  <si>
    <t>QTE-0.75-RMSE-IPS-proj</t>
  </si>
  <si>
    <t>QTE-0.75-RMSE-GLM</t>
  </si>
  <si>
    <t>ATE-Empcov-IPS-exp</t>
  </si>
  <si>
    <t>ATE-Empcov-IPS-ind</t>
  </si>
  <si>
    <t>ATE-Empcov-IPS-proj</t>
  </si>
  <si>
    <t>ATE-Empcov-GLM</t>
  </si>
  <si>
    <t>QTE-0.25-Empcov-IPS-exp</t>
  </si>
  <si>
    <t>QTE-0.25-Empcov-IPS-ind</t>
  </si>
  <si>
    <t>QTE-0.25-Empcov-IPS-proj</t>
  </si>
  <si>
    <t>QTE-0.25-Empcov-GLM</t>
  </si>
  <si>
    <t>CI length</t>
  </si>
  <si>
    <t>95% Cov.</t>
  </si>
  <si>
    <t>QTE-0.5-Empcov-IPS-exp</t>
  </si>
  <si>
    <t>QTE-0.5-Empcov-IPS-ind</t>
  </si>
  <si>
    <t>QTE-0.5-Empcov-IPS-proj</t>
  </si>
  <si>
    <t>QTE-0.5-Empcov-GLM</t>
  </si>
  <si>
    <t>QTE-0.75-Empcov-IPS-exp</t>
  </si>
  <si>
    <t>QTE-0.75-Empcov-IPS-ind</t>
  </si>
  <si>
    <t>QTE-0.75-Empcov-IPS-proj</t>
  </si>
  <si>
    <t>QTE-0.75-Empcov-GLM</t>
  </si>
  <si>
    <t>ATE</t>
  </si>
  <si>
    <t>QTE-0.25</t>
  </si>
  <si>
    <t>QTE-0.5</t>
  </si>
  <si>
    <t>Correctly Specified</t>
  </si>
  <si>
    <t>QTE-0.75</t>
  </si>
  <si>
    <t>QTE-0.1-Empcov-IPS-exp</t>
  </si>
  <si>
    <t>QTE-0.1-Empcov-IPS-ind</t>
  </si>
  <si>
    <t>QTE-0.1-Empcov-IPS-proj</t>
  </si>
  <si>
    <t>QTE-0.1-Empcov-GLM</t>
  </si>
  <si>
    <t>QTE-0.9-Empcov-IPS-exp</t>
  </si>
  <si>
    <t>QTE-0.9-Empcov-IPS-ind</t>
  </si>
  <si>
    <t>QTE-0.9-Empcov-IPS-proj</t>
  </si>
  <si>
    <t>QTE-0.9-Empcov-GLM</t>
  </si>
  <si>
    <t>Misspecified</t>
  </si>
  <si>
    <t>QTE-0.10-bias-IPS-exp</t>
  </si>
  <si>
    <t>QTE-0.10-bias-IPS-ind</t>
  </si>
  <si>
    <t>QTE-0.10-bias-IPS-proj</t>
  </si>
  <si>
    <t>QTE-0.10-bias-GLM</t>
  </si>
  <si>
    <t>QTE-0.9-bias-IPS-exp</t>
  </si>
  <si>
    <t>QTE-0.9-bias-IPS-ind</t>
  </si>
  <si>
    <t>QTE-0.9-bias-IPS-proj</t>
  </si>
  <si>
    <t>QTE-0.9-bias-GLM</t>
  </si>
  <si>
    <t>QTE-0.10-RMSE-IPS-exp</t>
  </si>
  <si>
    <t>QTE-0.10-RMSE-IPS-ind</t>
  </si>
  <si>
    <t>QTE-0.10-RMSE-IPS-proj</t>
  </si>
  <si>
    <t>QTE-0.10-RMSE-GLM</t>
  </si>
  <si>
    <t>QTE-0.9-RMSE-IPS-exp</t>
  </si>
  <si>
    <t>QTE-0.9-RMSE-IPS-ind</t>
  </si>
  <si>
    <t>QTE-0.9-RMSE-IPS-proj</t>
  </si>
  <si>
    <t>QTE-0.9-RMSE-GLM</t>
  </si>
  <si>
    <t>$CBPS-1$</t>
  </si>
  <si>
    <t>$CBPS-2$</t>
  </si>
  <si>
    <t>Rel. MSE</t>
  </si>
  <si>
    <t>ARE</t>
  </si>
  <si>
    <t>ATE-Empcov-CBPS-Just</t>
  </si>
  <si>
    <t>ATE-Empcov-CBPS-over</t>
  </si>
  <si>
    <t>QTE-0.1-Empcov-CBPS-Just</t>
  </si>
  <si>
    <t>QTE-0.1-Empcov-CBPS-over</t>
  </si>
  <si>
    <t>QTE-0.25-Empcov-CBPS-Just</t>
  </si>
  <si>
    <t>QTE-0.25-Empcov-CBPS-over</t>
  </si>
  <si>
    <t>QTE-0.5-Empcov-CBPS-Just</t>
  </si>
  <si>
    <t>QTE-0.5-Empcov-CBPS-over</t>
  </si>
  <si>
    <t>QTE-0.75-Empcov-CBPS-Just</t>
  </si>
  <si>
    <t>QTE-0.75-Empcov-CBPS-over</t>
  </si>
  <si>
    <t>QTE-0.9-Empcov-CBPS-Just</t>
  </si>
  <si>
    <t>QTE-0.9-Empcov-CBPS-over</t>
  </si>
  <si>
    <t>ATE-ASSD-IPS-exp</t>
  </si>
  <si>
    <t>ATE-ASSD-IPS-ind</t>
  </si>
  <si>
    <t>ATE-ASSD-IPS-proj</t>
  </si>
  <si>
    <t>ATE-ASSD-CBPS-Just</t>
  </si>
  <si>
    <t>ATE-ASSD-CBPS-over</t>
  </si>
  <si>
    <t>ATE-ASSD-GLM</t>
  </si>
  <si>
    <t>QTE-0.1-ASSD-IPS-exp</t>
  </si>
  <si>
    <t>QTE-0.1-ASSD-IPS-ind</t>
  </si>
  <si>
    <t>QTE-0.1-ASSD-IPS-proj</t>
  </si>
  <si>
    <t>QTE-0.1-ASSD-CBPS-Just</t>
  </si>
  <si>
    <t>QTE-0.1-ASSD-CBPS-over</t>
  </si>
  <si>
    <t>QTE-0.1-ASSD-GLM</t>
  </si>
  <si>
    <t>QTE-0.25-ASSD-IPS-exp</t>
  </si>
  <si>
    <t>QTE-0.25-ASSD-IPS-ind</t>
  </si>
  <si>
    <t>QTE-0.25-ASSD-IPS-proj</t>
  </si>
  <si>
    <t>QTE-0.25-ASSD-CBPS-Just</t>
  </si>
  <si>
    <t>QTE-0.25-ASSD-CBPS-over</t>
  </si>
  <si>
    <t>QTE-0.25-ASSD-GLM</t>
  </si>
  <si>
    <t>QTE-0.5-ASSD-IPS-exp</t>
  </si>
  <si>
    <t>QTE-0.5-ASSD-IPS-ind</t>
  </si>
  <si>
    <t>QTE-0.5-ASSD-IPS-proj</t>
  </si>
  <si>
    <t>QTE-0.5-ASSD-CBPS-Just</t>
  </si>
  <si>
    <t>QTE-0.5-ASSD-CBPS-over</t>
  </si>
  <si>
    <t>QTE-0.5-ASSD-GLM</t>
  </si>
  <si>
    <t>QTE-0.75-ASSD-IPS-exp</t>
  </si>
  <si>
    <t>QTE-0.75-ASSD-IPS-ind</t>
  </si>
  <si>
    <t>QTE-0.75-ASSD-IPS-proj</t>
  </si>
  <si>
    <t>QTE-0.75-ASSD-CBPS-Just</t>
  </si>
  <si>
    <t>QTE-0.75-ASSD-CBPS-over</t>
  </si>
  <si>
    <t>QTE-0.75-ASSD-GLM</t>
  </si>
  <si>
    <t>QTE-0.9-ASSD-IPS-exp</t>
  </si>
  <si>
    <t>QTE-0.9-ASSD-IPS-ind</t>
  </si>
  <si>
    <t>QTE-0.9-ASSD-IPS-proj</t>
  </si>
  <si>
    <t>QTE-0.9-ASSD-CBPS-Just</t>
  </si>
  <si>
    <t>QTE-0.9-ASSD-CBPS-over</t>
  </si>
  <si>
    <t>QTE-0.9-ASSD-GLM</t>
  </si>
  <si>
    <t>ATE-bias-CBPS-just</t>
  </si>
  <si>
    <t>ATE-bias-CBPS-over</t>
  </si>
  <si>
    <t>QTE-0.10-bias-CBPS-Just</t>
  </si>
  <si>
    <t>QTE-0.10-bias-CBPS-over</t>
  </si>
  <si>
    <t>QTE-0.25-bias-CBPS-Just</t>
  </si>
  <si>
    <t>QTE-0.25-bias-CBPS-over</t>
  </si>
  <si>
    <t>QTE-0.5-bias-CBPS-Just</t>
  </si>
  <si>
    <t>QTE-0.5-bias-CBPS-over</t>
  </si>
  <si>
    <t>QTE-0.75-bias-CBPS-Just</t>
  </si>
  <si>
    <t>QTE-0.75-bias-CBPS-over</t>
  </si>
  <si>
    <t>QTE-0.9-bias-CBPS-Just</t>
  </si>
  <si>
    <t>QTE-0.9-bias-CBPS-over</t>
  </si>
  <si>
    <t>ATE-RMSE-CBPS-Just</t>
  </si>
  <si>
    <t>ATE-RMSE-CBPS-over</t>
  </si>
  <si>
    <t>QTE-0.10-RMSE-CBPS-Just</t>
  </si>
  <si>
    <t>QTE-0.10-RMSE-CBPS-over</t>
  </si>
  <si>
    <t>QTE-0.25-RMSE-CBPS-Just</t>
  </si>
  <si>
    <t>QTE-0.25-RMSE-CBPS-over</t>
  </si>
  <si>
    <t>QTE-0.5-RMSE-CBPS-Just</t>
  </si>
  <si>
    <t>QTE-0.5-RMSE-CBPS-over</t>
  </si>
  <si>
    <t>QTE-0.75-RMSE-CBPS-Just</t>
  </si>
  <si>
    <t>QTE-0.75-RMSE-CBPS-over</t>
  </si>
  <si>
    <t>QTE-0.9-RMSE-CBPS-Just</t>
  </si>
  <si>
    <t>QTE-0.9-RMSE-CBPS-over</t>
  </si>
  <si>
    <t>Asy. Std Dev</t>
  </si>
  <si>
    <t>n=200 correctly specified row</t>
  </si>
  <si>
    <t>n=200 misspecified specified row</t>
  </si>
  <si>
    <t>relMSE</t>
  </si>
  <si>
    <t>nrep</t>
  </si>
  <si>
    <t>dgp (1: correct, 2:misspec)</t>
  </si>
  <si>
    <t>ks-IPS-exp</t>
  </si>
  <si>
    <t>ks-IPS-ind</t>
  </si>
  <si>
    <t>ks-IPS-proj</t>
  </si>
  <si>
    <t>ks-CBPS-Just</t>
  </si>
  <si>
    <t>ks-CBPS-over</t>
  </si>
  <si>
    <t>ks-GLM</t>
  </si>
  <si>
    <t>ks-IPS-exp_1</t>
  </si>
  <si>
    <t>ks-IPS-ind_1</t>
  </si>
  <si>
    <t>ks-IPS-proj_1</t>
  </si>
  <si>
    <t>ks-CBPS-Just_1</t>
  </si>
  <si>
    <t>ks-CBPS-over_1</t>
  </si>
  <si>
    <t>ks-GLM_1</t>
  </si>
  <si>
    <t>ks-IPS-exp_0</t>
  </si>
  <si>
    <t>ks-IPS-ind_0</t>
  </si>
  <si>
    <t>ks-IPS-proj_0</t>
  </si>
  <si>
    <t>ks-CBPS-Just_0</t>
  </si>
  <si>
    <t>ks-CBPS-over_0</t>
  </si>
  <si>
    <t>ks-GLM_0</t>
  </si>
  <si>
    <t>cvm-IPS-exp</t>
  </si>
  <si>
    <t>cvm-IPS-ind</t>
  </si>
  <si>
    <t>cvm-IPS-proj</t>
  </si>
  <si>
    <t>cvm-CBPS-Just</t>
  </si>
  <si>
    <t>cvm-CBPS-over</t>
  </si>
  <si>
    <t>cvm-GLM</t>
  </si>
  <si>
    <t>cvm-IPS-exp_1</t>
  </si>
  <si>
    <t>cvm-IPS-ind_1</t>
  </si>
  <si>
    <t>cvm-IPS-proj_1</t>
  </si>
  <si>
    <t>cvm-CBPS-Just_1</t>
  </si>
  <si>
    <t>cvm-CBPS-over_1</t>
  </si>
  <si>
    <t>cvm-GLM_1</t>
  </si>
  <si>
    <t>cvm-IPS-exp_0</t>
  </si>
  <si>
    <t>cvm-IPS-ind_0</t>
  </si>
  <si>
    <t>cvm-IPS-proj_0</t>
  </si>
  <si>
    <t>cvm-CBPS-Just_0</t>
  </si>
  <si>
    <t>cvm-CBPS-over_0</t>
  </si>
  <si>
    <t>cvm-GLM_0</t>
  </si>
  <si>
    <t>QTE-0.10</t>
  </si>
  <si>
    <t>QTE-0.90</t>
  </si>
  <si>
    <t>KS_bal</t>
  </si>
  <si>
    <t>CvM_bal</t>
  </si>
  <si>
    <t>KS_bal1</t>
  </si>
  <si>
    <t>CvM_bal1</t>
  </si>
  <si>
    <t>KS_bal0</t>
  </si>
  <si>
    <t>CvM_bal0</t>
  </si>
  <si>
    <t>n=500 correctly specified row</t>
  </si>
  <si>
    <t>n=500 misspecified specified row</t>
  </si>
  <si>
    <t>n=1000 correctly specified row</t>
  </si>
  <si>
    <t>n=1000 misspecified specified row</t>
  </si>
  <si>
    <t>Absolute Distributional Imbalance</t>
  </si>
  <si>
    <t>Relative Distributional Imbalance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</si>
</sst>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7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10" xfId="0" applyFill="1" applyBorder="1"/>
    <xf numFmtId="0" fontId="0" fillId="0" borderId="0" xfId="0" applyFill="1" applyBorder="1"/>
    <xf numFmtId="164" fontId="0" fillId="0" borderId="0" xfId="0" applyNumberFormat="1"/>
    <xf numFmtId="164" fontId="0" fillId="0" borderId="0" xfId="0" applyNumberFormat="1" applyFill="1"/>
    <xf numFmtId="2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16" fillId="33" borderId="0" xfId="0" applyFont="1" applyFill="1"/>
    <xf numFmtId="0" fontId="0" fillId="0" borderId="0" xfId="0" applyFill="1" applyAlignment="1">
      <alignment horizontal="center"/>
    </xf>
    <xf numFmtId="2" fontId="0" fillId="0" borderId="0" xfId="0" applyNumberFormat="1"/>
    <xf numFmtId="164" fontId="0" fillId="0" borderId="10" xfId="0" applyNumberFormat="1" applyBorder="1"/>
    <xf numFmtId="2" fontId="0" fillId="0" borderId="10" xfId="0" applyNumberFormat="1" applyBorder="1"/>
    <xf numFmtId="1" fontId="0" fillId="0" borderId="0" xfId="0" applyNumberFormat="1" applyFill="1"/>
    <xf numFmtId="0" fontId="0" fillId="0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7"/>
  <sheetViews>
    <sheetView workbookViewId="0">
      <selection activeCell="F14" sqref="A1:XFD1048576"/>
    </sheetView>
  </sheetViews>
  <sheetFormatPr defaultRowHeight="15" x14ac:dyDescent="0.25"/>
  <sheetData>
    <row r="1" spans="1:76" x14ac:dyDescent="0.25">
      <c r="B1" t="s">
        <v>168</v>
      </c>
      <c r="C1" t="s">
        <v>7</v>
      </c>
      <c r="D1" t="s">
        <v>169</v>
      </c>
      <c r="E1" t="s">
        <v>40</v>
      </c>
      <c r="F1" t="s">
        <v>41</v>
      </c>
      <c r="G1" t="s">
        <v>42</v>
      </c>
      <c r="H1" t="s">
        <v>92</v>
      </c>
      <c r="I1" t="s">
        <v>93</v>
      </c>
      <c r="J1" t="s">
        <v>43</v>
      </c>
      <c r="K1" t="s">
        <v>63</v>
      </c>
      <c r="L1" t="s">
        <v>64</v>
      </c>
      <c r="M1" t="s">
        <v>65</v>
      </c>
      <c r="N1" t="s">
        <v>94</v>
      </c>
      <c r="O1" t="s">
        <v>95</v>
      </c>
      <c r="P1" t="s">
        <v>66</v>
      </c>
      <c r="Q1" t="s">
        <v>44</v>
      </c>
      <c r="R1" t="s">
        <v>45</v>
      </c>
      <c r="S1" t="s">
        <v>46</v>
      </c>
      <c r="T1" t="s">
        <v>96</v>
      </c>
      <c r="U1" t="s">
        <v>97</v>
      </c>
      <c r="V1" t="s">
        <v>47</v>
      </c>
      <c r="W1" t="s">
        <v>50</v>
      </c>
      <c r="X1" t="s">
        <v>51</v>
      </c>
      <c r="Y1" t="s">
        <v>52</v>
      </c>
      <c r="Z1" t="s">
        <v>98</v>
      </c>
      <c r="AA1" t="s">
        <v>99</v>
      </c>
      <c r="AB1" t="s">
        <v>53</v>
      </c>
      <c r="AC1" t="s">
        <v>54</v>
      </c>
      <c r="AD1" t="s">
        <v>55</v>
      </c>
      <c r="AE1" t="s">
        <v>56</v>
      </c>
      <c r="AF1" t="s">
        <v>100</v>
      </c>
      <c r="AG1" t="s">
        <v>101</v>
      </c>
      <c r="AH1" t="s">
        <v>57</v>
      </c>
      <c r="AI1" t="s">
        <v>67</v>
      </c>
      <c r="AJ1" t="s">
        <v>68</v>
      </c>
      <c r="AK1" t="s">
        <v>69</v>
      </c>
      <c r="AL1" t="s">
        <v>102</v>
      </c>
      <c r="AM1" t="s">
        <v>103</v>
      </c>
      <c r="AN1" t="s">
        <v>70</v>
      </c>
      <c r="AO1" t="s">
        <v>104</v>
      </c>
      <c r="AP1" t="s">
        <v>105</v>
      </c>
      <c r="AQ1" t="s">
        <v>106</v>
      </c>
      <c r="AR1" t="s">
        <v>107</v>
      </c>
      <c r="AS1" t="s">
        <v>108</v>
      </c>
      <c r="AT1" t="s">
        <v>109</v>
      </c>
      <c r="AU1" t="s">
        <v>110</v>
      </c>
      <c r="AV1" t="s">
        <v>111</v>
      </c>
      <c r="AW1" t="s">
        <v>112</v>
      </c>
      <c r="AX1" t="s">
        <v>113</v>
      </c>
      <c r="AY1" t="s">
        <v>114</v>
      </c>
      <c r="AZ1" t="s">
        <v>115</v>
      </c>
      <c r="BA1" t="s">
        <v>116</v>
      </c>
      <c r="BB1" t="s">
        <v>117</v>
      </c>
      <c r="BC1" t="s">
        <v>118</v>
      </c>
      <c r="BD1" t="s">
        <v>119</v>
      </c>
      <c r="BE1" t="s">
        <v>120</v>
      </c>
      <c r="BF1" t="s">
        <v>121</v>
      </c>
      <c r="BG1" t="s">
        <v>122</v>
      </c>
      <c r="BH1" t="s">
        <v>123</v>
      </c>
      <c r="BI1" t="s">
        <v>124</v>
      </c>
      <c r="BJ1" t="s">
        <v>125</v>
      </c>
      <c r="BK1" t="s">
        <v>126</v>
      </c>
      <c r="BL1" t="s">
        <v>127</v>
      </c>
      <c r="BM1" t="s">
        <v>128</v>
      </c>
      <c r="BN1" t="s">
        <v>129</v>
      </c>
      <c r="BO1" t="s">
        <v>130</v>
      </c>
      <c r="BP1" t="s">
        <v>131</v>
      </c>
      <c r="BQ1" t="s">
        <v>132</v>
      </c>
      <c r="BR1" t="s">
        <v>133</v>
      </c>
      <c r="BS1" t="s">
        <v>134</v>
      </c>
      <c r="BT1" t="s">
        <v>135</v>
      </c>
      <c r="BU1" t="s">
        <v>136</v>
      </c>
      <c r="BV1" t="s">
        <v>137</v>
      </c>
      <c r="BW1" t="s">
        <v>138</v>
      </c>
      <c r="BX1" t="s">
        <v>139</v>
      </c>
    </row>
    <row r="2" spans="1:76" x14ac:dyDescent="0.25">
      <c r="A2">
        <v>1</v>
      </c>
      <c r="B2">
        <v>1000</v>
      </c>
      <c r="C2">
        <v>200</v>
      </c>
      <c r="D2">
        <v>1</v>
      </c>
      <c r="E2">
        <v>0.97993981945837505</v>
      </c>
      <c r="F2">
        <v>0.98395185556669995</v>
      </c>
      <c r="G2">
        <v>0.99498495486459404</v>
      </c>
      <c r="H2">
        <v>0.88164493480441297</v>
      </c>
      <c r="I2">
        <v>0.98996990972918797</v>
      </c>
      <c r="J2">
        <v>0.95687061183550604</v>
      </c>
      <c r="K2">
        <v>0.84353059177532597</v>
      </c>
      <c r="L2">
        <v>0.86559679037111303</v>
      </c>
      <c r="M2">
        <v>0.84553660982948797</v>
      </c>
      <c r="N2">
        <v>0.83350050150451305</v>
      </c>
      <c r="O2">
        <v>0.92377131394182499</v>
      </c>
      <c r="P2">
        <v>0.872617853560682</v>
      </c>
      <c r="Q2">
        <v>0.96890672016048096</v>
      </c>
      <c r="R2">
        <v>0.96690070210631895</v>
      </c>
      <c r="S2">
        <v>0.94884653961885701</v>
      </c>
      <c r="T2">
        <v>0.93179538615847501</v>
      </c>
      <c r="U2">
        <v>0.982948846539619</v>
      </c>
      <c r="V2">
        <v>0.95285857572718202</v>
      </c>
      <c r="W2">
        <v>0.92778335005015</v>
      </c>
      <c r="X2">
        <v>0.97693079237713099</v>
      </c>
      <c r="Y2">
        <v>0.91574724172517596</v>
      </c>
      <c r="Z2">
        <v>0.87462387161484501</v>
      </c>
      <c r="AA2">
        <v>0.98595787362086296</v>
      </c>
      <c r="AB2">
        <v>0.93380140421263802</v>
      </c>
      <c r="AC2">
        <v>0.925777331995988</v>
      </c>
      <c r="AD2">
        <v>0.93279839518555696</v>
      </c>
      <c r="AE2">
        <v>0.92377131394182499</v>
      </c>
      <c r="AF2">
        <v>0.81845536609829495</v>
      </c>
      <c r="AG2">
        <v>0.97191574724172503</v>
      </c>
      <c r="AH2">
        <v>0.87362086258776295</v>
      </c>
      <c r="AI2">
        <v>0.91975927783350098</v>
      </c>
      <c r="AJ2">
        <v>0.91975927783350098</v>
      </c>
      <c r="AK2">
        <v>0.96088264794383105</v>
      </c>
      <c r="AL2">
        <v>0.83049147442326998</v>
      </c>
      <c r="AM2">
        <v>0.93179538615847501</v>
      </c>
      <c r="AN2">
        <v>0.87963891675025097</v>
      </c>
      <c r="AO2">
        <v>62.452883874564797</v>
      </c>
      <c r="AP2">
        <v>122.094758930715</v>
      </c>
      <c r="AQ2">
        <v>89.305438343197395</v>
      </c>
      <c r="AR2">
        <v>33.990643678339197</v>
      </c>
      <c r="AS2">
        <v>84.898607089268594</v>
      </c>
      <c r="AT2">
        <v>47.810882241623197</v>
      </c>
      <c r="AU2">
        <v>30.399905370620498</v>
      </c>
      <c r="AV2">
        <v>33.1553926660443</v>
      </c>
      <c r="AW2">
        <v>31.353654837409199</v>
      </c>
      <c r="AX2">
        <v>34.243922136887797</v>
      </c>
      <c r="AY2">
        <v>44.522043171476597</v>
      </c>
      <c r="AZ2">
        <v>42.170485745057398</v>
      </c>
      <c r="BA2">
        <v>27.080757614965599</v>
      </c>
      <c r="BB2">
        <v>33.525306020883399</v>
      </c>
      <c r="BC2">
        <v>27.167421520762399</v>
      </c>
      <c r="BD2">
        <v>29.662625703626102</v>
      </c>
      <c r="BE2">
        <v>43.832111157926199</v>
      </c>
      <c r="BF2">
        <v>37.751531898350798</v>
      </c>
      <c r="BG2">
        <v>28.720641138576699</v>
      </c>
      <c r="BH2">
        <v>48.391605196988301</v>
      </c>
      <c r="BI2">
        <v>30.3727962713591</v>
      </c>
      <c r="BJ2">
        <v>28.6524357189097</v>
      </c>
      <c r="BK2">
        <v>51.518481425106501</v>
      </c>
      <c r="BL2">
        <v>39.701563121668897</v>
      </c>
      <c r="BM2">
        <v>76.280596383232904</v>
      </c>
      <c r="BN2">
        <v>152.06730193072201</v>
      </c>
      <c r="BO2">
        <v>79.901213807988796</v>
      </c>
      <c r="BP2">
        <v>60.040276053554898</v>
      </c>
      <c r="BQ2">
        <v>124.13871906612501</v>
      </c>
      <c r="BR2">
        <v>75.338999016096594</v>
      </c>
      <c r="BS2">
        <v>179.183961599719</v>
      </c>
      <c r="BT2">
        <v>304.05097448115401</v>
      </c>
      <c r="BU2">
        <v>219.22777324136999</v>
      </c>
      <c r="BV2">
        <v>144.209744489114</v>
      </c>
      <c r="BW2">
        <v>218.86002707449299</v>
      </c>
      <c r="BX2">
        <v>153.227771575552</v>
      </c>
    </row>
    <row r="3" spans="1:76" x14ac:dyDescent="0.25">
      <c r="A3">
        <v>2</v>
      </c>
      <c r="B3">
        <v>1000</v>
      </c>
      <c r="C3">
        <v>200</v>
      </c>
      <c r="D3">
        <v>2</v>
      </c>
      <c r="E3">
        <v>0.94799999999999995</v>
      </c>
      <c r="F3">
        <v>0.98799999999999999</v>
      </c>
      <c r="G3">
        <v>0.90800000000000003</v>
      </c>
      <c r="H3">
        <v>0.82399999999999995</v>
      </c>
      <c r="I3">
        <v>0.998</v>
      </c>
      <c r="J3">
        <v>0.94599999999999995</v>
      </c>
      <c r="K3">
        <v>0.88500000000000001</v>
      </c>
      <c r="L3">
        <v>0.88300000000000001</v>
      </c>
      <c r="M3">
        <v>0.85599999999999998</v>
      </c>
      <c r="N3">
        <v>0.88200000000000001</v>
      </c>
      <c r="O3">
        <v>0.89100000000000001</v>
      </c>
      <c r="P3">
        <v>0.89300000000000002</v>
      </c>
      <c r="Q3">
        <v>0.96899999999999997</v>
      </c>
      <c r="R3">
        <v>0.97699999999999998</v>
      </c>
      <c r="S3">
        <v>0.94099999999999995</v>
      </c>
      <c r="T3">
        <v>0.96799999999999997</v>
      </c>
      <c r="U3">
        <v>0.97599999999999998</v>
      </c>
      <c r="V3">
        <v>0.97099999999999997</v>
      </c>
      <c r="W3">
        <v>0.95699999999999996</v>
      </c>
      <c r="X3">
        <v>0.97899999999999998</v>
      </c>
      <c r="Y3">
        <v>0.90800000000000003</v>
      </c>
      <c r="Z3">
        <v>0.93700000000000006</v>
      </c>
      <c r="AA3">
        <v>0.97799999999999998</v>
      </c>
      <c r="AB3">
        <v>0.95399999999999996</v>
      </c>
      <c r="AC3">
        <v>0.93799999999999994</v>
      </c>
      <c r="AD3">
        <v>0.95299999999999996</v>
      </c>
      <c r="AE3">
        <v>0.88500000000000001</v>
      </c>
      <c r="AF3">
        <v>0.85399999999999998</v>
      </c>
      <c r="AG3">
        <v>0.97</v>
      </c>
      <c r="AH3">
        <v>0.90700000000000003</v>
      </c>
      <c r="AI3">
        <v>0.88400000000000001</v>
      </c>
      <c r="AJ3">
        <v>0.89900000000000002</v>
      </c>
      <c r="AK3">
        <v>0.88100000000000001</v>
      </c>
      <c r="AL3">
        <v>0.80400000000000005</v>
      </c>
      <c r="AM3">
        <v>0.95299999999999996</v>
      </c>
      <c r="AN3">
        <v>0.78800000000000003</v>
      </c>
      <c r="AO3">
        <v>58.812986376843803</v>
      </c>
      <c r="AP3">
        <v>137.04900537284999</v>
      </c>
      <c r="AQ3">
        <v>50.5991287707933</v>
      </c>
      <c r="AR3">
        <v>42.652139903198901</v>
      </c>
      <c r="AS3">
        <v>84.680225345113698</v>
      </c>
      <c r="AT3">
        <v>81.284767861012298</v>
      </c>
      <c r="AU3">
        <v>32.392385523079703</v>
      </c>
      <c r="AV3">
        <v>36.253358869953999</v>
      </c>
      <c r="AW3">
        <v>31.150825962493698</v>
      </c>
      <c r="AX3">
        <v>34.168012176172397</v>
      </c>
      <c r="AY3">
        <v>38.159044750605901</v>
      </c>
      <c r="AZ3">
        <v>38.272918049977903</v>
      </c>
      <c r="BA3">
        <v>29.315923997308801</v>
      </c>
      <c r="BB3">
        <v>36.553089455237298</v>
      </c>
      <c r="BC3">
        <v>28.695194100985798</v>
      </c>
      <c r="BD3">
        <v>30.667978224414899</v>
      </c>
      <c r="BE3">
        <v>37.693979341686401</v>
      </c>
      <c r="BF3">
        <v>34.213891686312103</v>
      </c>
      <c r="BG3">
        <v>29.9956756338727</v>
      </c>
      <c r="BH3">
        <v>51.181106960476299</v>
      </c>
      <c r="BI3">
        <v>29.971899391573299</v>
      </c>
      <c r="BJ3">
        <v>30.137366301961901</v>
      </c>
      <c r="BK3">
        <v>44.990090211893602</v>
      </c>
      <c r="BL3">
        <v>39.7898914531918</v>
      </c>
      <c r="BM3">
        <v>75.930798831519795</v>
      </c>
      <c r="BN3">
        <v>169.159472065979</v>
      </c>
      <c r="BO3">
        <v>69.499495199503897</v>
      </c>
      <c r="BP3">
        <v>65.020923918607096</v>
      </c>
      <c r="BQ3">
        <v>115.306635664403</v>
      </c>
      <c r="BR3">
        <v>105.647624142531</v>
      </c>
      <c r="BS3">
        <v>177.84442396578299</v>
      </c>
      <c r="BT3">
        <v>319.82203725771399</v>
      </c>
      <c r="BU3">
        <v>160.58594924776</v>
      </c>
      <c r="BV3">
        <v>157.38551203038199</v>
      </c>
      <c r="BW3">
        <v>214.79468770339801</v>
      </c>
      <c r="BX3">
        <v>180.506995518259</v>
      </c>
    </row>
    <row r="4" spans="1:76" x14ac:dyDescent="0.25">
      <c r="A4">
        <v>3</v>
      </c>
      <c r="B4">
        <v>1000</v>
      </c>
      <c r="C4">
        <v>500</v>
      </c>
      <c r="D4">
        <v>1</v>
      </c>
      <c r="E4">
        <v>0.98698698698698695</v>
      </c>
      <c r="F4">
        <v>0.99799799799799804</v>
      </c>
      <c r="G4">
        <v>0.99599599599599598</v>
      </c>
      <c r="H4">
        <v>0.87587587587587601</v>
      </c>
      <c r="I4">
        <v>0.99199199199199195</v>
      </c>
      <c r="J4">
        <v>0.93993993993993996</v>
      </c>
      <c r="K4">
        <v>0.896896896896897</v>
      </c>
      <c r="L4">
        <v>0.89789789789789798</v>
      </c>
      <c r="M4">
        <v>0.87487487487487503</v>
      </c>
      <c r="N4">
        <v>0.83283283283283305</v>
      </c>
      <c r="O4">
        <v>0.91291291291291299</v>
      </c>
      <c r="P4">
        <v>0.90090090090090102</v>
      </c>
      <c r="Q4">
        <v>0.96796796796796802</v>
      </c>
      <c r="R4">
        <v>0.97697697697697705</v>
      </c>
      <c r="S4">
        <v>0.95695695695695704</v>
      </c>
      <c r="T4">
        <v>0.92992992992992995</v>
      </c>
      <c r="U4">
        <v>0.98398398398398401</v>
      </c>
      <c r="V4">
        <v>0.96096096096096095</v>
      </c>
      <c r="W4">
        <v>0.94494494494494496</v>
      </c>
      <c r="X4">
        <v>0.98898898898898902</v>
      </c>
      <c r="Y4">
        <v>0.94994994994994997</v>
      </c>
      <c r="Z4">
        <v>0.90590590590590603</v>
      </c>
      <c r="AA4">
        <v>0.98798798798798804</v>
      </c>
      <c r="AB4">
        <v>0.94694694694694703</v>
      </c>
      <c r="AC4">
        <v>0.963963963963964</v>
      </c>
      <c r="AD4">
        <v>0.968968968968969</v>
      </c>
      <c r="AE4">
        <v>0.95795795795795802</v>
      </c>
      <c r="AF4">
        <v>0.83683683683683696</v>
      </c>
      <c r="AG4">
        <v>0.98498498498498499</v>
      </c>
      <c r="AH4">
        <v>0.87287287287287296</v>
      </c>
      <c r="AI4">
        <v>0.97697697697697705</v>
      </c>
      <c r="AJ4">
        <v>0.97297297297297303</v>
      </c>
      <c r="AK4">
        <v>0.99399399399399402</v>
      </c>
      <c r="AL4">
        <v>0.90890890890890896</v>
      </c>
      <c r="AM4">
        <v>0.96996996996996998</v>
      </c>
      <c r="AN4">
        <v>0.92892892892892898</v>
      </c>
      <c r="AO4">
        <v>75.370091246200104</v>
      </c>
      <c r="AP4">
        <v>198.60758652782599</v>
      </c>
      <c r="AQ4">
        <v>129.908941373142</v>
      </c>
      <c r="AR4">
        <v>36.842581929378802</v>
      </c>
      <c r="AS4">
        <v>80.9619787466861</v>
      </c>
      <c r="AT4">
        <v>46.288259106345301</v>
      </c>
      <c r="AU4">
        <v>35.301481431637697</v>
      </c>
      <c r="AV4">
        <v>38.037318327579499</v>
      </c>
      <c r="AW4">
        <v>36.098065934685003</v>
      </c>
      <c r="AX4">
        <v>36.185590183163498</v>
      </c>
      <c r="AY4">
        <v>41.363375281143298</v>
      </c>
      <c r="AZ4">
        <v>43.844364365027502</v>
      </c>
      <c r="BA4">
        <v>29.493769308469499</v>
      </c>
      <c r="BB4">
        <v>35.489723392005303</v>
      </c>
      <c r="BC4">
        <v>29.470730360614201</v>
      </c>
      <c r="BD4">
        <v>30.396611206080198</v>
      </c>
      <c r="BE4">
        <v>38.624030497884299</v>
      </c>
      <c r="BF4">
        <v>35.604487687235803</v>
      </c>
      <c r="BG4">
        <v>31.0399020258841</v>
      </c>
      <c r="BH4">
        <v>48.752743557651499</v>
      </c>
      <c r="BI4">
        <v>32.891340069422</v>
      </c>
      <c r="BJ4">
        <v>30.1696295822893</v>
      </c>
      <c r="BK4">
        <v>45.825705254143998</v>
      </c>
      <c r="BL4">
        <v>35.238782170823001</v>
      </c>
      <c r="BM4">
        <v>85.713778903137396</v>
      </c>
      <c r="BN4">
        <v>173.68466777627401</v>
      </c>
      <c r="BO4">
        <v>93.575789675380406</v>
      </c>
      <c r="BP4">
        <v>64.803339955787493</v>
      </c>
      <c r="BQ4">
        <v>120.97537925426001</v>
      </c>
      <c r="BR4">
        <v>72.002325960956398</v>
      </c>
      <c r="BS4">
        <v>202.94081730536399</v>
      </c>
      <c r="BT4">
        <v>403.032531398983</v>
      </c>
      <c r="BU4">
        <v>262.54733709780101</v>
      </c>
      <c r="BV4">
        <v>153.49635979780001</v>
      </c>
      <c r="BW4">
        <v>219.74627874303101</v>
      </c>
      <c r="BX4">
        <v>151.85531997226801</v>
      </c>
    </row>
    <row r="5" spans="1:76" x14ac:dyDescent="0.25">
      <c r="A5">
        <v>4</v>
      </c>
      <c r="B5">
        <v>1000</v>
      </c>
      <c r="C5">
        <v>500</v>
      </c>
      <c r="D5">
        <v>2</v>
      </c>
      <c r="E5">
        <v>0.92100000000000004</v>
      </c>
      <c r="F5">
        <v>0.995</v>
      </c>
      <c r="G5">
        <v>0.96099999999999997</v>
      </c>
      <c r="H5">
        <v>0.78800000000000003</v>
      </c>
      <c r="I5">
        <v>0.995</v>
      </c>
      <c r="J5">
        <v>0.95099999999999996</v>
      </c>
      <c r="K5">
        <v>0.84599999999999997</v>
      </c>
      <c r="L5">
        <v>0.88700000000000001</v>
      </c>
      <c r="M5">
        <v>0.79100000000000004</v>
      </c>
      <c r="N5">
        <v>0.83</v>
      </c>
      <c r="O5">
        <v>0.82099999999999995</v>
      </c>
      <c r="P5">
        <v>0.85199999999999998</v>
      </c>
      <c r="Q5">
        <v>0.95699999999999996</v>
      </c>
      <c r="R5">
        <v>0.97399999999999998</v>
      </c>
      <c r="S5">
        <v>0.92300000000000004</v>
      </c>
      <c r="T5">
        <v>0.94</v>
      </c>
      <c r="U5">
        <v>0.92200000000000004</v>
      </c>
      <c r="V5">
        <v>0.95499999999999996</v>
      </c>
      <c r="W5">
        <v>0.95599999999999996</v>
      </c>
      <c r="X5">
        <v>0.98899999999999999</v>
      </c>
      <c r="Y5">
        <v>0.89800000000000002</v>
      </c>
      <c r="Z5">
        <v>0.93500000000000005</v>
      </c>
      <c r="AA5">
        <v>0.92300000000000004</v>
      </c>
      <c r="AB5">
        <v>0.94699999999999995</v>
      </c>
      <c r="AC5">
        <v>0.93500000000000005</v>
      </c>
      <c r="AD5">
        <v>0.97199999999999998</v>
      </c>
      <c r="AE5">
        <v>0.88300000000000001</v>
      </c>
      <c r="AF5">
        <v>0.90300000000000002</v>
      </c>
      <c r="AG5">
        <v>0.95299999999999996</v>
      </c>
      <c r="AH5">
        <v>0.91800000000000004</v>
      </c>
      <c r="AI5">
        <v>0.873</v>
      </c>
      <c r="AJ5">
        <v>0.95599999999999996</v>
      </c>
      <c r="AK5">
        <v>0.92600000000000005</v>
      </c>
      <c r="AL5">
        <v>0.84099999999999997</v>
      </c>
      <c r="AM5">
        <v>0.98499999999999999</v>
      </c>
      <c r="AN5">
        <v>0.85799999999999998</v>
      </c>
      <c r="AO5">
        <v>79.2817071313398</v>
      </c>
      <c r="AP5">
        <v>181.917064102003</v>
      </c>
      <c r="AQ5">
        <v>57.436584287124397</v>
      </c>
      <c r="AR5">
        <v>56.536549863914701</v>
      </c>
      <c r="AS5">
        <v>95.141752477937999</v>
      </c>
      <c r="AT5">
        <v>125.04152551643401</v>
      </c>
      <c r="AU5">
        <v>32.928286102325899</v>
      </c>
      <c r="AV5">
        <v>38.634807116357102</v>
      </c>
      <c r="AW5">
        <v>31.468063007948199</v>
      </c>
      <c r="AX5">
        <v>33.3672697793032</v>
      </c>
      <c r="AY5">
        <v>35.615564372335299</v>
      </c>
      <c r="AZ5">
        <v>35.105238169301401</v>
      </c>
      <c r="BA5">
        <v>29.038321803099901</v>
      </c>
      <c r="BB5">
        <v>36.565025140013802</v>
      </c>
      <c r="BC5">
        <v>28.6987565562562</v>
      </c>
      <c r="BD5">
        <v>29.820106840709499</v>
      </c>
      <c r="BE5">
        <v>34.939081258206002</v>
      </c>
      <c r="BF5">
        <v>31.377055943917799</v>
      </c>
      <c r="BG5">
        <v>30.3858019322067</v>
      </c>
      <c r="BH5">
        <v>51.238954636441299</v>
      </c>
      <c r="BI5">
        <v>30.5796425254503</v>
      </c>
      <c r="BJ5">
        <v>30.707289955720999</v>
      </c>
      <c r="BK5">
        <v>43.0038539233271</v>
      </c>
      <c r="BL5">
        <v>32.8564984936747</v>
      </c>
      <c r="BM5">
        <v>81.857912288955404</v>
      </c>
      <c r="BN5">
        <v>182.28757861753499</v>
      </c>
      <c r="BO5">
        <v>74.0544533286252</v>
      </c>
      <c r="BP5">
        <v>70.395890790017802</v>
      </c>
      <c r="BQ5">
        <v>117.90304528576</v>
      </c>
      <c r="BR5">
        <v>91.597329131893105</v>
      </c>
      <c r="BS5">
        <v>202.47861850915601</v>
      </c>
      <c r="BT5">
        <v>407.30780999337799</v>
      </c>
      <c r="BU5">
        <v>173.06001698008799</v>
      </c>
      <c r="BV5">
        <v>176.416904998582</v>
      </c>
      <c r="BW5">
        <v>231.82465702903099</v>
      </c>
      <c r="BX5">
        <v>253.88947596703801</v>
      </c>
    </row>
    <row r="6" spans="1:76" x14ac:dyDescent="0.25">
      <c r="A6">
        <v>5</v>
      </c>
      <c r="B6">
        <v>1000</v>
      </c>
      <c r="C6">
        <v>1000</v>
      </c>
      <c r="D6">
        <v>1</v>
      </c>
      <c r="E6">
        <v>0.99099999999999999</v>
      </c>
      <c r="F6">
        <v>0.999</v>
      </c>
      <c r="G6">
        <v>1</v>
      </c>
      <c r="H6">
        <v>0.874</v>
      </c>
      <c r="I6">
        <v>1</v>
      </c>
      <c r="J6">
        <v>0.93400000000000005</v>
      </c>
      <c r="K6">
        <v>0.92800000000000005</v>
      </c>
      <c r="L6">
        <v>0.92300000000000004</v>
      </c>
      <c r="M6">
        <v>0.91400000000000003</v>
      </c>
      <c r="N6">
        <v>0.89100000000000001</v>
      </c>
      <c r="O6">
        <v>0.92500000000000004</v>
      </c>
      <c r="P6">
        <v>0.92700000000000005</v>
      </c>
      <c r="Q6">
        <v>0.97499999999999998</v>
      </c>
      <c r="R6">
        <v>0.98499999999999999</v>
      </c>
      <c r="S6">
        <v>0.96699999999999997</v>
      </c>
      <c r="T6">
        <v>0.94</v>
      </c>
      <c r="U6">
        <v>0.98099999999999998</v>
      </c>
      <c r="V6">
        <v>0.97499999999999998</v>
      </c>
      <c r="W6">
        <v>0.95499999999999996</v>
      </c>
      <c r="X6">
        <v>0.98799999999999999</v>
      </c>
      <c r="Y6">
        <v>0.96299999999999997</v>
      </c>
      <c r="Z6">
        <v>0.90700000000000003</v>
      </c>
      <c r="AA6">
        <v>0.98399999999999999</v>
      </c>
      <c r="AB6">
        <v>0.94499999999999995</v>
      </c>
      <c r="AC6">
        <v>0.95</v>
      </c>
      <c r="AD6">
        <v>0.97799999999999998</v>
      </c>
      <c r="AE6">
        <v>0.96399999999999997</v>
      </c>
      <c r="AF6">
        <v>0.84299999999999997</v>
      </c>
      <c r="AG6">
        <v>0.98399999999999999</v>
      </c>
      <c r="AH6">
        <v>0.88200000000000001</v>
      </c>
      <c r="AI6">
        <v>0.98399999999999999</v>
      </c>
      <c r="AJ6">
        <v>0.98899999999999999</v>
      </c>
      <c r="AK6">
        <v>0.998</v>
      </c>
      <c r="AL6">
        <v>0.91800000000000004</v>
      </c>
      <c r="AM6">
        <v>0.98</v>
      </c>
      <c r="AN6">
        <v>0.93100000000000005</v>
      </c>
      <c r="AO6">
        <v>90.123901195562397</v>
      </c>
      <c r="AP6">
        <v>295.27854354750599</v>
      </c>
      <c r="AQ6">
        <v>158.575635232385</v>
      </c>
      <c r="AR6">
        <v>38.772757443741902</v>
      </c>
      <c r="AS6">
        <v>80.603172886662804</v>
      </c>
      <c r="AT6">
        <v>43.977538092647301</v>
      </c>
      <c r="AU6">
        <v>37.8727683171496</v>
      </c>
      <c r="AV6">
        <v>41.329404098101499</v>
      </c>
      <c r="AW6">
        <v>38.119812456053801</v>
      </c>
      <c r="AX6">
        <v>37.5694171904019</v>
      </c>
      <c r="AY6">
        <v>40.7029448849852</v>
      </c>
      <c r="AZ6">
        <v>42.150851333547202</v>
      </c>
      <c r="BA6">
        <v>30.3413104900871</v>
      </c>
      <c r="BB6">
        <v>37.054143959139701</v>
      </c>
      <c r="BC6">
        <v>30.1970721296744</v>
      </c>
      <c r="BD6">
        <v>30.745418330253202</v>
      </c>
      <c r="BE6">
        <v>36.728603934462299</v>
      </c>
      <c r="BF6">
        <v>33.826726194711902</v>
      </c>
      <c r="BG6">
        <v>32.962372936366897</v>
      </c>
      <c r="BH6">
        <v>50.127639870672397</v>
      </c>
      <c r="BI6">
        <v>34.795668164636297</v>
      </c>
      <c r="BJ6">
        <v>31.5428757318724</v>
      </c>
      <c r="BK6">
        <v>44.232196166768098</v>
      </c>
      <c r="BL6">
        <v>36.177187583069902</v>
      </c>
      <c r="BM6">
        <v>89.858916055610393</v>
      </c>
      <c r="BN6">
        <v>184.88353343141</v>
      </c>
      <c r="BO6">
        <v>101.52245520205101</v>
      </c>
      <c r="BP6">
        <v>68.787762515781594</v>
      </c>
      <c r="BQ6">
        <v>120.178209490654</v>
      </c>
      <c r="BR6">
        <v>73.437451970260199</v>
      </c>
      <c r="BS6">
        <v>212.29016013567599</v>
      </c>
      <c r="BT6">
        <v>465.38271973088001</v>
      </c>
      <c r="BU6">
        <v>287.97240906898998</v>
      </c>
      <c r="BV6">
        <v>155.184752039063</v>
      </c>
      <c r="BW6">
        <v>214.65149265391901</v>
      </c>
      <c r="BX6">
        <v>151.923708536389</v>
      </c>
    </row>
    <row r="7" spans="1:76" x14ac:dyDescent="0.25">
      <c r="A7">
        <v>6</v>
      </c>
      <c r="B7">
        <v>1000</v>
      </c>
      <c r="C7">
        <v>1000</v>
      </c>
      <c r="D7">
        <v>2</v>
      </c>
      <c r="E7">
        <v>0.75600000000000001</v>
      </c>
      <c r="F7">
        <v>0.98899999999999999</v>
      </c>
      <c r="G7">
        <v>0.94499999999999995</v>
      </c>
      <c r="H7">
        <v>0.64500000000000002</v>
      </c>
      <c r="I7">
        <v>0.997</v>
      </c>
      <c r="J7">
        <v>0.88400000000000001</v>
      </c>
      <c r="K7">
        <v>0.80300000000000005</v>
      </c>
      <c r="L7">
        <v>0.85099999999999998</v>
      </c>
      <c r="M7">
        <v>0.70899999999999996</v>
      </c>
      <c r="N7">
        <v>0.754</v>
      </c>
      <c r="O7">
        <v>0.68899999999999995</v>
      </c>
      <c r="P7">
        <v>0.78300000000000003</v>
      </c>
      <c r="Q7">
        <v>0.94499999999999995</v>
      </c>
      <c r="R7">
        <v>0.98</v>
      </c>
      <c r="S7">
        <v>0.88200000000000001</v>
      </c>
      <c r="T7">
        <v>0.90300000000000002</v>
      </c>
      <c r="U7">
        <v>0.82599999999999996</v>
      </c>
      <c r="V7">
        <v>0.91900000000000004</v>
      </c>
      <c r="W7">
        <v>0.96</v>
      </c>
      <c r="X7">
        <v>0.98399999999999999</v>
      </c>
      <c r="Y7">
        <v>0.86499999999999999</v>
      </c>
      <c r="Z7">
        <v>0.89900000000000002</v>
      </c>
      <c r="AA7">
        <v>0.81899999999999995</v>
      </c>
      <c r="AB7">
        <v>0.92100000000000004</v>
      </c>
      <c r="AC7">
        <v>0.91800000000000004</v>
      </c>
      <c r="AD7">
        <v>0.96499999999999997</v>
      </c>
      <c r="AE7">
        <v>0.91400000000000003</v>
      </c>
      <c r="AF7">
        <v>0.90300000000000002</v>
      </c>
      <c r="AG7">
        <v>0.93500000000000005</v>
      </c>
      <c r="AH7">
        <v>0.91</v>
      </c>
      <c r="AI7">
        <v>0.77600000000000002</v>
      </c>
      <c r="AJ7">
        <v>0.95699999999999996</v>
      </c>
      <c r="AK7">
        <v>0.93400000000000005</v>
      </c>
      <c r="AL7">
        <v>0.79900000000000004</v>
      </c>
      <c r="AM7">
        <v>0.98899999999999999</v>
      </c>
      <c r="AN7">
        <v>0.81599999999999995</v>
      </c>
      <c r="AO7">
        <v>102.628374876552</v>
      </c>
      <c r="AP7">
        <v>212.959391385478</v>
      </c>
      <c r="AQ7">
        <v>63.789441924440801</v>
      </c>
      <c r="AR7">
        <v>70.484287824352094</v>
      </c>
      <c r="AS7">
        <v>104.26734586793999</v>
      </c>
      <c r="AT7">
        <v>154.62489753901701</v>
      </c>
      <c r="AU7">
        <v>32.919330030401497</v>
      </c>
      <c r="AV7">
        <v>39.642303087396897</v>
      </c>
      <c r="AW7">
        <v>31.521825152013299</v>
      </c>
      <c r="AX7">
        <v>32.9328212518013</v>
      </c>
      <c r="AY7">
        <v>34.469655770914599</v>
      </c>
      <c r="AZ7">
        <v>34.229045844708999</v>
      </c>
      <c r="BA7">
        <v>28.440787964658998</v>
      </c>
      <c r="BB7">
        <v>36.104182904655097</v>
      </c>
      <c r="BC7">
        <v>28.260765630700899</v>
      </c>
      <c r="BD7">
        <v>29.039064605118298</v>
      </c>
      <c r="BE7">
        <v>33.500266166728998</v>
      </c>
      <c r="BF7">
        <v>30.100870041010399</v>
      </c>
      <c r="BG7">
        <v>30.443831279754601</v>
      </c>
      <c r="BH7">
        <v>50.616872744895801</v>
      </c>
      <c r="BI7">
        <v>30.753896550356501</v>
      </c>
      <c r="BJ7">
        <v>30.823259994601301</v>
      </c>
      <c r="BK7">
        <v>42.233699249320402</v>
      </c>
      <c r="BL7">
        <v>32.051682490013398</v>
      </c>
      <c r="BM7">
        <v>84.815942048755304</v>
      </c>
      <c r="BN7">
        <v>187.389526990653</v>
      </c>
      <c r="BO7">
        <v>75.472031048837295</v>
      </c>
      <c r="BP7">
        <v>72.257570176736294</v>
      </c>
      <c r="BQ7">
        <v>120.324835365981</v>
      </c>
      <c r="BR7">
        <v>90.318518372029402</v>
      </c>
      <c r="BS7">
        <v>213.022355217155</v>
      </c>
      <c r="BT7">
        <v>427.84574027312902</v>
      </c>
      <c r="BU7">
        <v>171.80621080967799</v>
      </c>
      <c r="BV7">
        <v>178.39519835265301</v>
      </c>
      <c r="BW7">
        <v>229.957095503472</v>
      </c>
      <c r="BX7">
        <v>285.53218898846399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20"/>
  <sheetViews>
    <sheetView workbookViewId="0">
      <selection activeCell="O9" sqref="O9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6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10.42578125" style="1" bestFit="1" customWidth="1"/>
    <col min="9" max="9" width="5.140625" style="1" bestFit="1" customWidth="1"/>
    <col min="10" max="10" width="8.28515625" style="1" customWidth="1"/>
    <col min="11" max="17" width="9.28515625" style="1"/>
    <col min="18" max="18" width="28" style="1" bestFit="1" customWidth="1"/>
    <col min="19" max="16384" width="9.28515625" style="1"/>
  </cols>
  <sheetData>
    <row r="1" spans="1:18" x14ac:dyDescent="0.25">
      <c r="C1" s="16" t="s">
        <v>71</v>
      </c>
      <c r="D1" s="16"/>
      <c r="E1" s="16"/>
      <c r="F1" s="16"/>
      <c r="G1" s="16"/>
      <c r="H1" s="11"/>
      <c r="I1" s="11"/>
      <c r="J1" s="11"/>
      <c r="R1" s="10" t="s">
        <v>215</v>
      </c>
    </row>
    <row r="2" spans="1:18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5</v>
      </c>
    </row>
    <row r="3" spans="1:18" x14ac:dyDescent="0.2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I3" s="11">
        <v>500</v>
      </c>
      <c r="J3" s="11"/>
      <c r="K3" s="11"/>
      <c r="L3" s="11"/>
      <c r="M3" s="11"/>
      <c r="N3" s="11"/>
      <c r="O3" s="11"/>
      <c r="P3" s="11"/>
    </row>
    <row r="4" spans="1:18" x14ac:dyDescent="0.25">
      <c r="C4" s="11"/>
      <c r="D4" s="11"/>
      <c r="E4" s="11"/>
      <c r="F4" s="11"/>
      <c r="G4" s="11"/>
      <c r="H4" s="11"/>
      <c r="I4" s="11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-3.9399359266025602</v>
      </c>
      <c r="D5" s="5">
        <f>HLOOKUP("ATE-RMSE-IPS-exp",Point!$D$1:$DR$96,$R$2,FALSE)</f>
        <v>6.1067032423530696</v>
      </c>
      <c r="E5" s="5">
        <f>(D5/$D$9)^2</f>
        <v>3.7523182806038284</v>
      </c>
      <c r="F5" s="5">
        <f>HLOOKUP("ATE-Empcov-IPS-exp",inference!$D$1:$DR$96,$R$2,FALSE)</f>
        <v>0.92100000000000004</v>
      </c>
      <c r="G5" s="5">
        <f>HLOOKUP("ATE-ASSD-IPS-exp",inference!$D$1:$DR$96,$R$2,FALSE)*2*1.96/SQRT(G$3)</f>
        <v>13.898696063003801</v>
      </c>
      <c r="H5" s="5">
        <f>G5/(2*1.96/SQRT(G$3))</f>
        <v>79.2817071313398</v>
      </c>
      <c r="I5" s="5">
        <f t="shared" ref="I5:I10" si="0">($H$9/H5)^2</f>
        <v>1.4401121265189123</v>
      </c>
      <c r="J5" s="5"/>
      <c r="K5" s="5">
        <f>HLOOKUP("ks-IPS-exp",balance!$D$1:$DR$96,$R$2,FALSE)</f>
        <v>2.08445058534272</v>
      </c>
      <c r="L5" s="5">
        <f>HLOOKUP("cvm-IPS-exp",balance!$D$1:$DR$96,$R$2,FALSE)</f>
        <v>0.31996023616951103</v>
      </c>
      <c r="M5" s="5">
        <f>HLOOKUP("ks-IPS-exp_1",balance!$D$1:$DR$96,$R$2,FALSE)</f>
        <v>1.5206762532126901</v>
      </c>
      <c r="N5" s="5">
        <f>HLOOKUP("cvm-IPS-exp_1",balance!$D$1:$DR$96,$R$2,FALSE)</f>
        <v>0.18896833933079199</v>
      </c>
      <c r="O5" s="5">
        <f>HLOOKUP("ks-IPS-exp_0",balance!$D$1:$DR$96,$R$2,FALSE)</f>
        <v>0.76956032569468302</v>
      </c>
      <c r="P5" s="5">
        <f>HLOOKUP("cvm-IPS-exp_0",balance!$D$1:$DR$96,$R$2,FALSE)</f>
        <v>2.6101709998215199E-2</v>
      </c>
    </row>
    <row r="6" spans="1:18" x14ac:dyDescent="0.25">
      <c r="B6" s="1" t="s">
        <v>5</v>
      </c>
      <c r="C6" s="5">
        <f>HLOOKUP("ATE-bias-IPS-ind",Point!$D$1:$DR$96,$R$2,FALSE)</f>
        <v>-3.9514478431835398</v>
      </c>
      <c r="D6" s="5">
        <f>HLOOKUP("ATE-RMSE-IPS-ind",Point!$D$1:$DR$96,$R$2,FALSE)</f>
        <v>7.9649153779313204</v>
      </c>
      <c r="E6" s="5">
        <f t="shared" ref="E6:E10" si="1">(D6/$D$9)^2</f>
        <v>6.3833457696635127</v>
      </c>
      <c r="F6" s="5">
        <f>HLOOKUP("ATE-Empcov-IPS-ind",inference!$D$1:$DR$96,$R$2,FALSE)</f>
        <v>0.995</v>
      </c>
      <c r="G6" s="5">
        <f>HLOOKUP("ATE-ASSD-IPS-ind",inference!$D$1:$DR$96,$R$2,FALSE)*2*1.96/SQRT(G$3)</f>
        <v>31.891467453382408</v>
      </c>
      <c r="H6" s="5">
        <f t="shared" ref="H6:H9" si="2">G6/(2*1.96/SQRT(G$3))</f>
        <v>181.917064102003</v>
      </c>
      <c r="I6" s="5">
        <f t="shared" si="0"/>
        <v>0.27352398586119664</v>
      </c>
      <c r="J6" s="5"/>
      <c r="K6" s="5">
        <f>HLOOKUP("ks-IPS-ind",balance!$D$1:$DR$96,$R$2,FALSE)</f>
        <v>1.87164521869626</v>
      </c>
      <c r="L6" s="5">
        <f>HLOOKUP("cvm-IPS-ind",balance!$D$1:$DR$96,$R$2,FALSE)</f>
        <v>0.21916729120100001</v>
      </c>
      <c r="M6" s="5">
        <f>HLOOKUP("ks-IPS-ind_1",balance!$D$1:$DR$96,$R$2,FALSE)</f>
        <v>1.3298653880610301</v>
      </c>
      <c r="N6" s="5">
        <f>HLOOKUP("cvm-IPS-ind_1",balance!$D$1:$DR$96,$R$2,FALSE)</f>
        <v>0.129086602140394</v>
      </c>
      <c r="O6" s="5">
        <f>HLOOKUP("ks-IPS-ind_0",balance!$D$1:$DR$96,$R$2,FALSE)</f>
        <v>0.86116636503226296</v>
      </c>
      <c r="P6" s="5">
        <f>HLOOKUP("cvm-IPS-ind_0",balance!$D$1:$DR$96,$R$2,FALSE)</f>
        <v>1.9678658216267499E-2</v>
      </c>
    </row>
    <row r="7" spans="1:18" x14ac:dyDescent="0.25">
      <c r="B7" s="1" t="s">
        <v>4</v>
      </c>
      <c r="C7" s="5">
        <f>HLOOKUP("ATE-bias-IPS-proj",Point!$D$1:$DR$96,$R$2,FALSE)</f>
        <v>-4.2443646926884099E-2</v>
      </c>
      <c r="D7" s="5">
        <f>HLOOKUP("ATE-RMSE-IPS-proj",Point!$D$1:$DR$96,$R$2,FALSE)</f>
        <v>2.8815812413580599</v>
      </c>
      <c r="E7" s="5">
        <f t="shared" si="1"/>
        <v>0.83550253930289498</v>
      </c>
      <c r="F7" s="6">
        <f>HLOOKUP("ATE-Empcov-IPS-proj",inference!$D$1:$DR$96,$R$2,FALSE)</f>
        <v>0.96099999999999997</v>
      </c>
      <c r="G7" s="6">
        <f>HLOOKUP("ATE-ASSD-IPS-proj",inference!$D$1:$DR$96,$R$2,FALSE)*2*1.96/SQRT(G$3)</f>
        <v>10.069077177934265</v>
      </c>
      <c r="H7" s="5">
        <f t="shared" si="2"/>
        <v>57.436584287124397</v>
      </c>
      <c r="I7" s="5">
        <f t="shared" si="0"/>
        <v>2.7438798081619011</v>
      </c>
      <c r="J7" s="5"/>
      <c r="K7" s="5">
        <f>HLOOKUP("ks-IPS-proj",balance!$D$1:$DR$96,$R$2,FALSE)</f>
        <v>2.1507841953355502</v>
      </c>
      <c r="L7" s="5">
        <f>HLOOKUP("cvm-IPS-proj",balance!$D$1:$DR$96,$R$2,FALSE)</f>
        <v>0.334963175031463</v>
      </c>
      <c r="M7" s="5">
        <f>HLOOKUP("ks-IPS-proj_1",balance!$D$1:$DR$96,$R$2,FALSE)</f>
        <v>1.5723205987621101</v>
      </c>
      <c r="N7" s="5">
        <f>HLOOKUP("cvm-IPS-proj_1",balance!$D$1:$DR$96,$R$2,FALSE)</f>
        <v>0.19688267285723901</v>
      </c>
      <c r="O7" s="5">
        <f>HLOOKUP("ks-IPS-proj_0",balance!$D$1:$DR$96,$R$2,FALSE)</f>
        <v>0.73246086983693004</v>
      </c>
      <c r="P7" s="5">
        <f>HLOOKUP("cvm-IPS-proj_0",balance!$D$1:$DR$96,$R$2,FALSE)</f>
        <v>2.509530861618E-2</v>
      </c>
    </row>
    <row r="8" spans="1:18" x14ac:dyDescent="0.25">
      <c r="B8" s="1" t="s">
        <v>88</v>
      </c>
      <c r="C8" s="5">
        <f>HLOOKUP("ATE-bias-CBPS-just",Point!$D$1:$DR$96,$R$2,FALSE)</f>
        <v>-3.12563441423318</v>
      </c>
      <c r="D8" s="5">
        <f>HLOOKUP("ATE-RMSE-CBPS-just",Point!$D$1:$DR$96,$R$2,FALSE)</f>
        <v>5.1782873267913097</v>
      </c>
      <c r="E8" s="5">
        <f t="shared" si="1"/>
        <v>2.6981017669811647</v>
      </c>
      <c r="F8" s="5">
        <f>HLOOKUP("ATE-Empcov-CBPS-just",inference!$D$1:$DR$96,$R$2,FALSE)</f>
        <v>0.78800000000000003</v>
      </c>
      <c r="G8" s="5">
        <f>HLOOKUP("ATE-ASSD-CBPS-just",inference!$D$1:$DR$96,$R$2,FALSE)*2*1.96/SQRT(G$3)</f>
        <v>9.9112941867871491</v>
      </c>
      <c r="H8" s="5">
        <f t="shared" si="2"/>
        <v>56.536549863914708</v>
      </c>
      <c r="I8" s="5">
        <f t="shared" si="0"/>
        <v>2.831937660780838</v>
      </c>
      <c r="J8" s="5"/>
      <c r="K8" s="5">
        <f>HLOOKUP("ks-CBPS-Just",balance!$D$1:$DR$96,$R$2,FALSE)</f>
        <v>2.0934731702110501</v>
      </c>
      <c r="L8" s="5">
        <f>HLOOKUP("cvm-CBPS-Just",balance!$D$1:$DR$96,$R$2,FALSE)</f>
        <v>0.32374613462281099</v>
      </c>
      <c r="M8" s="5">
        <f>HLOOKUP("ks-CBPS-Just_1",balance!$D$1:$DR$96,$R$2,FALSE)</f>
        <v>1.5918992349419501</v>
      </c>
      <c r="N8" s="5">
        <f>HLOOKUP("cvm-CBPS-Just_1",balance!$D$1:$DR$96,$R$2,FALSE)</f>
        <v>0.21257861302237199</v>
      </c>
      <c r="O8" s="5">
        <f>HLOOKUP("ks-CBPS-Just_0",balance!$D$1:$DR$96,$R$2,FALSE)</f>
        <v>0.80946953852016101</v>
      </c>
      <c r="P8" s="5">
        <f>HLOOKUP("cvm-CBPS-Just_0",balance!$D$1:$DR$96,$R$2,FALSE)</f>
        <v>2.1193142169612399E-2</v>
      </c>
    </row>
    <row r="9" spans="1:18" x14ac:dyDescent="0.25">
      <c r="B9" s="1" t="s">
        <v>89</v>
      </c>
      <c r="C9" s="5">
        <f>HLOOKUP("ATE-bias-CBPS-over",Point!$D$1:$DR$96,$R$2,FALSE)</f>
        <v>1.9178682617765098E-2</v>
      </c>
      <c r="D9" s="5">
        <f>HLOOKUP("ATE-RMSE-CBPS-over",Point!$D$1:$DR$96,$R$2,FALSE)</f>
        <v>3.1525136900938802</v>
      </c>
      <c r="E9" s="5">
        <f t="shared" si="1"/>
        <v>1</v>
      </c>
      <c r="F9" s="5">
        <f>HLOOKUP("ATE-Empcov-CBPS-over",inference!$D$1:$DR$96,$R$2,FALSE)</f>
        <v>0.995</v>
      </c>
      <c r="G9" s="5">
        <f>HLOOKUP("ATE-ASSD-CBPS-over",inference!$D$1:$DR$96,$R$2,FALSE)*2*1.96/SQRT(G$3)</f>
        <v>16.679084601467668</v>
      </c>
      <c r="H9" s="5">
        <f t="shared" si="2"/>
        <v>95.141752477937999</v>
      </c>
      <c r="I9" s="5">
        <f t="shared" si="0"/>
        <v>1</v>
      </c>
      <c r="J9" s="5"/>
      <c r="K9" s="5">
        <f>HLOOKUP("ks-CBPS-over",balance!$D$1:$DR$96,$R$2,FALSE)</f>
        <v>2.3398013536013198</v>
      </c>
      <c r="L9" s="5">
        <f>HLOOKUP("cvm-CBPS-over",balance!$D$1:$DR$96,$R$2,FALSE)</f>
        <v>0.44343297106482599</v>
      </c>
      <c r="M9" s="5">
        <f>HLOOKUP("ks-CBPS-over_1",balance!$D$1:$DR$96,$R$2,FALSE)</f>
        <v>1.7494439770666601</v>
      </c>
      <c r="N9" s="5">
        <f>HLOOKUP("cvm-CBPS-over_1",balance!$D$1:$DR$96,$R$2,FALSE)</f>
        <v>0.268022559426423</v>
      </c>
      <c r="O9" s="5">
        <f>HLOOKUP("ks-CBPS-over_0",balance!$D$1:$DR$96,$R$2,FALSE)</f>
        <v>0.72352530648535196</v>
      </c>
      <c r="P9" s="5">
        <f>HLOOKUP("cvm-CBPS-over_0",balance!$D$1:$DR$96,$R$2,FALSE)</f>
        <v>2.72652545480279E-2</v>
      </c>
    </row>
    <row r="10" spans="1:18" s="3" customFormat="1" x14ac:dyDescent="0.25">
      <c r="B10" s="3" t="s">
        <v>2</v>
      </c>
      <c r="C10" s="5">
        <f>HLOOKUP("ATE-bias-GLM",Point!$D$1:$DR$96,$R$2,FALSE)</f>
        <v>-5.7058304789105598</v>
      </c>
      <c r="D10" s="5">
        <f>HLOOKUP("ATE-RMSE-GLM",Point!$D$1:$DR$96,$R$2,FALSE)</f>
        <v>14.443082734072499</v>
      </c>
      <c r="E10" s="5">
        <f t="shared" si="1"/>
        <v>20.989680872150519</v>
      </c>
      <c r="F10" s="5">
        <f>HLOOKUP("ATE-Empcov-GLM",inference!$D$1:$DR$96,$R$2,FALSE)</f>
        <v>0.95099999999999996</v>
      </c>
      <c r="G10" s="5">
        <f>HLOOKUP("ATE-ASSD-GLM",inference!$D$1:$DR$96,$R$2,FALSE)*2*1.96/SQRT(G$3)</f>
        <v>21.920745923497641</v>
      </c>
      <c r="H10" s="5">
        <f>G10/(2*1.96/SQRT(G$3))</f>
        <v>125.04152551643402</v>
      </c>
      <c r="I10" s="5">
        <f t="shared" si="0"/>
        <v>0.57894027953560245</v>
      </c>
      <c r="J10" s="5"/>
      <c r="K10" s="5">
        <f>HLOOKUP("ks-GLM",balance!$D$1:$DR$96,$R$2,FALSE)</f>
        <v>2.1460781474099901</v>
      </c>
      <c r="L10" s="5">
        <f>HLOOKUP("cvm-GLM",balance!$D$1:$DR$96,$R$2,FALSE)</f>
        <v>0.33433498688796298</v>
      </c>
      <c r="M10" s="5">
        <f>HLOOKUP("ks-GLM_1",balance!$D$1:$DR$96,$R$2,FALSE)</f>
        <v>1.62456787540602</v>
      </c>
      <c r="N10" s="5">
        <f>HLOOKUP("cvm-GLM_1",balance!$D$1:$DR$96,$R$2,FALSE)</f>
        <v>0.22595157984143899</v>
      </c>
      <c r="O10" s="5">
        <f>HLOOKUP("ks-GLM_0",balance!$D$1:$DR$96,$R$2,FALSE)</f>
        <v>0.89786254331929305</v>
      </c>
      <c r="P10" s="5">
        <f>HLOOKUP("cvm-GLM_0",balance!$D$1:$DR$96,$R$2,FALSE)</f>
        <v>2.67490520321188E-2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0.96144494020570004</v>
      </c>
      <c r="D12" s="5">
        <f>HLOOKUP("QTE-0.10-RMSE-IPS-exp",Point!$D$1:$DR$96,$R$2,FALSE)</f>
        <v>1.82511456157045</v>
      </c>
      <c r="E12" s="5">
        <f t="shared" ref="E12:E15" si="3">(D12/$D$16)^2</f>
        <v>0.76025050404745664</v>
      </c>
      <c r="F12" s="5">
        <f>HLOOKUP("QTE-0.1-Empcov-IPS-exp",inference!$D$1:$DR$96,$R$2,FALSE)</f>
        <v>0.84599999999999997</v>
      </c>
      <c r="G12" s="5">
        <f>HLOOKUP("QTE-0.1-ASSD-IPS-exp",inference!$D$1:$DR$96,$R$2,FALSE)*2*1.96/SQRT(G$3)</f>
        <v>5.7725830708172046</v>
      </c>
      <c r="H12" s="5">
        <f>G12/(2*1.96/SQRT(G$3))</f>
        <v>32.928286102325899</v>
      </c>
      <c r="I12" s="5">
        <f t="shared" ref="I12:I17" si="4">($H$16/H12)^2</f>
        <v>1.1698802473624452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0.87491930476901303</v>
      </c>
      <c r="D13" s="5">
        <f>HLOOKUP("QTE-0.10-RMSE-IPS-ind",Point!$D$1:$DR$96,$R$2,FALSE)</f>
        <v>1.98868373407454</v>
      </c>
      <c r="E13" s="5">
        <f t="shared" si="3"/>
        <v>0.90262612573895551</v>
      </c>
      <c r="F13" s="5">
        <f>HLOOKUP("QTE-0.1-Empcov-IPS-ind",inference!$D$1:$DR$96,$R$2,FALSE)</f>
        <v>0.88700000000000001</v>
      </c>
      <c r="G13" s="5">
        <f>HLOOKUP("QTE-0.1-ASSD-IPS-ind",inference!$D$1:$DR$96,$R$2,FALSE)*2*1.96/SQRT(G$3)</f>
        <v>6.7729803127657409</v>
      </c>
      <c r="H13" s="5">
        <f t="shared" ref="H13:H16" si="5">G13/(2*1.96/SQRT(G$3))</f>
        <v>38.634807116357102</v>
      </c>
      <c r="I13" s="5">
        <f t="shared" si="4"/>
        <v>0.84981064044592447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1.3167893910478301</v>
      </c>
      <c r="D14" s="5">
        <f>HLOOKUP("QTE-0.10-RMSE-IPS-proj",Point!$D$1:$DR$96,$R$2,FALSE)</f>
        <v>1.9674323138477099</v>
      </c>
      <c r="E14" s="5">
        <f t="shared" si="3"/>
        <v>0.88343796100513505</v>
      </c>
      <c r="F14" s="6">
        <f>HLOOKUP("QTE-0.1-Empcov-IPS-proj",inference!$D$1:$DR$96,$R$2,FALSE)</f>
        <v>0.79100000000000004</v>
      </c>
      <c r="G14" s="6">
        <f>HLOOKUP("QTE-0.1-ASSD-IPS-proj",inference!$D$1:$DR$96,$R$2,FALSE)*2*1.96/SQRT(G$3)</f>
        <v>5.5165946756718638</v>
      </c>
      <c r="H14" s="5">
        <f t="shared" si="5"/>
        <v>31.468063007948199</v>
      </c>
      <c r="I14" s="5">
        <f t="shared" si="4"/>
        <v>1.2809720068041945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1.1556294202584101</v>
      </c>
      <c r="D15" s="5">
        <f>HLOOKUP("QTE-0.10-RMSE-CBPS-just",Point!$D$1:$DR$96,$R$2,FALSE)</f>
        <v>1.9383106703772</v>
      </c>
      <c r="E15" s="5">
        <f t="shared" si="3"/>
        <v>0.8574784804251897</v>
      </c>
      <c r="F15" s="5">
        <f>HLOOKUP("QTE-0.1-Empcov-CBPS-just",inference!$D$1:$DR$96,$R$2,FALSE)</f>
        <v>0.83</v>
      </c>
      <c r="G15" s="5">
        <f>HLOOKUP("QTE-0.1-ASSD-CBPS-just",inference!$D$1:$DR$96,$R$2,FALSE)*2*1.96/SQRT(G$3)</f>
        <v>5.8495403024875534</v>
      </c>
      <c r="H15" s="5">
        <f t="shared" si="5"/>
        <v>33.367269779303193</v>
      </c>
      <c r="I15" s="5">
        <f t="shared" si="4"/>
        <v>1.1393005733617427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1.4464942664418901</v>
      </c>
      <c r="D16" s="5">
        <f>HLOOKUP("QTE-0.10-RMSE-CBPS-over",Point!$D$1:$DR$96,$R$2,FALSE)</f>
        <v>2.0932050398517399</v>
      </c>
      <c r="E16" s="5">
        <f>(D16/$D$16)^2</f>
        <v>1</v>
      </c>
      <c r="F16" s="5">
        <f>HLOOKUP("QTE-0.1-Empcov-CBPS-over",inference!$D$1:$DR$96,$R$2,FALSE)</f>
        <v>0.82099999999999995</v>
      </c>
      <c r="G16" s="5">
        <f>HLOOKUP("QTE-0.1-ASSD-CBPS-over",inference!$D$1:$DR$96,$R$2,FALSE)*2*1.96/SQRT(G$3)</f>
        <v>6.2436837226952093</v>
      </c>
      <c r="H16" s="5">
        <f t="shared" si="5"/>
        <v>35.615564372335292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25">
      <c r="B17" s="3" t="s">
        <v>2</v>
      </c>
      <c r="C17" s="5">
        <f>HLOOKUP("QTE-0.10-bias-GLM",Point!$D$1:$DR$96,$R$2,FALSE)</f>
        <v>1.1257296558466801</v>
      </c>
      <c r="D17" s="5">
        <f>HLOOKUP("QTE-0.10-RMSE-GLM",Point!$D$1:$DR$96,$R$2,FALSE)</f>
        <v>1.95526453025253</v>
      </c>
      <c r="E17" s="5">
        <f>(D17/$D$16)^2</f>
        <v>0.8725443295178219</v>
      </c>
      <c r="F17" s="5">
        <f>HLOOKUP("QTE-0.1-Empcov-GLM",inference!$D$1:$DR$96,$R$2,FALSE)</f>
        <v>0.85199999999999998</v>
      </c>
      <c r="G17" s="5">
        <f>HLOOKUP("QTE-0.1-ASSD-GLM",inference!$D$1:$DR$96,$R$2,FALSE)*2*1.96/SQRT(G$3)</f>
        <v>6.1542195947696499</v>
      </c>
      <c r="H17" s="5">
        <f>G17/(2*1.96/SQRT(G$3))</f>
        <v>35.105238169301394</v>
      </c>
      <c r="I17" s="5">
        <f t="shared" si="4"/>
        <v>1.029285402731982</v>
      </c>
      <c r="J17" s="5"/>
      <c r="K17" s="5"/>
      <c r="L17" s="5"/>
      <c r="M17" s="5"/>
      <c r="N17" s="5"/>
    </row>
    <row r="18" spans="1:17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25">
      <c r="A19" s="2" t="s">
        <v>59</v>
      </c>
      <c r="B19" s="1" t="s">
        <v>3</v>
      </c>
      <c r="C19" s="5">
        <f>HLOOKUP("QTE-0.25-bias-IPS-exp",Point!$D$1:$DR$96,$R$2,FALSE)</f>
        <v>0.56498773818338299</v>
      </c>
      <c r="D19" s="5">
        <f>HLOOKUP("QTE-0.25-RMSE-IPS-exp",Point!$D$1:$DR$96,$R$2,FALSE)</f>
        <v>1.22516381360675</v>
      </c>
      <c r="E19" s="5">
        <f>(D19/$D$23)^2</f>
        <v>0.51205865070326284</v>
      </c>
      <c r="F19" s="5">
        <f>HLOOKUP("QTE-0.25-Empcov-IPS-exp",inference!$D$1:$DR$96,$R$2,FALSE)</f>
        <v>0.95699999999999996</v>
      </c>
      <c r="G19" s="5">
        <f>HLOOKUP("QTE-0.25-ASSD-IPS-exp",inference!$D$1:$DR$96,$R$2,FALSE)*2*1.96/SQRT(G$3)</f>
        <v>5.0906422619328575</v>
      </c>
      <c r="H19" s="5">
        <f>G19/(2*1.96/SQRT(G$3))</f>
        <v>29.038321803099898</v>
      </c>
      <c r="I19" s="5">
        <f>($H$23/H19)^2</f>
        <v>1.4477045321522872</v>
      </c>
      <c r="J19" s="5"/>
      <c r="K19" s="5"/>
      <c r="L19" s="5"/>
      <c r="M19" s="5"/>
      <c r="N19" s="5"/>
    </row>
    <row r="20" spans="1:17" x14ac:dyDescent="0.25">
      <c r="B20" s="1" t="s">
        <v>5</v>
      </c>
      <c r="C20" s="5">
        <f>HLOOKUP("QTE-0.25-bias-IPS-ind",Point!$D$1:$DR$96,$R$2,FALSE)</f>
        <v>0.50522799235828597</v>
      </c>
      <c r="D20" s="5">
        <f>HLOOKUP("QTE-0.25-RMSE-IPS-ind",Point!$D$1:$DR$96,$R$2,FALSE)</f>
        <v>1.33973926630951</v>
      </c>
      <c r="E20" s="5">
        <f t="shared" ref="E20:E24" si="6">(D20/$D$23)^2</f>
        <v>0.61231085406229768</v>
      </c>
      <c r="F20" s="5">
        <f>HLOOKUP("QTE-0.25-Empcov-IPS-ind",inference!$D$1:$DR$96,$R$2,FALSE)</f>
        <v>0.97399999999999998</v>
      </c>
      <c r="G20" s="5">
        <f>HLOOKUP("QTE-0.25-ASSD-IPS-ind",inference!$D$1:$DR$96,$R$2,FALSE)*2*1.96/SQRT(G$3)</f>
        <v>6.4101315340654752</v>
      </c>
      <c r="H20" s="5">
        <f t="shared" ref="H20:H23" si="7">G20/(2*1.96/SQRT(G$3))</f>
        <v>36.565025140013809</v>
      </c>
      <c r="I20" s="5">
        <f t="shared" ref="I20:I24" si="8">($H$23/H20)^2</f>
        <v>0.91304295299597338</v>
      </c>
      <c r="J20" s="5"/>
      <c r="K20" s="5"/>
      <c r="L20" s="5"/>
      <c r="M20" s="5"/>
      <c r="N20" s="5"/>
    </row>
    <row r="21" spans="1:17" x14ac:dyDescent="0.25">
      <c r="B21" s="1" t="s">
        <v>4</v>
      </c>
      <c r="C21" s="5">
        <f>HLOOKUP("QTE-0.25-bias-IPS-proj",Point!$D$1:$DR$96,$R$2,FALSE)</f>
        <v>0.93022425548127596</v>
      </c>
      <c r="D21" s="5">
        <f>HLOOKUP("QTE-0.25-RMSE-IPS-proj",Point!$D$1:$DR$96,$R$2,FALSE)</f>
        <v>1.41755095121557</v>
      </c>
      <c r="E21" s="5">
        <f t="shared" si="6"/>
        <v>0.68550202327008813</v>
      </c>
      <c r="F21" s="6">
        <f>HLOOKUP("QTE-0.25-Empcov-IPS-proj",inference!$D$1:$DR$96,$R$2,FALSE)</f>
        <v>0.92300000000000004</v>
      </c>
      <c r="G21" s="6">
        <f>HLOOKUP("QTE-0.25-ASSD-IPS-proj",inference!$D$1:$DR$96,$R$2,FALSE)*2*1.96/SQRT(G$3)</f>
        <v>5.0311138495133196</v>
      </c>
      <c r="H21" s="5">
        <f t="shared" si="7"/>
        <v>28.698756556256203</v>
      </c>
      <c r="I21" s="5">
        <f t="shared" si="8"/>
        <v>1.4821658445447516</v>
      </c>
      <c r="J21" s="5"/>
      <c r="K21" s="5"/>
      <c r="L21" s="5"/>
      <c r="M21" s="5"/>
      <c r="N21" s="5"/>
    </row>
    <row r="22" spans="1:17" x14ac:dyDescent="0.25">
      <c r="B22" s="1" t="s">
        <v>88</v>
      </c>
      <c r="C22" s="5">
        <f>HLOOKUP("QTE-0.25-bias-CBPS-just",Point!$D$1:$DR$96,$R$2,FALSE)</f>
        <v>0.759451717104205</v>
      </c>
      <c r="D22" s="5">
        <f>HLOOKUP("QTE-0.25-RMSE-CBPS-just",Point!$D$1:$DR$96,$R$2,FALSE)</f>
        <v>1.3536916853738299</v>
      </c>
      <c r="E22" s="5">
        <f t="shared" si="6"/>
        <v>0.6251308162403707</v>
      </c>
      <c r="F22" s="5">
        <f>HLOOKUP("QTE-0.25-Empcov-CBPS-just",inference!$D$1:$DR$96,$R$2,FALSE)</f>
        <v>0.94</v>
      </c>
      <c r="G22" s="5">
        <f>HLOOKUP("QTE-0.25-ASSD-CBPS-just",inference!$D$1:$DR$96,$R$2,FALSE)*2*1.96/SQRT(G$3)</f>
        <v>5.2276952217832218</v>
      </c>
      <c r="H22" s="5">
        <f t="shared" si="7"/>
        <v>29.820106840709499</v>
      </c>
      <c r="I22" s="5">
        <f t="shared" si="8"/>
        <v>1.3727914679584219</v>
      </c>
      <c r="J22" s="5"/>
      <c r="K22" s="5"/>
      <c r="L22" s="5"/>
      <c r="M22" s="5"/>
      <c r="N22" s="5"/>
    </row>
    <row r="23" spans="1:17" x14ac:dyDescent="0.25">
      <c r="B23" s="1" t="s">
        <v>89</v>
      </c>
      <c r="C23" s="5">
        <f>HLOOKUP("QTE-0.25-bias-CBPS-over",Point!$D$1:$DR$96,$R$2,FALSE)</f>
        <v>1.2475856649891199</v>
      </c>
      <c r="D23" s="5">
        <f>HLOOKUP("QTE-0.25-RMSE-CBPS-over",Point!$D$1:$DR$96,$R$2,FALSE)</f>
        <v>1.7121204210149099</v>
      </c>
      <c r="E23" s="5">
        <f>(D23/$D$23)^2</f>
        <v>1</v>
      </c>
      <c r="F23" s="5">
        <f>HLOOKUP("QTE-0.25-Empcov-CBPS-over",inference!$D$1:$DR$96,$R$2,FALSE)</f>
        <v>0.92200000000000004</v>
      </c>
      <c r="G23" s="5">
        <f>HLOOKUP("QTE-0.25-ASSD-CBPS-over",inference!$D$1:$DR$96,$R$2,FALSE)*2*1.96/SQRT(G$3)</f>
        <v>6.1250910039554194</v>
      </c>
      <c r="H23" s="5">
        <f t="shared" si="7"/>
        <v>34.939081258206002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25">
      <c r="B24" s="3" t="s">
        <v>2</v>
      </c>
      <c r="C24" s="5">
        <f>HLOOKUP("QTE-0.25-bias-GLM",Point!$D$1:$DR$96,$R$2,FALSE)</f>
        <v>0.72324763915738399</v>
      </c>
      <c r="D24" s="5">
        <f>HLOOKUP("QTE-0.25-RMSE-GLM",Point!$D$1:$DR$96,$R$2,FALSE)</f>
        <v>1.3479942791403801</v>
      </c>
      <c r="E24" s="5">
        <f t="shared" si="6"/>
        <v>0.61987979906933788</v>
      </c>
      <c r="F24" s="5">
        <f>HLOOKUP("QTE-0.25-Empcov-GLM",inference!$D$1:$DR$96,$R$2,FALSE)</f>
        <v>0.95499999999999996</v>
      </c>
      <c r="G24" s="5">
        <f>HLOOKUP("QTE-0.25-ASSD-GLM",inference!$D$1:$DR$96,$R$2,FALSE)*2*1.96/SQRT(G$3)</f>
        <v>5.50064043391406</v>
      </c>
      <c r="H24" s="5">
        <f>G24/(2*1.96/SQRT(G$3))</f>
        <v>31.377055943917803</v>
      </c>
      <c r="I24" s="5">
        <f t="shared" si="8"/>
        <v>1.2399340246070618</v>
      </c>
      <c r="J24" s="5"/>
      <c r="K24" s="5"/>
      <c r="L24" s="5"/>
      <c r="M24" s="5"/>
      <c r="N24" s="5"/>
    </row>
    <row r="25" spans="1:17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25">
      <c r="A26" s="2" t="s">
        <v>60</v>
      </c>
      <c r="B26" s="1" t="s">
        <v>3</v>
      </c>
      <c r="C26" s="5">
        <f>HLOOKUP("QTE-0.5-bias-IPS-exp",Point!$D$1:$DR$96,$R$2,FALSE)</f>
        <v>0.35735692365139599</v>
      </c>
      <c r="D26" s="5">
        <f>HLOOKUP("QTE-0.5-RMSE-IPS-exp",Point!$D$1:$DR$96,$R$2,FALSE)</f>
        <v>1.34517909825392</v>
      </c>
      <c r="E26" s="5">
        <f>(D26/$D$30)^2</f>
        <v>0.34130412412261124</v>
      </c>
      <c r="F26" s="5">
        <f>HLOOKUP("QTE-0.5-Empcov-IPS-exp",inference!$D$1:$DR$96,$R$2,FALSE)</f>
        <v>0.95599999999999996</v>
      </c>
      <c r="G26" s="5">
        <f>HLOOKUP("QTE-0.5-ASSD-IPS-exp",inference!$D$1:$DR$96,$R$2,FALSE)*2*1.96/SQRT(G$3)</f>
        <v>5.326865943826677</v>
      </c>
      <c r="H26" s="5">
        <f>G26/(2*1.96/SQRT(G$3))</f>
        <v>30.385801932206704</v>
      </c>
      <c r="I26" s="5">
        <f>($H$30/H26)^2</f>
        <v>2.0029649552133688</v>
      </c>
      <c r="J26" s="5"/>
      <c r="K26"/>
      <c r="L26"/>
      <c r="M26"/>
      <c r="N26"/>
      <c r="O26"/>
      <c r="P26"/>
      <c r="Q26"/>
    </row>
    <row r="27" spans="1:17" x14ac:dyDescent="0.25">
      <c r="B27" s="1" t="s">
        <v>5</v>
      </c>
      <c r="C27" s="5">
        <f>HLOOKUP("QTE-0.5-bias-IPS-ind",Point!$D$1:$DR$96,$R$2,FALSE)</f>
        <v>0.28993113822365302</v>
      </c>
      <c r="D27" s="5">
        <f>HLOOKUP("QTE-0.5-RMSE-IPS-ind",Point!$D$1:$DR$96,$R$2,FALSE)</f>
        <v>1.8356645697727401</v>
      </c>
      <c r="E27" s="5">
        <f t="shared" ref="E27:E31" si="9">(D27/$D$30)^2</f>
        <v>0.63557669797962679</v>
      </c>
      <c r="F27" s="5">
        <f>HLOOKUP("QTE-0.5-Empcov-IPS-ind",inference!$D$1:$DR$96,$R$2,FALSE)</f>
        <v>0.98899999999999999</v>
      </c>
      <c r="G27" s="5">
        <f>HLOOKUP("QTE-0.5-ASSD-IPS-ind",inference!$D$1:$DR$96,$R$2,FALSE)*2*1.96/SQRT(G$3)</f>
        <v>8.9825847959878828</v>
      </c>
      <c r="H27" s="5">
        <f t="shared" ref="H27:H30" si="10">G27/(2*1.96/SQRT(G$3))</f>
        <v>51.238954636441299</v>
      </c>
      <c r="I27" s="5">
        <f t="shared" ref="I27:I31" si="11">($H$30/H27)^2</f>
        <v>0.70439170711854215</v>
      </c>
      <c r="J27" s="5"/>
      <c r="K27" s="5"/>
      <c r="L27" s="5"/>
      <c r="M27" s="5"/>
      <c r="N27" s="5"/>
    </row>
    <row r="28" spans="1:17" x14ac:dyDescent="0.25">
      <c r="B28" s="1" t="s">
        <v>4</v>
      </c>
      <c r="C28" s="5">
        <f>HLOOKUP("QTE-0.5-bias-IPS-proj",Point!$D$1:$DR$96,$R$2,FALSE)</f>
        <v>1.07226166158838</v>
      </c>
      <c r="D28" s="5">
        <f>HLOOKUP("QTE-0.5-RMSE-IPS-proj",Point!$D$1:$DR$96,$R$2,FALSE)</f>
        <v>1.72975484940372</v>
      </c>
      <c r="E28" s="5">
        <f t="shared" si="9"/>
        <v>0.56435246811528361</v>
      </c>
      <c r="F28" s="6">
        <f>HLOOKUP("QTE-0.5-Empcov-IPS-proj",inference!$D$1:$DR$96,$R$2,FALSE)</f>
        <v>0.89800000000000002</v>
      </c>
      <c r="G28" s="6">
        <f>HLOOKUP("QTE-0.5-ASSD-IPS-proj",inference!$D$1:$DR$96,$R$2,FALSE)*2*1.96/SQRT(G$3)</f>
        <v>5.3608476981007369</v>
      </c>
      <c r="H28" s="5">
        <f t="shared" si="10"/>
        <v>30.579642525450303</v>
      </c>
      <c r="I28" s="5">
        <f t="shared" si="11"/>
        <v>1.9776523400254318</v>
      </c>
      <c r="J28" s="5"/>
      <c r="K28" s="5"/>
      <c r="L28" s="5"/>
      <c r="M28" s="5"/>
      <c r="N28" s="5"/>
    </row>
    <row r="29" spans="1:17" x14ac:dyDescent="0.25">
      <c r="B29" s="1" t="s">
        <v>88</v>
      </c>
      <c r="C29" s="5">
        <f>HLOOKUP("QTE-0.5-bias-CBPS-just",Point!$D$1:$DR$96,$R$2,FALSE)</f>
        <v>0.65343791462801204</v>
      </c>
      <c r="D29" s="5">
        <f>HLOOKUP("QTE-0.5-RMSE-CBPS-just",Point!$D$1:$DR$96,$R$2,FALSE)</f>
        <v>1.5570616980206</v>
      </c>
      <c r="E29" s="5">
        <f t="shared" si="9"/>
        <v>0.45729132045082621</v>
      </c>
      <c r="F29" s="5">
        <f>HLOOKUP("QTE-0.5-Empcov-CBPS-just",inference!$D$1:$DR$96,$R$2,FALSE)</f>
        <v>0.93500000000000005</v>
      </c>
      <c r="G29" s="5">
        <f>HLOOKUP("QTE-0.5-ASSD-CBPS-just",inference!$D$1:$DR$96,$R$2,FALSE)*2*1.96/SQRT(G$3)</f>
        <v>5.3832252792698307</v>
      </c>
      <c r="H29" s="5">
        <f t="shared" si="10"/>
        <v>30.707289955721002</v>
      </c>
      <c r="I29" s="5">
        <f t="shared" si="11"/>
        <v>1.9612446694205075</v>
      </c>
      <c r="J29" s="5"/>
      <c r="K29" s="5"/>
      <c r="L29" s="5"/>
      <c r="M29" s="5"/>
      <c r="N29" s="5"/>
    </row>
    <row r="30" spans="1:17" x14ac:dyDescent="0.25">
      <c r="B30" s="1" t="s">
        <v>89</v>
      </c>
      <c r="C30" s="5">
        <f>HLOOKUP("QTE-0.5-bias-CBPS-over",Point!$D$1:$DR$96,$R$2,FALSE)</f>
        <v>1.66451581102726</v>
      </c>
      <c r="D30" s="5">
        <f>HLOOKUP("QTE-0.5-RMSE-CBPS-over",Point!$D$1:$DR$96,$R$2,FALSE)</f>
        <v>2.30255144620893</v>
      </c>
      <c r="E30" s="5">
        <f t="shared" si="9"/>
        <v>1</v>
      </c>
      <c r="F30" s="5">
        <f>HLOOKUP("QTE-0.5-Empcov-CBPS-over",inference!$D$1:$DR$96,$R$2,FALSE)</f>
        <v>0.92300000000000004</v>
      </c>
      <c r="G30" s="5">
        <f>HLOOKUP("QTE-0.5-ASSD-CBPS-over",inference!$D$1:$DR$96,$R$2,FALSE)*2*1.96/SQRT(G$3)</f>
        <v>7.5389079882951844</v>
      </c>
      <c r="H30" s="5">
        <f t="shared" si="10"/>
        <v>43.0038539233271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25">
      <c r="A31" s="3"/>
      <c r="B31" s="3" t="s">
        <v>2</v>
      </c>
      <c r="C31" s="5">
        <f>HLOOKUP("QTE-0.5-bias-GLM",Point!$D$1:$DR$96,$R$2,FALSE)</f>
        <v>0.53188530576530102</v>
      </c>
      <c r="D31" s="5">
        <f>HLOOKUP("QTE-0.5-RMSE-GLM",Point!$D$1:$DR$96,$R$2,FALSE)</f>
        <v>1.5416166091962</v>
      </c>
      <c r="E31" s="5">
        <f t="shared" si="9"/>
        <v>0.4482642212068883</v>
      </c>
      <c r="F31" s="5">
        <f>HLOOKUP("QTE-0.5-Empcov-GLM",inference!$D$1:$DR$96,$R$2,FALSE)</f>
        <v>0.94699999999999995</v>
      </c>
      <c r="G31" s="5">
        <f>HLOOKUP("QTE-0.5-ASSD-GLM",inference!$D$1:$DR$96,$R$2,FALSE)*2*1.96/SQRT(G$3)</f>
        <v>5.7599981481429232</v>
      </c>
      <c r="H31" s="5">
        <f>G31/(2*1.96/SQRT(G$3))</f>
        <v>32.8564984936747</v>
      </c>
      <c r="I31" s="5">
        <f t="shared" si="11"/>
        <v>1.7130585154238556</v>
      </c>
      <c r="J31" s="5"/>
      <c r="K31" s="5"/>
      <c r="L31" s="5"/>
      <c r="M31" s="5"/>
      <c r="N31" s="5"/>
      <c r="O31" s="3"/>
      <c r="P31" s="3"/>
      <c r="Q31" s="3"/>
    </row>
    <row r="32" spans="1:17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-0.95587139624906703</v>
      </c>
      <c r="D33" s="5">
        <f>HLOOKUP("QTE-0.75-RMSE-IPS-exp",Point!$D$1:$DR$96,$R$2,FALSE)</f>
        <v>3.5854904535454399</v>
      </c>
      <c r="E33" s="5">
        <f>(D33/$D$37)^2</f>
        <v>0.45958526254719384</v>
      </c>
      <c r="F33" s="5">
        <f>HLOOKUP("QTE-0.75-Empcov-IPS-exp",inference!$D$1:$DR$96,$R$2,FALSE)</f>
        <v>0.93500000000000005</v>
      </c>
      <c r="G33" s="5">
        <f>HLOOKUP("QTE-0.75-ASSD-IPS-exp",inference!$D$1:$DR$96,$R$2,FALSE)*2*1.96/SQRT(G$3)</f>
        <v>14.350324739746664</v>
      </c>
      <c r="H33" s="5">
        <f>G33/(2*1.96/SQRT(G$3))</f>
        <v>81.857912288955418</v>
      </c>
      <c r="I33" s="5">
        <f>($H$37/H33)^2</f>
        <v>2.0745729776475885</v>
      </c>
      <c r="J33" s="5"/>
    </row>
    <row r="34" spans="1:10" x14ac:dyDescent="0.25">
      <c r="B34" s="1" t="s">
        <v>5</v>
      </c>
      <c r="C34" s="5">
        <f>HLOOKUP("QTE-0.75-bias-IPS-ind",Point!$D$1:$DR$96,$R$2,FALSE)</f>
        <v>-1.3087784139821299</v>
      </c>
      <c r="D34" s="5">
        <f>HLOOKUP("QTE-0.75-RMSE-IPS-ind",Point!$D$1:$DR$96,$R$2,FALSE)</f>
        <v>7.0883603959912298</v>
      </c>
      <c r="E34" s="5">
        <f t="shared" ref="E34:E38" si="12">(D34/$D$37)^2</f>
        <v>1.7962241602216313</v>
      </c>
      <c r="F34" s="5">
        <f>HLOOKUP("QTE-0.75-Empcov-IPS-ind",inference!$D$1:$DR$96,$R$2,FALSE)</f>
        <v>0.97199999999999998</v>
      </c>
      <c r="G34" s="5">
        <f>HLOOKUP("QTE-0.75-ASSD-IPS-ind",inference!$D$1:$DR$96,$R$2,FALSE)*2*1.96/SQRT(G$3)</f>
        <v>31.956421511823397</v>
      </c>
      <c r="H34" s="5">
        <f t="shared" ref="H34:H37" si="13">G34/(2*1.96/SQRT(G$3))</f>
        <v>182.28757861753499</v>
      </c>
      <c r="I34" s="5">
        <f t="shared" ref="I34:I38" si="14">($H$37/H34)^2</f>
        <v>0.4183462619782839</v>
      </c>
      <c r="J34" s="5"/>
    </row>
    <row r="35" spans="1:10" x14ac:dyDescent="0.25">
      <c r="B35" s="1" t="s">
        <v>4</v>
      </c>
      <c r="C35" s="5">
        <f>HLOOKUP("QTE-0.75-bias-IPS-proj",Point!$D$1:$DR$96,$R$2,FALSE)</f>
        <v>1.8437568722720501</v>
      </c>
      <c r="D35" s="5">
        <f>HLOOKUP("QTE-0.75-RMSE-IPS-proj",Point!$D$1:$DR$96,$R$2,FALSE)</f>
        <v>3.9897675877805701</v>
      </c>
      <c r="E35" s="5">
        <f t="shared" si="12"/>
        <v>0.56906797846604706</v>
      </c>
      <c r="F35" s="6">
        <f>HLOOKUP("QTE-0.75-Empcov-IPS-proj",inference!$D$1:$DR$96,$R$2,FALSE)</f>
        <v>0.88300000000000001</v>
      </c>
      <c r="G35" s="6">
        <f>HLOOKUP("QTE-0.75-ASSD-IPS-proj",inference!$D$1:$DR$96,$R$2,FALSE)*2*1.96/SQRT(G$3)</f>
        <v>12.982318067664293</v>
      </c>
      <c r="H35" s="5">
        <f t="shared" si="13"/>
        <v>74.0544533286252</v>
      </c>
      <c r="I35" s="5">
        <f t="shared" si="14"/>
        <v>2.534823264423216</v>
      </c>
      <c r="J35" s="5"/>
    </row>
    <row r="36" spans="1:10" x14ac:dyDescent="0.25">
      <c r="B36" s="1" t="s">
        <v>88</v>
      </c>
      <c r="C36" s="5">
        <f>HLOOKUP("QTE-0.75-bias-CBPS-just",Point!$D$1:$DR$96,$R$2,FALSE)</f>
        <v>-0.19481899592197899</v>
      </c>
      <c r="D36" s="5">
        <f>HLOOKUP("QTE-0.75-RMSE-CBPS-just",Point!$D$1:$DR$96,$R$2,FALSE)</f>
        <v>3.5638799535505901</v>
      </c>
      <c r="E36" s="5">
        <f t="shared" si="12"/>
        <v>0.45406192523943278</v>
      </c>
      <c r="F36" s="5">
        <f>HLOOKUP("QTE-0.75-Empcov-CBPS-just",inference!$D$1:$DR$96,$R$2,FALSE)</f>
        <v>0.90300000000000002</v>
      </c>
      <c r="G36" s="5">
        <f>HLOOKUP("QTE-0.75-ASSD-CBPS-just",inference!$D$1:$DR$96,$R$2,FALSE)*2*1.96/SQRT(G$3)</f>
        <v>12.340943776021483</v>
      </c>
      <c r="H36" s="5">
        <f t="shared" si="13"/>
        <v>70.395890790017802</v>
      </c>
      <c r="I36" s="5">
        <f t="shared" si="14"/>
        <v>2.8051457241955919</v>
      </c>
      <c r="J36" s="5"/>
    </row>
    <row r="37" spans="1:10" x14ac:dyDescent="0.25">
      <c r="B37" s="1" t="s">
        <v>89</v>
      </c>
      <c r="C37" s="5">
        <f>HLOOKUP("QTE-0.75-bias-CBPS-over",Point!$D$1:$DR$96,$R$2,FALSE)</f>
        <v>3.4228385810526398</v>
      </c>
      <c r="D37" s="5">
        <f>HLOOKUP("QTE-0.75-RMSE-CBPS-over",Point!$D$1:$DR$96,$R$2,FALSE)</f>
        <v>5.2889020455017004</v>
      </c>
      <c r="E37" s="5">
        <f t="shared" si="12"/>
        <v>1</v>
      </c>
      <c r="F37" s="5">
        <f>HLOOKUP("QTE-0.75-Empcov-CBPS-over",inference!$D$1:$DR$96,$R$2,FALSE)</f>
        <v>0.95299999999999996</v>
      </c>
      <c r="G37" s="5">
        <f>HLOOKUP("QTE-0.75-ASSD-CBPS-over",inference!$D$1:$DR$96,$R$2,FALSE)*2*1.96/SQRT(G$3)</f>
        <v>20.669315162634522</v>
      </c>
      <c r="H37" s="5">
        <f t="shared" si="13"/>
        <v>117.90304528575999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-1.95945152559313</v>
      </c>
      <c r="D38" s="5">
        <f>HLOOKUP("QTE-0.75-RMSE-GLM",Point!$D$1:$DR$96,$R$2,FALSE)</f>
        <v>19.816259578287202</v>
      </c>
      <c r="E38" s="5">
        <f t="shared" si="12"/>
        <v>14.03822884606579</v>
      </c>
      <c r="F38" s="5">
        <f>HLOOKUP("QTE-0.75-Empcov-GLM",inference!$D$1:$DR$96,$R$2,FALSE)</f>
        <v>0.91800000000000004</v>
      </c>
      <c r="G38" s="5">
        <f>HLOOKUP("QTE-0.75-ASSD-GLM",inference!$D$1:$DR$96,$R$2,FALSE)*2*1.96/SQRT(G$3)</f>
        <v>16.057719792512646</v>
      </c>
      <c r="H38" s="5">
        <f>G38/(2*1.96/SQRT(G$3))</f>
        <v>91.597329131893105</v>
      </c>
      <c r="I38" s="5">
        <f t="shared" si="14"/>
        <v>1.6568547009823062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-7.6758571779896698</v>
      </c>
      <c r="D40" s="5">
        <f>HLOOKUP("QTE-0.9-RMSE-IPS-exp",Point!$D$1:$DR$96,$R$2,FALSE)</f>
        <v>11.864244399959301</v>
      </c>
      <c r="E40" s="5">
        <f t="shared" ref="E40:E45" si="15">(D40/$D$44)^2</f>
        <v>2.4100563210671435</v>
      </c>
      <c r="F40" s="5">
        <f>HLOOKUP("QTE-0.9-Empcov-IPS-exp",inference!$D$1:$DR$96,$R$2,FALSE)</f>
        <v>0.873</v>
      </c>
      <c r="G40" s="5">
        <f>HLOOKUP("QTE-0.9-ASSD-IPS-exp",inference!$D$1:$DR$96,$R$2,FALSE)*2*1.96/SQRT(G$3)</f>
        <v>35.496066870174843</v>
      </c>
      <c r="H40" s="5">
        <f>G40/(2*1.96/SQRT(G$3))</f>
        <v>202.47861850915601</v>
      </c>
      <c r="I40" s="5">
        <f t="shared" ref="I40:I45" si="16">($H$44/H40)^2</f>
        <v>1.3108738917792901</v>
      </c>
      <c r="J40" s="5"/>
    </row>
    <row r="41" spans="1:10" x14ac:dyDescent="0.25">
      <c r="B41" s="1" t="s">
        <v>5</v>
      </c>
      <c r="C41" s="5">
        <f>HLOOKUP("QTE-0.9-bias-IPS-ind",Point!$D$1:$DR$96,$R$2,FALSE)</f>
        <v>-8.1161897202456998</v>
      </c>
      <c r="D41" s="5">
        <f>HLOOKUP("QTE-0.9-RMSE-IPS-ind",Point!$D$1:$DR$96,$R$2,FALSE)</f>
        <v>17.644131766291299</v>
      </c>
      <c r="E41" s="5">
        <f t="shared" si="15"/>
        <v>5.3302503549717981</v>
      </c>
      <c r="F41" s="5">
        <f>HLOOKUP("QTE-0.9-Empcov-IPS-ind",inference!$D$1:$DR$96,$R$2,FALSE)</f>
        <v>0.95599999999999996</v>
      </c>
      <c r="G41" s="5">
        <f>HLOOKUP("QTE-0.9-ASSD-IPS-ind",inference!$D$1:$DR$96,$R$2,FALSE)*2*1.96/SQRT(G$3)</f>
        <v>71.404207351482086</v>
      </c>
      <c r="H41" s="5">
        <f t="shared" ref="H41:H44" si="17">G41/(2*1.96/SQRT(G$3))</f>
        <v>407.30780999337799</v>
      </c>
      <c r="I41" s="5">
        <f t="shared" si="16"/>
        <v>0.32394686144485246</v>
      </c>
      <c r="J41" s="5"/>
    </row>
    <row r="42" spans="1:10" x14ac:dyDescent="0.25">
      <c r="B42" s="1" t="s">
        <v>4</v>
      </c>
      <c r="C42" s="5">
        <f>HLOOKUP("QTE-0.9-bias-IPS-proj",Point!$D$1:$DR$96,$R$2,FALSE)</f>
        <v>0.22345726385499801</v>
      </c>
      <c r="D42" s="5">
        <f>HLOOKUP("QTE-0.9-RMSE-IPS-proj",Point!$D$1:$DR$96,$R$2,FALSE)</f>
        <v>7.7917801683799901</v>
      </c>
      <c r="E42" s="5">
        <f t="shared" si="15"/>
        <v>1.0394902142678135</v>
      </c>
      <c r="F42" s="6">
        <f>HLOOKUP("QTE-0.9-Empcov-IPS-proj",inference!$D$1:$DR$96,$R$2,FALSE)</f>
        <v>0.92600000000000005</v>
      </c>
      <c r="G42" s="6">
        <f>HLOOKUP("QTE-0.9-ASSD-IPS-proj",inference!$D$1:$DR$96,$R$2,FALSE)*2*1.96/SQRT(G$3)</f>
        <v>30.338758632931977</v>
      </c>
      <c r="H42" s="5">
        <f t="shared" si="17"/>
        <v>173.06001698008799</v>
      </c>
      <c r="I42" s="5">
        <f t="shared" si="16"/>
        <v>1.7944268869125513</v>
      </c>
      <c r="J42" s="5"/>
    </row>
    <row r="43" spans="1:10" x14ac:dyDescent="0.25">
      <c r="B43" s="1" t="s">
        <v>88</v>
      </c>
      <c r="C43" s="5">
        <f>HLOOKUP("QTE-0.9-bias-CBPS-just",Point!$D$1:$DR$96,$R$2,FALSE)</f>
        <v>-6.3546187105267498</v>
      </c>
      <c r="D43" s="5">
        <f>HLOOKUP("QTE-0.9-RMSE-CBPS-just",Point!$D$1:$DR$96,$R$2,FALSE)</f>
        <v>10.7293964616374</v>
      </c>
      <c r="E43" s="5">
        <f t="shared" si="15"/>
        <v>1.9710498549209845</v>
      </c>
      <c r="F43" s="5">
        <f>HLOOKUP("QTE-0.9-Empcov-CBPS-just",inference!$D$1:$DR$96,$R$2,FALSE)</f>
        <v>0.84099999999999997</v>
      </c>
      <c r="G43" s="5">
        <f>HLOOKUP("QTE-0.9-ASSD-CBPS-just",inference!$D$1:$DR$96,$R$2,FALSE)*2*1.96/SQRT(G$3)</f>
        <v>30.927247049425016</v>
      </c>
      <c r="H43" s="5">
        <f t="shared" si="17"/>
        <v>176.416904998582</v>
      </c>
      <c r="I43" s="5">
        <f t="shared" si="16"/>
        <v>1.7267873342800975</v>
      </c>
      <c r="J43" s="5"/>
    </row>
    <row r="44" spans="1:10" x14ac:dyDescent="0.25">
      <c r="B44" s="1" t="s">
        <v>89</v>
      </c>
      <c r="C44" s="5">
        <f>HLOOKUP("QTE-0.9-bias-CBPS-over",Point!$D$1:$DR$96,$R$2,FALSE)</f>
        <v>0.244076173551875</v>
      </c>
      <c r="D44" s="5">
        <f>HLOOKUP("QTE-0.9-RMSE-CBPS-over",Point!$D$1:$DR$96,$R$2,FALSE)</f>
        <v>7.6423423482275403</v>
      </c>
      <c r="E44" s="5">
        <f t="shared" si="15"/>
        <v>1</v>
      </c>
      <c r="F44" s="5">
        <f>HLOOKUP("QTE-0.9-Empcov-CBPS-over",inference!$D$1:$DR$96,$R$2,FALSE)</f>
        <v>0.98499999999999999</v>
      </c>
      <c r="G44" s="5">
        <f>HLOOKUP("QTE-0.9-ASSD-CBPS-over",inference!$D$1:$DR$96,$R$2,FALSE)*2*1.96/SQRT(G$3)</f>
        <v>40.640654251035038</v>
      </c>
      <c r="H44" s="5">
        <f t="shared" si="17"/>
        <v>231.82465702903102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-16.364597340625298</v>
      </c>
      <c r="D45" s="5">
        <f>HLOOKUP("QTE-0.9-RMSE-GLM",Point!$D$1:$DR$96,$R$2,FALSE)</f>
        <v>69.683530907648702</v>
      </c>
      <c r="E45" s="5">
        <f t="shared" si="15"/>
        <v>83.139483080888184</v>
      </c>
      <c r="F45" s="5">
        <f>HLOOKUP("QTE-0.9-Empcov-GLM",inference!$D$1:$DR$96,$R$2,FALSE)</f>
        <v>0.85799999999999998</v>
      </c>
      <c r="G45" s="5">
        <f>HLOOKUP("QTE-0.9-ASSD-GLM",inference!$D$1:$DR$96,$R$2,FALSE)*2*1.96/SQRT(G$3)</f>
        <v>44.508787559473134</v>
      </c>
      <c r="H45" s="5">
        <f>G45/(2*1.96/SQRT(G$3))</f>
        <v>253.88947596703801</v>
      </c>
      <c r="I45" s="5">
        <f t="shared" si="16"/>
        <v>0.83373849397924782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J114" s="7"/>
    </row>
    <row r="115" spans="8:10" x14ac:dyDescent="0.25">
      <c r="J115" s="7"/>
    </row>
    <row r="116" spans="8:10" x14ac:dyDescent="0.25">
      <c r="J116" s="7"/>
    </row>
    <row r="117" spans="8:10" x14ac:dyDescent="0.25">
      <c r="J117" s="7"/>
    </row>
    <row r="118" spans="8:10" x14ac:dyDescent="0.25">
      <c r="J118" s="7"/>
    </row>
    <row r="119" spans="8:10" x14ac:dyDescent="0.25">
      <c r="J119" s="7"/>
    </row>
    <row r="120" spans="8:10" x14ac:dyDescent="0.25">
      <c r="J120" s="7"/>
    </row>
  </sheetData>
  <mergeCells count="1">
    <mergeCell ref="C1:G1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20"/>
  <sheetViews>
    <sheetView workbookViewId="0">
      <selection activeCell="O9" sqref="O9"/>
    </sheetView>
  </sheetViews>
  <sheetFormatPr defaultColWidth="9.28515625" defaultRowHeight="15" x14ac:dyDescent="0.25"/>
  <cols>
    <col min="1" max="1" width="8" style="1" bestFit="1" customWidth="1"/>
    <col min="2" max="2" width="11.7109375" style="1" bestFit="1" customWidth="1"/>
    <col min="3" max="4" width="6.5703125" style="1" bestFit="1" customWidth="1"/>
    <col min="5" max="5" width="6.5703125" style="1" customWidth="1"/>
    <col min="6" max="7" width="8.28515625" style="1" bestFit="1" customWidth="1"/>
    <col min="8" max="10" width="8.28515625" style="1" customWidth="1"/>
    <col min="11" max="17" width="9.28515625" style="1"/>
    <col min="18" max="18" width="14" style="1" bestFit="1" customWidth="1"/>
    <col min="19" max="16384" width="9.28515625" style="1"/>
  </cols>
  <sheetData>
    <row r="1" spans="1:18" x14ac:dyDescent="0.25">
      <c r="C1" s="16" t="s">
        <v>61</v>
      </c>
      <c r="D1" s="16"/>
      <c r="E1" s="16"/>
      <c r="F1" s="16"/>
      <c r="G1" s="16"/>
      <c r="H1" s="11"/>
      <c r="I1" s="11"/>
      <c r="J1" s="11"/>
      <c r="R1" s="10" t="s">
        <v>216</v>
      </c>
    </row>
    <row r="2" spans="1:18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6</v>
      </c>
    </row>
    <row r="3" spans="1:18" x14ac:dyDescent="0.2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I3" s="11">
        <v>1000</v>
      </c>
      <c r="J3" s="11"/>
      <c r="K3" s="11"/>
      <c r="L3" s="11"/>
      <c r="M3" s="11"/>
      <c r="N3" s="11"/>
      <c r="O3" s="11"/>
      <c r="P3" s="11"/>
    </row>
    <row r="4" spans="1:18" x14ac:dyDescent="0.25">
      <c r="C4" s="11"/>
      <c r="D4" s="11"/>
      <c r="E4" s="11"/>
      <c r="F4" s="11"/>
      <c r="G4" s="11"/>
      <c r="H4" s="11"/>
      <c r="I4" s="11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0.93438429890152497</v>
      </c>
      <c r="D5" s="5">
        <f>HLOOKUP("ATE-RMSE-IPS-exp",Point!$D$1:$DR$96,$R$2,FALSE)</f>
        <v>2.26874121038168</v>
      </c>
      <c r="E5" s="5">
        <f>(D5/$D$9)^2</f>
        <v>1.5266183446161548</v>
      </c>
      <c r="F5" s="5">
        <f>HLOOKUP("ATE-Empcov-IPS-exp",inference!$D$1:$DR$96,$R$2,FALSE)</f>
        <v>0.99099999999999999</v>
      </c>
      <c r="G5" s="5">
        <f>HLOOKUP("ATE-ASSD-IPS-exp",inference!$D$1:$DR$96,$R$2,FALSE)*2*1.96/SQRT(G$3)</f>
        <v>11.171874536399612</v>
      </c>
      <c r="H5" s="5">
        <f>G5/(2*1.96/SQRT(G$3))</f>
        <v>90.123901195562411</v>
      </c>
      <c r="I5" s="5">
        <f t="shared" ref="I5:I10" si="0">($H$9/H5)^2</f>
        <v>0.79987902788081455</v>
      </c>
      <c r="J5" s="5"/>
      <c r="K5" s="5">
        <f>HLOOKUP("ks-IPS-exp",balance!$D$1:$DR$96,$R$2,FALSE)</f>
        <v>1.9654909635394</v>
      </c>
      <c r="L5" s="5">
        <f>HLOOKUP("cvm-IPS-exp",balance!$D$1:$DR$96,$R$2,FALSE)</f>
        <v>0.28598694444514799</v>
      </c>
      <c r="M5" s="5">
        <f>HLOOKUP("ks-IPS-exp_1",balance!$D$1:$DR$96,$R$2,FALSE)</f>
        <v>1.5497091006204999</v>
      </c>
      <c r="N5" s="5">
        <f>HLOOKUP("cvm-IPS-exp_1",balance!$D$1:$DR$96,$R$2,FALSE)</f>
        <v>0.200553266372758</v>
      </c>
      <c r="O5" s="5">
        <f>HLOOKUP("ks-IPS-exp_0",balance!$D$1:$DR$96,$R$2,FALSE)</f>
        <v>0.69866974451512298</v>
      </c>
      <c r="P5" s="5">
        <f>HLOOKUP("cvm-IPS-exp_0",balance!$D$1:$DR$96,$R$2,FALSE)</f>
        <v>1.6193518565514799E-2</v>
      </c>
    </row>
    <row r="6" spans="1:18" x14ac:dyDescent="0.25">
      <c r="B6" s="1" t="s">
        <v>5</v>
      </c>
      <c r="C6" s="5">
        <f>HLOOKUP("ATE-bias-IPS-ind",Point!$D$1:$DR$96,$R$2,FALSE)</f>
        <v>0.67763254017006602</v>
      </c>
      <c r="D6" s="5">
        <f>HLOOKUP("ATE-RMSE-IPS-ind",Point!$D$1:$DR$96,$R$2,FALSE)</f>
        <v>4.1254923358279001</v>
      </c>
      <c r="E6" s="5">
        <f t="shared" ref="E6:E10" si="1">(D6/$D$9)^2</f>
        <v>5.0479160812615111</v>
      </c>
      <c r="F6" s="5">
        <f>HLOOKUP("ATE-Empcov-IPS-ind",inference!$D$1:$DR$96,$R$2,FALSE)</f>
        <v>0.999</v>
      </c>
      <c r="G6" s="5">
        <f>HLOOKUP("ATE-ASSD-IPS-ind",inference!$D$1:$DR$96,$R$2,FALSE)*2*1.96/SQRT(G$3)</f>
        <v>36.6031074780635</v>
      </c>
      <c r="H6" s="5">
        <f t="shared" ref="H6:H9" si="2">G6/(2*1.96/SQRT(G$3))</f>
        <v>295.27854354750599</v>
      </c>
      <c r="I6" s="5">
        <f t="shared" si="0"/>
        <v>7.4514449202628633E-2</v>
      </c>
      <c r="J6" s="5"/>
      <c r="K6" s="5">
        <f>HLOOKUP("ks-IPS-ind",balance!$D$1:$DR$96,$R$2,FALSE)</f>
        <v>1.8125364514488</v>
      </c>
      <c r="L6" s="5">
        <f>HLOOKUP("cvm-IPS-ind",balance!$D$1:$DR$96,$R$2,FALSE)</f>
        <v>0.183125192337738</v>
      </c>
      <c r="M6" s="5">
        <f>HLOOKUP("ks-IPS-ind_1",balance!$D$1:$DR$96,$R$2,FALSE)</f>
        <v>1.33655820441163</v>
      </c>
      <c r="N6" s="5">
        <f>HLOOKUP("cvm-IPS-ind_1",balance!$D$1:$DR$96,$R$2,FALSE)</f>
        <v>0.114708740069938</v>
      </c>
      <c r="O6" s="5">
        <f>HLOOKUP("ks-IPS-ind_0",balance!$D$1:$DR$96,$R$2,FALSE)</f>
        <v>0.81778581057400601</v>
      </c>
      <c r="P6" s="5">
        <f>HLOOKUP("cvm-IPS-ind_0",balance!$D$1:$DR$96,$R$2,FALSE)</f>
        <v>1.54441671626015E-2</v>
      </c>
    </row>
    <row r="7" spans="1:18" x14ac:dyDescent="0.25">
      <c r="B7" s="1" t="s">
        <v>4</v>
      </c>
      <c r="C7" s="5">
        <f>HLOOKUP("ATE-bias-IPS-proj",Point!$D$1:$DR$96,$R$2,FALSE)</f>
        <v>0.124392977625346</v>
      </c>
      <c r="D7" s="5">
        <f>HLOOKUP("ATE-RMSE-IPS-proj",Point!$D$1:$DR$96,$R$2,FALSE)</f>
        <v>1.6623482070886799</v>
      </c>
      <c r="E7" s="5">
        <f t="shared" si="1"/>
        <v>0.81960491818709236</v>
      </c>
      <c r="F7" s="6">
        <f>HLOOKUP("ATE-Empcov-IPS-proj",inference!$D$1:$DR$96,$R$2,FALSE)</f>
        <v>1</v>
      </c>
      <c r="G7" s="6">
        <f>HLOOKUP("ATE-ASSD-IPS-proj",inference!$D$1:$DR$96,$R$2,FALSE)*2*1.96/SQRT(G$3)</f>
        <v>19.657239398701329</v>
      </c>
      <c r="H7" s="5">
        <f t="shared" si="2"/>
        <v>158.575635232385</v>
      </c>
      <c r="I7" s="5">
        <f t="shared" si="0"/>
        <v>0.25836361711413947</v>
      </c>
      <c r="J7" s="5"/>
      <c r="K7" s="5">
        <f>HLOOKUP("ks-IPS-proj",balance!$D$1:$DR$96,$R$2,FALSE)</f>
        <v>2.2105523417956601</v>
      </c>
      <c r="L7" s="5">
        <f>HLOOKUP("cvm-IPS-proj",balance!$D$1:$DR$96,$R$2,FALSE)</f>
        <v>0.36884245478389899</v>
      </c>
      <c r="M7" s="5">
        <f>HLOOKUP("ks-IPS-proj_1",balance!$D$1:$DR$96,$R$2,FALSE)</f>
        <v>1.7603049260810499</v>
      </c>
      <c r="N7" s="5">
        <f>HLOOKUP("cvm-IPS-proj_1",balance!$D$1:$DR$96,$R$2,FALSE)</f>
        <v>0.26881155069618301</v>
      </c>
      <c r="O7" s="5">
        <f>HLOOKUP("ks-IPS-proj_0",balance!$D$1:$DR$96,$R$2,FALSE)</f>
        <v>0.71825461937597601</v>
      </c>
      <c r="P7" s="5">
        <f>HLOOKUP("cvm-IPS-proj_0",balance!$D$1:$DR$96,$R$2,FALSE)</f>
        <v>1.7148048350334101E-2</v>
      </c>
    </row>
    <row r="8" spans="1:18" x14ac:dyDescent="0.25">
      <c r="B8" s="1" t="s">
        <v>88</v>
      </c>
      <c r="C8" s="5">
        <f>HLOOKUP("ATE-bias-CBPS-just",Point!$D$1:$DR$96,$R$2,FALSE)</f>
        <v>0.37938531083073301</v>
      </c>
      <c r="D8" s="5">
        <f>HLOOKUP("ATE-RMSE-CBPS-just",Point!$D$1:$DR$96,$R$2,FALSE)</f>
        <v>1.61516669350852</v>
      </c>
      <c r="E8" s="5">
        <f t="shared" si="1"/>
        <v>0.77374037198304024</v>
      </c>
      <c r="F8" s="5">
        <f>HLOOKUP("ATE-Empcov-CBPS-just",inference!$D$1:$DR$96,$R$2,FALSE)</f>
        <v>0.874</v>
      </c>
      <c r="G8" s="5">
        <f>HLOOKUP("ATE-ASSD-CBPS-just",inference!$D$1:$DR$96,$R$2,FALSE)*2*1.96/SQRT(G$3)</f>
        <v>4.8063208077489126</v>
      </c>
      <c r="H8" s="5">
        <f t="shared" si="2"/>
        <v>38.772757443741902</v>
      </c>
      <c r="I8" s="5">
        <f t="shared" si="0"/>
        <v>4.3216630116834676</v>
      </c>
      <c r="J8" s="5"/>
      <c r="K8" s="5">
        <f>HLOOKUP("ks-CBPS-Just",balance!$D$1:$DR$96,$R$2,FALSE)</f>
        <v>2.2146366787285601</v>
      </c>
      <c r="L8" s="5">
        <f>HLOOKUP("cvm-CBPS-Just",balance!$D$1:$DR$96,$R$2,FALSE)</f>
        <v>0.389883584412683</v>
      </c>
      <c r="M8" s="5">
        <f>HLOOKUP("ks-CBPS-Just_1",balance!$D$1:$DR$96,$R$2,FALSE)</f>
        <v>1.8242492192461399</v>
      </c>
      <c r="N8" s="5">
        <f>HLOOKUP("cvm-CBPS-Just_1",balance!$D$1:$DR$96,$R$2,FALSE)</f>
        <v>0.30448011843738298</v>
      </c>
      <c r="O8" s="5">
        <f>HLOOKUP("ks-CBPS-Just_0",balance!$D$1:$DR$96,$R$2,FALSE)</f>
        <v>0.75814634774385603</v>
      </c>
      <c r="P8" s="5">
        <f>HLOOKUP("cvm-CBPS-Just_0",balance!$D$1:$DR$96,$R$2,FALSE)</f>
        <v>1.8665377366908702E-2</v>
      </c>
    </row>
    <row r="9" spans="1:18" x14ac:dyDescent="0.25">
      <c r="B9" s="1" t="s">
        <v>89</v>
      </c>
      <c r="C9" s="5">
        <f>HLOOKUP("ATE-bias-CBPS-over",Point!$D$1:$DR$96,$R$2,FALSE)</f>
        <v>1.00892387973857</v>
      </c>
      <c r="D9" s="5">
        <f>HLOOKUP("ATE-RMSE-CBPS-over",Point!$D$1:$DR$96,$R$2,FALSE)</f>
        <v>1.8361988938820399</v>
      </c>
      <c r="E9" s="5">
        <f t="shared" si="1"/>
        <v>1</v>
      </c>
      <c r="F9" s="5">
        <f>HLOOKUP("ATE-Empcov-CBPS-over",inference!$D$1:$DR$96,$R$2,FALSE)</f>
        <v>1</v>
      </c>
      <c r="G9" s="5">
        <f>HLOOKUP("ATE-ASSD-CBPS-over",inference!$D$1:$DR$96,$R$2,FALSE)*2*1.96/SQRT(G$3)</f>
        <v>9.9916728279607891</v>
      </c>
      <c r="H9" s="5">
        <f t="shared" si="2"/>
        <v>80.603172886662804</v>
      </c>
      <c r="I9" s="5">
        <f t="shared" si="0"/>
        <v>1</v>
      </c>
      <c r="J9" s="5"/>
      <c r="K9" s="5">
        <f>HLOOKUP("ks-CBPS-over",balance!$D$1:$DR$96,$R$2,FALSE)</f>
        <v>2.21309102320483</v>
      </c>
      <c r="L9" s="5">
        <f>HLOOKUP("cvm-CBPS-over",balance!$D$1:$DR$96,$R$2,FALSE)</f>
        <v>0.36740780920006999</v>
      </c>
      <c r="M9" s="5">
        <f>HLOOKUP("ks-CBPS-over_1",balance!$D$1:$DR$96,$R$2,FALSE)</f>
        <v>1.73051826294528</v>
      </c>
      <c r="N9" s="5">
        <f>HLOOKUP("cvm-CBPS-over_1",balance!$D$1:$DR$96,$R$2,FALSE)</f>
        <v>0.25513157214955001</v>
      </c>
      <c r="O9" s="5">
        <f>HLOOKUP("ks-CBPS-over_0",balance!$D$1:$DR$96,$R$2,FALSE)</f>
        <v>0.70222782967932895</v>
      </c>
      <c r="P9" s="5">
        <f>HLOOKUP("cvm-CBPS-over_0",balance!$D$1:$DR$96,$R$2,FALSE)</f>
        <v>1.8158340091488701E-2</v>
      </c>
    </row>
    <row r="10" spans="1:18" s="3" customFormat="1" x14ac:dyDescent="0.25">
      <c r="B10" s="3" t="s">
        <v>2</v>
      </c>
      <c r="C10" s="5">
        <f>HLOOKUP("ATE-bias-GLM",Point!$D$1:$DR$96,$R$2,FALSE)</f>
        <v>0.114410280479614</v>
      </c>
      <c r="D10" s="5">
        <f>HLOOKUP("ATE-RMSE-GLM",Point!$D$1:$DR$96,$R$2,FALSE)</f>
        <v>1.5553658871523699</v>
      </c>
      <c r="E10" s="5">
        <f t="shared" si="1"/>
        <v>0.71750626308381615</v>
      </c>
      <c r="F10" s="5">
        <f>HLOOKUP("ATE-Empcov-GLM",inference!$D$1:$DR$96,$R$2,FALSE)</f>
        <v>0.93400000000000005</v>
      </c>
      <c r="G10" s="5">
        <f>HLOOKUP("ATE-ASSD-GLM",inference!$D$1:$DR$96,$R$2,FALSE)*2*1.96/SQRT(G$3)</f>
        <v>5.4515121013756334</v>
      </c>
      <c r="H10" s="5">
        <f>G10/(2*1.96/SQRT(G$3))</f>
        <v>43.977538092647301</v>
      </c>
      <c r="I10" s="5">
        <f t="shared" si="0"/>
        <v>3.3592509507693213</v>
      </c>
      <c r="J10" s="5"/>
      <c r="K10" s="5">
        <f>HLOOKUP("ks-GLM",balance!$D$1:$DR$96,$R$2,FALSE)</f>
        <v>2.3105150089931201</v>
      </c>
      <c r="L10" s="5">
        <f>HLOOKUP("cvm-GLM",balance!$D$1:$DR$96,$R$2,FALSE)</f>
        <v>0.44083068049441898</v>
      </c>
      <c r="M10" s="5">
        <f>HLOOKUP("ks-GLM_1",balance!$D$1:$DR$96,$R$2,FALSE)</f>
        <v>1.8971446798330101</v>
      </c>
      <c r="N10" s="5">
        <f>HLOOKUP("cvm-GLM_1",balance!$D$1:$DR$96,$R$2,FALSE)</f>
        <v>0.34153472513459199</v>
      </c>
      <c r="O10" s="5">
        <f>HLOOKUP("ks-GLM_0",balance!$D$1:$DR$96,$R$2,FALSE)</f>
        <v>0.68382429431081104</v>
      </c>
      <c r="P10" s="5">
        <f>HLOOKUP("cvm-GLM_0",balance!$D$1:$DR$96,$R$2,FALSE)</f>
        <v>1.5957630370294001E-2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0.170080891611959</v>
      </c>
      <c r="D12" s="5">
        <f>HLOOKUP("QTE-0.10-RMSE-IPS-exp",Point!$D$1:$DR$96,$R$2,FALSE)</f>
        <v>1.2530169489662799</v>
      </c>
      <c r="E12" s="5">
        <f t="shared" ref="E12:E15" si="3">(D12/$D$16)^2</f>
        <v>0.92461108291712701</v>
      </c>
      <c r="F12" s="5">
        <f>HLOOKUP("QTE-0.1-Empcov-IPS-exp",inference!$D$1:$DR$96,$R$2,FALSE)</f>
        <v>0.92800000000000005</v>
      </c>
      <c r="G12" s="5">
        <f>HLOOKUP("QTE-0.1-ASSD-IPS-exp",inference!$D$1:$DR$96,$R$2,FALSE)*2*1.96/SQRT(G$3)</f>
        <v>4.694756999779754</v>
      </c>
      <c r="H12" s="5">
        <f>G12/(2*1.96/SQRT(G$3))</f>
        <v>37.872768317149593</v>
      </c>
      <c r="I12" s="5">
        <f t="shared" ref="I12:I17" si="4">($H$16/H12)^2</f>
        <v>1.1550414282055579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0.51632682158427501</v>
      </c>
      <c r="D13" s="5">
        <f>HLOOKUP("QTE-0.10-RMSE-IPS-ind",Point!$D$1:$DR$96,$R$2,FALSE)</f>
        <v>1.3657735602580301</v>
      </c>
      <c r="E13" s="5">
        <f t="shared" si="3"/>
        <v>1.0985064363147186</v>
      </c>
      <c r="F13" s="5">
        <f>HLOOKUP("QTE-0.1-Empcov-IPS-ind",inference!$D$1:$DR$96,$R$2,FALSE)</f>
        <v>0.92300000000000004</v>
      </c>
      <c r="G13" s="5">
        <f>HLOOKUP("QTE-0.1-ASSD-IPS-ind",inference!$D$1:$DR$96,$R$2,FALSE)*2*1.96/SQRT(G$3)</f>
        <v>5.1232460104699156</v>
      </c>
      <c r="H13" s="5">
        <f t="shared" ref="H13:H16" si="5">G13/(2*1.96/SQRT(G$3))</f>
        <v>41.329404098101506</v>
      </c>
      <c r="I13" s="5">
        <f t="shared" si="4"/>
        <v>0.96991433182008546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0.16126099943374</v>
      </c>
      <c r="D14" s="5">
        <f>HLOOKUP("QTE-0.10-RMSE-IPS-proj",Point!$D$1:$DR$96,$R$2,FALSE)</f>
        <v>1.3347742744948401</v>
      </c>
      <c r="E14" s="5">
        <f t="shared" si="3"/>
        <v>1.0492062267096192</v>
      </c>
      <c r="F14" s="6">
        <f>HLOOKUP("QTE-0.1-Empcov-IPS-proj",inference!$D$1:$DR$96,$R$2,FALSE)</f>
        <v>0.91400000000000003</v>
      </c>
      <c r="G14" s="6">
        <f>HLOOKUP("QTE-0.1-ASSD-IPS-proj",inference!$D$1:$DR$96,$R$2,FALSE)*2*1.96/SQRT(G$3)</f>
        <v>4.7253809085118208</v>
      </c>
      <c r="H14" s="5">
        <f t="shared" si="5"/>
        <v>38.119812456053808</v>
      </c>
      <c r="I14" s="5">
        <f t="shared" si="4"/>
        <v>1.140118920927023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0.19996364218114099</v>
      </c>
      <c r="D15" s="5">
        <f>HLOOKUP("QTE-0.10-RMSE-CBPS-just",Point!$D$1:$DR$96,$R$2,FALSE)</f>
        <v>1.45303391064368</v>
      </c>
      <c r="E15" s="5">
        <f t="shared" si="3"/>
        <v>1.2433594616684993</v>
      </c>
      <c r="F15" s="5">
        <f>HLOOKUP("QTE-0.1-Empcov-CBPS-just",inference!$D$1:$DR$96,$R$2,FALSE)</f>
        <v>0.89100000000000001</v>
      </c>
      <c r="G15" s="5">
        <f>HLOOKUP("QTE-0.1-ASSD-CBPS-just",inference!$D$1:$DR$96,$R$2,FALSE)*2*1.96/SQRT(G$3)</f>
        <v>4.6571532045207498</v>
      </c>
      <c r="H15" s="5">
        <f t="shared" si="5"/>
        <v>37.569417190401907</v>
      </c>
      <c r="I15" s="5">
        <f t="shared" si="4"/>
        <v>1.1737693039425057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0.48727896359057499</v>
      </c>
      <c r="D16" s="5">
        <f>HLOOKUP("QTE-0.10-RMSE-CBPS-over",Point!$D$1:$DR$96,$R$2,FALSE)</f>
        <v>1.3030989598071401</v>
      </c>
      <c r="E16" s="5">
        <f>(D16/$D$16)^2</f>
        <v>1</v>
      </c>
      <c r="F16" s="5">
        <f>HLOOKUP("QTE-0.1-Empcov-CBPS-over",inference!$D$1:$DR$96,$R$2,FALSE)</f>
        <v>0.92500000000000004</v>
      </c>
      <c r="G16" s="5">
        <f>HLOOKUP("QTE-0.1-ASSD-CBPS-over",inference!$D$1:$DR$96,$R$2,FALSE)*2*1.96/SQRT(G$3)</f>
        <v>5.0455893218638579</v>
      </c>
      <c r="H16" s="5">
        <f t="shared" si="5"/>
        <v>40.702944884985207</v>
      </c>
      <c r="I16" s="5">
        <f>($H$16/H16)^2</f>
        <v>1</v>
      </c>
      <c r="J16" s="5"/>
      <c r="K16" s="5"/>
      <c r="L16" s="5"/>
      <c r="M16" s="5"/>
      <c r="N16" s="5"/>
    </row>
    <row r="17" spans="1:18" s="3" customFormat="1" x14ac:dyDescent="0.25">
      <c r="B17" s="3" t="s">
        <v>2</v>
      </c>
      <c r="C17" s="5">
        <f>HLOOKUP("QTE-0.10-bias-GLM",Point!$D$1:$DR$96,$R$2,FALSE)</f>
        <v>7.8086071165315699E-2</v>
      </c>
      <c r="D17" s="5">
        <f>HLOOKUP("QTE-0.10-RMSE-GLM",Point!$D$1:$DR$96,$R$2,FALSE)</f>
        <v>1.4719466755851101</v>
      </c>
      <c r="E17" s="5">
        <f>(D17/$D$16)^2</f>
        <v>1.2759373714767202</v>
      </c>
      <c r="F17" s="5">
        <f>HLOOKUP("QTE-0.1-Empcov-GLM",inference!$D$1:$DR$96,$R$2,FALSE)</f>
        <v>0.92700000000000005</v>
      </c>
      <c r="G17" s="5">
        <f>HLOOKUP("QTE-0.1-ASSD-GLM",inference!$D$1:$DR$96,$R$2,FALSE)*2*1.96/SQRT(G$3)</f>
        <v>5.2250736647428706</v>
      </c>
      <c r="H17" s="5">
        <f>G17/(2*1.96/SQRT(G$3))</f>
        <v>42.150851333547202</v>
      </c>
      <c r="I17" s="5">
        <f t="shared" si="4"/>
        <v>0.93247879053605831</v>
      </c>
      <c r="J17" s="5"/>
      <c r="K17" s="5"/>
      <c r="L17" s="5"/>
      <c r="M17" s="5"/>
      <c r="N17" s="5"/>
    </row>
    <row r="18" spans="1:18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8" x14ac:dyDescent="0.25">
      <c r="A19" s="2" t="s">
        <v>59</v>
      </c>
      <c r="B19" s="1" t="s">
        <v>3</v>
      </c>
      <c r="C19" s="5">
        <f>HLOOKUP("QTE-0.25-bias-IPS-exp",Point!$D$1:$DR$96,$R$2,FALSE)</f>
        <v>2.2603129872940102E-2</v>
      </c>
      <c r="D19" s="5">
        <f>HLOOKUP("QTE-0.25-RMSE-IPS-exp",Point!$D$1:$DR$96,$R$2,FALSE)</f>
        <v>0.80927260089167297</v>
      </c>
      <c r="E19" s="5">
        <f>(D19/$D$23)^2</f>
        <v>0.78851701307804389</v>
      </c>
      <c r="F19" s="5">
        <f>HLOOKUP("QTE-0.25-Empcov-IPS-exp",inference!$D$1:$DR$96,$R$2,FALSE)</f>
        <v>0.97499999999999998</v>
      </c>
      <c r="G19" s="5">
        <f>HLOOKUP("QTE-0.25-ASSD-IPS-exp",inference!$D$1:$DR$96,$R$2,FALSE)*2*1.96/SQRT(G$3)</f>
        <v>3.7611478150469697</v>
      </c>
      <c r="H19" s="5">
        <f>G19/(2*1.96/SQRT(G$3))</f>
        <v>30.341310490087103</v>
      </c>
      <c r="I19" s="5">
        <f>($H$23/H19)^2</f>
        <v>1.4653459641074023</v>
      </c>
      <c r="J19" s="5"/>
      <c r="K19" s="5"/>
      <c r="L19" s="5"/>
      <c r="M19" s="5"/>
      <c r="N19" s="5"/>
    </row>
    <row r="20" spans="1:18" x14ac:dyDescent="0.25">
      <c r="B20" s="1" t="s">
        <v>5</v>
      </c>
      <c r="C20" s="5">
        <f>HLOOKUP("QTE-0.25-bias-IPS-ind",Point!$D$1:$DR$96,$R$2,FALSE)</f>
        <v>0.25605294013839902</v>
      </c>
      <c r="D20" s="5">
        <f>HLOOKUP("QTE-0.25-RMSE-IPS-ind",Point!$D$1:$DR$96,$R$2,FALSE)</f>
        <v>0.94502415648690796</v>
      </c>
      <c r="E20" s="5">
        <f t="shared" ref="E20:E24" si="6">(D20/$D$23)^2</f>
        <v>1.0752444613671326</v>
      </c>
      <c r="F20" s="5">
        <f>HLOOKUP("QTE-0.25-Empcov-IPS-ind",inference!$D$1:$DR$96,$R$2,FALSE)</f>
        <v>0.98499999999999999</v>
      </c>
      <c r="G20" s="5">
        <f>HLOOKUP("QTE-0.25-ASSD-IPS-ind",inference!$D$1:$DR$96,$R$2,FALSE)*2*1.96/SQRT(G$3)</f>
        <v>4.5932792730191023</v>
      </c>
      <c r="H20" s="5">
        <f t="shared" ref="H20:H23" si="7">G20/(2*1.96/SQRT(G$3))</f>
        <v>37.054143959139701</v>
      </c>
      <c r="I20" s="5">
        <f t="shared" ref="I20:I24" si="8">($H$23/H20)^2</f>
        <v>0.98250613991306157</v>
      </c>
      <c r="J20" s="5"/>
      <c r="K20" s="5"/>
      <c r="L20" s="5"/>
      <c r="M20" s="5"/>
      <c r="N20" s="5"/>
    </row>
    <row r="21" spans="1:18" x14ac:dyDescent="0.25">
      <c r="B21" s="1" t="s">
        <v>4</v>
      </c>
      <c r="C21" s="5">
        <f>HLOOKUP("QTE-0.25-bias-IPS-proj",Point!$D$1:$DR$96,$R$2,FALSE)</f>
        <v>0.114216873723453</v>
      </c>
      <c r="D21" s="5">
        <f>HLOOKUP("QTE-0.25-RMSE-IPS-proj",Point!$D$1:$DR$96,$R$2,FALSE)</f>
        <v>0.84488859371055902</v>
      </c>
      <c r="E21" s="5">
        <f t="shared" si="6"/>
        <v>0.85944935153567348</v>
      </c>
      <c r="F21" s="6">
        <f>HLOOKUP("QTE-0.25-Empcov-IPS-proj",inference!$D$1:$DR$96,$R$2,FALSE)</f>
        <v>0.96699999999999997</v>
      </c>
      <c r="G21" s="6">
        <f>HLOOKUP("QTE-0.25-ASSD-IPS-proj",inference!$D$1:$DR$96,$R$2,FALSE)*2*1.96/SQRT(G$3)</f>
        <v>3.7432678426479717</v>
      </c>
      <c r="H21" s="5">
        <f t="shared" si="7"/>
        <v>30.197072129674403</v>
      </c>
      <c r="I21" s="5">
        <f t="shared" si="8"/>
        <v>1.479378045358027</v>
      </c>
      <c r="J21" s="5"/>
      <c r="K21" s="5"/>
      <c r="L21" s="5"/>
      <c r="M21" s="5"/>
      <c r="N21" s="5"/>
    </row>
    <row r="22" spans="1:18" x14ac:dyDescent="0.25">
      <c r="B22" s="1" t="s">
        <v>88</v>
      </c>
      <c r="C22" s="5">
        <f>HLOOKUP("QTE-0.25-bias-CBPS-just",Point!$D$1:$DR$96,$R$2,FALSE)</f>
        <v>0.217698393056447</v>
      </c>
      <c r="D22" s="5">
        <f>HLOOKUP("QTE-0.25-RMSE-CBPS-just",Point!$D$1:$DR$96,$R$2,FALSE)</f>
        <v>1.01156698556143</v>
      </c>
      <c r="E22" s="5">
        <f t="shared" si="6"/>
        <v>1.2319999435321403</v>
      </c>
      <c r="F22" s="5">
        <f>HLOOKUP("QTE-0.25-Empcov-CBPS-just",inference!$D$1:$DR$96,$R$2,FALSE)</f>
        <v>0.94</v>
      </c>
      <c r="G22" s="5">
        <f>HLOOKUP("QTE-0.25-ASSD-CBPS-just",inference!$D$1:$DR$96,$R$2,FALSE)*2*1.96/SQRT(G$3)</f>
        <v>3.8112415419010111</v>
      </c>
      <c r="H22" s="5">
        <f t="shared" si="7"/>
        <v>30.745418330253205</v>
      </c>
      <c r="I22" s="5">
        <f t="shared" si="8"/>
        <v>1.4270790443975452</v>
      </c>
      <c r="J22" s="5"/>
      <c r="K22" s="5"/>
      <c r="L22" s="5"/>
      <c r="M22" s="5"/>
      <c r="N22" s="5"/>
    </row>
    <row r="23" spans="1:18" x14ac:dyDescent="0.25">
      <c r="B23" s="1" t="s">
        <v>89</v>
      </c>
      <c r="C23" s="5">
        <f>HLOOKUP("QTE-0.25-bias-CBPS-over",Point!$D$1:$DR$96,$R$2,FALSE)</f>
        <v>0.38847919054704599</v>
      </c>
      <c r="D23" s="5">
        <f>HLOOKUP("QTE-0.25-RMSE-CBPS-over",Point!$D$1:$DR$96,$R$2,FALSE)</f>
        <v>0.91135861420405295</v>
      </c>
      <c r="E23" s="5">
        <f>(D23/$D$23)^2</f>
        <v>1</v>
      </c>
      <c r="F23" s="5">
        <f>HLOOKUP("QTE-0.25-Empcov-CBPS-over",inference!$D$1:$DR$96,$R$2,FALSE)</f>
        <v>0.98099999999999998</v>
      </c>
      <c r="G23" s="5">
        <f>HLOOKUP("QTE-0.25-ASSD-CBPS-over",inference!$D$1:$DR$96,$R$2,FALSE)*2*1.96/SQRT(G$3)</f>
        <v>4.552924913476005</v>
      </c>
      <c r="H23" s="5">
        <f t="shared" si="7"/>
        <v>36.728603934462299</v>
      </c>
      <c r="I23" s="5">
        <f t="shared" si="8"/>
        <v>1</v>
      </c>
      <c r="J23" s="5"/>
      <c r="K23" s="5"/>
      <c r="L23" s="5"/>
      <c r="M23" s="5"/>
      <c r="N23" s="5"/>
    </row>
    <row r="24" spans="1:18" s="3" customFormat="1" x14ac:dyDescent="0.25">
      <c r="B24" s="3" t="s">
        <v>2</v>
      </c>
      <c r="C24" s="5">
        <f>HLOOKUP("QTE-0.25-bias-GLM",Point!$D$1:$DR$96,$R$2,FALSE)</f>
        <v>6.0577463756412299E-2</v>
      </c>
      <c r="D24" s="5">
        <f>HLOOKUP("QTE-0.25-RMSE-GLM",Point!$D$1:$DR$96,$R$2,FALSE)</f>
        <v>0.94243409403505196</v>
      </c>
      <c r="E24" s="5">
        <f t="shared" si="6"/>
        <v>1.069358614155687</v>
      </c>
      <c r="F24" s="5">
        <f>HLOOKUP("QTE-0.25-Empcov-GLM",inference!$D$1:$DR$96,$R$2,FALSE)</f>
        <v>0.97499999999999998</v>
      </c>
      <c r="G24" s="5">
        <f>HLOOKUP("QTE-0.25-ASSD-GLM",inference!$D$1:$DR$96,$R$2,FALSE)*2*1.96/SQRT(G$3)</f>
        <v>4.1932044220370628</v>
      </c>
      <c r="H24" s="5">
        <f>G24/(2*1.96/SQRT(G$3))</f>
        <v>33.826726194711902</v>
      </c>
      <c r="I24" s="5">
        <f t="shared" si="8"/>
        <v>1.1789324065919864</v>
      </c>
      <c r="J24" s="5"/>
      <c r="K24" s="5"/>
      <c r="L24" s="5"/>
      <c r="M24" s="5"/>
      <c r="N24" s="5"/>
    </row>
    <row r="25" spans="1:18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  <c r="R25" s="4"/>
    </row>
    <row r="26" spans="1:18" x14ac:dyDescent="0.25">
      <c r="A26" s="2" t="s">
        <v>60</v>
      </c>
      <c r="B26" s="1" t="s">
        <v>3</v>
      </c>
      <c r="C26" s="5">
        <f>HLOOKUP("QTE-0.5-bias-IPS-exp",Point!$D$1:$DR$96,$R$2,FALSE)</f>
        <v>-0.116753891404263</v>
      </c>
      <c r="D26" s="5">
        <f>HLOOKUP("QTE-0.5-RMSE-IPS-exp",Point!$D$1:$DR$96,$R$2,FALSE)</f>
        <v>0.98512728265001703</v>
      </c>
      <c r="E26" s="5">
        <f>(D26/$D$30)^2</f>
        <v>0.75185447320666476</v>
      </c>
      <c r="F26" s="5">
        <f>HLOOKUP("QTE-0.5-Empcov-IPS-exp",inference!$D$1:$DR$96,$R$2,FALSE)</f>
        <v>0.95499999999999996</v>
      </c>
      <c r="G26" s="5">
        <f>HLOOKUP("QTE-0.5-ASSD-IPS-exp",inference!$D$1:$DR$96,$R$2,FALSE)*2*1.96/SQRT(G$3)</f>
        <v>4.0860580820622241</v>
      </c>
      <c r="H26" s="5">
        <f>G26/(2*1.96/SQRT(G$3))</f>
        <v>32.962372936366904</v>
      </c>
      <c r="I26" s="5">
        <f>($H$30/H26)^2</f>
        <v>1.8006946267267141</v>
      </c>
      <c r="J26" s="5"/>
      <c r="K26"/>
      <c r="L26"/>
      <c r="M26"/>
      <c r="N26"/>
      <c r="O26"/>
      <c r="P26"/>
      <c r="Q26"/>
    </row>
    <row r="27" spans="1:18" x14ac:dyDescent="0.25">
      <c r="B27" s="1" t="s">
        <v>5</v>
      </c>
      <c r="C27" s="5">
        <f>HLOOKUP("QTE-0.5-bias-IPS-ind",Point!$D$1:$DR$96,$R$2,FALSE)</f>
        <v>0.15775728883510401</v>
      </c>
      <c r="D27" s="5">
        <f>HLOOKUP("QTE-0.5-RMSE-IPS-ind",Point!$D$1:$DR$96,$R$2,FALSE)</f>
        <v>1.2668212503563201</v>
      </c>
      <c r="E27" s="5">
        <f t="shared" ref="E27:E31" si="9">(D27/$D$30)^2</f>
        <v>1.2433109942089855</v>
      </c>
      <c r="F27" s="5">
        <f>HLOOKUP("QTE-0.5-Empcov-IPS-ind",inference!$D$1:$DR$96,$R$2,FALSE)</f>
        <v>0.98799999999999999</v>
      </c>
      <c r="G27" s="5">
        <f>HLOOKUP("QTE-0.5-ASSD-IPS-ind",inference!$D$1:$DR$96,$R$2,FALSE)*2*1.96/SQRT(G$3)</f>
        <v>6.2138866162237285</v>
      </c>
      <c r="H27" s="5">
        <f t="shared" ref="H27:H30" si="10">G27/(2*1.96/SQRT(G$3))</f>
        <v>50.127639870672397</v>
      </c>
      <c r="I27" s="5">
        <f t="shared" ref="I27:I31" si="11">($H$30/H27)^2</f>
        <v>0.77861450684064215</v>
      </c>
      <c r="J27" s="5"/>
      <c r="K27" s="5"/>
      <c r="L27" s="5"/>
      <c r="M27" s="5"/>
      <c r="N27" s="5"/>
    </row>
    <row r="28" spans="1:18" x14ac:dyDescent="0.25">
      <c r="B28" s="1" t="s">
        <v>4</v>
      </c>
      <c r="C28" s="5">
        <f>HLOOKUP("QTE-0.5-bias-IPS-proj",Point!$D$1:$DR$96,$R$2,FALSE)</f>
        <v>9.0179643099004298E-3</v>
      </c>
      <c r="D28" s="5">
        <f>HLOOKUP("QTE-0.5-RMSE-IPS-proj",Point!$D$1:$DR$96,$R$2,FALSE)</f>
        <v>0.99807144116945001</v>
      </c>
      <c r="E28" s="5">
        <f t="shared" si="9"/>
        <v>0.77174238345687463</v>
      </c>
      <c r="F28" s="6">
        <f>HLOOKUP("QTE-0.5-Empcov-IPS-proj",inference!$D$1:$DR$96,$R$2,FALSE)</f>
        <v>0.96299999999999997</v>
      </c>
      <c r="G28" s="6">
        <f>HLOOKUP("QTE-0.5-ASSD-IPS-proj",inference!$D$1:$DR$96,$R$2,FALSE)*2*1.96/SQRT(G$3)</f>
        <v>4.3133157130203283</v>
      </c>
      <c r="H28" s="5">
        <f t="shared" si="10"/>
        <v>34.795668164636297</v>
      </c>
      <c r="I28" s="5">
        <f t="shared" si="11"/>
        <v>1.6159452602942457</v>
      </c>
      <c r="J28" s="5"/>
      <c r="K28" s="5"/>
      <c r="L28" s="5"/>
      <c r="M28" s="5"/>
      <c r="N28" s="5"/>
    </row>
    <row r="29" spans="1:18" x14ac:dyDescent="0.25">
      <c r="B29" s="1" t="s">
        <v>88</v>
      </c>
      <c r="C29" s="5">
        <f>HLOOKUP("QTE-0.5-bias-CBPS-just",Point!$D$1:$DR$96,$R$2,FALSE)</f>
        <v>0.25077756867124801</v>
      </c>
      <c r="D29" s="5">
        <f>HLOOKUP("QTE-0.5-RMSE-CBPS-just",Point!$D$1:$DR$96,$R$2,FALSE)</f>
        <v>1.2175251533389</v>
      </c>
      <c r="E29" s="5">
        <f t="shared" si="9"/>
        <v>1.1484311896663513</v>
      </c>
      <c r="F29" s="5">
        <f>HLOOKUP("QTE-0.5-Empcov-CBPS-just",inference!$D$1:$DR$96,$R$2,FALSE)</f>
        <v>0.90700000000000003</v>
      </c>
      <c r="G29" s="5">
        <f>HLOOKUP("QTE-0.5-ASSD-CBPS-just",inference!$D$1:$DR$96,$R$2,FALSE)*2*1.96/SQRT(G$3)</f>
        <v>3.9100953855632024</v>
      </c>
      <c r="H29" s="5">
        <f t="shared" si="10"/>
        <v>31.5428757318724</v>
      </c>
      <c r="I29" s="5">
        <f t="shared" si="11"/>
        <v>1.9664116387203379</v>
      </c>
      <c r="J29" s="5"/>
      <c r="K29" s="5"/>
      <c r="L29" s="5"/>
      <c r="M29" s="5"/>
      <c r="N29" s="5"/>
    </row>
    <row r="30" spans="1:18" x14ac:dyDescent="0.25">
      <c r="B30" s="1" t="s">
        <v>89</v>
      </c>
      <c r="C30" s="5">
        <f>HLOOKUP("QTE-0.5-bias-CBPS-over",Point!$D$1:$DR$96,$R$2,FALSE)</f>
        <v>0.49776774361229198</v>
      </c>
      <c r="D30" s="5">
        <f>HLOOKUP("QTE-0.5-RMSE-CBPS-over",Point!$D$1:$DR$96,$R$2,FALSE)</f>
        <v>1.1361232640763399</v>
      </c>
      <c r="E30" s="5">
        <f t="shared" si="9"/>
        <v>1</v>
      </c>
      <c r="F30" s="5">
        <f>HLOOKUP("QTE-0.5-Empcov-CBPS-over",inference!$D$1:$DR$96,$R$2,FALSE)</f>
        <v>0.98399999999999999</v>
      </c>
      <c r="G30" s="5">
        <f>HLOOKUP("QTE-0.5-ASSD-CBPS-over",inference!$D$1:$DR$96,$R$2,FALSE)*2*1.96/SQRT(G$3)</f>
        <v>5.4830798432955623</v>
      </c>
      <c r="H30" s="5">
        <f t="shared" si="10"/>
        <v>44.232196166768098</v>
      </c>
      <c r="I30" s="5">
        <f t="shared" si="11"/>
        <v>1</v>
      </c>
      <c r="J30" s="5"/>
      <c r="K30" s="5"/>
      <c r="L30" s="5"/>
      <c r="M30" s="5"/>
      <c r="N30" s="5"/>
    </row>
    <row r="31" spans="1:18" x14ac:dyDescent="0.25">
      <c r="A31" s="3"/>
      <c r="B31" s="3" t="s">
        <v>2</v>
      </c>
      <c r="C31" s="5">
        <f>HLOOKUP("QTE-0.5-bias-GLM",Point!$D$1:$DR$96,$R$2,FALSE)</f>
        <v>4.8529317799869402E-2</v>
      </c>
      <c r="D31" s="5">
        <f>HLOOKUP("QTE-0.5-RMSE-GLM",Point!$D$1:$DR$96,$R$2,FALSE)</f>
        <v>1.16612844431915</v>
      </c>
      <c r="E31" s="5">
        <f t="shared" si="9"/>
        <v>1.0535177859408371</v>
      </c>
      <c r="F31" s="5">
        <f>HLOOKUP("QTE-0.5-Empcov-GLM",inference!$D$1:$DR$96,$R$2,FALSE)</f>
        <v>0.94499999999999995</v>
      </c>
      <c r="G31" s="5">
        <f>HLOOKUP("QTE-0.5-ASSD-GLM",inference!$D$1:$DR$96,$R$2,FALSE)*2*1.96/SQRT(G$3)</f>
        <v>4.4845706343851832</v>
      </c>
      <c r="H31" s="5">
        <f>G31/(2*1.96/SQRT(G$3))</f>
        <v>36.177187583069902</v>
      </c>
      <c r="I31" s="5">
        <f t="shared" si="11"/>
        <v>1.4948836864461355</v>
      </c>
      <c r="J31" s="5"/>
      <c r="K31" s="5"/>
      <c r="L31" s="5"/>
      <c r="M31" s="5"/>
      <c r="N31" s="5"/>
      <c r="O31" s="3"/>
      <c r="P31" s="3"/>
      <c r="Q31" s="3"/>
      <c r="R31" s="3"/>
    </row>
    <row r="32" spans="1:18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-0.24572292152391001</v>
      </c>
      <c r="D33" s="5">
        <f>HLOOKUP("QTE-0.75-RMSE-IPS-exp",Point!$D$1:$DR$96,$R$2,FALSE)</f>
        <v>2.5950979956065998</v>
      </c>
      <c r="E33" s="5">
        <f>(D33/$D$37)^2</f>
        <v>0.74790374253919467</v>
      </c>
      <c r="F33" s="5">
        <f>HLOOKUP("QTE-0.75-Empcov-IPS-exp",inference!$D$1:$DR$96,$R$2,FALSE)</f>
        <v>0.95</v>
      </c>
      <c r="G33" s="5">
        <f>HLOOKUP("QTE-0.75-ASSD-IPS-exp",inference!$D$1:$DR$96,$R$2,FALSE)*2*1.96/SQRT(G$3)</f>
        <v>11.139026638136416</v>
      </c>
      <c r="H33" s="5">
        <f>G33/(2*1.96/SQRT(G$3))</f>
        <v>89.858916055610393</v>
      </c>
      <c r="I33" s="5">
        <f>($H$37/H33)^2</f>
        <v>1.7886654059614882</v>
      </c>
      <c r="J33" s="5"/>
    </row>
    <row r="34" spans="1:10" x14ac:dyDescent="0.25">
      <c r="B34" s="1" t="s">
        <v>5</v>
      </c>
      <c r="C34" s="5">
        <f>HLOOKUP("QTE-0.75-bias-IPS-ind",Point!$D$1:$DR$96,$R$2,FALSE)</f>
        <v>-7.59253208364985E-2</v>
      </c>
      <c r="D34" s="5">
        <f>HLOOKUP("QTE-0.75-RMSE-IPS-ind",Point!$D$1:$DR$96,$R$2,FALSE)</f>
        <v>4.6597074554623799</v>
      </c>
      <c r="E34" s="5">
        <f t="shared" ref="E34:E38" si="12">(D34/$D$37)^2</f>
        <v>2.4113235381661386</v>
      </c>
      <c r="F34" s="5">
        <f>HLOOKUP("QTE-0.75-Empcov-IPS-ind",inference!$D$1:$DR$96,$R$2,FALSE)</f>
        <v>0.97799999999999998</v>
      </c>
      <c r="G34" s="5">
        <f>HLOOKUP("QTE-0.75-ASSD-IPS-ind",inference!$D$1:$DR$96,$R$2,FALSE)*2*1.96/SQRT(G$3)</f>
        <v>22.918400246123149</v>
      </c>
      <c r="H34" s="5">
        <f t="shared" ref="H34:H37" si="13">G34/(2*1.96/SQRT(G$3))</f>
        <v>184.88353343141</v>
      </c>
      <c r="I34" s="5">
        <f t="shared" ref="I34:I38" si="14">($H$37/H34)^2</f>
        <v>0.42252751284022744</v>
      </c>
      <c r="J34" s="5"/>
    </row>
    <row r="35" spans="1:10" x14ac:dyDescent="0.25">
      <c r="B35" s="1" t="s">
        <v>4</v>
      </c>
      <c r="C35" s="5">
        <f>HLOOKUP("QTE-0.75-bias-IPS-proj",Point!$D$1:$DR$96,$R$2,FALSE)</f>
        <v>-0.17578499059409</v>
      </c>
      <c r="D35" s="5">
        <f>HLOOKUP("QTE-0.75-RMSE-IPS-proj",Point!$D$1:$DR$96,$R$2,FALSE)</f>
        <v>2.71499967865932</v>
      </c>
      <c r="E35" s="5">
        <f t="shared" si="12"/>
        <v>0.81861132210085841</v>
      </c>
      <c r="F35" s="6">
        <f>HLOOKUP("QTE-0.75-Empcov-IPS-proj",inference!$D$1:$DR$96,$R$2,FALSE)</f>
        <v>0.96399999999999997</v>
      </c>
      <c r="G35" s="6">
        <f>HLOOKUP("QTE-0.75-ASSD-IPS-proj",inference!$D$1:$DR$96,$R$2,FALSE)*2*1.96/SQRT(G$3)</f>
        <v>12.584853929962925</v>
      </c>
      <c r="H35" s="5">
        <f t="shared" si="13"/>
        <v>101.52245520205101</v>
      </c>
      <c r="I35" s="5">
        <f t="shared" si="14"/>
        <v>1.4012874559081894</v>
      </c>
      <c r="J35" s="5"/>
    </row>
    <row r="36" spans="1:10" x14ac:dyDescent="0.25">
      <c r="B36" s="1" t="s">
        <v>88</v>
      </c>
      <c r="C36" s="5">
        <f>HLOOKUP("QTE-0.75-bias-CBPS-just",Point!$D$1:$DR$96,$R$2,FALSE)</f>
        <v>0.211039706054308</v>
      </c>
      <c r="D36" s="5">
        <f>HLOOKUP("QTE-0.75-RMSE-CBPS-just",Point!$D$1:$DR$96,$R$2,FALSE)</f>
        <v>2.9380718715043899</v>
      </c>
      <c r="E36" s="5">
        <f t="shared" si="12"/>
        <v>0.95865648103565315</v>
      </c>
      <c r="F36" s="5">
        <f>HLOOKUP("QTE-0.75-Empcov-CBPS-just",inference!$D$1:$DR$96,$R$2,FALSE)</f>
        <v>0.84299999999999997</v>
      </c>
      <c r="G36" s="5">
        <f>HLOOKUP("QTE-0.75-ASSD-CBPS-just",inference!$D$1:$DR$96,$R$2,FALSE)*2*1.96/SQRT(G$3)</f>
        <v>8.5270193841076587</v>
      </c>
      <c r="H36" s="5">
        <f t="shared" si="13"/>
        <v>68.787762515781594</v>
      </c>
      <c r="I36" s="5">
        <f t="shared" si="14"/>
        <v>3.0523131806397918</v>
      </c>
      <c r="J36" s="5"/>
    </row>
    <row r="37" spans="1:10" x14ac:dyDescent="0.25">
      <c r="B37" s="1" t="s">
        <v>89</v>
      </c>
      <c r="C37" s="5">
        <f>HLOOKUP("QTE-0.75-bias-CBPS-over",Point!$D$1:$DR$96,$R$2,FALSE)</f>
        <v>1.37255380250214</v>
      </c>
      <c r="D37" s="5">
        <f>HLOOKUP("QTE-0.75-RMSE-CBPS-over",Point!$D$1:$DR$96,$R$2,FALSE)</f>
        <v>3.0007575606624899</v>
      </c>
      <c r="E37" s="5">
        <f t="shared" si="12"/>
        <v>1</v>
      </c>
      <c r="F37" s="5">
        <f>HLOOKUP("QTE-0.75-Empcov-CBPS-over",inference!$D$1:$DR$96,$R$2,FALSE)</f>
        <v>0.98399999999999999</v>
      </c>
      <c r="G37" s="5">
        <f>HLOOKUP("QTE-0.75-ASSD-CBPS-over",inference!$D$1:$DR$96,$R$2,FALSE)*2*1.96/SQRT(G$3)</f>
        <v>14.897445190764161</v>
      </c>
      <c r="H37" s="5">
        <f t="shared" si="13"/>
        <v>120.178209490654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7.8827049515830097E-2</v>
      </c>
      <c r="D38" s="5">
        <f>HLOOKUP("QTE-0.75-RMSE-GLM",Point!$D$1:$DR$96,$R$2,FALSE)</f>
        <v>3.1264904191296701</v>
      </c>
      <c r="E38" s="5">
        <f t="shared" si="12"/>
        <v>1.0855563854470704</v>
      </c>
      <c r="F38" s="5">
        <f>HLOOKUP("QTE-0.75-Empcov-GLM",inference!$D$1:$DR$96,$R$2,FALSE)</f>
        <v>0.88200000000000001</v>
      </c>
      <c r="G38" s="5">
        <f>HLOOKUP("QTE-0.75-ASSD-GLM",inference!$D$1:$DR$96,$R$2,FALSE)*2*1.96/SQRT(G$3)</f>
        <v>9.1034008603814929</v>
      </c>
      <c r="H38" s="5">
        <f>G38/(2*1.96/SQRT(G$3))</f>
        <v>73.437451970260199</v>
      </c>
      <c r="I38" s="5">
        <f t="shared" si="14"/>
        <v>2.678035062108739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0.34262959519543701</v>
      </c>
      <c r="D40" s="5">
        <f>HLOOKUP("QTE-0.9-RMSE-IPS-exp",Point!$D$1:$DR$96,$R$2,FALSE)</f>
        <v>5.1412065948474401</v>
      </c>
      <c r="E40" s="5">
        <f t="shared" ref="E40:E45" si="15">(D40/$D$44)^2</f>
        <v>0.9725287010628012</v>
      </c>
      <c r="F40" s="5">
        <f>HLOOKUP("QTE-0.9-Empcov-IPS-exp",inference!$D$1:$DR$96,$R$2,FALSE)</f>
        <v>0.98399999999999999</v>
      </c>
      <c r="G40" s="5">
        <f>HLOOKUP("QTE-0.9-ASSD-IPS-exp",inference!$D$1:$DR$96,$R$2,FALSE)*2*1.96/SQRT(G$3)</f>
        <v>26.31576089012815</v>
      </c>
      <c r="H40" s="5">
        <f>G40/(2*1.96/SQRT(G$3))</f>
        <v>212.29016013567602</v>
      </c>
      <c r="I40" s="5">
        <f t="shared" ref="I40:I45" si="16">($H$44/H40)^2</f>
        <v>1.0223699980176573</v>
      </c>
      <c r="J40" s="5"/>
    </row>
    <row r="41" spans="1:10" x14ac:dyDescent="0.25">
      <c r="B41" s="1" t="s">
        <v>5</v>
      </c>
      <c r="C41" s="5">
        <f>HLOOKUP("QTE-0.9-bias-IPS-ind",Point!$D$1:$DR$96,$R$2,FALSE)</f>
        <v>0.121414315375642</v>
      </c>
      <c r="D41" s="5">
        <f>HLOOKUP("QTE-0.9-RMSE-IPS-ind",Point!$D$1:$DR$96,$R$2,FALSE)</f>
        <v>9.41333690172792</v>
      </c>
      <c r="E41" s="5">
        <f t="shared" si="15"/>
        <v>3.2603146815782802</v>
      </c>
      <c r="F41" s="5">
        <f>HLOOKUP("QTE-0.9-Empcov-IPS-ind",inference!$D$1:$DR$96,$R$2,FALSE)</f>
        <v>0.98899999999999999</v>
      </c>
      <c r="G41" s="5">
        <f>HLOOKUP("QTE-0.9-ASSD-IPS-ind",inference!$D$1:$DR$96,$R$2,FALSE)*2*1.96/SQRT(G$3)</f>
        <v>57.689439618907869</v>
      </c>
      <c r="H41" s="5">
        <f t="shared" ref="H41:H44" si="17">G41/(2*1.96/SQRT(G$3))</f>
        <v>465.38271973088007</v>
      </c>
      <c r="I41" s="5">
        <f t="shared" si="16"/>
        <v>0.21273910069582413</v>
      </c>
      <c r="J41" s="5"/>
    </row>
    <row r="42" spans="1:10" x14ac:dyDescent="0.25">
      <c r="B42" s="1" t="s">
        <v>4</v>
      </c>
      <c r="C42" s="5">
        <f>HLOOKUP("QTE-0.9-bias-IPS-proj",Point!$D$1:$DR$96,$R$2,FALSE)</f>
        <v>-0.73621329974327998</v>
      </c>
      <c r="D42" s="5">
        <f>HLOOKUP("QTE-0.9-RMSE-IPS-proj",Point!$D$1:$DR$96,$R$2,FALSE)</f>
        <v>5.1929484697971899</v>
      </c>
      <c r="E42" s="5">
        <f t="shared" si="15"/>
        <v>0.9922025553716044</v>
      </c>
      <c r="F42" s="6">
        <f>HLOOKUP("QTE-0.9-Empcov-IPS-proj",inference!$D$1:$DR$96,$R$2,FALSE)</f>
        <v>0.998</v>
      </c>
      <c r="G42" s="6">
        <f>HLOOKUP("QTE-0.9-ASSD-IPS-proj",inference!$D$1:$DR$96,$R$2,FALSE)*2*1.96/SQRT(G$3)</f>
        <v>35.697429664994488</v>
      </c>
      <c r="H42" s="5">
        <f t="shared" si="17"/>
        <v>287.97240906898998</v>
      </c>
      <c r="I42" s="5">
        <f t="shared" si="16"/>
        <v>0.55560489918145528</v>
      </c>
      <c r="J42" s="5"/>
    </row>
    <row r="43" spans="1:10" x14ac:dyDescent="0.25">
      <c r="B43" s="1" t="s">
        <v>88</v>
      </c>
      <c r="C43" s="5">
        <f>HLOOKUP("QTE-0.9-bias-CBPS-just",Point!$D$1:$DR$96,$R$2,FALSE)</f>
        <v>-0.28269454076681</v>
      </c>
      <c r="D43" s="5">
        <f>HLOOKUP("QTE-0.9-RMSE-CBPS-just",Point!$D$1:$DR$96,$R$2,FALSE)</f>
        <v>5.3034857328760703</v>
      </c>
      <c r="E43" s="5">
        <f t="shared" si="15"/>
        <v>1.0348922265854159</v>
      </c>
      <c r="F43" s="5">
        <f>HLOOKUP("QTE-0.9-Empcov-CBPS-just",inference!$D$1:$DR$96,$R$2,FALSE)</f>
        <v>0.91800000000000004</v>
      </c>
      <c r="G43" s="5">
        <f>HLOOKUP("QTE-0.9-ASSD-CBPS-just",inference!$D$1:$DR$96,$R$2,FALSE)*2*1.96/SQRT(G$3)</f>
        <v>19.236901163218413</v>
      </c>
      <c r="H43" s="5">
        <f t="shared" si="17"/>
        <v>155.184752039063</v>
      </c>
      <c r="I43" s="5">
        <f t="shared" si="16"/>
        <v>1.9132412351828456</v>
      </c>
      <c r="J43" s="5"/>
    </row>
    <row r="44" spans="1:10" x14ac:dyDescent="0.25">
      <c r="B44" s="1" t="s">
        <v>89</v>
      </c>
      <c r="C44" s="5">
        <f>HLOOKUP("QTE-0.9-bias-CBPS-over",Point!$D$1:$DR$96,$R$2,FALSE)</f>
        <v>1.4532267553395499</v>
      </c>
      <c r="D44" s="5">
        <f>HLOOKUP("QTE-0.9-RMSE-CBPS-over",Point!$D$1:$DR$96,$R$2,FALSE)</f>
        <v>5.2133135080067303</v>
      </c>
      <c r="E44" s="5">
        <f t="shared" si="15"/>
        <v>1</v>
      </c>
      <c r="F44" s="5">
        <f>HLOOKUP("QTE-0.9-Empcov-CBPS-over",inference!$D$1:$DR$96,$R$2,FALSE)</f>
        <v>0.98</v>
      </c>
      <c r="G44" s="5">
        <f>HLOOKUP("QTE-0.9-ASSD-CBPS-over",inference!$D$1:$DR$96,$R$2,FALSE)*2*1.96/SQRT(G$3)</f>
        <v>26.608474701698373</v>
      </c>
      <c r="H44" s="5">
        <f t="shared" si="17"/>
        <v>214.65149265391901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-0.24526574096836001</v>
      </c>
      <c r="D45" s="5">
        <f>HLOOKUP("QTE-0.9-RMSE-GLM",Point!$D$1:$DR$96,$R$2,FALSE)</f>
        <v>5.0054649540803</v>
      </c>
      <c r="E45" s="5">
        <f t="shared" si="15"/>
        <v>0.92185192108878999</v>
      </c>
      <c r="F45" s="5">
        <f>HLOOKUP("QTE-0.9-Empcov-GLM",inference!$D$1:$DR$96,$R$2,FALSE)</f>
        <v>0.93100000000000005</v>
      </c>
      <c r="G45" s="5">
        <f>HLOOKUP("QTE-0.9-ASSD-GLM",inference!$D$1:$DR$96,$R$2,FALSE)*2*1.96/SQRT(G$3)</f>
        <v>18.832658022538556</v>
      </c>
      <c r="H45" s="5">
        <f>G45/(2*1.96/SQRT(G$3))</f>
        <v>151.923708536389</v>
      </c>
      <c r="I45" s="5">
        <f t="shared" si="16"/>
        <v>1.9962582283588648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H114" s="7"/>
      <c r="I114" s="7"/>
      <c r="J114" s="7"/>
    </row>
    <row r="115" spans="8:10" x14ac:dyDescent="0.25">
      <c r="H115" s="7"/>
      <c r="I115" s="7"/>
      <c r="J115" s="7"/>
    </row>
    <row r="116" spans="8:10" x14ac:dyDescent="0.25">
      <c r="H116" s="7"/>
      <c r="I116" s="7"/>
      <c r="J116" s="7"/>
    </row>
    <row r="117" spans="8:10" x14ac:dyDescent="0.25">
      <c r="H117" s="7"/>
      <c r="I117" s="7"/>
      <c r="J117" s="7"/>
    </row>
    <row r="118" spans="8:10" x14ac:dyDescent="0.25">
      <c r="H118" s="7"/>
      <c r="I118" s="7"/>
      <c r="J118" s="7"/>
    </row>
    <row r="119" spans="8:10" x14ac:dyDescent="0.25">
      <c r="H119" s="7"/>
      <c r="I119" s="7"/>
      <c r="J119" s="7"/>
    </row>
    <row r="120" spans="8:10" x14ac:dyDescent="0.25">
      <c r="H120" s="7"/>
      <c r="I120" s="7"/>
      <c r="J120" s="7"/>
    </row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20"/>
  <sheetViews>
    <sheetView workbookViewId="0">
      <selection activeCell="O9" sqref="O9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6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10.42578125" style="1" bestFit="1" customWidth="1"/>
    <col min="9" max="9" width="5.140625" style="1" bestFit="1" customWidth="1"/>
    <col min="10" max="10" width="8.28515625" style="1" customWidth="1"/>
    <col min="11" max="17" width="9.28515625" style="1"/>
    <col min="18" max="18" width="28" style="1" bestFit="1" customWidth="1"/>
    <col min="19" max="16384" width="9.28515625" style="1"/>
  </cols>
  <sheetData>
    <row r="1" spans="1:18" x14ac:dyDescent="0.25">
      <c r="C1" s="16" t="s">
        <v>71</v>
      </c>
      <c r="D1" s="16"/>
      <c r="E1" s="16"/>
      <c r="F1" s="16"/>
      <c r="G1" s="16"/>
      <c r="H1" s="11"/>
      <c r="I1" s="11"/>
      <c r="J1" s="11"/>
      <c r="R1" s="10" t="s">
        <v>217</v>
      </c>
    </row>
    <row r="2" spans="1:18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7</v>
      </c>
    </row>
    <row r="3" spans="1:18" x14ac:dyDescent="0.2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I3" s="11">
        <v>1000</v>
      </c>
      <c r="J3" s="11"/>
      <c r="K3" s="11"/>
      <c r="L3" s="11"/>
      <c r="M3" s="11"/>
      <c r="N3" s="11"/>
      <c r="O3" s="11"/>
      <c r="P3" s="11"/>
    </row>
    <row r="4" spans="1:18" x14ac:dyDescent="0.25">
      <c r="C4" s="11"/>
      <c r="D4" s="11"/>
      <c r="E4" s="11"/>
      <c r="F4" s="11"/>
      <c r="G4" s="11"/>
      <c r="H4" s="11"/>
      <c r="I4" s="11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-5.0685667621945303</v>
      </c>
      <c r="D5" s="5">
        <f>HLOOKUP("ATE-RMSE-IPS-exp",Point!$D$1:$DR$96,$R$2,FALSE)</f>
        <v>6.6820543495102402</v>
      </c>
      <c r="E5" s="5">
        <f>(D5/$D$9)^2</f>
        <v>6.8510958657708736</v>
      </c>
      <c r="F5" s="5">
        <f>HLOOKUP("ATE-Empcov-IPS-exp",inference!$D$1:$DR$96,$R$2,FALSE)</f>
        <v>0.75600000000000001</v>
      </c>
      <c r="G5" s="5">
        <f>HLOOKUP("ATE-ASSD-IPS-exp",inference!$D$1:$DR$96,$R$2,FALSE)*2*1.96/SQRT(G$3)</f>
        <v>12.721945153123041</v>
      </c>
      <c r="H5" s="5">
        <f>G5/(2*1.96/SQRT(G$3))</f>
        <v>102.628374876552</v>
      </c>
      <c r="I5" s="5">
        <f t="shared" ref="I5:I10" si="0">($H$9/H5)^2</f>
        <v>1.0321949586273917</v>
      </c>
      <c r="J5" s="5"/>
      <c r="K5" s="5">
        <f>HLOOKUP("ks-IPS-exp",balance!$D$1:$DR$96,$R$2,FALSE)</f>
        <v>2.4403153462110598</v>
      </c>
      <c r="L5" s="5">
        <f>HLOOKUP("cvm-IPS-exp",balance!$D$1:$DR$96,$R$2,FALSE)</f>
        <v>0.372142426714684</v>
      </c>
      <c r="M5" s="5">
        <f>HLOOKUP("ks-IPS-exp_1",balance!$D$1:$DR$96,$R$2,FALSE)</f>
        <v>1.7197136752978299</v>
      </c>
      <c r="N5" s="5">
        <f>HLOOKUP("cvm-IPS-exp_1",balance!$D$1:$DR$96,$R$2,FALSE)</f>
        <v>0.21023544536549199</v>
      </c>
      <c r="O5" s="5">
        <f>HLOOKUP("ks-IPS-exp_0",balance!$D$1:$DR$96,$R$2,FALSE)</f>
        <v>0.98770720598607398</v>
      </c>
      <c r="P5" s="5">
        <f>HLOOKUP("cvm-IPS-exp_0",balance!$D$1:$DR$96,$R$2,FALSE)</f>
        <v>3.3656908032510001E-2</v>
      </c>
    </row>
    <row r="6" spans="1:18" x14ac:dyDescent="0.25">
      <c r="B6" s="1" t="s">
        <v>5</v>
      </c>
      <c r="C6" s="5">
        <f>HLOOKUP("ATE-bias-IPS-ind",Point!$D$1:$DR$96,$R$2,FALSE)</f>
        <v>-5.1284867638948199</v>
      </c>
      <c r="D6" s="5">
        <f>HLOOKUP("ATE-RMSE-IPS-ind",Point!$D$1:$DR$96,$R$2,FALSE)</f>
        <v>7.5728615507947401</v>
      </c>
      <c r="E6" s="5">
        <f t="shared" ref="E6:E10" si="1">(D6/$D$9)^2</f>
        <v>8.7995420527681194</v>
      </c>
      <c r="F6" s="5">
        <f>HLOOKUP("ATE-Empcov-IPS-ind",inference!$D$1:$DR$96,$R$2,FALSE)</f>
        <v>0.98899999999999999</v>
      </c>
      <c r="G6" s="5">
        <f>HLOOKUP("ATE-ASSD-IPS-ind",inference!$D$1:$DR$96,$R$2,FALSE)*2*1.96/SQRT(G$3)</f>
        <v>26.398719655332979</v>
      </c>
      <c r="H6" s="5">
        <f t="shared" ref="H6:H9" si="2">G6/(2*1.96/SQRT(G$3))</f>
        <v>212.959391385478</v>
      </c>
      <c r="I6" s="5">
        <f t="shared" si="0"/>
        <v>0.23971932350908262</v>
      </c>
      <c r="J6" s="5"/>
      <c r="K6" s="5">
        <f>HLOOKUP("ks-IPS-ind",balance!$D$1:$DR$96,$R$2,FALSE)</f>
        <v>2.3355996335027802</v>
      </c>
      <c r="L6" s="5">
        <f>HLOOKUP("cvm-IPS-ind",balance!$D$1:$DR$96,$R$2,FALSE)</f>
        <v>0.25124914592369202</v>
      </c>
      <c r="M6" s="5">
        <f>HLOOKUP("ks-IPS-ind_1",balance!$D$1:$DR$96,$R$2,FALSE)</f>
        <v>1.58773741833768</v>
      </c>
      <c r="N6" s="5">
        <f>HLOOKUP("cvm-IPS-ind_1",balance!$D$1:$DR$96,$R$2,FALSE)</f>
        <v>0.145239248977374</v>
      </c>
      <c r="O6" s="5">
        <f>HLOOKUP("ks-IPS-ind_0",balance!$D$1:$DR$96,$R$2,FALSE)</f>
        <v>1.1273364377472499</v>
      </c>
      <c r="P6" s="5">
        <f>HLOOKUP("cvm-IPS-ind_0",balance!$D$1:$DR$96,$R$2,FALSE)</f>
        <v>2.3892476942299699E-2</v>
      </c>
    </row>
    <row r="7" spans="1:18" x14ac:dyDescent="0.25">
      <c r="B7" s="1" t="s">
        <v>4</v>
      </c>
      <c r="C7" s="5">
        <f>HLOOKUP("ATE-bias-IPS-proj",Point!$D$1:$DR$96,$R$2,FALSE)</f>
        <v>-0.89297066866814201</v>
      </c>
      <c r="D7" s="5">
        <f>HLOOKUP("ATE-RMSE-IPS-proj",Point!$D$1:$DR$96,$R$2,FALSE)</f>
        <v>2.4594915202458099</v>
      </c>
      <c r="E7" s="5">
        <f t="shared" si="1"/>
        <v>0.92817677282935962</v>
      </c>
      <c r="F7" s="6">
        <f>HLOOKUP("ATE-Empcov-IPS-proj",inference!$D$1:$DR$96,$R$2,FALSE)</f>
        <v>0.94499999999999995</v>
      </c>
      <c r="G7" s="6">
        <f>HLOOKUP("ATE-ASSD-IPS-proj",inference!$D$1:$DR$96,$R$2,FALSE)*2*1.96/SQRT(G$3)</f>
        <v>7.9074211443688815</v>
      </c>
      <c r="H7" s="5">
        <f t="shared" si="2"/>
        <v>63.789441924440808</v>
      </c>
      <c r="I7" s="5">
        <f t="shared" si="0"/>
        <v>2.6717697724690455</v>
      </c>
      <c r="J7" s="5"/>
      <c r="K7" s="5">
        <f>HLOOKUP("ks-IPS-proj",balance!$D$1:$DR$96,$R$2,FALSE)</f>
        <v>2.5519381092239999</v>
      </c>
      <c r="L7" s="5">
        <f>HLOOKUP("cvm-IPS-proj",balance!$D$1:$DR$96,$R$2,FALSE)</f>
        <v>0.39439148460093698</v>
      </c>
      <c r="M7" s="5">
        <f>HLOOKUP("ks-IPS-proj_1",balance!$D$1:$DR$96,$R$2,FALSE)</f>
        <v>1.8427714979780201</v>
      </c>
      <c r="N7" s="5">
        <f>HLOOKUP("cvm-IPS-proj_1",balance!$D$1:$DR$96,$R$2,FALSE)</f>
        <v>0.227154140866901</v>
      </c>
      <c r="O7" s="5">
        <f>HLOOKUP("ks-IPS-proj_0",balance!$D$1:$DR$96,$R$2,FALSE)</f>
        <v>0.87640270113530605</v>
      </c>
      <c r="P7" s="5">
        <f>HLOOKUP("cvm-IPS-proj_0",balance!$D$1:$DR$96,$R$2,FALSE)</f>
        <v>2.9942867469436502E-2</v>
      </c>
    </row>
    <row r="8" spans="1:18" x14ac:dyDescent="0.25">
      <c r="B8" s="1" t="s">
        <v>88</v>
      </c>
      <c r="C8" s="5">
        <f>HLOOKUP("ATE-bias-CBPS-just",Point!$D$1:$DR$96,$R$2,FALSE)</f>
        <v>-3.6778571651807099</v>
      </c>
      <c r="D8" s="5">
        <f>HLOOKUP("ATE-RMSE-CBPS-just",Point!$D$1:$DR$96,$R$2,FALSE)</f>
        <v>5.0431155938993797</v>
      </c>
      <c r="E8" s="5">
        <f t="shared" si="1"/>
        <v>3.9024548101149543</v>
      </c>
      <c r="F8" s="5">
        <f>HLOOKUP("ATE-Empcov-CBPS-just",inference!$D$1:$DR$96,$R$2,FALSE)</f>
        <v>0.64500000000000002</v>
      </c>
      <c r="G8" s="5">
        <f>HLOOKUP("ATE-ASSD-CBPS-just",inference!$D$1:$DR$96,$R$2,FALSE)*2*1.96/SQRT(G$3)</f>
        <v>8.7373228401692096</v>
      </c>
      <c r="H8" s="5">
        <f t="shared" si="2"/>
        <v>70.484287824352108</v>
      </c>
      <c r="I8" s="5">
        <f t="shared" si="0"/>
        <v>2.1883259248632156</v>
      </c>
      <c r="J8" s="5"/>
      <c r="K8" s="5">
        <f>HLOOKUP("ks-CBPS-Just",balance!$D$1:$DR$96,$R$2,FALSE)</f>
        <v>2.4519817689304499</v>
      </c>
      <c r="L8" s="5">
        <f>HLOOKUP("cvm-CBPS-Just",balance!$D$1:$DR$96,$R$2,FALSE)</f>
        <v>0.38781601950950501</v>
      </c>
      <c r="M8" s="5">
        <f>HLOOKUP("ks-CBPS-Just_1",balance!$D$1:$DR$96,$R$2,FALSE)</f>
        <v>1.8778724871190999</v>
      </c>
      <c r="N8" s="5">
        <f>HLOOKUP("cvm-CBPS-Just_1",balance!$D$1:$DR$96,$R$2,FALSE)</f>
        <v>0.25767090782853602</v>
      </c>
      <c r="O8" s="5">
        <f>HLOOKUP("ks-CBPS-Just_0",balance!$D$1:$DR$96,$R$2,FALSE)</f>
        <v>1.0086904785186701</v>
      </c>
      <c r="P8" s="5">
        <f>HLOOKUP("cvm-CBPS-Just_0",balance!$D$1:$DR$96,$R$2,FALSE)</f>
        <v>2.4534589779202701E-2</v>
      </c>
    </row>
    <row r="9" spans="1:18" x14ac:dyDescent="0.25">
      <c r="B9" s="1" t="s">
        <v>89</v>
      </c>
      <c r="C9" s="5">
        <f>HLOOKUP("ATE-bias-CBPS-over",Point!$D$1:$DR$96,$R$2,FALSE)</f>
        <v>-0.45689599693528699</v>
      </c>
      <c r="D9" s="5">
        <f>HLOOKUP("ATE-RMSE-CBPS-over",Point!$D$1:$DR$96,$R$2,FALSE)</f>
        <v>2.5528775340455199</v>
      </c>
      <c r="E9" s="5">
        <f t="shared" si="1"/>
        <v>1</v>
      </c>
      <c r="F9" s="5">
        <f>HLOOKUP("ATE-Empcov-CBPS-over",inference!$D$1:$DR$96,$R$2,FALSE)</f>
        <v>0.997</v>
      </c>
      <c r="G9" s="5">
        <f>HLOOKUP("ATE-ASSD-CBPS-over",inference!$D$1:$DR$96,$R$2,FALSE)*2*1.96/SQRT(G$3)</f>
        <v>12.925114102110868</v>
      </c>
      <c r="H9" s="5">
        <f t="shared" si="2"/>
        <v>104.26734586793999</v>
      </c>
      <c r="I9" s="5">
        <f t="shared" si="0"/>
        <v>1</v>
      </c>
      <c r="J9" s="5"/>
      <c r="K9" s="5">
        <f>HLOOKUP("ks-CBPS-over",balance!$D$1:$DR$96,$R$2,FALSE)</f>
        <v>2.9274653019388599</v>
      </c>
      <c r="L9" s="5">
        <f>HLOOKUP("cvm-CBPS-over",balance!$D$1:$DR$96,$R$2,FALSE)</f>
        <v>0.61708975485642004</v>
      </c>
      <c r="M9" s="5">
        <f>HLOOKUP("ks-CBPS-over_1",balance!$D$1:$DR$96,$R$2,FALSE)</f>
        <v>2.2136155422831401</v>
      </c>
      <c r="N9" s="5">
        <f>HLOOKUP("cvm-CBPS-over_1",balance!$D$1:$DR$96,$R$2,FALSE)</f>
        <v>0.381582770702587</v>
      </c>
      <c r="O9" s="5">
        <f>HLOOKUP("ks-CBPS-over_0",balance!$D$1:$DR$96,$R$2,FALSE)</f>
        <v>0.86468972807344902</v>
      </c>
      <c r="P9" s="5">
        <f>HLOOKUP("cvm-CBPS-over_0",balance!$D$1:$DR$96,$R$2,FALSE)</f>
        <v>3.3659484216538402E-2</v>
      </c>
    </row>
    <row r="10" spans="1:18" s="3" customFormat="1" x14ac:dyDescent="0.25">
      <c r="B10" s="3" t="s">
        <v>2</v>
      </c>
      <c r="C10" s="5">
        <f>HLOOKUP("ATE-bias-GLM",Point!$D$1:$DR$96,$R$2,FALSE)</f>
        <v>-6.4166544074290499</v>
      </c>
      <c r="D10" s="5">
        <f>HLOOKUP("ATE-RMSE-GLM",Point!$D$1:$DR$96,$R$2,FALSE)</f>
        <v>12.6520770831906</v>
      </c>
      <c r="E10" s="5">
        <f t="shared" si="1"/>
        <v>24.561998217852576</v>
      </c>
      <c r="F10" s="5">
        <f>HLOOKUP("ATE-Empcov-GLM",inference!$D$1:$DR$96,$R$2,FALSE)</f>
        <v>0.88400000000000001</v>
      </c>
      <c r="G10" s="5">
        <f>HLOOKUP("ATE-ASSD-GLM",inference!$D$1:$DR$96,$R$2,FALSE)*2*1.96/SQRT(G$3)</f>
        <v>19.167500880383557</v>
      </c>
      <c r="H10" s="5">
        <f>G10/(2*1.96/SQRT(G$3))</f>
        <v>154.62489753901701</v>
      </c>
      <c r="I10" s="5">
        <f t="shared" si="0"/>
        <v>0.45471343664305325</v>
      </c>
      <c r="J10" s="5"/>
      <c r="K10" s="5">
        <f>HLOOKUP("ks-GLM",balance!$D$1:$DR$96,$R$2,FALSE)</f>
        <v>2.4856924937554199</v>
      </c>
      <c r="L10" s="5">
        <f>HLOOKUP("cvm-GLM",balance!$D$1:$DR$96,$R$2,FALSE)</f>
        <v>0.39089282459689101</v>
      </c>
      <c r="M10" s="5">
        <f>HLOOKUP("ks-GLM_1",balance!$D$1:$DR$96,$R$2,FALSE)</f>
        <v>1.90347123672021</v>
      </c>
      <c r="N10" s="5">
        <f>HLOOKUP("cvm-GLM_1",balance!$D$1:$DR$96,$R$2,FALSE)</f>
        <v>0.274872138162639</v>
      </c>
      <c r="O10" s="5">
        <f>HLOOKUP("ks-GLM_0",balance!$D$1:$DR$96,$R$2,FALSE)</f>
        <v>1.1744433068473501</v>
      </c>
      <c r="P10" s="5">
        <f>HLOOKUP("cvm-GLM_0",balance!$D$1:$DR$96,$R$2,FALSE)</f>
        <v>3.2907358178297E-2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0.93325023333335799</v>
      </c>
      <c r="D12" s="5">
        <f>HLOOKUP("QTE-0.10-RMSE-IPS-exp",Point!$D$1:$DR$96,$R$2,FALSE)</f>
        <v>1.4499849418584501</v>
      </c>
      <c r="E12" s="5">
        <f t="shared" ref="E12:E15" si="3">(D12/$D$16)^2</f>
        <v>0.64441196326300665</v>
      </c>
      <c r="F12" s="5">
        <f>HLOOKUP("QTE-0.1-Empcov-IPS-exp",inference!$D$1:$DR$96,$R$2,FALSE)</f>
        <v>0.80300000000000005</v>
      </c>
      <c r="G12" s="5">
        <f>HLOOKUP("QTE-0.1-ASSD-IPS-exp",inference!$D$1:$DR$96,$R$2,FALSE)*2*1.96/SQRT(G$3)</f>
        <v>4.0807224281596692</v>
      </c>
      <c r="H12" s="5">
        <f>G12/(2*1.96/SQRT(G$3))</f>
        <v>32.919330030401497</v>
      </c>
      <c r="I12" s="5">
        <f t="shared" ref="I12:I17" si="4">($H$16/H12)^2</f>
        <v>1.0964072960429645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0.691157979860195</v>
      </c>
      <c r="D13" s="5">
        <f>HLOOKUP("QTE-0.10-RMSE-IPS-ind",Point!$D$1:$DR$96,$R$2,FALSE)</f>
        <v>1.5155770829849899</v>
      </c>
      <c r="E13" s="5">
        <f t="shared" si="3"/>
        <v>0.7040324379821653</v>
      </c>
      <c r="F13" s="5">
        <f>HLOOKUP("QTE-0.1-Empcov-IPS-ind",inference!$D$1:$DR$96,$R$2,FALSE)</f>
        <v>0.85099999999999998</v>
      </c>
      <c r="G13" s="5">
        <f>HLOOKUP("QTE-0.1-ASSD-IPS-ind",inference!$D$1:$DR$96,$R$2,FALSE)*2*1.96/SQRT(G$3)</f>
        <v>4.914110802475248</v>
      </c>
      <c r="H13" s="5">
        <f t="shared" ref="H13:H16" si="5">G13/(2*1.96/SQRT(G$3))</f>
        <v>39.642303087396897</v>
      </c>
      <c r="I13" s="5">
        <f t="shared" si="4"/>
        <v>0.75605978333892954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1.26809567286263</v>
      </c>
      <c r="D14" s="5">
        <f>HLOOKUP("QTE-0.10-RMSE-IPS-proj",Point!$D$1:$DR$96,$R$2,FALSE)</f>
        <v>1.63387794422968</v>
      </c>
      <c r="E14" s="5">
        <f t="shared" si="3"/>
        <v>0.81823081392735386</v>
      </c>
      <c r="F14" s="6">
        <f>HLOOKUP("QTE-0.1-Empcov-IPS-proj",inference!$D$1:$DR$96,$R$2,FALSE)</f>
        <v>0.70899999999999996</v>
      </c>
      <c r="G14" s="6">
        <f>HLOOKUP("QTE-0.1-ASSD-IPS-proj",inference!$D$1:$DR$96,$R$2,FALSE)*2*1.96/SQRT(G$3)</f>
        <v>3.9074859286490593</v>
      </c>
      <c r="H14" s="5">
        <f t="shared" si="5"/>
        <v>31.521825152013303</v>
      </c>
      <c r="I14" s="5">
        <f t="shared" si="4"/>
        <v>1.1957797134870984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1.17333238005607</v>
      </c>
      <c r="D15" s="5">
        <f>HLOOKUP("QTE-0.10-RMSE-CBPS-just",Point!$D$1:$DR$96,$R$2,FALSE)</f>
        <v>1.5917522002347899</v>
      </c>
      <c r="E15" s="5">
        <f t="shared" si="3"/>
        <v>0.77658237158728749</v>
      </c>
      <c r="F15" s="5">
        <f>HLOOKUP("QTE-0.1-Empcov-CBPS-just",inference!$D$1:$DR$96,$R$2,FALSE)</f>
        <v>0.754</v>
      </c>
      <c r="G15" s="5">
        <f>HLOOKUP("QTE-0.1-ASSD-CBPS-just",inference!$D$1:$DR$96,$R$2,FALSE)*2*1.96/SQRT(G$3)</f>
        <v>4.0823948172908757</v>
      </c>
      <c r="H15" s="5">
        <f t="shared" si="5"/>
        <v>32.9328212518013</v>
      </c>
      <c r="I15" s="5">
        <f t="shared" si="4"/>
        <v>1.0955091741571228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1.4674493997464</v>
      </c>
      <c r="D16" s="5">
        <f>HLOOKUP("QTE-0.10-RMSE-CBPS-over",Point!$D$1:$DR$96,$R$2,FALSE)</f>
        <v>1.8062659492911699</v>
      </c>
      <c r="E16" s="5">
        <f>(D16/$D$16)^2</f>
        <v>1</v>
      </c>
      <c r="F16" s="5">
        <f>HLOOKUP("QTE-0.1-Empcov-CBPS-over",inference!$D$1:$DR$96,$R$2,FALSE)</f>
        <v>0.68899999999999995</v>
      </c>
      <c r="G16" s="5">
        <f>HLOOKUP("QTE-0.1-ASSD-CBPS-over",inference!$D$1:$DR$96,$R$2,FALSE)*2*1.96/SQRT(G$3)</f>
        <v>4.2729027980038463</v>
      </c>
      <c r="H16" s="5">
        <f t="shared" si="5"/>
        <v>34.469655770914606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25">
      <c r="B17" s="3" t="s">
        <v>2</v>
      </c>
      <c r="C17" s="5">
        <f>HLOOKUP("QTE-0.10-bias-GLM",Point!$D$1:$DR$96,$R$2,FALSE)</f>
        <v>1.1269393344688099</v>
      </c>
      <c r="D17" s="5">
        <f>HLOOKUP("QTE-0.10-RMSE-GLM",Point!$D$1:$DR$96,$R$2,FALSE)</f>
        <v>1.5799411380969699</v>
      </c>
      <c r="E17" s="5">
        <f>(D17/$D$16)^2</f>
        <v>0.76510039242150896</v>
      </c>
      <c r="F17" s="5">
        <f>HLOOKUP("QTE-0.1-Empcov-GLM",inference!$D$1:$DR$96,$R$2,FALSE)</f>
        <v>0.78300000000000003</v>
      </c>
      <c r="G17" s="5">
        <f>HLOOKUP("QTE-0.1-ASSD-GLM",inference!$D$1:$DR$96,$R$2,FALSE)*2*1.96/SQRT(G$3)</f>
        <v>4.2430764825412197</v>
      </c>
      <c r="H17" s="5">
        <f>G17/(2*1.96/SQRT(G$3))</f>
        <v>34.229045844708992</v>
      </c>
      <c r="I17" s="5">
        <f t="shared" si="4"/>
        <v>1.0141082284304614</v>
      </c>
      <c r="J17" s="5"/>
      <c r="K17" s="5"/>
      <c r="L17" s="5"/>
      <c r="M17" s="5"/>
      <c r="N17" s="5"/>
    </row>
    <row r="18" spans="1:17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25">
      <c r="A19" s="2" t="s">
        <v>59</v>
      </c>
      <c r="B19" s="1" t="s">
        <v>3</v>
      </c>
      <c r="C19" s="5">
        <f>HLOOKUP("QTE-0.25-bias-IPS-exp",Point!$D$1:$DR$96,$R$2,FALSE)</f>
        <v>0.55883231487026896</v>
      </c>
      <c r="D19" s="5">
        <f>HLOOKUP("QTE-0.25-RMSE-IPS-exp",Point!$D$1:$DR$96,$R$2,FALSE)</f>
        <v>0.92695156664072398</v>
      </c>
      <c r="E19" s="5">
        <f>(D19/$D$23)^2</f>
        <v>0.37515108509655071</v>
      </c>
      <c r="F19" s="5">
        <f>HLOOKUP("QTE-0.25-Empcov-IPS-exp",inference!$D$1:$DR$96,$R$2,FALSE)</f>
        <v>0.94499999999999995</v>
      </c>
      <c r="G19" s="5">
        <f>HLOOKUP("QTE-0.25-ASSD-IPS-exp",inference!$D$1:$DR$96,$R$2,FALSE)*2*1.96/SQRT(G$3)</f>
        <v>3.5255566019944928</v>
      </c>
      <c r="H19" s="5">
        <f>G19/(2*1.96/SQRT(G$3))</f>
        <v>28.440787964658998</v>
      </c>
      <c r="I19" s="5">
        <f>($H$23/H19)^2</f>
        <v>1.3874369811613412</v>
      </c>
      <c r="J19" s="5"/>
      <c r="K19" s="5"/>
      <c r="L19" s="5"/>
      <c r="M19" s="5"/>
      <c r="N19" s="5"/>
    </row>
    <row r="20" spans="1:17" x14ac:dyDescent="0.25">
      <c r="B20" s="1" t="s">
        <v>5</v>
      </c>
      <c r="C20" s="5">
        <f>HLOOKUP("QTE-0.25-bias-IPS-ind",Point!$D$1:$DR$96,$R$2,FALSE)</f>
        <v>0.29696088582115898</v>
      </c>
      <c r="D20" s="5">
        <f>HLOOKUP("QTE-0.25-RMSE-IPS-ind",Point!$D$1:$DR$96,$R$2,FALSE)</f>
        <v>0.91947985095039697</v>
      </c>
      <c r="E20" s="5">
        <f t="shared" ref="E20:E24" si="6">(D20/$D$23)^2</f>
        <v>0.36912763050699327</v>
      </c>
      <c r="F20" s="5">
        <f>HLOOKUP("QTE-0.25-Empcov-IPS-ind",inference!$D$1:$DR$96,$R$2,FALSE)</f>
        <v>0.98</v>
      </c>
      <c r="G20" s="5">
        <f>HLOOKUP("QTE-0.25-ASSD-IPS-ind",inference!$D$1:$DR$96,$R$2,FALSE)*2*1.96/SQRT(G$3)</f>
        <v>4.4755208806905378</v>
      </c>
      <c r="H20" s="5">
        <f t="shared" ref="H20:H23" si="7">G20/(2*1.96/SQRT(G$3))</f>
        <v>36.104182904655097</v>
      </c>
      <c r="I20" s="5">
        <f t="shared" ref="I20:I24" si="8">($H$23/H20)^2</f>
        <v>0.86095702475809466</v>
      </c>
      <c r="J20" s="5"/>
      <c r="K20" s="5"/>
      <c r="L20" s="5"/>
      <c r="M20" s="5"/>
      <c r="N20" s="5"/>
    </row>
    <row r="21" spans="1:17" x14ac:dyDescent="0.25">
      <c r="B21" s="1" t="s">
        <v>4</v>
      </c>
      <c r="C21" s="5">
        <f>HLOOKUP("QTE-0.25-bias-IPS-proj",Point!$D$1:$DR$96,$R$2,FALSE)</f>
        <v>0.88794759996565498</v>
      </c>
      <c r="D21" s="5">
        <f>HLOOKUP("QTE-0.25-RMSE-IPS-proj",Point!$D$1:$DR$96,$R$2,FALSE)</f>
        <v>1.1587619828353199</v>
      </c>
      <c r="E21" s="5">
        <f t="shared" si="6"/>
        <v>0.58624695215408229</v>
      </c>
      <c r="F21" s="6">
        <f>HLOOKUP("QTE-0.25-Empcov-IPS-proj",inference!$D$1:$DR$96,$R$2,FALSE)</f>
        <v>0.88200000000000001</v>
      </c>
      <c r="G21" s="6">
        <f>HLOOKUP("QTE-0.25-ASSD-IPS-proj",inference!$D$1:$DR$96,$R$2,FALSE)*2*1.96/SQRT(G$3)</f>
        <v>3.5032408022782158</v>
      </c>
      <c r="H21" s="5">
        <f t="shared" si="7"/>
        <v>28.260765630700899</v>
      </c>
      <c r="I21" s="5">
        <f t="shared" si="8"/>
        <v>1.4051693503909439</v>
      </c>
      <c r="J21" s="5"/>
      <c r="K21" s="5"/>
      <c r="L21" s="5"/>
      <c r="M21" s="5"/>
      <c r="N21" s="5"/>
    </row>
    <row r="22" spans="1:17" x14ac:dyDescent="0.25">
      <c r="B22" s="1" t="s">
        <v>88</v>
      </c>
      <c r="C22" s="5">
        <f>HLOOKUP("QTE-0.25-bias-CBPS-just",Point!$D$1:$DR$96,$R$2,FALSE)</f>
        <v>0.80166030989088899</v>
      </c>
      <c r="D22" s="5">
        <f>HLOOKUP("QTE-0.25-RMSE-CBPS-just",Point!$D$1:$DR$96,$R$2,FALSE)</f>
        <v>1.11343229805471</v>
      </c>
      <c r="E22" s="5">
        <f t="shared" si="6"/>
        <v>0.5412772218712979</v>
      </c>
      <c r="F22" s="5">
        <f>HLOOKUP("QTE-0.25-Empcov-CBPS-just",inference!$D$1:$DR$96,$R$2,FALSE)</f>
        <v>0.90300000000000002</v>
      </c>
      <c r="G22" s="5">
        <f>HLOOKUP("QTE-0.25-ASSD-CBPS-just",inference!$D$1:$DR$96,$R$2,FALSE)*2*1.96/SQRT(G$3)</f>
        <v>3.5997197426997145</v>
      </c>
      <c r="H22" s="5">
        <f t="shared" si="7"/>
        <v>29.039064605118302</v>
      </c>
      <c r="I22" s="5">
        <f t="shared" si="8"/>
        <v>1.3308566204193906</v>
      </c>
      <c r="J22" s="5"/>
      <c r="K22" s="5"/>
      <c r="L22" s="5"/>
      <c r="M22" s="5"/>
      <c r="N22" s="5"/>
    </row>
    <row r="23" spans="1:17" x14ac:dyDescent="0.25">
      <c r="B23" s="1" t="s">
        <v>89</v>
      </c>
      <c r="C23" s="5">
        <f>HLOOKUP("QTE-0.25-bias-CBPS-over",Point!$D$1:$DR$96,$R$2,FALSE)</f>
        <v>1.2592499085930999</v>
      </c>
      <c r="D23" s="5">
        <f>HLOOKUP("QTE-0.25-RMSE-CBPS-over",Point!$D$1:$DR$96,$R$2,FALSE)</f>
        <v>1.5134007306694801</v>
      </c>
      <c r="E23" s="5">
        <f>(D23/$D$23)^2</f>
        <v>1</v>
      </c>
      <c r="F23" s="5">
        <f>HLOOKUP("QTE-0.25-Empcov-CBPS-over",inference!$D$1:$DR$96,$R$2,FALSE)</f>
        <v>0.82599999999999996</v>
      </c>
      <c r="G23" s="5">
        <f>HLOOKUP("QTE-0.25-ASSD-CBPS-over",inference!$D$1:$DR$96,$R$2,FALSE)*2*1.96/SQRT(G$3)</f>
        <v>4.1527360177026749</v>
      </c>
      <c r="H23" s="5">
        <f t="shared" si="7"/>
        <v>33.500266166728998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25">
      <c r="B24" s="3" t="s">
        <v>2</v>
      </c>
      <c r="C24" s="5">
        <f>HLOOKUP("QTE-0.25-bias-GLM",Point!$D$1:$DR$96,$R$2,FALSE)</f>
        <v>0.75173540837594799</v>
      </c>
      <c r="D24" s="5">
        <f>HLOOKUP("QTE-0.25-RMSE-GLM",Point!$D$1:$DR$96,$R$2,FALSE)</f>
        <v>1.08774973251428</v>
      </c>
      <c r="E24" s="5">
        <f t="shared" si="6"/>
        <v>0.51659487307350893</v>
      </c>
      <c r="F24" s="5">
        <f>HLOOKUP("QTE-0.25-Empcov-GLM",inference!$D$1:$DR$96,$R$2,FALSE)</f>
        <v>0.91900000000000004</v>
      </c>
      <c r="G24" s="5">
        <f>HLOOKUP("QTE-0.25-ASSD-GLM",inference!$D$1:$DR$96,$R$2,FALSE)*2*1.96/SQRT(G$3)</f>
        <v>3.7313425081868981</v>
      </c>
      <c r="H24" s="5">
        <f>G24/(2*1.96/SQRT(G$3))</f>
        <v>30.100870041010399</v>
      </c>
      <c r="I24" s="5">
        <f t="shared" si="8"/>
        <v>1.2386209398494983</v>
      </c>
      <c r="J24" s="5"/>
      <c r="K24" s="5"/>
      <c r="L24" s="5"/>
      <c r="M24" s="5"/>
      <c r="N24" s="5"/>
    </row>
    <row r="25" spans="1:17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25">
      <c r="A26" s="2" t="s">
        <v>60</v>
      </c>
      <c r="B26" s="1" t="s">
        <v>3</v>
      </c>
      <c r="C26" s="5">
        <f>HLOOKUP("QTE-0.5-bias-IPS-exp",Point!$D$1:$DR$96,$R$2,FALSE)</f>
        <v>0.31149167257349503</v>
      </c>
      <c r="D26" s="5">
        <f>HLOOKUP("QTE-0.5-RMSE-IPS-exp",Point!$D$1:$DR$96,$R$2,FALSE)</f>
        <v>0.96633502987807796</v>
      </c>
      <c r="E26" s="5">
        <f>(D26/$D$30)^2</f>
        <v>0.23471828786533291</v>
      </c>
      <c r="F26" s="5">
        <f>HLOOKUP("QTE-0.5-Empcov-IPS-exp",inference!$D$1:$DR$96,$R$2,FALSE)</f>
        <v>0.96</v>
      </c>
      <c r="G26" s="5">
        <f>HLOOKUP("QTE-0.5-ASSD-IPS-exp",inference!$D$1:$DR$96,$R$2,FALSE)*2*1.96/SQRT(G$3)</f>
        <v>3.7738564237994097</v>
      </c>
      <c r="H26" s="5">
        <f>G26/(2*1.96/SQRT(G$3))</f>
        <v>30.443831279754605</v>
      </c>
      <c r="I26" s="5">
        <f>($H$30/H26)^2</f>
        <v>1.924507611408081</v>
      </c>
      <c r="J26" s="5"/>
      <c r="K26"/>
      <c r="L26"/>
      <c r="M26"/>
      <c r="N26"/>
      <c r="O26"/>
      <c r="P26"/>
      <c r="Q26"/>
    </row>
    <row r="27" spans="1:17" x14ac:dyDescent="0.25">
      <c r="B27" s="1" t="s">
        <v>5</v>
      </c>
      <c r="C27" s="5">
        <f>HLOOKUP("QTE-0.5-bias-IPS-ind",Point!$D$1:$DR$96,$R$2,FALSE)</f>
        <v>3.2557686782483101E-2</v>
      </c>
      <c r="D27" s="5">
        <f>HLOOKUP("QTE-0.5-RMSE-IPS-ind",Point!$D$1:$DR$96,$R$2,FALSE)</f>
        <v>1.29875067811556</v>
      </c>
      <c r="E27" s="5">
        <f t="shared" ref="E27:E31" si="9">(D27/$D$30)^2</f>
        <v>0.42397774145072858</v>
      </c>
      <c r="F27" s="5">
        <f>HLOOKUP("QTE-0.5-Empcov-IPS-ind",inference!$D$1:$DR$96,$R$2,FALSE)</f>
        <v>0.98399999999999999</v>
      </c>
      <c r="G27" s="5">
        <f>HLOOKUP("QTE-0.5-ASSD-IPS-ind",inference!$D$1:$DR$96,$R$2,FALSE)*2*1.96/SQRT(G$3)</f>
        <v>6.2745325516237722</v>
      </c>
      <c r="H27" s="5">
        <f t="shared" ref="H27:H30" si="10">G27/(2*1.96/SQRT(G$3))</f>
        <v>50.616872744895801</v>
      </c>
      <c r="I27" s="5">
        <f t="shared" ref="I27:I31" si="11">($H$30/H27)^2</f>
        <v>0.69618975258017313</v>
      </c>
      <c r="J27" s="5"/>
      <c r="K27" s="5"/>
      <c r="L27" s="5"/>
      <c r="M27" s="5"/>
      <c r="N27" s="5"/>
    </row>
    <row r="28" spans="1:17" x14ac:dyDescent="0.25">
      <c r="B28" s="1" t="s">
        <v>4</v>
      </c>
      <c r="C28" s="5">
        <f>HLOOKUP("QTE-0.5-bias-IPS-proj",Point!$D$1:$DR$96,$R$2,FALSE)</f>
        <v>0.94542754599170797</v>
      </c>
      <c r="D28" s="5">
        <f>HLOOKUP("QTE-0.5-RMSE-IPS-proj",Point!$D$1:$DR$96,$R$2,FALSE)</f>
        <v>1.3437102661876501</v>
      </c>
      <c r="E28" s="5">
        <f t="shared" si="9"/>
        <v>0.45383998155227073</v>
      </c>
      <c r="F28" s="6">
        <f>HLOOKUP("QTE-0.5-Empcov-IPS-proj",inference!$D$1:$DR$96,$R$2,FALSE)</f>
        <v>0.86499999999999999</v>
      </c>
      <c r="G28" s="6">
        <f>HLOOKUP("QTE-0.5-ASSD-IPS-proj",inference!$D$1:$DR$96,$R$2,FALSE)*2*1.96/SQRT(G$3)</f>
        <v>3.8122925129534124</v>
      </c>
      <c r="H28" s="5">
        <f t="shared" si="10"/>
        <v>30.753896550356501</v>
      </c>
      <c r="I28" s="5">
        <f t="shared" si="11"/>
        <v>1.8858969040911191</v>
      </c>
      <c r="J28" s="5"/>
      <c r="K28" s="5"/>
      <c r="L28" s="5"/>
      <c r="M28" s="5"/>
      <c r="N28" s="5"/>
    </row>
    <row r="29" spans="1:17" x14ac:dyDescent="0.25">
      <c r="B29" s="1" t="s">
        <v>88</v>
      </c>
      <c r="C29" s="5">
        <f>HLOOKUP("QTE-0.5-bias-CBPS-just",Point!$D$1:$DR$96,$R$2,FALSE)</f>
        <v>0.70625866401870796</v>
      </c>
      <c r="D29" s="5">
        <f>HLOOKUP("QTE-0.5-RMSE-CBPS-just",Point!$D$1:$DR$96,$R$2,FALSE)</f>
        <v>1.21521359863932</v>
      </c>
      <c r="E29" s="5">
        <f t="shared" si="9"/>
        <v>0.37119038998777487</v>
      </c>
      <c r="F29" s="5">
        <f>HLOOKUP("QTE-0.5-Empcov-CBPS-just",inference!$D$1:$DR$96,$R$2,FALSE)</f>
        <v>0.89900000000000002</v>
      </c>
      <c r="G29" s="5">
        <f>HLOOKUP("QTE-0.5-ASSD-CBPS-just",inference!$D$1:$DR$96,$R$2,FALSE)*2*1.96/SQRT(G$3)</f>
        <v>3.820890894583985</v>
      </c>
      <c r="H29" s="5">
        <f t="shared" si="10"/>
        <v>30.823259994601301</v>
      </c>
      <c r="I29" s="5">
        <f t="shared" si="11"/>
        <v>1.877418559012445</v>
      </c>
      <c r="J29" s="5"/>
      <c r="K29" s="5"/>
      <c r="L29" s="5"/>
      <c r="M29" s="5"/>
      <c r="N29" s="5"/>
    </row>
    <row r="30" spans="1:17" x14ac:dyDescent="0.25">
      <c r="B30" s="1" t="s">
        <v>89</v>
      </c>
      <c r="C30" s="5">
        <f>HLOOKUP("QTE-0.5-bias-CBPS-over",Point!$D$1:$DR$96,$R$2,FALSE)</f>
        <v>1.6423574343990599</v>
      </c>
      <c r="D30" s="5">
        <f>HLOOKUP("QTE-0.5-RMSE-CBPS-over",Point!$D$1:$DR$96,$R$2,FALSE)</f>
        <v>1.9945928542152001</v>
      </c>
      <c r="E30" s="5">
        <f t="shared" si="9"/>
        <v>1</v>
      </c>
      <c r="F30" s="5">
        <f>HLOOKUP("QTE-0.5-Empcov-CBPS-over",inference!$D$1:$DR$96,$R$2,FALSE)</f>
        <v>0.81899999999999995</v>
      </c>
      <c r="G30" s="5">
        <f>HLOOKUP("QTE-0.5-ASSD-CBPS-over",inference!$D$1:$DR$96,$R$2,FALSE)*2*1.96/SQRT(G$3)</f>
        <v>5.2353435987819221</v>
      </c>
      <c r="H30" s="5">
        <f t="shared" si="10"/>
        <v>42.233699249320409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25">
      <c r="A31" s="3"/>
      <c r="B31" s="3" t="s">
        <v>2</v>
      </c>
      <c r="C31" s="5">
        <f>HLOOKUP("QTE-0.5-bias-GLM",Point!$D$1:$DR$96,$R$2,FALSE)</f>
        <v>0.55005938820517697</v>
      </c>
      <c r="D31" s="5">
        <f>HLOOKUP("QTE-0.5-RMSE-GLM",Point!$D$1:$DR$96,$R$2,FALSE)</f>
        <v>1.14516876181905</v>
      </c>
      <c r="E31" s="5">
        <f t="shared" si="9"/>
        <v>0.3296328366775188</v>
      </c>
      <c r="F31" s="5">
        <f>HLOOKUP("QTE-0.5-Empcov-GLM",inference!$D$1:$DR$96,$R$2,FALSE)</f>
        <v>0.92100000000000004</v>
      </c>
      <c r="G31" s="5">
        <f>HLOOKUP("QTE-0.5-ASSD-GLM",inference!$D$1:$DR$96,$R$2,FALSE)*2*1.96/SQRT(G$3)</f>
        <v>3.9731677247519919</v>
      </c>
      <c r="H31" s="5">
        <f>G31/(2*1.96/SQRT(G$3))</f>
        <v>32.051682490013398</v>
      </c>
      <c r="I31" s="5">
        <f t="shared" si="11"/>
        <v>1.7362672842894975</v>
      </c>
      <c r="J31" s="5"/>
      <c r="K31" s="5"/>
      <c r="L31" s="5"/>
      <c r="M31" s="5"/>
      <c r="N31" s="5"/>
      <c r="O31" s="3"/>
      <c r="P31" s="3"/>
      <c r="Q31" s="3"/>
    </row>
    <row r="32" spans="1:17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-1.31950777982538</v>
      </c>
      <c r="D33" s="5">
        <f>HLOOKUP("QTE-0.75-RMSE-IPS-exp",Point!$D$1:$DR$96,$R$2,FALSE)</f>
        <v>2.82688388564927</v>
      </c>
      <c r="E33" s="5">
        <f>(D33/$D$37)^2</f>
        <v>0.44958476371880074</v>
      </c>
      <c r="F33" s="5">
        <f>HLOOKUP("QTE-0.75-Empcov-IPS-exp",inference!$D$1:$DR$96,$R$2,FALSE)</f>
        <v>0.91800000000000004</v>
      </c>
      <c r="G33" s="5">
        <f>HLOOKUP("QTE-0.75-ASSD-IPS-exp",inference!$D$1:$DR$96,$R$2,FALSE)*2*1.96/SQRT(G$3)</f>
        <v>10.51389310366306</v>
      </c>
      <c r="H33" s="5">
        <f>G33/(2*1.96/SQRT(G$3))</f>
        <v>84.815942048755304</v>
      </c>
      <c r="I33" s="5">
        <f>($H$37/H33)^2</f>
        <v>2.0125912117935028</v>
      </c>
      <c r="J33" s="5"/>
    </row>
    <row r="34" spans="1:10" x14ac:dyDescent="0.25">
      <c r="B34" s="1" t="s">
        <v>5</v>
      </c>
      <c r="C34" s="5">
        <f>HLOOKUP("QTE-0.75-bias-IPS-ind",Point!$D$1:$DR$96,$R$2,FALSE)</f>
        <v>-1.91990560166555</v>
      </c>
      <c r="D34" s="5">
        <f>HLOOKUP("QTE-0.75-RMSE-IPS-ind",Point!$D$1:$DR$96,$R$2,FALSE)</f>
        <v>5.3755767633646201</v>
      </c>
      <c r="E34" s="5">
        <f t="shared" ref="E34:E38" si="12">(D34/$D$37)^2</f>
        <v>1.6257201187058763</v>
      </c>
      <c r="F34" s="5">
        <f>HLOOKUP("QTE-0.75-Empcov-IPS-ind",inference!$D$1:$DR$96,$R$2,FALSE)</f>
        <v>0.96499999999999997</v>
      </c>
      <c r="G34" s="5">
        <f>HLOOKUP("QTE-0.75-ASSD-IPS-ind",inference!$D$1:$DR$96,$R$2,FALSE)*2*1.96/SQRT(G$3)</f>
        <v>23.229046426120814</v>
      </c>
      <c r="H34" s="5">
        <f t="shared" ref="H34:H37" si="13">G34/(2*1.96/SQRT(G$3))</f>
        <v>187.38952699065302</v>
      </c>
      <c r="I34" s="5">
        <f t="shared" ref="I34:I38" si="14">($H$37/H34)^2</f>
        <v>0.41230625397163773</v>
      </c>
      <c r="J34" s="5"/>
    </row>
    <row r="35" spans="1:10" x14ac:dyDescent="0.25">
      <c r="B35" s="1" t="s">
        <v>4</v>
      </c>
      <c r="C35" s="5">
        <f>HLOOKUP("QTE-0.75-bias-IPS-proj",Point!$D$1:$DR$96,$R$2,FALSE)</f>
        <v>1.1954329639958501</v>
      </c>
      <c r="D35" s="5">
        <f>HLOOKUP("QTE-0.75-RMSE-IPS-proj",Point!$D$1:$DR$96,$R$2,FALSE)</f>
        <v>2.8116291282727199</v>
      </c>
      <c r="E35" s="5">
        <f t="shared" si="12"/>
        <v>0.44474565325333137</v>
      </c>
      <c r="F35" s="6">
        <f>HLOOKUP("QTE-0.75-Empcov-IPS-proj",inference!$D$1:$DR$96,$R$2,FALSE)</f>
        <v>0.91400000000000003</v>
      </c>
      <c r="G35" s="6">
        <f>HLOOKUP("QTE-0.75-ASSD-IPS-proj",inference!$D$1:$DR$96,$R$2,FALSE)*2*1.96/SQRT(G$3)</f>
        <v>9.3556098959282803</v>
      </c>
      <c r="H35" s="5">
        <f t="shared" si="13"/>
        <v>75.472031048837295</v>
      </c>
      <c r="I35" s="5">
        <f t="shared" si="14"/>
        <v>2.5417830374740422</v>
      </c>
      <c r="J35" s="5"/>
    </row>
    <row r="36" spans="1:10" x14ac:dyDescent="0.25">
      <c r="B36" s="1" t="s">
        <v>88</v>
      </c>
      <c r="C36" s="5">
        <f>HLOOKUP("QTE-0.75-bias-CBPS-just",Point!$D$1:$DR$96,$R$2,FALSE)</f>
        <v>-0.227001793275871</v>
      </c>
      <c r="D36" s="5">
        <f>HLOOKUP("QTE-0.75-RMSE-CBPS-just",Point!$D$1:$DR$96,$R$2,FALSE)</f>
        <v>2.62364809318523</v>
      </c>
      <c r="E36" s="5">
        <f t="shared" si="12"/>
        <v>0.38726371805473286</v>
      </c>
      <c r="F36" s="5">
        <f>HLOOKUP("QTE-0.75-Empcov-CBPS-just",inference!$D$1:$DR$96,$R$2,FALSE)</f>
        <v>0.90300000000000002</v>
      </c>
      <c r="G36" s="5">
        <f>HLOOKUP("QTE-0.75-ASSD-CBPS-just",inference!$D$1:$DR$96,$R$2,FALSE)*2*1.96/SQRT(G$3)</f>
        <v>8.9571411979593307</v>
      </c>
      <c r="H36" s="5">
        <f t="shared" si="13"/>
        <v>72.257570176736294</v>
      </c>
      <c r="I36" s="5">
        <f t="shared" si="14"/>
        <v>2.7729615364855573</v>
      </c>
      <c r="J36" s="5"/>
    </row>
    <row r="37" spans="1:10" x14ac:dyDescent="0.25">
      <c r="B37" s="1" t="s">
        <v>89</v>
      </c>
      <c r="C37" s="5">
        <f>HLOOKUP("QTE-0.75-bias-CBPS-over",Point!$D$1:$DR$96,$R$2,FALSE)</f>
        <v>3.1215961273762498</v>
      </c>
      <c r="D37" s="5">
        <f>HLOOKUP("QTE-0.75-RMSE-CBPS-over",Point!$D$1:$DR$96,$R$2,FALSE)</f>
        <v>4.2160152958175701</v>
      </c>
      <c r="E37" s="5">
        <f t="shared" si="12"/>
        <v>1</v>
      </c>
      <c r="F37" s="5">
        <f>HLOOKUP("QTE-0.75-Empcov-CBPS-over",inference!$D$1:$DR$96,$R$2,FALSE)</f>
        <v>0.93500000000000005</v>
      </c>
      <c r="G37" s="5">
        <f>HLOOKUP("QTE-0.75-ASSD-CBPS-over",inference!$D$1:$DR$96,$R$2,FALSE)*2*1.96/SQRT(G$3)</f>
        <v>14.915621122578171</v>
      </c>
      <c r="H37" s="5">
        <f t="shared" si="13"/>
        <v>120.32483536598102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-1.51348281170066</v>
      </c>
      <c r="D38" s="5">
        <f>HLOOKUP("QTE-0.75-RMSE-GLM",Point!$D$1:$DR$96,$R$2,FALSE)</f>
        <v>3.8469380706160501</v>
      </c>
      <c r="E38" s="5">
        <f t="shared" si="12"/>
        <v>0.8325801150522808</v>
      </c>
      <c r="F38" s="5">
        <f>HLOOKUP("QTE-0.75-Empcov-GLM",inference!$D$1:$DR$96,$R$2,FALSE)</f>
        <v>0.91</v>
      </c>
      <c r="G38" s="5">
        <f>HLOOKUP("QTE-0.75-ASSD-GLM",inference!$D$1:$DR$96,$R$2,FALSE)*2*1.96/SQRT(G$3)</f>
        <v>11.195999531537135</v>
      </c>
      <c r="H38" s="5">
        <f>G38/(2*1.96/SQRT(G$3))</f>
        <v>90.318518372029388</v>
      </c>
      <c r="I38" s="5">
        <f t="shared" si="14"/>
        <v>1.77483074399973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-8.5885044865462898</v>
      </c>
      <c r="D40" s="5">
        <f>HLOOKUP("QTE-0.9-RMSE-IPS-exp",Point!$D$1:$DR$96,$R$2,FALSE)</f>
        <v>10.605293849741599</v>
      </c>
      <c r="E40" s="5">
        <f t="shared" ref="E40:E45" si="15">(D40/$D$44)^2</f>
        <v>4.0683255940384715</v>
      </c>
      <c r="F40" s="5">
        <f>HLOOKUP("QTE-0.9-Empcov-IPS-exp",inference!$D$1:$DR$96,$R$2,FALSE)</f>
        <v>0.77600000000000002</v>
      </c>
      <c r="G40" s="5">
        <f>HLOOKUP("QTE-0.9-ASSD-IPS-exp",inference!$D$1:$DR$96,$R$2,FALSE)*2*1.96/SQRT(G$3)</f>
        <v>26.406524732770759</v>
      </c>
      <c r="H40" s="5">
        <f>G40/(2*1.96/SQRT(G$3))</f>
        <v>213.022355217155</v>
      </c>
      <c r="I40" s="5">
        <f t="shared" ref="I40:I45" si="16">($H$44/H40)^2</f>
        <v>1.165314807936715</v>
      </c>
      <c r="J40" s="5"/>
    </row>
    <row r="41" spans="1:10" x14ac:dyDescent="0.25">
      <c r="B41" s="1" t="s">
        <v>5</v>
      </c>
      <c r="C41" s="5">
        <f>HLOOKUP("QTE-0.9-bias-IPS-ind",Point!$D$1:$DR$96,$R$2,FALSE)</f>
        <v>-9.1339923016426692</v>
      </c>
      <c r="D41" s="5">
        <f>HLOOKUP("QTE-0.9-RMSE-IPS-ind",Point!$D$1:$DR$96,$R$2,FALSE)</f>
        <v>13.669670239330401</v>
      </c>
      <c r="E41" s="5">
        <f t="shared" si="15"/>
        <v>6.7590610019835022</v>
      </c>
      <c r="F41" s="5">
        <f>HLOOKUP("QTE-0.9-Empcov-IPS-ind",inference!$D$1:$DR$96,$R$2,FALSE)</f>
        <v>0.95699999999999996</v>
      </c>
      <c r="G41" s="5">
        <f>HLOOKUP("QTE-0.9-ASSD-IPS-ind",inference!$D$1:$DR$96,$R$2,FALSE)*2*1.96/SQRT(G$3)</f>
        <v>53.036307437385609</v>
      </c>
      <c r="H41" s="5">
        <f t="shared" ref="H41:H44" si="17">G41/(2*1.96/SQRT(G$3))</f>
        <v>427.84574027312902</v>
      </c>
      <c r="I41" s="5">
        <f t="shared" si="16"/>
        <v>0.28888115006077603</v>
      </c>
      <c r="J41" s="5"/>
    </row>
    <row r="42" spans="1:10" x14ac:dyDescent="0.25">
      <c r="B42" s="1" t="s">
        <v>4</v>
      </c>
      <c r="C42" s="5">
        <f>HLOOKUP("QTE-0.9-bias-IPS-proj",Point!$D$1:$DR$96,$R$2,FALSE)</f>
        <v>-1.10544669218707</v>
      </c>
      <c r="D42" s="5">
        <f>HLOOKUP("QTE-0.9-RMSE-IPS-proj",Point!$D$1:$DR$96,$R$2,FALSE)</f>
        <v>5.4555929042582196</v>
      </c>
      <c r="E42" s="5">
        <f t="shared" si="15"/>
        <v>1.0765995694701298</v>
      </c>
      <c r="F42" s="6">
        <f>HLOOKUP("QTE-0.9-Empcov-IPS-proj",inference!$D$1:$DR$96,$R$2,FALSE)</f>
        <v>0.93400000000000005</v>
      </c>
      <c r="G42" s="6">
        <f>HLOOKUP("QTE-0.9-ASSD-IPS-proj",inference!$D$1:$DR$96,$R$2,FALSE)*2*1.96/SQRT(G$3)</f>
        <v>21.297318539007652</v>
      </c>
      <c r="H42" s="5">
        <f t="shared" si="17"/>
        <v>171.80621080967796</v>
      </c>
      <c r="I42" s="5">
        <f t="shared" si="16"/>
        <v>1.7914962774808063</v>
      </c>
      <c r="J42" s="5"/>
    </row>
    <row r="43" spans="1:10" x14ac:dyDescent="0.25">
      <c r="B43" s="1" t="s">
        <v>88</v>
      </c>
      <c r="C43" s="5">
        <f>HLOOKUP("QTE-0.9-bias-CBPS-just",Point!$D$1:$DR$96,$R$2,FALSE)</f>
        <v>-6.1900219902621503</v>
      </c>
      <c r="D43" s="5">
        <f>HLOOKUP("QTE-0.9-RMSE-CBPS-just",Point!$D$1:$DR$96,$R$2,FALSE)</f>
        <v>8.5474667375404003</v>
      </c>
      <c r="E43" s="5">
        <f t="shared" si="15"/>
        <v>2.6426833527714999</v>
      </c>
      <c r="F43" s="5">
        <f>HLOOKUP("QTE-0.9-Empcov-CBPS-just",inference!$D$1:$DR$96,$R$2,FALSE)</f>
        <v>0.79900000000000004</v>
      </c>
      <c r="G43" s="5">
        <f>HLOOKUP("QTE-0.9-ASSD-CBPS-just",inference!$D$1:$DR$96,$R$2,FALSE)*2*1.96/SQRT(G$3)</f>
        <v>22.114097896930538</v>
      </c>
      <c r="H43" s="5">
        <f t="shared" si="17"/>
        <v>178.39519835265301</v>
      </c>
      <c r="I43" s="5">
        <f t="shared" si="16"/>
        <v>1.6616031527992055</v>
      </c>
      <c r="J43" s="5"/>
    </row>
    <row r="44" spans="1:10" x14ac:dyDescent="0.25">
      <c r="B44" s="1" t="s">
        <v>89</v>
      </c>
      <c r="C44" s="5">
        <f>HLOOKUP("QTE-0.9-bias-CBPS-over",Point!$D$1:$DR$96,$R$2,FALSE)</f>
        <v>-5.8100103631346697E-2</v>
      </c>
      <c r="D44" s="5">
        <f>HLOOKUP("QTE-0.9-RMSE-CBPS-over",Point!$D$1:$DR$96,$R$2,FALSE)</f>
        <v>5.2579306658613998</v>
      </c>
      <c r="E44" s="5">
        <f t="shared" si="15"/>
        <v>1</v>
      </c>
      <c r="F44" s="5">
        <f>HLOOKUP("QTE-0.9-Empcov-CBPS-over",inference!$D$1:$DR$96,$R$2,FALSE)</f>
        <v>0.98899999999999999</v>
      </c>
      <c r="G44" s="5">
        <f>HLOOKUP("QTE-0.9-ASSD-CBPS-over",inference!$D$1:$DR$96,$R$2,FALSE)*2*1.96/SQRT(G$3)</f>
        <v>28.505776887587171</v>
      </c>
      <c r="H44" s="5">
        <f t="shared" si="17"/>
        <v>229.957095503472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-12.1740645527086</v>
      </c>
      <c r="D45" s="5">
        <f>HLOOKUP("QTE-0.9-RMSE-GLM",Point!$D$1:$DR$96,$R$2,FALSE)</f>
        <v>41.762375317859501</v>
      </c>
      <c r="E45" s="5">
        <f t="shared" si="15"/>
        <v>63.087115991187993</v>
      </c>
      <c r="F45" s="5">
        <f>HLOOKUP("QTE-0.9-Empcov-GLM",inference!$D$1:$DR$96,$R$2,FALSE)</f>
        <v>0.81599999999999995</v>
      </c>
      <c r="G45" s="5">
        <f>HLOOKUP("QTE-0.9-ASSD-GLM",inference!$D$1:$DR$96,$R$2,FALSE)*2*1.96/SQRT(G$3)</f>
        <v>35.394936849890058</v>
      </c>
      <c r="H45" s="5">
        <f>G45/(2*1.96/SQRT(G$3))</f>
        <v>285.53218898846399</v>
      </c>
      <c r="I45" s="5">
        <f t="shared" si="16"/>
        <v>0.64860976024199235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J114" s="7"/>
    </row>
    <row r="115" spans="8:10" x14ac:dyDescent="0.25">
      <c r="J115" s="7"/>
    </row>
    <row r="116" spans="8:10" x14ac:dyDescent="0.25">
      <c r="J116" s="7"/>
    </row>
    <row r="117" spans="8:10" x14ac:dyDescent="0.25">
      <c r="J117" s="7"/>
    </row>
    <row r="118" spans="8:10" x14ac:dyDescent="0.25">
      <c r="J118" s="7"/>
    </row>
    <row r="119" spans="8:10" x14ac:dyDescent="0.25">
      <c r="J119" s="7"/>
    </row>
    <row r="120" spans="8:10" x14ac:dyDescent="0.25">
      <c r="J120" s="7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74932-4DF2-474B-AAD7-0F3B4624A884}">
  <dimension ref="A1:AN7"/>
  <sheetViews>
    <sheetView workbookViewId="0">
      <selection activeCell="F26" sqref="A1:XFD1048576"/>
    </sheetView>
  </sheetViews>
  <sheetFormatPr defaultRowHeight="15" x14ac:dyDescent="0.25"/>
  <sheetData>
    <row r="1" spans="1:40" x14ac:dyDescent="0.25">
      <c r="B1" t="s">
        <v>168</v>
      </c>
      <c r="C1" t="s">
        <v>7</v>
      </c>
      <c r="D1" t="s">
        <v>169</v>
      </c>
      <c r="E1" t="s">
        <v>170</v>
      </c>
      <c r="F1" t="s">
        <v>171</v>
      </c>
      <c r="G1" t="s">
        <v>172</v>
      </c>
      <c r="H1" t="s">
        <v>173</v>
      </c>
      <c r="I1" t="s">
        <v>174</v>
      </c>
      <c r="J1" t="s">
        <v>175</v>
      </c>
      <c r="K1" t="s">
        <v>176</v>
      </c>
      <c r="L1" t="s">
        <v>177</v>
      </c>
      <c r="M1" t="s">
        <v>178</v>
      </c>
      <c r="N1" t="s">
        <v>179</v>
      </c>
      <c r="O1" t="s">
        <v>180</v>
      </c>
      <c r="P1" t="s">
        <v>181</v>
      </c>
      <c r="Q1" t="s">
        <v>182</v>
      </c>
      <c r="R1" t="s">
        <v>183</v>
      </c>
      <c r="S1" t="s">
        <v>184</v>
      </c>
      <c r="T1" t="s">
        <v>185</v>
      </c>
      <c r="U1" t="s">
        <v>186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</row>
    <row r="2" spans="1:40" x14ac:dyDescent="0.25">
      <c r="A2">
        <v>1</v>
      </c>
      <c r="B2">
        <v>1000</v>
      </c>
      <c r="C2">
        <v>200</v>
      </c>
      <c r="D2">
        <v>1</v>
      </c>
      <c r="E2">
        <v>1.7812209900895799</v>
      </c>
      <c r="F2">
        <v>1.49768112243628</v>
      </c>
      <c r="G2">
        <v>1.97752148645357</v>
      </c>
      <c r="H2">
        <v>1.9943988212880499</v>
      </c>
      <c r="I2">
        <v>1.9049505410991101</v>
      </c>
      <c r="J2">
        <v>2.1288825704290799</v>
      </c>
      <c r="K2">
        <v>1.39744816486292</v>
      </c>
      <c r="L2">
        <v>1.1627902398761301</v>
      </c>
      <c r="M2">
        <v>1.5623005178458</v>
      </c>
      <c r="N2">
        <v>1.6498128801949701</v>
      </c>
      <c r="O2">
        <v>1.4612521703821599</v>
      </c>
      <c r="P2">
        <v>1.7841383858461899</v>
      </c>
      <c r="Q2">
        <v>0.60208208275688901</v>
      </c>
      <c r="R2">
        <v>0.60705452685447303</v>
      </c>
      <c r="S2">
        <v>0.63372574055332698</v>
      </c>
      <c r="T2">
        <v>0.77808672017757097</v>
      </c>
      <c r="U2">
        <v>0.64734032024383004</v>
      </c>
      <c r="V2">
        <v>0.65789097620003101</v>
      </c>
      <c r="W2">
        <v>0.32402776003489597</v>
      </c>
      <c r="X2">
        <v>0.202565727099044</v>
      </c>
      <c r="Y2">
        <v>0.39701838444002902</v>
      </c>
      <c r="Z2">
        <v>0.417614402850984</v>
      </c>
      <c r="AA2">
        <v>0.36029661920872902</v>
      </c>
      <c r="AB2">
        <v>0.51843113839815202</v>
      </c>
      <c r="AC2">
        <v>0.22111105779758</v>
      </c>
      <c r="AD2">
        <v>0.12619264133251601</v>
      </c>
      <c r="AE2">
        <v>0.282197513342619</v>
      </c>
      <c r="AF2">
        <v>0.329180113495948</v>
      </c>
      <c r="AG2">
        <v>0.23691010963266801</v>
      </c>
      <c r="AH2">
        <v>0.41272741674348401</v>
      </c>
      <c r="AI2">
        <v>2.0949860476863001E-2</v>
      </c>
      <c r="AJ2">
        <v>1.7563065162745299E-2</v>
      </c>
      <c r="AK2">
        <v>2.1861910350754198E-2</v>
      </c>
      <c r="AL2">
        <v>3.2431232280893202E-2</v>
      </c>
      <c r="AM2">
        <v>3.05335299553912E-2</v>
      </c>
      <c r="AN2">
        <v>2.2468330144325799E-2</v>
      </c>
    </row>
    <row r="3" spans="1:40" x14ac:dyDescent="0.25">
      <c r="A3">
        <v>2</v>
      </c>
      <c r="B3">
        <v>1000</v>
      </c>
      <c r="C3">
        <v>200</v>
      </c>
      <c r="D3">
        <v>2</v>
      </c>
      <c r="E3">
        <v>1.8569452498594701</v>
      </c>
      <c r="F3">
        <v>1.57807172864489</v>
      </c>
      <c r="G3">
        <v>1.89177118299293</v>
      </c>
      <c r="H3">
        <v>1.88951787823991</v>
      </c>
      <c r="I3">
        <v>1.9470354682924</v>
      </c>
      <c r="J3">
        <v>1.95074924622978</v>
      </c>
      <c r="K3">
        <v>1.3995401876642499</v>
      </c>
      <c r="L3">
        <v>1.1892143475228401</v>
      </c>
      <c r="M3">
        <v>1.4029413066185099</v>
      </c>
      <c r="N3">
        <v>1.4555790318339901</v>
      </c>
      <c r="O3">
        <v>1.44904513220607</v>
      </c>
      <c r="P3">
        <v>1.4883749977811001</v>
      </c>
      <c r="Q3">
        <v>0.63741954414105795</v>
      </c>
      <c r="R3">
        <v>0.64984702242774295</v>
      </c>
      <c r="S3">
        <v>0.63899780696413</v>
      </c>
      <c r="T3">
        <v>0.704726929180161</v>
      </c>
      <c r="U3">
        <v>0.64042944875534402</v>
      </c>
      <c r="V3">
        <v>0.76749461215013004</v>
      </c>
      <c r="W3">
        <v>0.32683131173755903</v>
      </c>
      <c r="X3">
        <v>0.21807752450388801</v>
      </c>
      <c r="Y3">
        <v>0.33250926111810802</v>
      </c>
      <c r="Z3">
        <v>0.32727671313158502</v>
      </c>
      <c r="AA3">
        <v>0.36762204573399199</v>
      </c>
      <c r="AB3">
        <v>0.34959655148973501</v>
      </c>
      <c r="AC3">
        <v>0.20319508623065399</v>
      </c>
      <c r="AD3">
        <v>0.13171706052118801</v>
      </c>
      <c r="AE3">
        <v>0.20083373042786501</v>
      </c>
      <c r="AF3">
        <v>0.22002067231981701</v>
      </c>
      <c r="AG3">
        <v>0.22255789487941899</v>
      </c>
      <c r="AH3">
        <v>0.23532977570626301</v>
      </c>
      <c r="AI3">
        <v>2.4316526504073298E-2</v>
      </c>
      <c r="AJ3">
        <v>1.8920055982002401E-2</v>
      </c>
      <c r="AK3">
        <v>2.4701682420101002E-2</v>
      </c>
      <c r="AL3">
        <v>2.3674876923116199E-2</v>
      </c>
      <c r="AM3">
        <v>2.5566103380411001E-2</v>
      </c>
      <c r="AN3">
        <v>2.89168203988848E-2</v>
      </c>
    </row>
    <row r="4" spans="1:40" x14ac:dyDescent="0.25">
      <c r="A4">
        <v>3</v>
      </c>
      <c r="B4">
        <v>1000</v>
      </c>
      <c r="C4">
        <v>500</v>
      </c>
      <c r="D4">
        <v>1</v>
      </c>
      <c r="E4">
        <v>1.87156183996674</v>
      </c>
      <c r="F4">
        <v>1.6520159906712</v>
      </c>
      <c r="G4">
        <v>2.12001963383242</v>
      </c>
      <c r="H4">
        <v>2.1003558612800699</v>
      </c>
      <c r="I4">
        <v>2.03241970702345</v>
      </c>
      <c r="J4">
        <v>2.2083299292727001</v>
      </c>
      <c r="K4">
        <v>1.4837790057247899</v>
      </c>
      <c r="L4">
        <v>1.24512683593508</v>
      </c>
      <c r="M4">
        <v>1.6936972463375399</v>
      </c>
      <c r="N4">
        <v>1.75207553691625</v>
      </c>
      <c r="O4">
        <v>1.59047408257075</v>
      </c>
      <c r="P4">
        <v>1.84359915796499</v>
      </c>
      <c r="Q4">
        <v>0.64806285276814801</v>
      </c>
      <c r="R4">
        <v>0.71647121932484603</v>
      </c>
      <c r="S4">
        <v>0.68160038638123699</v>
      </c>
      <c r="T4">
        <v>0.75208008291036699</v>
      </c>
      <c r="U4">
        <v>0.66552485459686705</v>
      </c>
      <c r="V4">
        <v>0.65312482363665703</v>
      </c>
      <c r="W4">
        <v>0.29454593229956899</v>
      </c>
      <c r="X4">
        <v>0.18838107114955599</v>
      </c>
      <c r="Y4">
        <v>0.38177460759668103</v>
      </c>
      <c r="Z4">
        <v>0.399553522276898</v>
      </c>
      <c r="AA4">
        <v>0.35153194384623998</v>
      </c>
      <c r="AB4">
        <v>0.46347470843924898</v>
      </c>
      <c r="AC4">
        <v>0.20592434499756601</v>
      </c>
      <c r="AD4">
        <v>0.11741412798301699</v>
      </c>
      <c r="AE4">
        <v>0.27892509253334602</v>
      </c>
      <c r="AF4">
        <v>0.31838548510750603</v>
      </c>
      <c r="AG4">
        <v>0.24099108523985599</v>
      </c>
      <c r="AH4">
        <v>0.365890468545845</v>
      </c>
      <c r="AI4">
        <v>1.7209888036080701E-2</v>
      </c>
      <c r="AJ4">
        <v>1.5754290833670501E-2</v>
      </c>
      <c r="AK4">
        <v>1.8128907116144E-2</v>
      </c>
      <c r="AL4">
        <v>2.10297055995846E-2</v>
      </c>
      <c r="AM4">
        <v>1.9100849689590398E-2</v>
      </c>
      <c r="AN4">
        <v>1.6885335529131101E-2</v>
      </c>
    </row>
    <row r="5" spans="1:40" x14ac:dyDescent="0.25">
      <c r="A5">
        <v>4</v>
      </c>
      <c r="B5">
        <v>1000</v>
      </c>
      <c r="C5">
        <v>500</v>
      </c>
      <c r="D5">
        <v>2</v>
      </c>
      <c r="E5">
        <v>2.08445058534272</v>
      </c>
      <c r="F5">
        <v>1.87164521869626</v>
      </c>
      <c r="G5">
        <v>2.1507841953355502</v>
      </c>
      <c r="H5">
        <v>2.0934731702110501</v>
      </c>
      <c r="I5">
        <v>2.3398013536013198</v>
      </c>
      <c r="J5">
        <v>2.1460781474099901</v>
      </c>
      <c r="K5">
        <v>1.5206762532126901</v>
      </c>
      <c r="L5">
        <v>1.3298653880610301</v>
      </c>
      <c r="M5">
        <v>1.5723205987621101</v>
      </c>
      <c r="N5">
        <v>1.5918992349419501</v>
      </c>
      <c r="O5">
        <v>1.7494439770666601</v>
      </c>
      <c r="P5">
        <v>1.62456787540602</v>
      </c>
      <c r="Q5">
        <v>0.76956032569468302</v>
      </c>
      <c r="R5">
        <v>0.86116636503226296</v>
      </c>
      <c r="S5">
        <v>0.73246086983693004</v>
      </c>
      <c r="T5">
        <v>0.80946953852016101</v>
      </c>
      <c r="U5">
        <v>0.72352530648535196</v>
      </c>
      <c r="V5">
        <v>0.89786254331929305</v>
      </c>
      <c r="W5">
        <v>0.31996023616951103</v>
      </c>
      <c r="X5">
        <v>0.21916729120100001</v>
      </c>
      <c r="Y5">
        <v>0.334963175031463</v>
      </c>
      <c r="Z5">
        <v>0.32374613462281099</v>
      </c>
      <c r="AA5">
        <v>0.44343297106482599</v>
      </c>
      <c r="AB5">
        <v>0.33433498688796298</v>
      </c>
      <c r="AC5">
        <v>0.18896833933079199</v>
      </c>
      <c r="AD5">
        <v>0.129086602140394</v>
      </c>
      <c r="AE5">
        <v>0.19688267285723901</v>
      </c>
      <c r="AF5">
        <v>0.21257861302237199</v>
      </c>
      <c r="AG5">
        <v>0.268022559426423</v>
      </c>
      <c r="AH5">
        <v>0.22595157984143899</v>
      </c>
      <c r="AI5">
        <v>2.6101709998215199E-2</v>
      </c>
      <c r="AJ5">
        <v>1.9678658216267499E-2</v>
      </c>
      <c r="AK5">
        <v>2.509530861618E-2</v>
      </c>
      <c r="AL5">
        <v>2.1193142169612399E-2</v>
      </c>
      <c r="AM5">
        <v>2.72652545480279E-2</v>
      </c>
      <c r="AN5">
        <v>2.67490520321188E-2</v>
      </c>
    </row>
    <row r="6" spans="1:40" x14ac:dyDescent="0.25">
      <c r="A6">
        <v>5</v>
      </c>
      <c r="B6">
        <v>1000</v>
      </c>
      <c r="C6">
        <v>1000</v>
      </c>
      <c r="D6">
        <v>1</v>
      </c>
      <c r="E6">
        <v>1.9654909635394</v>
      </c>
      <c r="F6">
        <v>1.8125364514488</v>
      </c>
      <c r="G6">
        <v>2.2105523417956601</v>
      </c>
      <c r="H6">
        <v>2.2146366787285601</v>
      </c>
      <c r="I6">
        <v>2.21309102320483</v>
      </c>
      <c r="J6">
        <v>2.3105150089931201</v>
      </c>
      <c r="K6">
        <v>1.5497091006204999</v>
      </c>
      <c r="L6">
        <v>1.33655820441163</v>
      </c>
      <c r="M6">
        <v>1.7603049260810499</v>
      </c>
      <c r="N6">
        <v>1.8242492192461399</v>
      </c>
      <c r="O6">
        <v>1.73051826294528</v>
      </c>
      <c r="P6">
        <v>1.8971446798330101</v>
      </c>
      <c r="Q6">
        <v>0.69866974451512298</v>
      </c>
      <c r="R6">
        <v>0.81778581057400601</v>
      </c>
      <c r="S6">
        <v>0.71825461937597601</v>
      </c>
      <c r="T6">
        <v>0.75814634774385603</v>
      </c>
      <c r="U6">
        <v>0.70222782967932895</v>
      </c>
      <c r="V6">
        <v>0.68382429431081104</v>
      </c>
      <c r="W6">
        <v>0.28598694444514799</v>
      </c>
      <c r="X6">
        <v>0.183125192337738</v>
      </c>
      <c r="Y6">
        <v>0.36884245478389899</v>
      </c>
      <c r="Z6">
        <v>0.389883584412683</v>
      </c>
      <c r="AA6">
        <v>0.36740780920006999</v>
      </c>
      <c r="AB6">
        <v>0.44083068049441898</v>
      </c>
      <c r="AC6">
        <v>0.200553266372758</v>
      </c>
      <c r="AD6">
        <v>0.114708740069938</v>
      </c>
      <c r="AE6">
        <v>0.26881155069618301</v>
      </c>
      <c r="AF6">
        <v>0.30448011843738298</v>
      </c>
      <c r="AG6">
        <v>0.25513157214955001</v>
      </c>
      <c r="AH6">
        <v>0.34153472513459199</v>
      </c>
      <c r="AI6">
        <v>1.6193518565514799E-2</v>
      </c>
      <c r="AJ6">
        <v>1.54441671626015E-2</v>
      </c>
      <c r="AK6">
        <v>1.7148048350334101E-2</v>
      </c>
      <c r="AL6">
        <v>1.8665377366908702E-2</v>
      </c>
      <c r="AM6">
        <v>1.8158340091488701E-2</v>
      </c>
      <c r="AN6">
        <v>1.5957630370294001E-2</v>
      </c>
    </row>
    <row r="7" spans="1:40" x14ac:dyDescent="0.25">
      <c r="A7">
        <v>6</v>
      </c>
      <c r="B7">
        <v>1000</v>
      </c>
      <c r="C7">
        <v>1000</v>
      </c>
      <c r="D7">
        <v>2</v>
      </c>
      <c r="E7">
        <v>2.4403153462110598</v>
      </c>
      <c r="F7">
        <v>2.3355996335027802</v>
      </c>
      <c r="G7">
        <v>2.5519381092239999</v>
      </c>
      <c r="H7">
        <v>2.4519817689304499</v>
      </c>
      <c r="I7">
        <v>2.9274653019388599</v>
      </c>
      <c r="J7">
        <v>2.4856924937554199</v>
      </c>
      <c r="K7">
        <v>1.7197136752978299</v>
      </c>
      <c r="L7">
        <v>1.58773741833768</v>
      </c>
      <c r="M7">
        <v>1.8427714979780201</v>
      </c>
      <c r="N7">
        <v>1.8778724871190999</v>
      </c>
      <c r="O7">
        <v>2.2136155422831401</v>
      </c>
      <c r="P7">
        <v>1.90347123672021</v>
      </c>
      <c r="Q7">
        <v>0.98770720598607398</v>
      </c>
      <c r="R7">
        <v>1.1273364377472499</v>
      </c>
      <c r="S7">
        <v>0.87640270113530605</v>
      </c>
      <c r="T7">
        <v>1.0086904785186701</v>
      </c>
      <c r="U7">
        <v>0.86468972807344902</v>
      </c>
      <c r="V7">
        <v>1.1744433068473501</v>
      </c>
      <c r="W7">
        <v>0.372142426714684</v>
      </c>
      <c r="X7">
        <v>0.25124914592369202</v>
      </c>
      <c r="Y7">
        <v>0.39439148460093698</v>
      </c>
      <c r="Z7">
        <v>0.38781601950950501</v>
      </c>
      <c r="AA7">
        <v>0.61708975485642004</v>
      </c>
      <c r="AB7">
        <v>0.39089282459689101</v>
      </c>
      <c r="AC7">
        <v>0.21023544536549199</v>
      </c>
      <c r="AD7">
        <v>0.145239248977374</v>
      </c>
      <c r="AE7">
        <v>0.227154140866901</v>
      </c>
      <c r="AF7">
        <v>0.25767090782853602</v>
      </c>
      <c r="AG7">
        <v>0.381582770702587</v>
      </c>
      <c r="AH7">
        <v>0.274872138162639</v>
      </c>
      <c r="AI7">
        <v>3.3656908032510001E-2</v>
      </c>
      <c r="AJ7">
        <v>2.3892476942299699E-2</v>
      </c>
      <c r="AK7">
        <v>2.9942867469436502E-2</v>
      </c>
      <c r="AL7">
        <v>2.4534589779202701E-2</v>
      </c>
      <c r="AM7">
        <v>3.3659484216538402E-2</v>
      </c>
      <c r="AN7">
        <v>3.2907358178297E-2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X7"/>
  <sheetViews>
    <sheetView tabSelected="1" workbookViewId="0">
      <selection activeCell="S18" sqref="S18"/>
    </sheetView>
  </sheetViews>
  <sheetFormatPr defaultRowHeight="15" x14ac:dyDescent="0.25"/>
  <sheetData>
    <row r="1" spans="1:76" x14ac:dyDescent="0.25">
      <c r="B1" t="s">
        <v>168</v>
      </c>
      <c r="C1" t="s">
        <v>7</v>
      </c>
      <c r="D1" t="s">
        <v>169</v>
      </c>
      <c r="E1" t="s">
        <v>8</v>
      </c>
      <c r="F1" t="s">
        <v>9</v>
      </c>
      <c r="G1" t="s">
        <v>10</v>
      </c>
      <c r="H1" t="s">
        <v>140</v>
      </c>
      <c r="I1" t="s">
        <v>141</v>
      </c>
      <c r="J1" t="s">
        <v>11</v>
      </c>
      <c r="K1" t="s">
        <v>72</v>
      </c>
      <c r="L1" t="s">
        <v>73</v>
      </c>
      <c r="M1" t="s">
        <v>74</v>
      </c>
      <c r="N1" t="s">
        <v>142</v>
      </c>
      <c r="O1" t="s">
        <v>143</v>
      </c>
      <c r="P1" t="s">
        <v>75</v>
      </c>
      <c r="Q1" t="s">
        <v>12</v>
      </c>
      <c r="R1" t="s">
        <v>13</v>
      </c>
      <c r="S1" t="s">
        <v>14</v>
      </c>
      <c r="T1" t="s">
        <v>144</v>
      </c>
      <c r="U1" t="s">
        <v>145</v>
      </c>
      <c r="V1" t="s">
        <v>15</v>
      </c>
      <c r="W1" t="s">
        <v>16</v>
      </c>
      <c r="X1" t="s">
        <v>17</v>
      </c>
      <c r="Y1" t="s">
        <v>18</v>
      </c>
      <c r="Z1" t="s">
        <v>146</v>
      </c>
      <c r="AA1" t="s">
        <v>147</v>
      </c>
      <c r="AB1" t="s">
        <v>19</v>
      </c>
      <c r="AC1" t="s">
        <v>20</v>
      </c>
      <c r="AD1" t="s">
        <v>21</v>
      </c>
      <c r="AE1" t="s">
        <v>22</v>
      </c>
      <c r="AF1" t="s">
        <v>148</v>
      </c>
      <c r="AG1" t="s">
        <v>149</v>
      </c>
      <c r="AH1" t="s">
        <v>23</v>
      </c>
      <c r="AI1" t="s">
        <v>76</v>
      </c>
      <c r="AJ1" t="s">
        <v>77</v>
      </c>
      <c r="AK1" t="s">
        <v>78</v>
      </c>
      <c r="AL1" t="s">
        <v>150</v>
      </c>
      <c r="AM1" t="s">
        <v>151</v>
      </c>
      <c r="AN1" t="s">
        <v>79</v>
      </c>
      <c r="AO1" t="s">
        <v>24</v>
      </c>
      <c r="AP1" t="s">
        <v>25</v>
      </c>
      <c r="AQ1" t="s">
        <v>26</v>
      </c>
      <c r="AR1" t="s">
        <v>152</v>
      </c>
      <c r="AS1" t="s">
        <v>153</v>
      </c>
      <c r="AT1" t="s">
        <v>27</v>
      </c>
      <c r="AU1" t="s">
        <v>80</v>
      </c>
      <c r="AV1" t="s">
        <v>81</v>
      </c>
      <c r="AW1" t="s">
        <v>82</v>
      </c>
      <c r="AX1" t="s">
        <v>154</v>
      </c>
      <c r="AY1" t="s">
        <v>155</v>
      </c>
      <c r="AZ1" t="s">
        <v>83</v>
      </c>
      <c r="BA1" t="s">
        <v>28</v>
      </c>
      <c r="BB1" t="s">
        <v>29</v>
      </c>
      <c r="BC1" t="s">
        <v>30</v>
      </c>
      <c r="BD1" t="s">
        <v>156</v>
      </c>
      <c r="BE1" t="s">
        <v>157</v>
      </c>
      <c r="BF1" t="s">
        <v>31</v>
      </c>
      <c r="BG1" t="s">
        <v>32</v>
      </c>
      <c r="BH1" t="s">
        <v>33</v>
      </c>
      <c r="BI1" t="s">
        <v>34</v>
      </c>
      <c r="BJ1" t="s">
        <v>158</v>
      </c>
      <c r="BK1" t="s">
        <v>159</v>
      </c>
      <c r="BL1" t="s">
        <v>35</v>
      </c>
      <c r="BM1" t="s">
        <v>36</v>
      </c>
      <c r="BN1" t="s">
        <v>37</v>
      </c>
      <c r="BO1" t="s">
        <v>38</v>
      </c>
      <c r="BP1" t="s">
        <v>160</v>
      </c>
      <c r="BQ1" t="s">
        <v>161</v>
      </c>
      <c r="BR1" t="s">
        <v>39</v>
      </c>
      <c r="BS1" t="s">
        <v>84</v>
      </c>
      <c r="BT1" t="s">
        <v>85</v>
      </c>
      <c r="BU1" t="s">
        <v>86</v>
      </c>
      <c r="BV1" t="s">
        <v>162</v>
      </c>
      <c r="BW1" t="s">
        <v>163</v>
      </c>
      <c r="BX1" t="s">
        <v>87</v>
      </c>
    </row>
    <row r="2" spans="1:76" x14ac:dyDescent="0.25">
      <c r="A2">
        <v>1</v>
      </c>
      <c r="B2">
        <v>1000</v>
      </c>
      <c r="C2">
        <v>200</v>
      </c>
      <c r="D2">
        <v>1</v>
      </c>
      <c r="E2">
        <v>1.19416692405959</v>
      </c>
      <c r="F2">
        <v>0.861126023932684</v>
      </c>
      <c r="G2">
        <v>0.19419406432130901</v>
      </c>
      <c r="H2">
        <v>0.77571615007821404</v>
      </c>
      <c r="I2">
        <v>3.0910755380470301</v>
      </c>
      <c r="J2">
        <v>0.80345299197272302</v>
      </c>
      <c r="K2">
        <v>0.62734029039273498</v>
      </c>
      <c r="L2">
        <v>1.2609266438876701</v>
      </c>
      <c r="M2">
        <v>0.30694641452451099</v>
      </c>
      <c r="N2">
        <v>0.44752788964470602</v>
      </c>
      <c r="O2">
        <v>1.11653262107772</v>
      </c>
      <c r="P2">
        <v>0.47733014588295303</v>
      </c>
      <c r="Q2">
        <v>0.21513454607143301</v>
      </c>
      <c r="R2">
        <v>0.87557203197785105</v>
      </c>
      <c r="S2">
        <v>0.22348567789648399</v>
      </c>
      <c r="T2">
        <v>0.28855951828913901</v>
      </c>
      <c r="U2">
        <v>0.92471616859258898</v>
      </c>
      <c r="V2">
        <v>0.21236124417129101</v>
      </c>
      <c r="W2">
        <v>-2.4557657246935701E-2</v>
      </c>
      <c r="X2">
        <v>0.71588120852619197</v>
      </c>
      <c r="Y2">
        <v>-1.6571394274151899E-2</v>
      </c>
      <c r="Z2">
        <v>0.15154050475033701</v>
      </c>
      <c r="AA2">
        <v>1.23644929456599</v>
      </c>
      <c r="AB2">
        <v>0.25415349687925598</v>
      </c>
      <c r="AC2">
        <v>-0.30300135276601903</v>
      </c>
      <c r="AD2">
        <v>0.28583322282632501</v>
      </c>
      <c r="AE2">
        <v>-0.84787345145737103</v>
      </c>
      <c r="AF2">
        <v>0.10882820783729701</v>
      </c>
      <c r="AG2">
        <v>3.6851130525287799</v>
      </c>
      <c r="AH2">
        <v>-0.104627728192442</v>
      </c>
      <c r="AI2">
        <v>0.88941770797046604</v>
      </c>
      <c r="AJ2">
        <v>-0.63532853887123497</v>
      </c>
      <c r="AK2">
        <v>-1.1460540997611699</v>
      </c>
      <c r="AL2">
        <v>0.965775467097718</v>
      </c>
      <c r="AM2">
        <v>6.5168106816947402</v>
      </c>
      <c r="AN2">
        <v>0.68500423796532495</v>
      </c>
      <c r="AO2">
        <v>4.1118896435690502</v>
      </c>
      <c r="AP2">
        <v>7.3570235025251902</v>
      </c>
      <c r="AQ2">
        <v>3.4105744823833599</v>
      </c>
      <c r="AR2">
        <v>3.2478523475240899</v>
      </c>
      <c r="AS2">
        <v>14.011463884439401</v>
      </c>
      <c r="AT2">
        <v>3.7134748479485502</v>
      </c>
      <c r="AU2">
        <v>2.7841901267522302</v>
      </c>
      <c r="AV2">
        <v>2.8741403717019001</v>
      </c>
      <c r="AW2">
        <v>3.1449034222429799</v>
      </c>
      <c r="AX2">
        <v>3.6806419953010199</v>
      </c>
      <c r="AY2">
        <v>2.9218809445650402</v>
      </c>
      <c r="AZ2">
        <v>3.7451457821673699</v>
      </c>
      <c r="BA2">
        <v>1.7106705076087001</v>
      </c>
      <c r="BB2">
        <v>2.08691478819228</v>
      </c>
      <c r="BC2">
        <v>1.86381513120415</v>
      </c>
      <c r="BD2">
        <v>2.09935266623499</v>
      </c>
      <c r="BE2">
        <v>2.1721704476518799</v>
      </c>
      <c r="BF2">
        <v>2.5643456566094698</v>
      </c>
      <c r="BG2">
        <v>2.09348519049896</v>
      </c>
      <c r="BH2">
        <v>3.0174200114231899</v>
      </c>
      <c r="BI2">
        <v>2.3198708514255899</v>
      </c>
      <c r="BJ2">
        <v>2.5125641512149399</v>
      </c>
      <c r="BK2">
        <v>2.8748964120975802</v>
      </c>
      <c r="BL2">
        <v>3.1631123769855001</v>
      </c>
      <c r="BM2">
        <v>5.3474012308059597</v>
      </c>
      <c r="BN2">
        <v>10.6603473894925</v>
      </c>
      <c r="BO2">
        <v>5.5112163534728502</v>
      </c>
      <c r="BP2">
        <v>5.9689816311477504</v>
      </c>
      <c r="BQ2">
        <v>18.425816186539301</v>
      </c>
      <c r="BR2">
        <v>6.6746418090103603</v>
      </c>
      <c r="BS2">
        <v>11.587618148630099</v>
      </c>
      <c r="BT2">
        <v>22.495426516154399</v>
      </c>
      <c r="BU2">
        <v>11.464651659698999</v>
      </c>
      <c r="BV2">
        <v>13.251846757449901</v>
      </c>
      <c r="BW2">
        <v>48.266911569912601</v>
      </c>
      <c r="BX2">
        <v>12.2368226187687</v>
      </c>
    </row>
    <row r="3" spans="1:76" x14ac:dyDescent="0.25">
      <c r="A3">
        <v>2</v>
      </c>
      <c r="B3">
        <v>1000</v>
      </c>
      <c r="C3">
        <v>200</v>
      </c>
      <c r="D3">
        <v>2</v>
      </c>
      <c r="E3">
        <v>-2.3319635446476998</v>
      </c>
      <c r="F3">
        <v>-2.5115159517696699</v>
      </c>
      <c r="G3">
        <v>1.5259266221313399</v>
      </c>
      <c r="H3">
        <v>-2.2479748662377701</v>
      </c>
      <c r="I3">
        <v>0.77754752114987402</v>
      </c>
      <c r="J3">
        <v>-3.6648717561309301</v>
      </c>
      <c r="K3">
        <v>1.11746315336378</v>
      </c>
      <c r="L3">
        <v>1.3020256134456401</v>
      </c>
      <c r="M3">
        <v>1.47690193964645</v>
      </c>
      <c r="N3">
        <v>1.2492467067326301</v>
      </c>
      <c r="O3">
        <v>1.6154936347218201</v>
      </c>
      <c r="P3">
        <v>1.24302079391077</v>
      </c>
      <c r="Q3">
        <v>0.66682008986696595</v>
      </c>
      <c r="R3">
        <v>0.92232185708585201</v>
      </c>
      <c r="S3">
        <v>1.1668539254725501</v>
      </c>
      <c r="T3">
        <v>0.75898832663592097</v>
      </c>
      <c r="U3">
        <v>1.3790175823052899</v>
      </c>
      <c r="V3">
        <v>0.77976267776583397</v>
      </c>
      <c r="W3">
        <v>0.377512327326812</v>
      </c>
      <c r="X3">
        <v>0.75763289218790897</v>
      </c>
      <c r="Y3">
        <v>1.3871005235959299</v>
      </c>
      <c r="Z3">
        <v>0.45447159680682903</v>
      </c>
      <c r="AA3">
        <v>1.71560582575634</v>
      </c>
      <c r="AB3">
        <v>0.34419963435300899</v>
      </c>
      <c r="AC3">
        <v>-0.64861750831756904</v>
      </c>
      <c r="AD3">
        <v>-0.85035050555953295</v>
      </c>
      <c r="AE3">
        <v>2.94488002027708</v>
      </c>
      <c r="AF3">
        <v>-0.58018246885947999</v>
      </c>
      <c r="AG3">
        <v>3.5199029893879001</v>
      </c>
      <c r="AH3">
        <v>-2.5164671505787402</v>
      </c>
      <c r="AI3">
        <v>-6.3843343766036798</v>
      </c>
      <c r="AJ3">
        <v>-9.2210288278836803</v>
      </c>
      <c r="AK3">
        <v>3.0734197572676898</v>
      </c>
      <c r="AL3">
        <v>-7.4118192680859503</v>
      </c>
      <c r="AM3">
        <v>0.31415109898648402</v>
      </c>
      <c r="AN3">
        <v>-15.2184673891163</v>
      </c>
      <c r="AO3">
        <v>5.6247503657511704</v>
      </c>
      <c r="AP3">
        <v>9.1921253954250908</v>
      </c>
      <c r="AQ3">
        <v>4.4617728076188303</v>
      </c>
      <c r="AR3">
        <v>5.1019232771076499</v>
      </c>
      <c r="AS3">
        <v>4.5792266940089004</v>
      </c>
      <c r="AT3">
        <v>10.0912605562149</v>
      </c>
      <c r="AU3">
        <v>2.69661751750614</v>
      </c>
      <c r="AV3">
        <v>2.84020186384546</v>
      </c>
      <c r="AW3">
        <v>2.7249346519634501</v>
      </c>
      <c r="AX3">
        <v>2.82652333142636</v>
      </c>
      <c r="AY3">
        <v>2.86096477125822</v>
      </c>
      <c r="AZ3">
        <v>3.3103762480437799</v>
      </c>
      <c r="BA3">
        <v>1.85451422536889</v>
      </c>
      <c r="BB3">
        <v>2.19346128729488</v>
      </c>
      <c r="BC3">
        <v>2.09369672786731</v>
      </c>
      <c r="BD3">
        <v>1.95182843473874</v>
      </c>
      <c r="BE3">
        <v>2.3076434571740201</v>
      </c>
      <c r="BF3">
        <v>2.0602236566025902</v>
      </c>
      <c r="BG3">
        <v>2.0735152699651298</v>
      </c>
      <c r="BH3">
        <v>2.99182371172683</v>
      </c>
      <c r="BI3">
        <v>2.5896662578534801</v>
      </c>
      <c r="BJ3">
        <v>2.2468323916720001</v>
      </c>
      <c r="BK3">
        <v>3.0268145082807099</v>
      </c>
      <c r="BL3">
        <v>3.68390540413291</v>
      </c>
      <c r="BM3">
        <v>5.4012295903592502</v>
      </c>
      <c r="BN3">
        <v>10.7714916925372</v>
      </c>
      <c r="BO3">
        <v>6.2848682589141598</v>
      </c>
      <c r="BP3">
        <v>5.6903154234244102</v>
      </c>
      <c r="BQ3">
        <v>7.3109646788572</v>
      </c>
      <c r="BR3">
        <v>15.4267920793227</v>
      </c>
      <c r="BS3">
        <v>15.207903704069301</v>
      </c>
      <c r="BT3">
        <v>32.324892065942699</v>
      </c>
      <c r="BU3">
        <v>12.9717453628579</v>
      </c>
      <c r="BV3">
        <v>16.3534246490882</v>
      </c>
      <c r="BW3">
        <v>12.983949295590699</v>
      </c>
      <c r="BX3">
        <v>45.413228530413797</v>
      </c>
    </row>
    <row r="4" spans="1:76" x14ac:dyDescent="0.25">
      <c r="A4">
        <v>3</v>
      </c>
      <c r="B4">
        <v>1000</v>
      </c>
      <c r="C4">
        <v>500</v>
      </c>
      <c r="D4">
        <v>1</v>
      </c>
      <c r="E4">
        <v>1.1024252498053899</v>
      </c>
      <c r="F4">
        <v>1.30156233318542</v>
      </c>
      <c r="G4">
        <v>0.28593953877690498</v>
      </c>
      <c r="H4">
        <v>0.62198333012614004</v>
      </c>
      <c r="I4">
        <v>1.7180625057238399</v>
      </c>
      <c r="J4">
        <v>0.36853518659553203</v>
      </c>
      <c r="K4">
        <v>0.27787623677893603</v>
      </c>
      <c r="L4">
        <v>0.77270791770605696</v>
      </c>
      <c r="M4">
        <v>0.202843072125411</v>
      </c>
      <c r="N4">
        <v>0.15558229570784299</v>
      </c>
      <c r="O4">
        <v>0.64197665556781103</v>
      </c>
      <c r="P4">
        <v>-6.8013497473694104E-2</v>
      </c>
      <c r="Q4">
        <v>4.6719855122179701E-2</v>
      </c>
      <c r="R4">
        <v>0.44150529384562498</v>
      </c>
      <c r="S4">
        <v>0.121234214024074</v>
      </c>
      <c r="T4">
        <v>0.23891750555865601</v>
      </c>
      <c r="U4">
        <v>0.51067172246110604</v>
      </c>
      <c r="V4">
        <v>-4.8712819712246197E-2</v>
      </c>
      <c r="W4">
        <v>-0.133029049136933</v>
      </c>
      <c r="X4">
        <v>0.40343610402200503</v>
      </c>
      <c r="Y4">
        <v>-2.2050496126421799E-2</v>
      </c>
      <c r="Z4">
        <v>0.25459636047325801</v>
      </c>
      <c r="AA4">
        <v>0.71659514369698396</v>
      </c>
      <c r="AB4">
        <v>-2.8242780805722801E-3</v>
      </c>
      <c r="AC4">
        <v>-1.92656294343241E-2</v>
      </c>
      <c r="AD4">
        <v>0.87598787036968395</v>
      </c>
      <c r="AE4">
        <v>-0.108373443460545</v>
      </c>
      <c r="AF4">
        <v>0.480446818171817</v>
      </c>
      <c r="AG4">
        <v>2.3414701499223298</v>
      </c>
      <c r="AH4">
        <v>0.19626704086421601</v>
      </c>
      <c r="AI4">
        <v>0.65943123768588296</v>
      </c>
      <c r="AJ4">
        <v>1.4896807298065899</v>
      </c>
      <c r="AK4">
        <v>-0.66519396531934105</v>
      </c>
      <c r="AL4">
        <v>0.31816699922686598</v>
      </c>
      <c r="AM4">
        <v>2.9240645041567399</v>
      </c>
      <c r="AN4">
        <v>0.392782793160944</v>
      </c>
      <c r="AO4">
        <v>2.84171947449398</v>
      </c>
      <c r="AP4">
        <v>5.6792914814845199</v>
      </c>
      <c r="AQ4">
        <v>2.2780732796756</v>
      </c>
      <c r="AR4">
        <v>2.16721729421148</v>
      </c>
      <c r="AS4">
        <v>2.7824539905882602</v>
      </c>
      <c r="AT4">
        <v>2.2395290408417701</v>
      </c>
      <c r="AU4">
        <v>1.86721876492343</v>
      </c>
      <c r="AV4">
        <v>1.90501877702391</v>
      </c>
      <c r="AW4">
        <v>2.0140266240184399</v>
      </c>
      <c r="AX4">
        <v>2.7463171154641399</v>
      </c>
      <c r="AY4">
        <v>1.8417637055366001</v>
      </c>
      <c r="AZ4">
        <v>2.9483316109206399</v>
      </c>
      <c r="BA4">
        <v>1.15149369325996</v>
      </c>
      <c r="BB4">
        <v>1.2717679142759499</v>
      </c>
      <c r="BC4">
        <v>1.22350721006436</v>
      </c>
      <c r="BD4">
        <v>1.42271044965116</v>
      </c>
      <c r="BE4">
        <v>1.30880264223738</v>
      </c>
      <c r="BF4">
        <v>2.1237594045697601</v>
      </c>
      <c r="BG4">
        <v>1.31183035945642</v>
      </c>
      <c r="BH4">
        <v>1.72116679873127</v>
      </c>
      <c r="BI4">
        <v>1.37603947832233</v>
      </c>
      <c r="BJ4">
        <v>1.6111983019482099</v>
      </c>
      <c r="BK4">
        <v>1.5812256618165099</v>
      </c>
      <c r="BL4">
        <v>1.5705141692751601</v>
      </c>
      <c r="BM4">
        <v>3.3897228766462901</v>
      </c>
      <c r="BN4">
        <v>6.5771497563313304</v>
      </c>
      <c r="BO4">
        <v>3.5673959409988898</v>
      </c>
      <c r="BP4">
        <v>3.9798380318622799</v>
      </c>
      <c r="BQ4">
        <v>4.4439931042833098</v>
      </c>
      <c r="BR4">
        <v>4.0224962783942999</v>
      </c>
      <c r="BS4">
        <v>7.2410581335554598</v>
      </c>
      <c r="BT4">
        <v>14.069306270914399</v>
      </c>
      <c r="BU4">
        <v>7.1400459448767997</v>
      </c>
      <c r="BV4">
        <v>7.68770297930556</v>
      </c>
      <c r="BW4">
        <v>7.9029230124910201</v>
      </c>
      <c r="BX4">
        <v>6.9775692751662</v>
      </c>
    </row>
    <row r="5" spans="1:76" x14ac:dyDescent="0.25">
      <c r="A5">
        <v>4</v>
      </c>
      <c r="B5">
        <v>1000</v>
      </c>
      <c r="C5">
        <v>500</v>
      </c>
      <c r="D5">
        <v>2</v>
      </c>
      <c r="E5">
        <v>-3.9399359266025602</v>
      </c>
      <c r="F5">
        <v>-3.9514478431835398</v>
      </c>
      <c r="G5">
        <v>-4.2443646926884099E-2</v>
      </c>
      <c r="H5">
        <v>-3.12563441423318</v>
      </c>
      <c r="I5">
        <v>1.9178682617765098E-2</v>
      </c>
      <c r="J5">
        <v>-5.7058304789105598</v>
      </c>
      <c r="K5">
        <v>0.96144494020570004</v>
      </c>
      <c r="L5">
        <v>0.87491930476901303</v>
      </c>
      <c r="M5">
        <v>1.3167893910478301</v>
      </c>
      <c r="N5">
        <v>1.1556294202584101</v>
      </c>
      <c r="O5">
        <v>1.4464942664418901</v>
      </c>
      <c r="P5">
        <v>1.1257296558466801</v>
      </c>
      <c r="Q5">
        <v>0.56498773818338299</v>
      </c>
      <c r="R5">
        <v>0.50522799235828597</v>
      </c>
      <c r="S5">
        <v>0.93022425548127596</v>
      </c>
      <c r="T5">
        <v>0.759451717104205</v>
      </c>
      <c r="U5">
        <v>1.2475856649891199</v>
      </c>
      <c r="V5">
        <v>0.72324763915738399</v>
      </c>
      <c r="W5">
        <v>0.35735692365139599</v>
      </c>
      <c r="X5">
        <v>0.28993113822365302</v>
      </c>
      <c r="Y5">
        <v>1.07226166158838</v>
      </c>
      <c r="Z5">
        <v>0.65343791462801204</v>
      </c>
      <c r="AA5">
        <v>1.66451581102726</v>
      </c>
      <c r="AB5">
        <v>0.53188530576530102</v>
      </c>
      <c r="AC5">
        <v>-0.95587139624906703</v>
      </c>
      <c r="AD5">
        <v>-1.3087784139821299</v>
      </c>
      <c r="AE5">
        <v>1.8437568722720501</v>
      </c>
      <c r="AF5">
        <v>-0.19481899592197899</v>
      </c>
      <c r="AG5">
        <v>3.4228385810526398</v>
      </c>
      <c r="AH5">
        <v>-1.95945152559313</v>
      </c>
      <c r="AI5">
        <v>-7.6758571779896698</v>
      </c>
      <c r="AJ5">
        <v>-8.1161897202456998</v>
      </c>
      <c r="AK5">
        <v>0.22345726385499801</v>
      </c>
      <c r="AL5">
        <v>-6.3546187105267498</v>
      </c>
      <c r="AM5">
        <v>0.244076173551875</v>
      </c>
      <c r="AN5">
        <v>-16.364597340625298</v>
      </c>
      <c r="AO5">
        <v>6.1067032423530696</v>
      </c>
      <c r="AP5">
        <v>7.9649153779313204</v>
      </c>
      <c r="AQ5">
        <v>2.8815812413580599</v>
      </c>
      <c r="AR5">
        <v>5.1782873267913097</v>
      </c>
      <c r="AS5">
        <v>3.1525136900938802</v>
      </c>
      <c r="AT5">
        <v>14.443082734072499</v>
      </c>
      <c r="AU5">
        <v>1.82511456157045</v>
      </c>
      <c r="AV5">
        <v>1.98868373407454</v>
      </c>
      <c r="AW5">
        <v>1.9674323138477099</v>
      </c>
      <c r="AX5">
        <v>1.9383106703772</v>
      </c>
      <c r="AY5">
        <v>2.0932050398517399</v>
      </c>
      <c r="AZ5">
        <v>1.95526453025253</v>
      </c>
      <c r="BA5">
        <v>1.22516381360675</v>
      </c>
      <c r="BB5">
        <v>1.33973926630951</v>
      </c>
      <c r="BC5">
        <v>1.41755095121557</v>
      </c>
      <c r="BD5">
        <v>1.3536916853738299</v>
      </c>
      <c r="BE5">
        <v>1.7121204210149099</v>
      </c>
      <c r="BF5">
        <v>1.3479942791403801</v>
      </c>
      <c r="BG5">
        <v>1.34517909825392</v>
      </c>
      <c r="BH5">
        <v>1.8356645697727401</v>
      </c>
      <c r="BI5">
        <v>1.72975484940372</v>
      </c>
      <c r="BJ5">
        <v>1.5570616980206</v>
      </c>
      <c r="BK5">
        <v>2.30255144620893</v>
      </c>
      <c r="BL5">
        <v>1.5416166091962</v>
      </c>
      <c r="BM5">
        <v>3.5854904535454399</v>
      </c>
      <c r="BN5">
        <v>7.0883603959912298</v>
      </c>
      <c r="BO5">
        <v>3.9897675877805701</v>
      </c>
      <c r="BP5">
        <v>3.5638799535505901</v>
      </c>
      <c r="BQ5">
        <v>5.2889020455017004</v>
      </c>
      <c r="BR5">
        <v>19.816259578287202</v>
      </c>
      <c r="BS5">
        <v>11.864244399959301</v>
      </c>
      <c r="BT5">
        <v>17.644131766291299</v>
      </c>
      <c r="BU5">
        <v>7.7917801683799901</v>
      </c>
      <c r="BV5">
        <v>10.7293964616374</v>
      </c>
      <c r="BW5">
        <v>7.6423423482275403</v>
      </c>
      <c r="BX5">
        <v>69.683530907648702</v>
      </c>
    </row>
    <row r="6" spans="1:76" x14ac:dyDescent="0.25">
      <c r="A6">
        <v>5</v>
      </c>
      <c r="B6">
        <v>1000</v>
      </c>
      <c r="C6">
        <v>1000</v>
      </c>
      <c r="D6">
        <v>1</v>
      </c>
      <c r="E6">
        <v>0.93438429890152497</v>
      </c>
      <c r="F6">
        <v>0.67763254017006602</v>
      </c>
      <c r="G6">
        <v>0.124392977625346</v>
      </c>
      <c r="H6">
        <v>0.37938531083073301</v>
      </c>
      <c r="I6">
        <v>1.00892387973857</v>
      </c>
      <c r="J6">
        <v>0.114410280479614</v>
      </c>
      <c r="K6">
        <v>0.170080891611959</v>
      </c>
      <c r="L6">
        <v>0.51632682158427501</v>
      </c>
      <c r="M6">
        <v>0.16126099943374</v>
      </c>
      <c r="N6">
        <v>0.19996364218114099</v>
      </c>
      <c r="O6">
        <v>0.48727896359057499</v>
      </c>
      <c r="P6">
        <v>7.8086071165315699E-2</v>
      </c>
      <c r="Q6">
        <v>2.2603129872940102E-2</v>
      </c>
      <c r="R6">
        <v>0.25605294013839902</v>
      </c>
      <c r="S6">
        <v>0.114216873723453</v>
      </c>
      <c r="T6">
        <v>0.217698393056447</v>
      </c>
      <c r="U6">
        <v>0.38847919054704599</v>
      </c>
      <c r="V6">
        <v>6.0577463756412299E-2</v>
      </c>
      <c r="W6">
        <v>-0.116753891404263</v>
      </c>
      <c r="X6">
        <v>0.15775728883510401</v>
      </c>
      <c r="Y6">
        <v>9.0179643099004298E-3</v>
      </c>
      <c r="Z6">
        <v>0.25077756867124801</v>
      </c>
      <c r="AA6">
        <v>0.49776774361229198</v>
      </c>
      <c r="AB6">
        <v>4.8529317799869402E-2</v>
      </c>
      <c r="AC6">
        <v>-0.24572292152391001</v>
      </c>
      <c r="AD6">
        <v>-7.59253208364985E-2</v>
      </c>
      <c r="AE6">
        <v>-0.17578499059409</v>
      </c>
      <c r="AF6">
        <v>0.211039706054308</v>
      </c>
      <c r="AG6">
        <v>1.37255380250214</v>
      </c>
      <c r="AH6">
        <v>7.8827049515830097E-2</v>
      </c>
      <c r="AI6">
        <v>0.34262959519543701</v>
      </c>
      <c r="AJ6">
        <v>0.121414315375642</v>
      </c>
      <c r="AK6">
        <v>-0.73621329974327998</v>
      </c>
      <c r="AL6">
        <v>-0.28269454076681</v>
      </c>
      <c r="AM6">
        <v>1.4532267553395499</v>
      </c>
      <c r="AN6">
        <v>-0.24526574096836001</v>
      </c>
      <c r="AO6">
        <v>2.26874121038168</v>
      </c>
      <c r="AP6">
        <v>4.1254923358279001</v>
      </c>
      <c r="AQ6">
        <v>1.6623482070886799</v>
      </c>
      <c r="AR6">
        <v>1.61516669350852</v>
      </c>
      <c r="AS6">
        <v>1.8361988938820399</v>
      </c>
      <c r="AT6">
        <v>1.5553658871523699</v>
      </c>
      <c r="AU6">
        <v>1.2530169489662799</v>
      </c>
      <c r="AV6">
        <v>1.3657735602580301</v>
      </c>
      <c r="AW6">
        <v>1.3347742744948401</v>
      </c>
      <c r="AX6">
        <v>1.45303391064368</v>
      </c>
      <c r="AY6">
        <v>1.3030989598071401</v>
      </c>
      <c r="AZ6">
        <v>1.4719466755851101</v>
      </c>
      <c r="BA6">
        <v>0.80927260089167297</v>
      </c>
      <c r="BB6">
        <v>0.94502415648690796</v>
      </c>
      <c r="BC6">
        <v>0.84488859371055902</v>
      </c>
      <c r="BD6">
        <v>1.01156698556143</v>
      </c>
      <c r="BE6">
        <v>0.91135861420405295</v>
      </c>
      <c r="BF6">
        <v>0.94243409403505196</v>
      </c>
      <c r="BG6">
        <v>0.98512728265001703</v>
      </c>
      <c r="BH6">
        <v>1.2668212503563201</v>
      </c>
      <c r="BI6">
        <v>0.99807144116945001</v>
      </c>
      <c r="BJ6">
        <v>1.2175251533389</v>
      </c>
      <c r="BK6">
        <v>1.1361232640763399</v>
      </c>
      <c r="BL6">
        <v>1.16612844431915</v>
      </c>
      <c r="BM6">
        <v>2.5950979956065998</v>
      </c>
      <c r="BN6">
        <v>4.6597074554623799</v>
      </c>
      <c r="BO6">
        <v>2.71499967865932</v>
      </c>
      <c r="BP6">
        <v>2.9380718715043899</v>
      </c>
      <c r="BQ6">
        <v>3.0007575606624899</v>
      </c>
      <c r="BR6">
        <v>3.1264904191296701</v>
      </c>
      <c r="BS6">
        <v>5.1412065948474401</v>
      </c>
      <c r="BT6">
        <v>9.41333690172792</v>
      </c>
      <c r="BU6">
        <v>5.1929484697971899</v>
      </c>
      <c r="BV6">
        <v>5.3034857328760703</v>
      </c>
      <c r="BW6">
        <v>5.2133135080067303</v>
      </c>
      <c r="BX6">
        <v>5.0054649540803</v>
      </c>
    </row>
    <row r="7" spans="1:76" x14ac:dyDescent="0.25">
      <c r="A7">
        <v>6</v>
      </c>
      <c r="B7">
        <v>1000</v>
      </c>
      <c r="C7">
        <v>1000</v>
      </c>
      <c r="D7">
        <v>2</v>
      </c>
      <c r="E7">
        <v>-5.0685667621945303</v>
      </c>
      <c r="F7">
        <v>-5.1284867638948199</v>
      </c>
      <c r="G7">
        <v>-0.89297066866814201</v>
      </c>
      <c r="H7">
        <v>-3.6778571651807099</v>
      </c>
      <c r="I7">
        <v>-0.45689599693528699</v>
      </c>
      <c r="J7">
        <v>-6.4166544074290499</v>
      </c>
      <c r="K7">
        <v>0.93325023333335799</v>
      </c>
      <c r="L7">
        <v>0.691157979860195</v>
      </c>
      <c r="M7">
        <v>1.26809567286263</v>
      </c>
      <c r="N7">
        <v>1.17333238005607</v>
      </c>
      <c r="O7">
        <v>1.4674493997464</v>
      </c>
      <c r="P7">
        <v>1.1269393344688099</v>
      </c>
      <c r="Q7">
        <v>0.55883231487026896</v>
      </c>
      <c r="R7">
        <v>0.29696088582115898</v>
      </c>
      <c r="S7">
        <v>0.88794759996565498</v>
      </c>
      <c r="T7">
        <v>0.80166030989088899</v>
      </c>
      <c r="U7">
        <v>1.2592499085930999</v>
      </c>
      <c r="V7">
        <v>0.75173540837594799</v>
      </c>
      <c r="W7">
        <v>0.31149167257349503</v>
      </c>
      <c r="X7">
        <v>3.2557686782483101E-2</v>
      </c>
      <c r="Y7">
        <v>0.94542754599170797</v>
      </c>
      <c r="Z7">
        <v>0.70625866401870796</v>
      </c>
      <c r="AA7">
        <v>1.6423574343990599</v>
      </c>
      <c r="AB7">
        <v>0.55005938820517697</v>
      </c>
      <c r="AC7">
        <v>-1.31950777982538</v>
      </c>
      <c r="AD7">
        <v>-1.91990560166555</v>
      </c>
      <c r="AE7">
        <v>1.1954329639958501</v>
      </c>
      <c r="AF7">
        <v>-0.227001793275871</v>
      </c>
      <c r="AG7">
        <v>3.1215961273762498</v>
      </c>
      <c r="AH7">
        <v>-1.51348281170066</v>
      </c>
      <c r="AI7">
        <v>-8.5885044865462898</v>
      </c>
      <c r="AJ7">
        <v>-9.1339923016426692</v>
      </c>
      <c r="AK7">
        <v>-1.10544669218707</v>
      </c>
      <c r="AL7">
        <v>-6.1900219902621503</v>
      </c>
      <c r="AM7">
        <v>-5.8100103631346697E-2</v>
      </c>
      <c r="AN7">
        <v>-12.1740645527086</v>
      </c>
      <c r="AO7">
        <v>6.6820543495102402</v>
      </c>
      <c r="AP7">
        <v>7.5728615507947401</v>
      </c>
      <c r="AQ7">
        <v>2.4594915202458099</v>
      </c>
      <c r="AR7">
        <v>5.0431155938993797</v>
      </c>
      <c r="AS7">
        <v>2.5528775340455199</v>
      </c>
      <c r="AT7">
        <v>12.6520770831906</v>
      </c>
      <c r="AU7">
        <v>1.4499849418584501</v>
      </c>
      <c r="AV7">
        <v>1.5155770829849899</v>
      </c>
      <c r="AW7">
        <v>1.63387794422968</v>
      </c>
      <c r="AX7">
        <v>1.5917522002347899</v>
      </c>
      <c r="AY7">
        <v>1.8062659492911699</v>
      </c>
      <c r="AZ7">
        <v>1.5799411380969699</v>
      </c>
      <c r="BA7">
        <v>0.92695156664072398</v>
      </c>
      <c r="BB7">
        <v>0.91947985095039697</v>
      </c>
      <c r="BC7">
        <v>1.1587619828353199</v>
      </c>
      <c r="BD7">
        <v>1.11343229805471</v>
      </c>
      <c r="BE7">
        <v>1.5134007306694801</v>
      </c>
      <c r="BF7">
        <v>1.08774973251428</v>
      </c>
      <c r="BG7">
        <v>0.96633502987807796</v>
      </c>
      <c r="BH7">
        <v>1.29875067811556</v>
      </c>
      <c r="BI7">
        <v>1.3437102661876501</v>
      </c>
      <c r="BJ7">
        <v>1.21521359863932</v>
      </c>
      <c r="BK7">
        <v>1.9945928542152001</v>
      </c>
      <c r="BL7">
        <v>1.14516876181905</v>
      </c>
      <c r="BM7">
        <v>2.82688388564927</v>
      </c>
      <c r="BN7">
        <v>5.3755767633646201</v>
      </c>
      <c r="BO7">
        <v>2.8116291282727199</v>
      </c>
      <c r="BP7">
        <v>2.62364809318523</v>
      </c>
      <c r="BQ7">
        <v>4.2160152958175701</v>
      </c>
      <c r="BR7">
        <v>3.8469380706160501</v>
      </c>
      <c r="BS7">
        <v>10.605293849741599</v>
      </c>
      <c r="BT7">
        <v>13.669670239330401</v>
      </c>
      <c r="BU7">
        <v>5.4555929042582196</v>
      </c>
      <c r="BV7">
        <v>8.5474667375404003</v>
      </c>
      <c r="BW7">
        <v>5.2579306658613998</v>
      </c>
      <c r="BX7">
        <v>41.762375317859501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20"/>
  <sheetViews>
    <sheetView topLeftCell="B1" zoomScaleNormal="100" workbookViewId="0">
      <selection activeCell="Z14" sqref="Z12:AE14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5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5.140625" style="1" bestFit="1" customWidth="1"/>
    <col min="9" max="9" width="2.85546875" style="1" customWidth="1"/>
    <col min="10" max="10" width="5.85546875" style="1" bestFit="1" customWidth="1"/>
    <col min="11" max="11" width="6.140625" style="1" bestFit="1" customWidth="1"/>
    <col min="12" max="12" width="7.5703125" style="1" bestFit="1" customWidth="1"/>
    <col min="13" max="13" width="8" style="1" bestFit="1" customWidth="1"/>
    <col min="14" max="14" width="7.7109375" style="1" bestFit="1" customWidth="1"/>
    <col min="15" max="15" width="5.140625" style="1" bestFit="1" customWidth="1"/>
    <col min="16" max="18" width="9.28515625" style="1"/>
    <col min="19" max="19" width="6" style="1" bestFit="1" customWidth="1"/>
    <col min="20" max="20" width="7.5703125" style="1" bestFit="1" customWidth="1"/>
    <col min="21" max="21" width="7" style="1" bestFit="1" customWidth="1"/>
    <col min="22" max="22" width="8.5703125" style="1" bestFit="1" customWidth="1"/>
    <col min="23" max="23" width="7" style="1" bestFit="1" customWidth="1"/>
    <col min="24" max="24" width="8.5703125" style="1" bestFit="1" customWidth="1"/>
    <col min="25" max="25" width="2.85546875" style="1" customWidth="1"/>
    <col min="26" max="26" width="6" style="1" bestFit="1" customWidth="1"/>
    <col min="27" max="27" width="7.5703125" style="1" bestFit="1" customWidth="1"/>
    <col min="28" max="28" width="7" style="1" bestFit="1" customWidth="1"/>
    <col min="29" max="29" width="8.5703125" style="1" bestFit="1" customWidth="1"/>
    <col min="30" max="30" width="7" style="1" bestFit="1" customWidth="1"/>
    <col min="31" max="31" width="8.5703125" style="1" bestFit="1" customWidth="1"/>
    <col min="32" max="16384" width="9.28515625" style="1"/>
  </cols>
  <sheetData>
    <row r="1" spans="1:31" x14ac:dyDescent="0.25">
      <c r="C1" s="16" t="s">
        <v>61</v>
      </c>
      <c r="D1" s="16"/>
      <c r="E1" s="16"/>
      <c r="F1" s="16"/>
      <c r="G1" s="16"/>
      <c r="H1" s="9"/>
      <c r="J1" s="16" t="s">
        <v>71</v>
      </c>
      <c r="K1" s="16"/>
      <c r="L1" s="16"/>
      <c r="M1" s="16"/>
      <c r="N1" s="16"/>
      <c r="O1" s="9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25">
      <c r="C2" s="8" t="s">
        <v>0</v>
      </c>
      <c r="D2" s="8" t="s">
        <v>1</v>
      </c>
      <c r="E2" s="9" t="s">
        <v>90</v>
      </c>
      <c r="F2" s="8" t="s">
        <v>49</v>
      </c>
      <c r="G2" s="8" t="s">
        <v>48</v>
      </c>
      <c r="H2" s="9" t="s">
        <v>91</v>
      </c>
      <c r="J2" s="8" t="s">
        <v>0</v>
      </c>
      <c r="K2" s="8" t="s">
        <v>1</v>
      </c>
      <c r="L2" s="9" t="s">
        <v>90</v>
      </c>
      <c r="M2" s="8" t="s">
        <v>49</v>
      </c>
      <c r="N2" s="8" t="s">
        <v>48</v>
      </c>
      <c r="O2" s="9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25">
      <c r="B3" s="1" t="s">
        <v>6</v>
      </c>
      <c r="C3" s="8">
        <v>200</v>
      </c>
      <c r="D3" s="8">
        <v>200</v>
      </c>
      <c r="E3" s="9">
        <v>200</v>
      </c>
      <c r="F3" s="9">
        <v>200</v>
      </c>
      <c r="G3" s="9">
        <v>200</v>
      </c>
      <c r="H3" s="9">
        <v>200</v>
      </c>
      <c r="J3" s="8">
        <v>200</v>
      </c>
      <c r="K3" s="8">
        <v>200</v>
      </c>
      <c r="L3" s="11">
        <v>200</v>
      </c>
      <c r="M3" s="8">
        <v>200</v>
      </c>
      <c r="N3" s="8">
        <v>200</v>
      </c>
      <c r="O3" s="9">
        <v>200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25">
      <c r="C4" s="8"/>
      <c r="D4" s="8"/>
      <c r="E4" s="9"/>
      <c r="F4" s="8"/>
      <c r="G4" s="8"/>
      <c r="H4" s="9"/>
      <c r="J4" s="8"/>
      <c r="K4" s="8"/>
      <c r="L4" s="9"/>
      <c r="M4" s="8"/>
      <c r="N4" s="8"/>
      <c r="O4" s="9"/>
    </row>
    <row r="5" spans="1:31" x14ac:dyDescent="0.25">
      <c r="A5" s="2" t="s">
        <v>58</v>
      </c>
      <c r="B5" s="1" t="s">
        <v>3</v>
      </c>
      <c r="C5" s="12">
        <f>'Table-n=200-corr'!C5</f>
        <v>1.19416692405959</v>
      </c>
      <c r="D5" s="12">
        <f>'Table-n=200-corr'!D5</f>
        <v>4.1118896435690502</v>
      </c>
      <c r="E5" s="12">
        <f>'Table-n=200-corr'!E5</f>
        <v>8.6122351099882227E-2</v>
      </c>
      <c r="F5" s="12">
        <f>'Table-n=200-corr'!F5</f>
        <v>0.97993981945837505</v>
      </c>
      <c r="G5" s="12">
        <f>'Table-n=200-corr'!G5</f>
        <v>17.311056215405415</v>
      </c>
      <c r="H5" s="12">
        <f>'Table-n=200-corr'!I5</f>
        <v>1.8479751839090104</v>
      </c>
      <c r="I5" s="12"/>
      <c r="J5" s="12">
        <f>'Table-n=200-miss'!C5</f>
        <v>-2.3319635446476998</v>
      </c>
      <c r="K5" s="12">
        <f>'Table-n=200-miss'!D5</f>
        <v>5.6247503657511704</v>
      </c>
      <c r="L5" s="12">
        <f>'Table-n=200-miss'!E5</f>
        <v>1.5087671431226441</v>
      </c>
      <c r="M5" s="12">
        <f>'Table-n=200-miss'!F5</f>
        <v>0.94799999999999995</v>
      </c>
      <c r="N5" s="12">
        <f>'Table-n=200-miss'!G5</f>
        <v>16.30212810364813</v>
      </c>
      <c r="O5" s="12">
        <f>'Table-n=200-miss'!I5</f>
        <v>2.0730870819474712</v>
      </c>
      <c r="P5" s="5"/>
      <c r="Q5" s="5"/>
      <c r="R5" s="1" t="s">
        <v>3</v>
      </c>
      <c r="S5" s="7">
        <f>100*'Table-n=200-corr'!K5/SQRT(C$3)</f>
        <v>12.595134408841581</v>
      </c>
      <c r="T5" s="7">
        <f>100*SQRT('Table-n=200-corr'!L5/D$3)</f>
        <v>4.0250947817094689</v>
      </c>
      <c r="U5" s="7">
        <f>100*'Table-n=200-corr'!M5/SQRT(E$3)</f>
        <v>9.8814507373126705</v>
      </c>
      <c r="V5" s="7">
        <f>100*SQRT('Table-n=200-corr'!N5/F$3)</f>
        <v>3.3249891563551</v>
      </c>
      <c r="W5" s="7">
        <f>100*'Table-n=200-corr'!O5/SQRT(G$3)</f>
        <v>4.2573632354831634</v>
      </c>
      <c r="X5" s="7">
        <f>100*SQRT('Table-n=200-corr'!P5/H$3)</f>
        <v>1.0234710664416216</v>
      </c>
      <c r="Y5" s="12"/>
      <c r="Z5" s="7">
        <f>100*'Table-n=200-miss'!K5/SQRT(J$3)</f>
        <v>13.130585784677789</v>
      </c>
      <c r="AA5" s="7">
        <f>100*SQRT('Table-n=200-miss'!L5/K$3)</f>
        <v>4.042470233270488</v>
      </c>
      <c r="AB5" s="7">
        <f>100*'Table-n=200-miss'!M5/SQRT(L$3)</f>
        <v>9.8962435724048436</v>
      </c>
      <c r="AC5" s="7">
        <f>100*SQRT('Table-n=200-miss'!N5/M$3)</f>
        <v>3.1874369502050861</v>
      </c>
      <c r="AD5" s="7">
        <f>100*'Table-n=200-miss'!O5/SQRT(N$3)</f>
        <v>4.5072368212297986</v>
      </c>
      <c r="AE5" s="7">
        <f>100*SQRT('Table-n=200-miss'!P5/O$3)</f>
        <v>1.1026451492677347</v>
      </c>
    </row>
    <row r="6" spans="1:31" x14ac:dyDescent="0.25">
      <c r="B6" s="1" t="s">
        <v>5</v>
      </c>
      <c r="C6" s="12">
        <f>'Table-n=200-corr'!C6</f>
        <v>0.861126023932684</v>
      </c>
      <c r="D6" s="12">
        <f>'Table-n=200-corr'!D6</f>
        <v>7.3570235025251902</v>
      </c>
      <c r="E6" s="12">
        <f>'Table-n=200-corr'!E6</f>
        <v>0.27570031571599291</v>
      </c>
      <c r="F6" s="12">
        <f>'Table-n=200-corr'!F6</f>
        <v>0.98395185556669995</v>
      </c>
      <c r="G6" s="12">
        <f>'Table-n=200-corr'!G6</f>
        <v>33.842940539000182</v>
      </c>
      <c r="H6" s="12">
        <f>'Table-n=200-corr'!I6</f>
        <v>0.48351181006231242</v>
      </c>
      <c r="I6" s="12"/>
      <c r="J6" s="12">
        <f>'Table-n=200-miss'!C6</f>
        <v>-2.5115159517696699</v>
      </c>
      <c r="K6" s="12">
        <f>'Table-n=200-miss'!D6</f>
        <v>9.1921253954250908</v>
      </c>
      <c r="L6" s="12">
        <f>'Table-n=200-miss'!E6</f>
        <v>4.0294669025858987</v>
      </c>
      <c r="M6" s="12">
        <f>'Table-n=200-miss'!F6</f>
        <v>0.98799999999999999</v>
      </c>
      <c r="N6" s="12">
        <f>'Table-n=200-miss'!G6</f>
        <v>37.988046173173409</v>
      </c>
      <c r="O6" s="12">
        <f>'Table-n=200-miss'!I6</f>
        <v>0.38177917408571371</v>
      </c>
      <c r="P6" s="5"/>
      <c r="Q6" s="5"/>
      <c r="R6" s="1" t="s">
        <v>5</v>
      </c>
      <c r="S6" s="7">
        <f>100*'Table-n=200-corr'!K6/SQRT(C$3)</f>
        <v>10.590204777297735</v>
      </c>
      <c r="T6" s="7">
        <f>100*SQRT('Table-n=200-corr'!L6/D$3)</f>
        <v>3.1824968743036024</v>
      </c>
      <c r="U6" s="7">
        <f>100*'Table-n=200-corr'!M6/SQRT(E$3)</f>
        <v>8.222168637139438</v>
      </c>
      <c r="V6" s="7">
        <f>100*SQRT('Table-n=200-corr'!N6/F$3)</f>
        <v>2.5118981003666931</v>
      </c>
      <c r="W6" s="7">
        <f>100*'Table-n=200-corr'!O6/SQRT(G$3)</f>
        <v>4.2925237248878902</v>
      </c>
      <c r="X6" s="7">
        <f>100*SQRT('Table-n=200-corr'!P6/H$3)</f>
        <v>0.93709831828750234</v>
      </c>
      <c r="Y6" s="12"/>
      <c r="Z6" s="7">
        <f>100*'Table-n=200-miss'!K6/SQRT(J$3)</f>
        <v>11.158652205235789</v>
      </c>
      <c r="AA6" s="7">
        <f>100*SQRT('Table-n=200-miss'!L6/K$3)</f>
        <v>3.3021017890420037</v>
      </c>
      <c r="AB6" s="7">
        <f>100*'Table-n=200-miss'!M6/SQRT(L$3)</f>
        <v>8.4090152941773564</v>
      </c>
      <c r="AC6" s="7">
        <f>100*SQRT('Table-n=200-miss'!N6/M$3)</f>
        <v>2.5662916876418005</v>
      </c>
      <c r="AD6" s="7">
        <f>100*'Table-n=200-miss'!O6/SQRT(N$3)</f>
        <v>4.595112362925434</v>
      </c>
      <c r="AE6" s="7">
        <f>100*SQRT('Table-n=200-miss'!P6/O$3)</f>
        <v>0.97262675220257022</v>
      </c>
    </row>
    <row r="7" spans="1:31" x14ac:dyDescent="0.25">
      <c r="B7" s="1" t="s">
        <v>4</v>
      </c>
      <c r="C7" s="12">
        <f>'Table-n=200-corr'!C7</f>
        <v>0.19419406432130901</v>
      </c>
      <c r="D7" s="12">
        <f>'Table-n=200-corr'!D7</f>
        <v>3.4105744823833599</v>
      </c>
      <c r="E7" s="12">
        <f>'Table-n=200-corr'!E7</f>
        <v>5.9249958888408255E-2</v>
      </c>
      <c r="F7" s="12">
        <f>'Table-n=200-corr'!F7</f>
        <v>0.99498495486459404</v>
      </c>
      <c r="G7" s="12">
        <f>'Table-n=200-corr'!G7</f>
        <v>24.754204571330298</v>
      </c>
      <c r="H7" s="12">
        <f>'Table-n=200-corr'!I7</f>
        <v>0.90374377087483171</v>
      </c>
      <c r="I7" s="12"/>
      <c r="J7" s="12">
        <f>'Table-n=200-miss'!C7</f>
        <v>1.5259266221313399</v>
      </c>
      <c r="K7" s="12">
        <f>'Table-n=200-miss'!D7</f>
        <v>4.4617728076188303</v>
      </c>
      <c r="L7" s="12">
        <f>'Table-n=200-miss'!E7</f>
        <v>0.94935931759308512</v>
      </c>
      <c r="M7" s="12">
        <f>'Table-n=200-miss'!F7</f>
        <v>0.90800000000000003</v>
      </c>
      <c r="N7" s="12">
        <f>'Table-n=200-miss'!G7</f>
        <v>14.025362933776037</v>
      </c>
      <c r="O7" s="12">
        <f>'Table-n=200-miss'!I7</f>
        <v>2.8007731342652415</v>
      </c>
      <c r="P7" s="5"/>
      <c r="Q7" s="5"/>
      <c r="R7" s="1" t="s">
        <v>4</v>
      </c>
      <c r="S7" s="7">
        <f>100*'Table-n=200-corr'!K7/SQRT(C$3)</f>
        <v>13.983188530134205</v>
      </c>
      <c r="T7" s="7">
        <f>100*SQRT('Table-n=200-corr'!L7/D$3)</f>
        <v>4.4554370405159416</v>
      </c>
      <c r="U7" s="7">
        <f>100*'Table-n=200-corr'!M7/SQRT(E$3)</f>
        <v>11.0471329042002</v>
      </c>
      <c r="V7" s="7">
        <f>100*SQRT('Table-n=200-corr'!N7/F$3)</f>
        <v>3.7563114443734493</v>
      </c>
      <c r="W7" s="7">
        <f>100*'Table-n=200-corr'!O7/SQRT(G$3)</f>
        <v>4.4811176855772414</v>
      </c>
      <c r="X7" s="7">
        <f>100*SQRT('Table-n=200-corr'!P7/H$3)</f>
        <v>1.045512083879335</v>
      </c>
      <c r="Y7" s="12"/>
      <c r="Z7" s="7">
        <f>100*'Table-n=200-miss'!K7/SQRT(J$3)</f>
        <v>13.376842319475978</v>
      </c>
      <c r="AA7" s="7">
        <f>100*SQRT('Table-n=200-miss'!L7/K$3)</f>
        <v>4.077433390738026</v>
      </c>
      <c r="AB7" s="7">
        <f>100*'Table-n=200-miss'!M7/SQRT(L$3)</f>
        <v>9.920293115166638</v>
      </c>
      <c r="AC7" s="7">
        <f>100*SQRT('Table-n=200-miss'!N7/M$3)</f>
        <v>3.1688620230917675</v>
      </c>
      <c r="AD7" s="7">
        <f>100*'Table-n=200-miss'!O7/SQRT(N$3)</f>
        <v>4.5183968246766879</v>
      </c>
      <c r="AE7" s="7">
        <f>100*SQRT('Table-n=200-miss'!P7/O$3)</f>
        <v>1.1113433857296537</v>
      </c>
    </row>
    <row r="8" spans="1:31" x14ac:dyDescent="0.25">
      <c r="B8" s="1" t="s">
        <v>88</v>
      </c>
      <c r="C8" s="12">
        <f>'Table-n=200-corr'!C8</f>
        <v>0.77571615007821404</v>
      </c>
      <c r="D8" s="12">
        <f>'Table-n=200-corr'!D8</f>
        <v>3.2478523475240899</v>
      </c>
      <c r="E8" s="12">
        <f>'Table-n=200-corr'!E8</f>
        <v>5.3731075196495399E-2</v>
      </c>
      <c r="F8" s="12">
        <f>'Table-n=200-corr'!F8</f>
        <v>0.88164493480441297</v>
      </c>
      <c r="G8" s="12">
        <f>'Table-n=200-corr'!G8</f>
        <v>9.4217257396049252</v>
      </c>
      <c r="H8" s="12">
        <f>'Table-n=200-corr'!I8</f>
        <v>6.2385312106329716</v>
      </c>
      <c r="I8" s="12"/>
      <c r="J8" s="12">
        <f>'Table-n=200-miss'!C8</f>
        <v>-2.2479748662377701</v>
      </c>
      <c r="K8" s="12">
        <f>'Table-n=200-miss'!D8</f>
        <v>5.1019232771076499</v>
      </c>
      <c r="L8" s="12">
        <f>'Table-n=200-miss'!E8</f>
        <v>1.2413194470085789</v>
      </c>
      <c r="M8" s="12">
        <f>'Table-n=200-miss'!F8</f>
        <v>0.82399999999999995</v>
      </c>
      <c r="N8" s="12">
        <f>'Table-n=200-miss'!G8</f>
        <v>11.822570004206355</v>
      </c>
      <c r="O8" s="12">
        <f>'Table-n=200-miss'!I8</f>
        <v>3.9416890418867716</v>
      </c>
      <c r="P8" s="5"/>
      <c r="Q8" s="5"/>
      <c r="R8" s="1" t="s">
        <v>88</v>
      </c>
      <c r="S8" s="7">
        <f>100*'Table-n=200-corr'!K8/SQRT(C$3)</f>
        <v>14.102529309232374</v>
      </c>
      <c r="T8" s="7">
        <f>100*SQRT('Table-n=200-corr'!L8/D$3)</f>
        <v>4.5695426622966551</v>
      </c>
      <c r="U8" s="7">
        <f>100*'Table-n=200-corr'!M8/SQRT(E$3)</f>
        <v>11.665938752747724</v>
      </c>
      <c r="V8" s="7">
        <f>100*SQRT('Table-n=200-corr'!N8/F$3)</f>
        <v>4.0569700115723553</v>
      </c>
      <c r="W8" s="7">
        <f>100*'Table-n=200-corr'!O8/SQRT(G$3)</f>
        <v>5.5019039618876002</v>
      </c>
      <c r="X8" s="7">
        <f>100*SQRT('Table-n=200-corr'!P8/H$3)</f>
        <v>1.2734055183030504</v>
      </c>
      <c r="Y8" s="12"/>
      <c r="Z8" s="7">
        <f>100*'Table-n=200-miss'!K8/SQRT(J$3)</f>
        <v>13.360909048766576</v>
      </c>
      <c r="AA8" s="7">
        <f>100*SQRT('Table-n=200-miss'!L8/K$3)</f>
        <v>4.0452238079714764</v>
      </c>
      <c r="AB8" s="7">
        <f>100*'Table-n=200-miss'!M8/SQRT(L$3)</f>
        <v>10.29249803962764</v>
      </c>
      <c r="AC8" s="7">
        <f>100*SQRT('Table-n=200-miss'!N8/M$3)</f>
        <v>3.3167806101686694</v>
      </c>
      <c r="AD8" s="7">
        <f>100*'Table-n=200-miss'!O8/SQRT(N$3)</f>
        <v>4.9831719050806358</v>
      </c>
      <c r="AE8" s="7">
        <f>100*SQRT('Table-n=200-miss'!P8/O$3)</f>
        <v>1.0879999292995426</v>
      </c>
    </row>
    <row r="9" spans="1:31" x14ac:dyDescent="0.25">
      <c r="B9" s="1" t="s">
        <v>89</v>
      </c>
      <c r="C9" s="12">
        <f>'Table-n=200-corr'!C9</f>
        <v>3.0910755380470301</v>
      </c>
      <c r="D9" s="12">
        <f>'Table-n=200-corr'!D9</f>
        <v>14.011463884439401</v>
      </c>
      <c r="E9" s="12">
        <f>'Table-n=200-corr'!E9</f>
        <v>1</v>
      </c>
      <c r="F9" s="12">
        <f>'Table-n=200-corr'!F9</f>
        <v>0.98996990972918797</v>
      </c>
      <c r="G9" s="12">
        <f>'Table-n=200-corr'!G9</f>
        <v>23.532693268156734</v>
      </c>
      <c r="H9" s="12">
        <f>'Table-n=200-corr'!I9</f>
        <v>1</v>
      </c>
      <c r="I9" s="12"/>
      <c r="J9" s="12">
        <f>'Table-n=200-miss'!C9</f>
        <v>0.77754752114987402</v>
      </c>
      <c r="K9" s="12">
        <f>'Table-n=200-miss'!D9</f>
        <v>4.5792266940089004</v>
      </c>
      <c r="L9" s="12">
        <f>'Table-n=200-miss'!E9</f>
        <v>1</v>
      </c>
      <c r="M9" s="12">
        <f>'Table-n=200-miss'!F9</f>
        <v>0.998</v>
      </c>
      <c r="N9" s="12">
        <f>'Table-n=200-miss'!G9</f>
        <v>23.472160936982458</v>
      </c>
      <c r="O9" s="12">
        <f>'Table-n=200-miss'!I9</f>
        <v>1</v>
      </c>
      <c r="P9" s="5"/>
      <c r="Q9" s="5"/>
      <c r="R9" s="1" t="s">
        <v>89</v>
      </c>
      <c r="S9" s="7">
        <f>100*'Table-n=200-corr'!K9/SQRT(C$3)</f>
        <v>13.470034454361638</v>
      </c>
      <c r="T9" s="7">
        <f>100*SQRT('Table-n=200-corr'!L9/D$3)</f>
        <v>4.2443881726859578</v>
      </c>
      <c r="U9" s="7">
        <f>100*'Table-n=200-corr'!M9/SQRT(E$3)</f>
        <v>10.332613187007857</v>
      </c>
      <c r="V9" s="7">
        <f>100*SQRT('Table-n=200-corr'!N9/F$3)</f>
        <v>3.441730012890813</v>
      </c>
      <c r="W9" s="7">
        <f>100*'Table-n=200-corr'!O9/SQRT(G$3)</f>
        <v>4.5773873017988347</v>
      </c>
      <c r="X9" s="7">
        <f>100*SQRT('Table-n=200-corr'!P9/H$3)</f>
        <v>1.2355875111741621</v>
      </c>
      <c r="Y9" s="12"/>
      <c r="Z9" s="7">
        <f>100*'Table-n=200-miss'!K9/SQRT(J$3)</f>
        <v>13.767619828402811</v>
      </c>
      <c r="AA9" s="7">
        <f>100*SQRT('Table-n=200-miss'!L9/K$3)</f>
        <v>4.2873187759600517</v>
      </c>
      <c r="AB9" s="7">
        <f>100*'Table-n=200-miss'!M9/SQRT(L$3)</f>
        <v>10.246296392282693</v>
      </c>
      <c r="AC9" s="7">
        <f>100*SQRT('Table-n=200-miss'!N9/M$3)</f>
        <v>3.3358499282747944</v>
      </c>
      <c r="AD9" s="7">
        <f>100*'Table-n=200-miss'!O9/SQRT(N$3)</f>
        <v>4.528520060864663</v>
      </c>
      <c r="AE9" s="7">
        <f>100*SQRT('Table-n=200-miss'!P9/O$3)</f>
        <v>1.1306215852443955</v>
      </c>
    </row>
    <row r="10" spans="1:31" s="3" customFormat="1" x14ac:dyDescent="0.25">
      <c r="B10" s="3" t="s">
        <v>2</v>
      </c>
      <c r="C10" s="14">
        <f>'Table-n=200-corr'!C10</f>
        <v>0.80345299197272302</v>
      </c>
      <c r="D10" s="14">
        <f>'Table-n=200-corr'!D10</f>
        <v>3.7134748479485502</v>
      </c>
      <c r="E10" s="14">
        <f>'Table-n=200-corr'!E10</f>
        <v>7.0241527928097389E-2</v>
      </c>
      <c r="F10" s="14">
        <f>'Table-n=200-corr'!F10</f>
        <v>0.95687061183550604</v>
      </c>
      <c r="G10" s="14">
        <f>'Table-n=200-corr'!G10</f>
        <v>13.252500426644792</v>
      </c>
      <c r="H10" s="14">
        <f>'Table-n=200-corr'!I10</f>
        <v>3.1531716594752646</v>
      </c>
      <c r="I10" s="14"/>
      <c r="J10" s="14">
        <f>'Table-n=200-miss'!C10</f>
        <v>-3.6648717561309301</v>
      </c>
      <c r="K10" s="14">
        <f>'Table-n=200-miss'!D10</f>
        <v>10.0912605562149</v>
      </c>
      <c r="L10" s="14">
        <f>'Table-n=200-miss'!E10</f>
        <v>4.856311679314218</v>
      </c>
      <c r="M10" s="14">
        <f>'Table-n=200-miss'!F10</f>
        <v>0.94599999999999995</v>
      </c>
      <c r="N10" s="14">
        <f>'Table-n=200-miss'!G10</f>
        <v>22.530988140184881</v>
      </c>
      <c r="O10" s="14">
        <f>'Table-n=200-miss'!I10</f>
        <v>1.0852896730907793</v>
      </c>
      <c r="P10" s="13"/>
      <c r="Q10" s="13"/>
      <c r="R10" s="3" t="s">
        <v>2</v>
      </c>
      <c r="S10" s="7">
        <f>100*'Table-n=200-corr'!K10/SQRT(C$3)</f>
        <v>15.053473019002501</v>
      </c>
      <c r="T10" s="7">
        <f>100*SQRT('Table-n=200-corr'!L10/D$3)</f>
        <v>5.0913217262227306</v>
      </c>
      <c r="U10" s="7">
        <f>100*'Table-n=200-corr'!M10/SQRT(E$3)</f>
        <v>12.615763512070618</v>
      </c>
      <c r="V10" s="7">
        <f>100*SQRT('Table-n=200-corr'!N10/F$3)</f>
        <v>4.5427272466189512</v>
      </c>
      <c r="W10" s="7">
        <f>100*'Table-n=200-corr'!O10/SQRT(G$3)</f>
        <v>4.6519917055247948</v>
      </c>
      <c r="X10" s="7">
        <f>100*SQRT('Table-n=200-corr'!P10/H$3)</f>
        <v>1.0599134432661423</v>
      </c>
      <c r="Y10" s="14"/>
      <c r="Z10" s="7">
        <f>100*'Table-n=200-miss'!K10/SQRT(J$3)</f>
        <v>13.793880204036235</v>
      </c>
      <c r="AA10" s="7">
        <f>100*SQRT('Table-n=200-miss'!L10/K$3)</f>
        <v>4.1808883714453255</v>
      </c>
      <c r="AB10" s="7">
        <f>100*'Table-n=200-miss'!M10/SQRT(L$3)</f>
        <v>10.524400538795286</v>
      </c>
      <c r="AC10" s="7">
        <f>100*SQRT('Table-n=200-miss'!N10/M$3)</f>
        <v>3.4302315935390064</v>
      </c>
      <c r="AD10" s="7">
        <f>100*'Table-n=200-miss'!O10/SQRT(N$3)</f>
        <v>5.4270064477549607</v>
      </c>
      <c r="AE10" s="7">
        <f>100*SQRT('Table-n=200-miss'!P10/O$3)</f>
        <v>1.2024312953113954</v>
      </c>
    </row>
    <row r="11" spans="1:31" s="4" customFormat="1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 t="s">
        <v>219</v>
      </c>
      <c r="T11" s="16"/>
      <c r="U11" s="16"/>
      <c r="V11" s="16"/>
      <c r="W11" s="16"/>
      <c r="X11" s="16"/>
      <c r="Y11" s="7"/>
      <c r="Z11" s="16" t="s">
        <v>219</v>
      </c>
      <c r="AA11" s="16"/>
      <c r="AB11" s="16"/>
      <c r="AC11" s="16"/>
      <c r="AD11" s="16"/>
      <c r="AE11" s="16"/>
    </row>
    <row r="12" spans="1:31" x14ac:dyDescent="0.25">
      <c r="A12" s="2" t="s">
        <v>206</v>
      </c>
      <c r="B12" s="1" t="s">
        <v>3</v>
      </c>
      <c r="C12" s="12">
        <f>'Table-n=200-corr'!C12</f>
        <v>0.62734029039273498</v>
      </c>
      <c r="D12" s="12">
        <f>'Table-n=200-corr'!D12</f>
        <v>2.7841901267522302</v>
      </c>
      <c r="E12" s="12">
        <f>'Table-n=200-corr'!E12</f>
        <v>0.90797260603439855</v>
      </c>
      <c r="F12" s="12">
        <f>'Table-n=200-corr'!F12</f>
        <v>0.84353059177532597</v>
      </c>
      <c r="G12" s="12">
        <f>'Table-n=200-corr'!G12</f>
        <v>8.4264238601180779</v>
      </c>
      <c r="H12" s="12">
        <f>'Table-n=200-corr'!I12</f>
        <v>2.1448933828724015</v>
      </c>
      <c r="I12" s="12"/>
      <c r="J12" s="12">
        <f>'Table-n=200-miss'!C12</f>
        <v>1.11746315336378</v>
      </c>
      <c r="K12" s="12">
        <f>'Table-n=200-miss'!D12</f>
        <v>2.69661751750614</v>
      </c>
      <c r="L12" s="12">
        <f>'Table-n=200-miss'!E12</f>
        <v>0.88841049964864505</v>
      </c>
      <c r="M12" s="12">
        <f>'Table-n=200-miss'!F12</f>
        <v>0.88500000000000001</v>
      </c>
      <c r="N12" s="12">
        <f>'Table-n=200-miss'!G12</f>
        <v>8.978711181174015</v>
      </c>
      <c r="O12" s="12">
        <f>'Table-n=200-miss'!I12</f>
        <v>1.3877432493718356</v>
      </c>
      <c r="P12" s="5"/>
      <c r="Q12" s="5"/>
      <c r="R12" s="1" t="s">
        <v>3</v>
      </c>
      <c r="S12" s="15">
        <f>100*S5/S$9</f>
        <v>93.504841813995796</v>
      </c>
      <c r="T12" s="15">
        <f t="shared" ref="T12:X12" si="0">100*T5/T$9</f>
        <v>94.833333284931044</v>
      </c>
      <c r="U12" s="15">
        <f t="shared" si="0"/>
        <v>95.633607476349994</v>
      </c>
      <c r="V12" s="15">
        <f t="shared" si="0"/>
        <v>96.608076284355064</v>
      </c>
      <c r="W12" s="15">
        <f t="shared" si="0"/>
        <v>93.008586662747391</v>
      </c>
      <c r="X12" s="15">
        <f t="shared" si="0"/>
        <v>82.832746137829673</v>
      </c>
      <c r="Y12" s="12"/>
      <c r="Z12" s="15">
        <f>100*Z5/Z$9</f>
        <v>95.372954427381771</v>
      </c>
      <c r="AA12" s="15">
        <f t="shared" ref="AA12:AE12" si="1">100*AA5/AA$9</f>
        <v>94.28900542543083</v>
      </c>
      <c r="AB12" s="15">
        <f t="shared" si="1"/>
        <v>96.583616104044182</v>
      </c>
      <c r="AC12" s="15">
        <f t="shared" si="1"/>
        <v>95.550969580143445</v>
      </c>
      <c r="AD12" s="15">
        <f t="shared" si="1"/>
        <v>99.530017768524573</v>
      </c>
      <c r="AE12" s="15">
        <f t="shared" si="1"/>
        <v>97.525570328589353</v>
      </c>
    </row>
    <row r="13" spans="1:31" x14ac:dyDescent="0.25">
      <c r="B13" s="1" t="s">
        <v>5</v>
      </c>
      <c r="C13" s="12">
        <f>'Table-n=200-corr'!C13</f>
        <v>1.2609266438876701</v>
      </c>
      <c r="D13" s="12">
        <f>'Table-n=200-corr'!D13</f>
        <v>2.8741403717019001</v>
      </c>
      <c r="E13" s="12">
        <f>'Table-n=200-corr'!E13</f>
        <v>0.96758898977927699</v>
      </c>
      <c r="F13" s="12">
        <f>'Table-n=200-corr'!F13</f>
        <v>0.86559679037111303</v>
      </c>
      <c r="G13" s="12">
        <f>'Table-n=200-corr'!G13</f>
        <v>9.1902059709285577</v>
      </c>
      <c r="H13" s="12">
        <f>'Table-n=200-corr'!I13</f>
        <v>1.8031913751282931</v>
      </c>
      <c r="I13" s="12"/>
      <c r="J13" s="12">
        <f>'Table-n=200-miss'!C13</f>
        <v>1.3020256134456401</v>
      </c>
      <c r="K13" s="12">
        <f>'Table-n=200-miss'!D13</f>
        <v>2.84020186384546</v>
      </c>
      <c r="L13" s="12">
        <f>'Table-n=200-miss'!E13</f>
        <v>0.98553804912537901</v>
      </c>
      <c r="M13" s="12">
        <f>'Table-n=200-miss'!F13</f>
        <v>0.88300000000000001</v>
      </c>
      <c r="N13" s="12">
        <f>'Table-n=200-miss'!G13</f>
        <v>10.048918391911705</v>
      </c>
      <c r="O13" s="12">
        <f>'Table-n=200-miss'!I13</f>
        <v>1.1078947092670699</v>
      </c>
      <c r="P13" s="5"/>
      <c r="Q13" s="5"/>
      <c r="R13" s="1" t="s">
        <v>5</v>
      </c>
      <c r="S13" s="15">
        <f t="shared" ref="S13:X13" si="2">100*S6/S$9</f>
        <v>78.620472821942897</v>
      </c>
      <c r="T13" s="15">
        <f t="shared" si="2"/>
        <v>74.981286932802774</v>
      </c>
      <c r="U13" s="15">
        <f t="shared" si="2"/>
        <v>79.574919609667816</v>
      </c>
      <c r="V13" s="15">
        <f t="shared" si="2"/>
        <v>72.98358938552748</v>
      </c>
      <c r="W13" s="15">
        <f t="shared" si="2"/>
        <v>93.776721126503801</v>
      </c>
      <c r="X13" s="15">
        <f t="shared" si="2"/>
        <v>75.842326813176555</v>
      </c>
      <c r="Y13" s="12"/>
      <c r="Z13" s="15">
        <f t="shared" ref="Z13:AE13" si="3">100*Z6/Z$9</f>
        <v>81.049973374593904</v>
      </c>
      <c r="AA13" s="15">
        <f t="shared" si="3"/>
        <v>77.020206837840504</v>
      </c>
      <c r="AB13" s="15">
        <f t="shared" si="3"/>
        <v>82.068827332682474</v>
      </c>
      <c r="AC13" s="15">
        <f t="shared" si="3"/>
        <v>76.930669629044516</v>
      </c>
      <c r="AD13" s="15">
        <f t="shared" si="3"/>
        <v>101.47050915455272</v>
      </c>
      <c r="AE13" s="15">
        <f t="shared" si="3"/>
        <v>86.025843208391152</v>
      </c>
    </row>
    <row r="14" spans="1:31" x14ac:dyDescent="0.25">
      <c r="B14" s="1" t="s">
        <v>4</v>
      </c>
      <c r="C14" s="12">
        <f>'Table-n=200-corr'!C14</f>
        <v>0.30694641452451099</v>
      </c>
      <c r="D14" s="12">
        <f>'Table-n=200-corr'!D14</f>
        <v>3.1449034222429799</v>
      </c>
      <c r="E14" s="12">
        <f>'Table-n=200-corr'!E14</f>
        <v>1.1584828100509239</v>
      </c>
      <c r="F14" s="12">
        <f>'Table-n=200-corr'!F14</f>
        <v>0.84553660982948797</v>
      </c>
      <c r="G14" s="12">
        <f>'Table-n=200-corr'!G14</f>
        <v>8.690789724601661</v>
      </c>
      <c r="H14" s="12">
        <f>'Table-n=200-corr'!I14</f>
        <v>2.0163867122150179</v>
      </c>
      <c r="I14" s="12"/>
      <c r="J14" s="12">
        <f>'Table-n=200-miss'!C14</f>
        <v>1.47690193964645</v>
      </c>
      <c r="K14" s="12">
        <f>'Table-n=200-miss'!D14</f>
        <v>2.7249346519634501</v>
      </c>
      <c r="L14" s="12">
        <f>'Table-n=200-miss'!E14</f>
        <v>0.90716683218674021</v>
      </c>
      <c r="M14" s="12">
        <f>'Table-n=200-miss'!F14</f>
        <v>0.85599999999999998</v>
      </c>
      <c r="N14" s="12">
        <f>'Table-n=200-miss'!G14</f>
        <v>8.6345684288353723</v>
      </c>
      <c r="O14" s="12">
        <f>'Table-n=200-miss'!I14</f>
        <v>1.5005686045629667</v>
      </c>
      <c r="P14" s="5"/>
      <c r="Q14" s="5"/>
      <c r="R14" s="1" t="s">
        <v>4</v>
      </c>
      <c r="S14" s="15">
        <f t="shared" ref="S14:X14" si="4">100*S7/S$9</f>
        <v>103.80959735115158</v>
      </c>
      <c r="T14" s="15">
        <f t="shared" si="4"/>
        <v>104.97242144788153</v>
      </c>
      <c r="U14" s="15">
        <f t="shared" si="4"/>
        <v>106.9151888710087</v>
      </c>
      <c r="V14" s="15">
        <f t="shared" si="4"/>
        <v>109.14021234391973</v>
      </c>
      <c r="W14" s="15">
        <f t="shared" si="4"/>
        <v>97.896843551259892</v>
      </c>
      <c r="X14" s="15">
        <f t="shared" si="4"/>
        <v>84.616595297713801</v>
      </c>
      <c r="Y14" s="12"/>
      <c r="Z14" s="15">
        <f t="shared" ref="Z14:AE14" si="5">100*Z7/Z$9</f>
        <v>97.161618974104343</v>
      </c>
      <c r="AA14" s="15">
        <f t="shared" si="5"/>
        <v>95.104507124618308</v>
      </c>
      <c r="AB14" s="15">
        <f t="shared" si="5"/>
        <v>96.818330598345824</v>
      </c>
      <c r="AC14" s="15">
        <f t="shared" si="5"/>
        <v>94.994142159464928</v>
      </c>
      <c r="AD14" s="15">
        <f t="shared" si="5"/>
        <v>99.776455971224252</v>
      </c>
      <c r="AE14" s="15">
        <f t="shared" si="5"/>
        <v>98.29490257692413</v>
      </c>
    </row>
    <row r="15" spans="1:31" x14ac:dyDescent="0.25">
      <c r="B15" s="1" t="s">
        <v>88</v>
      </c>
      <c r="C15" s="12">
        <f>'Table-n=200-corr'!C15</f>
        <v>0.44752788964470602</v>
      </c>
      <c r="D15" s="12">
        <f>'Table-n=200-corr'!D15</f>
        <v>3.6806419953010199</v>
      </c>
      <c r="E15" s="12">
        <f>'Table-n=200-corr'!E15</f>
        <v>1.5867997441593933</v>
      </c>
      <c r="F15" s="12">
        <f>'Table-n=200-corr'!F15</f>
        <v>0.83350050150451305</v>
      </c>
      <c r="G15" s="12">
        <f>'Table-n=200-corr'!G15</f>
        <v>9.4919309465076562</v>
      </c>
      <c r="H15" s="12">
        <f>'Table-n=200-corr'!I15</f>
        <v>1.6903754282881358</v>
      </c>
      <c r="I15" s="12"/>
      <c r="J15" s="12">
        <f>'Table-n=200-miss'!C15</f>
        <v>1.2492467067326301</v>
      </c>
      <c r="K15" s="12">
        <f>'Table-n=200-miss'!D15</f>
        <v>2.82652333142636</v>
      </c>
      <c r="L15" s="12">
        <f>'Table-n=200-miss'!E15</f>
        <v>0.97606812201818094</v>
      </c>
      <c r="M15" s="12">
        <f>'Table-n=200-miss'!F15</f>
        <v>0.88200000000000001</v>
      </c>
      <c r="N15" s="12">
        <f>'Table-n=200-miss'!G15</f>
        <v>9.4708897788989219</v>
      </c>
      <c r="O15" s="12">
        <f>'Table-n=200-miss'!I15</f>
        <v>1.2472558863986623</v>
      </c>
      <c r="P15" s="5"/>
      <c r="Q15" s="5"/>
      <c r="R15" s="1" t="s">
        <v>88</v>
      </c>
      <c r="S15" s="15">
        <f t="shared" ref="S15:X15" si="6">100*S8/S$9</f>
        <v>104.69556968850908</v>
      </c>
      <c r="T15" s="15">
        <f t="shared" si="6"/>
        <v>107.66080943546055</v>
      </c>
      <c r="U15" s="15">
        <f t="shared" si="6"/>
        <v>112.90404993981949</v>
      </c>
      <c r="V15" s="15">
        <f t="shared" si="6"/>
        <v>117.87589370395686</v>
      </c>
      <c r="W15" s="15">
        <f t="shared" si="6"/>
        <v>120.19747509076731</v>
      </c>
      <c r="X15" s="15">
        <f t="shared" si="6"/>
        <v>103.06073076871344</v>
      </c>
      <c r="Y15" s="12"/>
      <c r="Z15" s="15">
        <f t="shared" ref="Z15:AE15" si="7">100*Z8/Z$9</f>
        <v>97.045888943002439</v>
      </c>
      <c r="AA15" s="15">
        <f t="shared" si="7"/>
        <v>94.353231456777706</v>
      </c>
      <c r="AB15" s="15">
        <f t="shared" si="7"/>
        <v>100.45091070545007</v>
      </c>
      <c r="AC15" s="15">
        <f t="shared" si="7"/>
        <v>99.428352038726544</v>
      </c>
      <c r="AD15" s="15">
        <f t="shared" si="7"/>
        <v>110.03974451046514</v>
      </c>
      <c r="AE15" s="15">
        <f t="shared" si="7"/>
        <v>96.230245689530165</v>
      </c>
    </row>
    <row r="16" spans="1:31" x14ac:dyDescent="0.25">
      <c r="B16" s="1" t="s">
        <v>89</v>
      </c>
      <c r="C16" s="12">
        <f>'Table-n=200-corr'!C16</f>
        <v>1.11653262107772</v>
      </c>
      <c r="D16" s="12">
        <f>'Table-n=200-corr'!D16</f>
        <v>2.9218809445650402</v>
      </c>
      <c r="E16" s="12">
        <f>'Table-n=200-corr'!E16</f>
        <v>1</v>
      </c>
      <c r="F16" s="12">
        <f>'Table-n=200-corr'!F16</f>
        <v>0.92377131394182499</v>
      </c>
      <c r="G16" s="12">
        <f>'Table-n=200-corr'!G16</f>
        <v>12.340880746421879</v>
      </c>
      <c r="H16" s="12">
        <f>'Table-n=200-corr'!I16</f>
        <v>1</v>
      </c>
      <c r="I16" s="12"/>
      <c r="J16" s="12">
        <f>'Table-n=200-miss'!C16</f>
        <v>1.6154936347218201</v>
      </c>
      <c r="K16" s="12">
        <f>'Table-n=200-miss'!D16</f>
        <v>2.86096477125822</v>
      </c>
      <c r="L16" s="12">
        <f>'Table-n=200-miss'!E16</f>
        <v>1</v>
      </c>
      <c r="M16" s="12">
        <f>'Table-n=200-miss'!F16</f>
        <v>0.89100000000000001</v>
      </c>
      <c r="N16" s="12">
        <f>'Table-n=200-miss'!G16</f>
        <v>10.577147568247709</v>
      </c>
      <c r="O16" s="12">
        <f>'Table-n=200-miss'!I16</f>
        <v>1</v>
      </c>
      <c r="P16" s="5"/>
      <c r="Q16" s="5"/>
      <c r="R16" s="1" t="s">
        <v>89</v>
      </c>
      <c r="S16" s="15">
        <f t="shared" ref="S16:X16" si="8">100*S9/S$9</f>
        <v>100.00000000000001</v>
      </c>
      <c r="T16" s="15">
        <f t="shared" si="8"/>
        <v>100</v>
      </c>
      <c r="U16" s="15">
        <f t="shared" si="8"/>
        <v>100.00000000000001</v>
      </c>
      <c r="V16" s="15">
        <f t="shared" si="8"/>
        <v>100</v>
      </c>
      <c r="W16" s="15">
        <f t="shared" si="8"/>
        <v>100</v>
      </c>
      <c r="X16" s="15">
        <f t="shared" si="8"/>
        <v>100</v>
      </c>
      <c r="Y16" s="12"/>
      <c r="Z16" s="15">
        <f t="shared" ref="Z16:AE16" si="9">100*Z9/Z$9</f>
        <v>99.999999999999986</v>
      </c>
      <c r="AA16" s="15">
        <f t="shared" si="9"/>
        <v>100</v>
      </c>
      <c r="AB16" s="15">
        <f t="shared" si="9"/>
        <v>100</v>
      </c>
      <c r="AC16" s="15">
        <f t="shared" si="9"/>
        <v>100</v>
      </c>
      <c r="AD16" s="15">
        <f t="shared" si="9"/>
        <v>100</v>
      </c>
      <c r="AE16" s="15">
        <f t="shared" si="9"/>
        <v>100</v>
      </c>
    </row>
    <row r="17" spans="1:31" s="3" customFormat="1" x14ac:dyDescent="0.25">
      <c r="B17" s="3" t="s">
        <v>2</v>
      </c>
      <c r="C17" s="14">
        <f>'Table-n=200-corr'!C17</f>
        <v>0.47733014588295303</v>
      </c>
      <c r="D17" s="14">
        <f>'Table-n=200-corr'!D17</f>
        <v>3.7451457821673699</v>
      </c>
      <c r="E17" s="14">
        <f>'Table-n=200-corr'!E17</f>
        <v>1.6429048922269225</v>
      </c>
      <c r="F17" s="14">
        <f>'Table-n=200-corr'!F17</f>
        <v>0.872617853560682</v>
      </c>
      <c r="G17" s="14">
        <f>'Table-n=200-corr'!G17</f>
        <v>11.689062283014202</v>
      </c>
      <c r="H17" s="14">
        <f>'Table-n=200-corr'!I17</f>
        <v>1.114635743989443</v>
      </c>
      <c r="I17" s="14"/>
      <c r="J17" s="14">
        <f>'Table-n=200-miss'!C17</f>
        <v>1.24302079391077</v>
      </c>
      <c r="K17" s="14">
        <f>'Table-n=200-miss'!D17</f>
        <v>3.3103762480437799</v>
      </c>
      <c r="L17" s="14">
        <f>'Table-n=200-miss'!E17</f>
        <v>1.3388431296003214</v>
      </c>
      <c r="M17" s="14">
        <f>'Table-n=200-miss'!F17</f>
        <v>0.89300000000000002</v>
      </c>
      <c r="N17" s="14">
        <f>'Table-n=200-miss'!G17</f>
        <v>10.608711636463065</v>
      </c>
      <c r="O17" s="14">
        <f>'Table-n=200-miss'!I17</f>
        <v>0.99405825833405914</v>
      </c>
      <c r="P17" s="13"/>
      <c r="Q17" s="13"/>
      <c r="R17" s="3" t="s">
        <v>2</v>
      </c>
      <c r="S17" s="15">
        <f t="shared" ref="S17:X17" si="10">100*S10/S$9</f>
        <v>111.75526736776936</v>
      </c>
      <c r="T17" s="15">
        <f t="shared" si="10"/>
        <v>119.95419643724084</v>
      </c>
      <c r="U17" s="15">
        <f t="shared" si="10"/>
        <v>122.09654308876651</v>
      </c>
      <c r="V17" s="15">
        <f t="shared" si="10"/>
        <v>131.98964560277571</v>
      </c>
      <c r="W17" s="15">
        <f t="shared" si="10"/>
        <v>101.62984687130674</v>
      </c>
      <c r="X17" s="15">
        <f t="shared" si="10"/>
        <v>85.782142800951505</v>
      </c>
      <c r="Y17" s="14"/>
      <c r="Z17" s="15">
        <f t="shared" ref="Z17:AE17" si="11">100*Z10/Z$9</f>
        <v>100.19074012763809</v>
      </c>
      <c r="AA17" s="15">
        <f t="shared" si="11"/>
        <v>97.517553275685842</v>
      </c>
      <c r="AB17" s="15">
        <f t="shared" si="11"/>
        <v>102.71419189788473</v>
      </c>
      <c r="AC17" s="15">
        <f t="shared" si="11"/>
        <v>102.82931388682175</v>
      </c>
      <c r="AD17" s="15">
        <f t="shared" si="11"/>
        <v>119.8406184540285</v>
      </c>
      <c r="AE17" s="15">
        <f t="shared" si="11"/>
        <v>106.35134787838651</v>
      </c>
    </row>
    <row r="18" spans="1:31" s="4" customFormat="1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25">
      <c r="A19" s="2" t="s">
        <v>59</v>
      </c>
      <c r="B19" s="1" t="s">
        <v>3</v>
      </c>
      <c r="C19" s="12">
        <f>'Table-n=200-corr'!C19</f>
        <v>0.21513454607143301</v>
      </c>
      <c r="D19" s="12">
        <f>'Table-n=200-corr'!D19</f>
        <v>1.7106705076087001</v>
      </c>
      <c r="E19" s="12">
        <f>'Table-n=200-corr'!E19</f>
        <v>0.62021881164553316</v>
      </c>
      <c r="F19" s="12">
        <f>'Table-n=200-corr'!F19</f>
        <v>0.96890672016048096</v>
      </c>
      <c r="G19" s="12">
        <f>'Table-n=200-corr'!G19</f>
        <v>7.5064030408908726</v>
      </c>
      <c r="H19" s="12">
        <f>'Table-n=200-corr'!I19</f>
        <v>2.6197699571961266</v>
      </c>
      <c r="I19" s="12"/>
      <c r="J19" s="12">
        <f>'Table-n=200-miss'!C19</f>
        <v>0.66682008986696595</v>
      </c>
      <c r="K19" s="12">
        <f>'Table-n=200-miss'!D19</f>
        <v>1.85451422536889</v>
      </c>
      <c r="L19" s="12">
        <f>'Table-n=200-miss'!E19</f>
        <v>0.64583699707986275</v>
      </c>
      <c r="M19" s="12">
        <f>'Table-n=200-miss'!F19</f>
        <v>0.96899999999999997</v>
      </c>
      <c r="N19" s="12">
        <f>'Table-n=200-miss'!G19</f>
        <v>8.1259595528566244</v>
      </c>
      <c r="O19" s="12">
        <f>'Table-n=200-miss'!I19</f>
        <v>1.6532434175235406</v>
      </c>
      <c r="P19" s="5"/>
      <c r="Q19" s="5"/>
      <c r="Y19" s="12"/>
    </row>
    <row r="20" spans="1:31" x14ac:dyDescent="0.25">
      <c r="B20" s="1" t="s">
        <v>5</v>
      </c>
      <c r="C20" s="12">
        <f>'Table-n=200-corr'!C20</f>
        <v>0.87557203197785105</v>
      </c>
      <c r="D20" s="12">
        <f>'Table-n=200-corr'!D20</f>
        <v>2.08691478819228</v>
      </c>
      <c r="E20" s="12">
        <f>'Table-n=200-corr'!E20</f>
        <v>0.92304235877728225</v>
      </c>
      <c r="F20" s="12">
        <f>'Table-n=200-corr'!F20</f>
        <v>0.96690070210631895</v>
      </c>
      <c r="G20" s="12">
        <f>'Table-n=200-corr'!G20</f>
        <v>9.2927407216585696</v>
      </c>
      <c r="H20" s="12">
        <f>'Table-n=200-corr'!I20</f>
        <v>1.7093825884535763</v>
      </c>
      <c r="I20" s="12"/>
      <c r="J20" s="12">
        <f>'Table-n=200-miss'!C20</f>
        <v>0.92232185708585201</v>
      </c>
      <c r="K20" s="12">
        <f>'Table-n=200-miss'!D20</f>
        <v>2.19346128729488</v>
      </c>
      <c r="L20" s="12">
        <f>'Table-n=200-miss'!E20</f>
        <v>0.90348829378099293</v>
      </c>
      <c r="M20" s="12">
        <f>'Table-n=200-miss'!F20</f>
        <v>0.97699999999999998</v>
      </c>
      <c r="N20" s="12">
        <f>'Table-n=200-miss'!G20</f>
        <v>10.131999471429776</v>
      </c>
      <c r="O20" s="12">
        <f>'Table-n=200-miss'!I20</f>
        <v>1.063397898839499</v>
      </c>
      <c r="P20" s="5"/>
      <c r="Q20" s="5"/>
      <c r="Y20" s="12"/>
    </row>
    <row r="21" spans="1:31" x14ac:dyDescent="0.25">
      <c r="B21" s="1" t="s">
        <v>4</v>
      </c>
      <c r="C21" s="12">
        <f>'Table-n=200-corr'!C21</f>
        <v>0.22348567789648399</v>
      </c>
      <c r="D21" s="12">
        <f>'Table-n=200-corr'!D21</f>
        <v>1.86381513120415</v>
      </c>
      <c r="E21" s="12">
        <f>'Table-n=200-corr'!E21</f>
        <v>0.73623738202587574</v>
      </c>
      <c r="F21" s="12">
        <f>'Table-n=200-corr'!F21</f>
        <v>0.94884653961885701</v>
      </c>
      <c r="G21" s="12">
        <f>'Table-n=200-corr'!G21</f>
        <v>7.5304250499962997</v>
      </c>
      <c r="H21" s="12">
        <f>'Table-n=200-corr'!I21</f>
        <v>2.6030825163718525</v>
      </c>
      <c r="I21" s="12"/>
      <c r="J21" s="12">
        <f>'Table-n=200-miss'!C21</f>
        <v>1.1668539254725501</v>
      </c>
      <c r="K21" s="12">
        <f>'Table-n=200-miss'!D21</f>
        <v>2.09369672786731</v>
      </c>
      <c r="L21" s="12">
        <f>'Table-n=200-miss'!E21</f>
        <v>0.8231711303445346</v>
      </c>
      <c r="M21" s="12">
        <f>'Table-n=200-miss'!F21</f>
        <v>0.94099999999999995</v>
      </c>
      <c r="N21" s="12">
        <f>'Table-n=200-miss'!G21</f>
        <v>7.9539020038183388</v>
      </c>
      <c r="O21" s="12">
        <f>'Table-n=200-miss'!I21</f>
        <v>1.7255424303830131</v>
      </c>
      <c r="P21" s="5"/>
      <c r="Q21" s="5"/>
      <c r="Y21" s="12"/>
    </row>
    <row r="22" spans="1:31" x14ac:dyDescent="0.25">
      <c r="B22" s="1" t="s">
        <v>88</v>
      </c>
      <c r="C22" s="12">
        <f>'Table-n=200-corr'!C22</f>
        <v>0.28855951828913901</v>
      </c>
      <c r="D22" s="12">
        <f>'Table-n=200-corr'!D22</f>
        <v>2.09935266623499</v>
      </c>
      <c r="E22" s="12">
        <f>'Table-n=200-corr'!E22</f>
        <v>0.93407769230802928</v>
      </c>
      <c r="F22" s="12">
        <f>'Table-n=200-corr'!F22</f>
        <v>0.93179538615847501</v>
      </c>
      <c r="G22" s="12">
        <f>'Table-n=200-corr'!G22</f>
        <v>8.2220603628703017</v>
      </c>
      <c r="H22" s="12">
        <f>'Table-n=200-corr'!I22</f>
        <v>2.1835623341882613</v>
      </c>
      <c r="I22" s="12"/>
      <c r="J22" s="12">
        <f>'Table-n=200-miss'!C22</f>
        <v>0.75898832663592097</v>
      </c>
      <c r="K22" s="12">
        <f>'Table-n=200-miss'!D22</f>
        <v>1.95182843473874</v>
      </c>
      <c r="L22" s="12">
        <f>'Table-n=200-miss'!E22</f>
        <v>0.715394938918545</v>
      </c>
      <c r="M22" s="12">
        <f>'Table-n=200-miss'!F22</f>
        <v>0.96799999999999997</v>
      </c>
      <c r="N22" s="12">
        <f>'Table-n=200-miss'!G22</f>
        <v>8.5007298641639384</v>
      </c>
      <c r="O22" s="12">
        <f>'Table-n=200-miss'!I22</f>
        <v>1.5106841894094714</v>
      </c>
      <c r="P22" s="5"/>
      <c r="Q22" s="5"/>
      <c r="Y22" s="12"/>
    </row>
    <row r="23" spans="1:31" x14ac:dyDescent="0.25">
      <c r="B23" s="1" t="s">
        <v>89</v>
      </c>
      <c r="C23" s="12">
        <f>'Table-n=200-corr'!C23</f>
        <v>0.92471616859258898</v>
      </c>
      <c r="D23" s="12">
        <f>'Table-n=200-corr'!D23</f>
        <v>2.1721704476518799</v>
      </c>
      <c r="E23" s="12">
        <f>'Table-n=200-corr'!E23</f>
        <v>1</v>
      </c>
      <c r="F23" s="12">
        <f>'Table-n=200-corr'!F23</f>
        <v>0.982948846539619</v>
      </c>
      <c r="G23" s="12">
        <f>'Table-n=200-corr'!G23</f>
        <v>12.149641349128922</v>
      </c>
      <c r="H23" s="12">
        <f>'Table-n=200-corr'!I23</f>
        <v>1</v>
      </c>
      <c r="I23" s="12"/>
      <c r="J23" s="12">
        <f>'Table-n=200-miss'!C23</f>
        <v>1.3790175823052899</v>
      </c>
      <c r="K23" s="12">
        <f>'Table-n=200-miss'!D23</f>
        <v>2.3076434571740201</v>
      </c>
      <c r="L23" s="12">
        <f>'Table-n=200-miss'!E23</f>
        <v>1</v>
      </c>
      <c r="M23" s="12">
        <f>'Table-n=200-miss'!F23</f>
        <v>0.97599999999999998</v>
      </c>
      <c r="N23" s="12">
        <f>'Table-n=200-miss'!G23</f>
        <v>10.448238013745538</v>
      </c>
      <c r="O23" s="12">
        <f>'Table-n=200-miss'!I23</f>
        <v>1</v>
      </c>
      <c r="P23" s="5"/>
      <c r="Q23" s="5"/>
      <c r="Y23" s="12"/>
    </row>
    <row r="24" spans="1:31" s="3" customFormat="1" x14ac:dyDescent="0.25">
      <c r="B24" s="3" t="s">
        <v>2</v>
      </c>
      <c r="C24" s="14">
        <f>'Table-n=200-corr'!C24</f>
        <v>0.21236124417129101</v>
      </c>
      <c r="D24" s="14">
        <f>'Table-n=200-corr'!D24</f>
        <v>2.5643456566094698</v>
      </c>
      <c r="E24" s="14">
        <f>'Table-n=200-corr'!E24</f>
        <v>1.3936872529997109</v>
      </c>
      <c r="F24" s="14">
        <f>'Table-n=200-corr'!F24</f>
        <v>0.95285857572718202</v>
      </c>
      <c r="G24" s="14">
        <f>'Table-n=200-corr'!G24</f>
        <v>10.464190768557609</v>
      </c>
      <c r="H24" s="14">
        <f>'Table-n=200-corr'!I24</f>
        <v>1.3480798552614803</v>
      </c>
      <c r="I24" s="14"/>
      <c r="J24" s="14">
        <f>'Table-n=200-miss'!C24</f>
        <v>0.77976267776583397</v>
      </c>
      <c r="K24" s="14">
        <f>'Table-n=200-miss'!D24</f>
        <v>2.0602236566025902</v>
      </c>
      <c r="L24" s="14">
        <f>'Table-n=200-miss'!E24</f>
        <v>0.79706056274712167</v>
      </c>
      <c r="M24" s="14">
        <f>'Table-n=200-miss'!F24</f>
        <v>0.97099999999999997</v>
      </c>
      <c r="N24" s="14">
        <f>'Table-n=200-miss'!G24</f>
        <v>9.4836069302919448</v>
      </c>
      <c r="O24" s="14">
        <f>'Table-n=200-miss'!I24</f>
        <v>1.21377733632553</v>
      </c>
      <c r="P24" s="13"/>
      <c r="Q24" s="13"/>
      <c r="Y24" s="14"/>
    </row>
    <row r="25" spans="1:31" s="4" customFormat="1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25">
      <c r="A26" s="2" t="s">
        <v>60</v>
      </c>
      <c r="B26" s="1" t="s">
        <v>3</v>
      </c>
      <c r="C26" s="12">
        <f>'Table-n=200-corr'!C26</f>
        <v>-2.4557657246935701E-2</v>
      </c>
      <c r="D26" s="12">
        <f>'Table-n=200-corr'!D26</f>
        <v>2.09348519049896</v>
      </c>
      <c r="E26" s="12">
        <f>'Table-n=200-corr'!E26</f>
        <v>0.53026795685557171</v>
      </c>
      <c r="F26" s="12">
        <f>'Table-n=200-corr'!F26</f>
        <v>0.92778335005015</v>
      </c>
      <c r="G26" s="12">
        <f>'Table-n=200-corr'!G26</f>
        <v>7.9609555627722601</v>
      </c>
      <c r="H26" s="12">
        <f>'Table-n=200-corr'!I26</f>
        <v>3.2176429114980571</v>
      </c>
      <c r="I26" s="12"/>
      <c r="J26" s="12">
        <f>'Table-n=200-miss'!C26</f>
        <v>0.377512327326812</v>
      </c>
      <c r="K26" s="12">
        <f>'Table-n=200-miss'!D26</f>
        <v>2.0735152699651298</v>
      </c>
      <c r="L26" s="12">
        <f>'Table-n=200-miss'!E26</f>
        <v>0.46929168784198566</v>
      </c>
      <c r="M26" s="12">
        <f>'Table-n=200-miss'!F26</f>
        <v>0.95699999999999996</v>
      </c>
      <c r="N26" s="12">
        <f>'Table-n=200-miss'!G26</f>
        <v>8.314377093617523</v>
      </c>
      <c r="O26" s="12">
        <f>'Table-n=200-miss'!I26</f>
        <v>2.2496576397812618</v>
      </c>
      <c r="P26" s="5"/>
      <c r="Q26"/>
      <c r="R26"/>
      <c r="S26"/>
      <c r="T26"/>
      <c r="Y26" s="12"/>
    </row>
    <row r="27" spans="1:31" x14ac:dyDescent="0.25">
      <c r="B27" s="1" t="s">
        <v>5</v>
      </c>
      <c r="C27" s="12">
        <f>'Table-n=200-corr'!C27</f>
        <v>0.71588120852619197</v>
      </c>
      <c r="D27" s="12">
        <f>'Table-n=200-corr'!D27</f>
        <v>3.0174200114231899</v>
      </c>
      <c r="E27" s="12">
        <f>'Table-n=200-corr'!E27</f>
        <v>1.101608125803899</v>
      </c>
      <c r="F27" s="12">
        <f>'Table-n=200-corr'!F27</f>
        <v>0.97693079237713099</v>
      </c>
      <c r="G27" s="12">
        <f>'Table-n=200-corr'!G27</f>
        <v>13.413468617418699</v>
      </c>
      <c r="H27" s="12">
        <f>'Table-n=200-corr'!I27</f>
        <v>1.1334074151913516</v>
      </c>
      <c r="I27" s="12"/>
      <c r="J27" s="12">
        <f>'Table-n=200-miss'!C27</f>
        <v>0.75763289218790897</v>
      </c>
      <c r="K27" s="12">
        <f>'Table-n=200-miss'!D27</f>
        <v>2.99182371172683</v>
      </c>
      <c r="L27" s="12">
        <f>'Table-n=200-miss'!E27</f>
        <v>0.9770130974923843</v>
      </c>
      <c r="M27" s="12">
        <f>'Table-n=200-miss'!F27</f>
        <v>0.97899999999999998</v>
      </c>
      <c r="N27" s="12">
        <f>'Table-n=200-miss'!G27</f>
        <v>14.186679057751624</v>
      </c>
      <c r="O27" s="12">
        <f>'Table-n=200-miss'!I27</f>
        <v>0.77270616734267628</v>
      </c>
      <c r="P27" s="5"/>
      <c r="Q27" s="5"/>
      <c r="Y27" s="12"/>
    </row>
    <row r="28" spans="1:31" x14ac:dyDescent="0.25">
      <c r="B28" s="1" t="s">
        <v>4</v>
      </c>
      <c r="C28" s="12">
        <f>'Table-n=200-corr'!C28</f>
        <v>-1.6571394274151899E-2</v>
      </c>
      <c r="D28" s="12">
        <f>'Table-n=200-corr'!D28</f>
        <v>2.3198708514255899</v>
      </c>
      <c r="E28" s="12">
        <f>'Table-n=200-corr'!E28</f>
        <v>0.65115325302137694</v>
      </c>
      <c r="F28" s="12">
        <f>'Table-n=200-corr'!F28</f>
        <v>0.91574724172517596</v>
      </c>
      <c r="G28" s="12">
        <f>'Table-n=200-corr'!G28</f>
        <v>8.4189096011735973</v>
      </c>
      <c r="H28" s="12">
        <f>'Table-n=200-corr'!I28</f>
        <v>2.8771105671966324</v>
      </c>
      <c r="I28" s="12"/>
      <c r="J28" s="12">
        <f>'Table-n=200-miss'!C28</f>
        <v>1.3871005235959299</v>
      </c>
      <c r="K28" s="12">
        <f>'Table-n=200-miss'!D28</f>
        <v>2.5896662578534801</v>
      </c>
      <c r="L28" s="12">
        <f>'Table-n=200-miss'!E28</f>
        <v>0.73200826117451878</v>
      </c>
      <c r="M28" s="12">
        <f>'Table-n=200-miss'!F28</f>
        <v>0.90800000000000003</v>
      </c>
      <c r="N28" s="12">
        <f>'Table-n=200-miss'!G28</f>
        <v>8.3077866554903945</v>
      </c>
      <c r="O28" s="12">
        <f>'Table-n=200-miss'!I28</f>
        <v>2.2532282924246321</v>
      </c>
      <c r="P28" s="5"/>
      <c r="Q28" s="5"/>
      <c r="Y28" s="12"/>
    </row>
    <row r="29" spans="1:31" x14ac:dyDescent="0.25">
      <c r="B29" s="1" t="s">
        <v>88</v>
      </c>
      <c r="C29" s="12">
        <f>'Table-n=200-corr'!C29</f>
        <v>0.15154050475033701</v>
      </c>
      <c r="D29" s="12">
        <f>'Table-n=200-corr'!D29</f>
        <v>2.5125641512149399</v>
      </c>
      <c r="E29" s="12">
        <f>'Table-n=200-corr'!E29</f>
        <v>0.76381804873242543</v>
      </c>
      <c r="F29" s="12">
        <f>'Table-n=200-corr'!F29</f>
        <v>0.87462387161484501</v>
      </c>
      <c r="G29" s="12">
        <f>'Table-n=200-corr'!G29</f>
        <v>7.9420499849862578</v>
      </c>
      <c r="H29" s="12">
        <f>'Table-n=200-corr'!I29</f>
        <v>3.2329799595472442</v>
      </c>
      <c r="I29" s="12"/>
      <c r="J29" s="12">
        <f>'Table-n=200-miss'!C29</f>
        <v>0.45447159680682903</v>
      </c>
      <c r="K29" s="12">
        <f>'Table-n=200-miss'!D29</f>
        <v>2.2468323916720001</v>
      </c>
      <c r="L29" s="12">
        <f>'Table-n=200-miss'!E29</f>
        <v>0.55102301485691474</v>
      </c>
      <c r="M29" s="12">
        <f>'Table-n=200-miss'!F29</f>
        <v>0.93700000000000006</v>
      </c>
      <c r="N29" s="12">
        <f>'Table-n=200-miss'!G29</f>
        <v>8.3536517430543196</v>
      </c>
      <c r="O29" s="12">
        <f>'Table-n=200-miss'!I29</f>
        <v>2.228553859369077</v>
      </c>
      <c r="P29" s="5"/>
      <c r="Q29" s="5"/>
      <c r="Y29" s="12"/>
    </row>
    <row r="30" spans="1:31" x14ac:dyDescent="0.25">
      <c r="B30" s="1" t="s">
        <v>89</v>
      </c>
      <c r="C30" s="12">
        <f>'Table-n=200-corr'!C30</f>
        <v>1.23644929456599</v>
      </c>
      <c r="D30" s="12">
        <f>'Table-n=200-corr'!D30</f>
        <v>2.8748964120975802</v>
      </c>
      <c r="E30" s="12">
        <f>'Table-n=200-corr'!E30</f>
        <v>1</v>
      </c>
      <c r="F30" s="12">
        <f>'Table-n=200-corr'!F30</f>
        <v>0.98595787362086296</v>
      </c>
      <c r="G30" s="12">
        <f>'Table-n=200-corr'!G30</f>
        <v>14.28019448827339</v>
      </c>
      <c r="H30" s="12">
        <f>'Table-n=200-corr'!I30</f>
        <v>1</v>
      </c>
      <c r="I30" s="12"/>
      <c r="J30" s="12">
        <f>'Table-n=200-miss'!C30</f>
        <v>1.71560582575634</v>
      </c>
      <c r="K30" s="12">
        <f>'Table-n=200-miss'!D30</f>
        <v>3.0268145082807099</v>
      </c>
      <c r="L30" s="12">
        <f>'Table-n=200-miss'!E30</f>
        <v>1</v>
      </c>
      <c r="M30" s="12">
        <f>'Table-n=200-miss'!F30</f>
        <v>0.97799999999999998</v>
      </c>
      <c r="N30" s="12">
        <f>'Table-n=200-miss'!G30</f>
        <v>12.470616767009595</v>
      </c>
      <c r="O30" s="12">
        <f>'Table-n=200-miss'!I30</f>
        <v>1</v>
      </c>
      <c r="P30" s="5"/>
      <c r="Q30" s="5"/>
      <c r="Y30" s="12"/>
    </row>
    <row r="31" spans="1:31" s="3" customFormat="1" x14ac:dyDescent="0.25">
      <c r="B31" s="3" t="s">
        <v>2</v>
      </c>
      <c r="C31" s="14">
        <f>'Table-n=200-corr'!C31</f>
        <v>0.25415349687925598</v>
      </c>
      <c r="D31" s="14">
        <f>'Table-n=200-corr'!D31</f>
        <v>3.1631123769855001</v>
      </c>
      <c r="E31" s="14">
        <f>'Table-n=200-corr'!E31</f>
        <v>1.2105558793652993</v>
      </c>
      <c r="F31" s="14">
        <f>'Table-n=200-corr'!F31</f>
        <v>0.93380140421263802</v>
      </c>
      <c r="G31" s="14">
        <f>'Table-n=200-corr'!G31</f>
        <v>11.004711846758831</v>
      </c>
      <c r="H31" s="14">
        <f>'Table-n=200-corr'!I31</f>
        <v>1.6838790518769455</v>
      </c>
      <c r="I31" s="14"/>
      <c r="J31" s="14">
        <f>'Table-n=200-miss'!C31</f>
        <v>0.34419963435300899</v>
      </c>
      <c r="K31" s="14">
        <f>'Table-n=200-miss'!D31</f>
        <v>3.68390540413291</v>
      </c>
      <c r="L31" s="14">
        <f>'Table-n=200-miss'!E31</f>
        <v>1.4813078543821037</v>
      </c>
      <c r="M31" s="14">
        <f>'Table-n=200-miss'!F31</f>
        <v>0.95399999999999996</v>
      </c>
      <c r="N31" s="14">
        <f>'Table-n=200-miss'!G31</f>
        <v>11.029195211137599</v>
      </c>
      <c r="O31" s="14">
        <f>'Table-n=200-miss'!I31</f>
        <v>1.2784631635906458</v>
      </c>
      <c r="P31" s="13"/>
      <c r="Q31" s="13"/>
      <c r="Y31" s="14"/>
    </row>
    <row r="32" spans="1:31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25">
      <c r="A33" s="2" t="s">
        <v>62</v>
      </c>
      <c r="B33" s="1" t="s">
        <v>3</v>
      </c>
      <c r="C33" s="12">
        <f>'Table-n=200-corr'!C33</f>
        <v>-0.30300135276601903</v>
      </c>
      <c r="D33" s="12">
        <f>'Table-n=200-corr'!D33</f>
        <v>5.3474012308059597</v>
      </c>
      <c r="E33" s="12">
        <f>'Table-n=200-corr'!E33</f>
        <v>8.4223265254897831E-2</v>
      </c>
      <c r="F33" s="12">
        <f>'Table-n=200-corr'!F33</f>
        <v>0.925777331995988</v>
      </c>
      <c r="G33" s="12">
        <f>'Table-n=200-corr'!G33</f>
        <v>21.143902574410902</v>
      </c>
      <c r="H33" s="12">
        <f>'Table-n=200-corr'!I33</f>
        <v>2.6484169571818277</v>
      </c>
      <c r="I33" s="12"/>
      <c r="J33" s="12">
        <f>'Table-n=200-miss'!C33</f>
        <v>-0.64861750831756904</v>
      </c>
      <c r="K33" s="12">
        <f>'Table-n=200-miss'!D33</f>
        <v>5.4012295903592502</v>
      </c>
      <c r="L33" s="12">
        <f>'Table-n=200-miss'!E33</f>
        <v>0.54580298319340714</v>
      </c>
      <c r="M33" s="12">
        <f>'Table-n=200-miss'!F33</f>
        <v>0.93799999999999994</v>
      </c>
      <c r="N33" s="12">
        <f>'Table-n=200-miss'!G33</f>
        <v>21.046943639834254</v>
      </c>
      <c r="O33" s="12">
        <f>'Table-n=200-miss'!I33</f>
        <v>2.3060709437535647</v>
      </c>
      <c r="P33" s="5"/>
      <c r="Y33" s="12"/>
    </row>
    <row r="34" spans="1:25" x14ac:dyDescent="0.25">
      <c r="B34" s="1" t="s">
        <v>5</v>
      </c>
      <c r="C34" s="12">
        <f>'Table-n=200-corr'!C34</f>
        <v>0.28583322282632501</v>
      </c>
      <c r="D34" s="12">
        <f>'Table-n=200-corr'!D34</f>
        <v>10.6603473894925</v>
      </c>
      <c r="E34" s="12">
        <f>'Table-n=200-corr'!E34</f>
        <v>0.33472584442346437</v>
      </c>
      <c r="F34" s="12">
        <f>'Table-n=200-corr'!F34</f>
        <v>0.93279839518555696</v>
      </c>
      <c r="G34" s="12">
        <f>'Table-n=200-corr'!G34</f>
        <v>42.150905593646634</v>
      </c>
      <c r="H34" s="12">
        <f>'Table-n=200-corr'!I34</f>
        <v>0.66641204572205381</v>
      </c>
      <c r="I34" s="12"/>
      <c r="J34" s="12">
        <f>'Table-n=200-miss'!C34</f>
        <v>-0.85035050555953295</v>
      </c>
      <c r="K34" s="12">
        <f>'Table-n=200-miss'!D34</f>
        <v>10.7714916925372</v>
      </c>
      <c r="L34" s="12">
        <f>'Table-n=200-miss'!E34</f>
        <v>2.1707126154277465</v>
      </c>
      <c r="M34" s="12">
        <f>'Table-n=200-miss'!F34</f>
        <v>0.95299999999999996</v>
      </c>
      <c r="N34" s="12">
        <f>'Table-n=200-miss'!G34</f>
        <v>46.88861344151772</v>
      </c>
      <c r="O34" s="12">
        <f>'Table-n=200-miss'!I34</f>
        <v>0.46463932034691907</v>
      </c>
      <c r="P34" s="5"/>
      <c r="Y34" s="12"/>
    </row>
    <row r="35" spans="1:25" x14ac:dyDescent="0.25">
      <c r="B35" s="1" t="s">
        <v>4</v>
      </c>
      <c r="C35" s="12">
        <f>'Table-n=200-corr'!C35</f>
        <v>-0.84787345145737103</v>
      </c>
      <c r="D35" s="12">
        <f>'Table-n=200-corr'!D35</f>
        <v>5.5112163534728502</v>
      </c>
      <c r="E35" s="12">
        <f>'Table-n=200-corr'!E35</f>
        <v>8.9462586903224811E-2</v>
      </c>
      <c r="F35" s="12">
        <f>'Table-n=200-corr'!F35</f>
        <v>0.92377131394182499</v>
      </c>
      <c r="G35" s="12">
        <f>'Table-n=200-corr'!G35</f>
        <v>22.147486522596711</v>
      </c>
      <c r="H35" s="12">
        <f>'Table-n=200-corr'!I35</f>
        <v>2.4138360316564689</v>
      </c>
      <c r="I35" s="12"/>
      <c r="J35" s="12">
        <f>'Table-n=200-miss'!C35</f>
        <v>2.94488002027708</v>
      </c>
      <c r="K35" s="12">
        <f>'Table-n=200-miss'!D35</f>
        <v>6.2848682589141598</v>
      </c>
      <c r="L35" s="12">
        <f>'Table-n=200-miss'!E35</f>
        <v>0.73899752816987063</v>
      </c>
      <c r="M35" s="12">
        <f>'Table-n=200-miss'!F35</f>
        <v>0.88500000000000001</v>
      </c>
      <c r="N35" s="12">
        <f>'Table-n=200-miss'!G35</f>
        <v>19.264277223087554</v>
      </c>
      <c r="O35" s="12">
        <f>'Table-n=200-miss'!I35</f>
        <v>2.7526139166591745</v>
      </c>
      <c r="P35" s="5"/>
      <c r="Y35" s="12"/>
    </row>
    <row r="36" spans="1:25" x14ac:dyDescent="0.25">
      <c r="B36" s="1" t="s">
        <v>88</v>
      </c>
      <c r="C36" s="12">
        <f>'Table-n=200-corr'!C36</f>
        <v>0.10882820783729701</v>
      </c>
      <c r="D36" s="12">
        <f>'Table-n=200-corr'!D36</f>
        <v>5.9689816311477504</v>
      </c>
      <c r="E36" s="12">
        <f>'Table-n=200-corr'!E36</f>
        <v>0.10494143921941354</v>
      </c>
      <c r="F36" s="12">
        <f>'Table-n=200-corr'!F36</f>
        <v>0.81845536609829495</v>
      </c>
      <c r="G36" s="12">
        <f>'Table-n=200-corr'!G36</f>
        <v>16.642315445978134</v>
      </c>
      <c r="H36" s="12">
        <f>'Table-n=200-corr'!I36</f>
        <v>4.2749314867813171</v>
      </c>
      <c r="I36" s="12"/>
      <c r="J36" s="12">
        <f>'Table-n=200-miss'!C36</f>
        <v>-0.58018246885947999</v>
      </c>
      <c r="K36" s="12">
        <f>'Table-n=200-miss'!D36</f>
        <v>5.6903154234244102</v>
      </c>
      <c r="L36" s="12">
        <f>'Table-n=200-miss'!E36</f>
        <v>0.60579168778592041</v>
      </c>
      <c r="M36" s="12">
        <f>'Table-n=200-miss'!F36</f>
        <v>0.85399999999999998</v>
      </c>
      <c r="N36" s="12">
        <f>'Table-n=200-miss'!G36</f>
        <v>18.02288059896977</v>
      </c>
      <c r="O36" s="12">
        <f>'Table-n=200-miss'!I36</f>
        <v>3.1448673297379806</v>
      </c>
      <c r="P36" s="5"/>
      <c r="Y36" s="12"/>
    </row>
    <row r="37" spans="1:25" x14ac:dyDescent="0.25">
      <c r="B37" s="1" t="s">
        <v>89</v>
      </c>
      <c r="C37" s="12">
        <f>'Table-n=200-corr'!C37</f>
        <v>3.6851130525287799</v>
      </c>
      <c r="D37" s="12">
        <f>'Table-n=200-corr'!D37</f>
        <v>18.425816186539301</v>
      </c>
      <c r="E37" s="12">
        <f>'Table-n=200-corr'!E37</f>
        <v>1</v>
      </c>
      <c r="F37" s="12">
        <f>'Table-n=200-corr'!F37</f>
        <v>0.97191574724172503</v>
      </c>
      <c r="G37" s="12">
        <f>'Table-n=200-corr'!G37</f>
        <v>34.409497383311752</v>
      </c>
      <c r="H37" s="12">
        <f>'Table-n=200-corr'!I37</f>
        <v>1</v>
      </c>
      <c r="I37" s="12"/>
      <c r="J37" s="12">
        <f>'Table-n=200-miss'!C37</f>
        <v>3.5199029893879001</v>
      </c>
      <c r="K37" s="12">
        <f>'Table-n=200-miss'!D37</f>
        <v>7.3109646788572</v>
      </c>
      <c r="L37" s="12">
        <f>'Table-n=200-miss'!E37</f>
        <v>1</v>
      </c>
      <c r="M37" s="12">
        <f>'Table-n=200-miss'!F37</f>
        <v>0.97</v>
      </c>
      <c r="N37" s="12">
        <f>'Table-n=200-miss'!G37</f>
        <v>31.961368765689539</v>
      </c>
      <c r="O37" s="12">
        <f>'Table-n=200-miss'!I37</f>
        <v>1</v>
      </c>
      <c r="P37" s="5"/>
      <c r="Y37" s="12"/>
    </row>
    <row r="38" spans="1:25" s="3" customFormat="1" x14ac:dyDescent="0.25">
      <c r="B38" s="3" t="s">
        <v>2</v>
      </c>
      <c r="C38" s="14">
        <f>'Table-n=200-corr'!C38</f>
        <v>-0.104627728192442</v>
      </c>
      <c r="D38" s="14">
        <f>'Table-n=200-corr'!D38</f>
        <v>6.6746418090103603</v>
      </c>
      <c r="E38" s="14">
        <f>'Table-n=200-corr'!E38</f>
        <v>0.1312207332427496</v>
      </c>
      <c r="F38" s="14">
        <f>'Table-n=200-corr'!F38</f>
        <v>0.87362086258776295</v>
      </c>
      <c r="G38" s="14">
        <f>'Table-n=200-corr'!G38</f>
        <v>20.882905100098704</v>
      </c>
      <c r="H38" s="14">
        <f>'Table-n=200-corr'!I38</f>
        <v>2.7150312217175774</v>
      </c>
      <c r="I38" s="14"/>
      <c r="J38" s="14">
        <f>'Table-n=200-miss'!C38</f>
        <v>-2.5164671505787402</v>
      </c>
      <c r="K38" s="14">
        <f>'Table-n=200-miss'!D38</f>
        <v>15.4267920793227</v>
      </c>
      <c r="L38" s="14">
        <f>'Table-n=200-miss'!E38</f>
        <v>4.4524790115742494</v>
      </c>
      <c r="M38" s="14">
        <f>'Table-n=200-miss'!F38</f>
        <v>0.90700000000000003</v>
      </c>
      <c r="N38" s="14">
        <f>'Table-n=200-miss'!G38</f>
        <v>29.284027367393062</v>
      </c>
      <c r="O38" s="14">
        <f>'Table-n=200-miss'!I38</f>
        <v>1.1912121977462453</v>
      </c>
      <c r="P38" s="13"/>
      <c r="Q38" s="13"/>
      <c r="Y38" s="14"/>
    </row>
    <row r="39" spans="1:25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25">
      <c r="A40" s="2" t="s">
        <v>207</v>
      </c>
      <c r="B40" s="1" t="s">
        <v>3</v>
      </c>
      <c r="C40" s="12">
        <f>'Table-n=200-corr'!C40</f>
        <v>0.88941770797046604</v>
      </c>
      <c r="D40" s="12">
        <f>'Table-n=200-corr'!D40</f>
        <v>11.587618148630099</v>
      </c>
      <c r="E40" s="12">
        <f>'Table-n=200-corr'!E40</f>
        <v>5.7635402326636172E-2</v>
      </c>
      <c r="F40" s="12">
        <f>'Table-n=200-corr'!F40</f>
        <v>0.91975927783350098</v>
      </c>
      <c r="G40" s="12">
        <f>'Table-n=200-corr'!G40</f>
        <v>49.667260176196244</v>
      </c>
      <c r="H40" s="12">
        <f>'Table-n=200-corr'!I40</f>
        <v>1.4918825313257074</v>
      </c>
      <c r="I40" s="12"/>
      <c r="J40" s="12">
        <f>'Table-n=200-miss'!C40</f>
        <v>-6.3843343766036798</v>
      </c>
      <c r="K40" s="12">
        <f>'Table-n=200-miss'!D40</f>
        <v>15.207903704069301</v>
      </c>
      <c r="L40" s="12">
        <f>'Table-n=200-miss'!E40</f>
        <v>1.3719083082678256</v>
      </c>
      <c r="M40" s="12">
        <f>'Table-n=200-miss'!F40</f>
        <v>0.88400000000000001</v>
      </c>
      <c r="N40" s="12">
        <f>'Table-n=200-miss'!G40</f>
        <v>49.295959287508836</v>
      </c>
      <c r="O40" s="12">
        <f>'Table-n=200-miss'!I40</f>
        <v>1.4587019589310666</v>
      </c>
      <c r="P40" s="5"/>
      <c r="Y40" s="12"/>
    </row>
    <row r="41" spans="1:25" x14ac:dyDescent="0.25">
      <c r="B41" s="1" t="s">
        <v>5</v>
      </c>
      <c r="C41" s="12">
        <f>'Table-n=200-corr'!C41</f>
        <v>-0.63532853887123497</v>
      </c>
      <c r="D41" s="12">
        <f>'Table-n=200-corr'!D41</f>
        <v>22.495426516154399</v>
      </c>
      <c r="E41" s="12">
        <f>'Table-n=200-corr'!E41</f>
        <v>0.2172148147739747</v>
      </c>
      <c r="F41" s="12">
        <f>'Table-n=200-corr'!F41</f>
        <v>0.91975927783350098</v>
      </c>
      <c r="G41" s="12">
        <f>'Table-n=200-corr'!G41</f>
        <v>84.278630305744741</v>
      </c>
      <c r="H41" s="12">
        <f>'Table-n=200-corr'!I41</f>
        <v>0.51813162134771718</v>
      </c>
      <c r="I41" s="12"/>
      <c r="J41" s="12">
        <f>'Table-n=200-miss'!C41</f>
        <v>-9.2210288278836803</v>
      </c>
      <c r="K41" s="12">
        <f>'Table-n=200-miss'!D41</f>
        <v>32.324892065942699</v>
      </c>
      <c r="L41" s="12">
        <f>'Table-n=200-miss'!E41</f>
        <v>6.1981280629501363</v>
      </c>
      <c r="M41" s="12">
        <f>'Table-n=200-miss'!F41</f>
        <v>0.89900000000000002</v>
      </c>
      <c r="N41" s="12">
        <f>'Table-n=200-miss'!G41</f>
        <v>88.650145876587871</v>
      </c>
      <c r="O41" s="12">
        <f>'Table-n=200-miss'!I41</f>
        <v>0.45105583110557695</v>
      </c>
      <c r="P41" s="5"/>
      <c r="Y41" s="12"/>
    </row>
    <row r="42" spans="1:25" x14ac:dyDescent="0.25">
      <c r="B42" s="1" t="s">
        <v>4</v>
      </c>
      <c r="C42" s="12">
        <f>'Table-n=200-corr'!C42</f>
        <v>-1.1460540997611699</v>
      </c>
      <c r="D42" s="12">
        <f>'Table-n=200-corr'!D42</f>
        <v>11.464651659698999</v>
      </c>
      <c r="E42" s="12">
        <f>'Table-n=200-corr'!E42</f>
        <v>5.6418652073332187E-2</v>
      </c>
      <c r="F42" s="12">
        <f>'Table-n=200-corr'!F42</f>
        <v>0.96088264794383105</v>
      </c>
      <c r="G42" s="12">
        <f>'Table-n=200-corr'!G42</f>
        <v>60.766838472692591</v>
      </c>
      <c r="H42" s="12">
        <f>'Table-n=200-corr'!I42</f>
        <v>0.99664789071739202</v>
      </c>
      <c r="I42" s="12"/>
      <c r="J42" s="12">
        <f>'Table-n=200-miss'!C42</f>
        <v>3.0734197572676898</v>
      </c>
      <c r="K42" s="12">
        <f>'Table-n=200-miss'!D42</f>
        <v>12.9717453628579</v>
      </c>
      <c r="L42" s="12">
        <f>'Table-n=200-miss'!E42</f>
        <v>0.99812103435294008</v>
      </c>
      <c r="M42" s="12">
        <f>'Table-n=200-miss'!F42</f>
        <v>0.88100000000000001</v>
      </c>
      <c r="N42" s="12">
        <f>'Table-n=200-miss'!G42</f>
        <v>44.512154161136976</v>
      </c>
      <c r="O42" s="12">
        <f>'Table-n=200-miss'!I42</f>
        <v>1.789089166466596</v>
      </c>
      <c r="P42" s="5"/>
      <c r="Y42" s="12"/>
    </row>
    <row r="43" spans="1:25" x14ac:dyDescent="0.25">
      <c r="B43" s="1" t="s">
        <v>88</v>
      </c>
      <c r="C43" s="12">
        <f>'Table-n=200-corr'!C43</f>
        <v>0.965775467097718</v>
      </c>
      <c r="D43" s="12">
        <f>'Table-n=200-corr'!D43</f>
        <v>13.251846757449901</v>
      </c>
      <c r="E43" s="12">
        <f>'Table-n=200-corr'!E43</f>
        <v>7.5379593096758735E-2</v>
      </c>
      <c r="F43" s="12">
        <f>'Table-n=200-corr'!F43</f>
        <v>0.83049147442326998</v>
      </c>
      <c r="G43" s="12">
        <f>'Table-n=200-corr'!G43</f>
        <v>39.972901790641288</v>
      </c>
      <c r="H43" s="12">
        <f>'Table-n=200-corr'!I43</f>
        <v>2.3032638030437029</v>
      </c>
      <c r="I43" s="12"/>
      <c r="J43" s="12">
        <f>'Table-n=200-miss'!C43</f>
        <v>-7.4118192680859503</v>
      </c>
      <c r="K43" s="12">
        <f>'Table-n=200-miss'!D43</f>
        <v>16.3534246490882</v>
      </c>
      <c r="L43" s="12">
        <f>'Table-n=200-miss'!E43</f>
        <v>1.586367510539638</v>
      </c>
      <c r="M43" s="12">
        <f>'Table-n=200-miss'!F43</f>
        <v>0.80400000000000005</v>
      </c>
      <c r="N43" s="12">
        <f>'Table-n=200-miss'!G43</f>
        <v>43.625038224342426</v>
      </c>
      <c r="O43" s="12">
        <f>'Table-n=200-miss'!I43</f>
        <v>1.862591298763062</v>
      </c>
      <c r="P43" s="5"/>
      <c r="Y43" s="12"/>
    </row>
    <row r="44" spans="1:25" x14ac:dyDescent="0.25">
      <c r="B44" s="1" t="s">
        <v>89</v>
      </c>
      <c r="C44" s="12">
        <f>'Table-n=200-corr'!C44</f>
        <v>6.5168106816947402</v>
      </c>
      <c r="D44" s="12">
        <f>'Table-n=200-corr'!D44</f>
        <v>48.266911569912601</v>
      </c>
      <c r="E44" s="12">
        <f>'Table-n=200-corr'!E44</f>
        <v>1</v>
      </c>
      <c r="F44" s="12">
        <f>'Table-n=200-corr'!F44</f>
        <v>0.93179538615847501</v>
      </c>
      <c r="G44" s="12">
        <f>'Table-n=200-corr'!G44</f>
        <v>60.664904435817789</v>
      </c>
      <c r="H44" s="12">
        <f>'Table-n=200-corr'!I44</f>
        <v>1</v>
      </c>
      <c r="I44" s="12"/>
      <c r="J44" s="12">
        <f>'Table-n=200-miss'!C44</f>
        <v>0.31415109898648402</v>
      </c>
      <c r="K44" s="12">
        <f>'Table-n=200-miss'!D44</f>
        <v>12.983949295590699</v>
      </c>
      <c r="L44" s="12">
        <f>'Table-n=200-miss'!E44</f>
        <v>1</v>
      </c>
      <c r="M44" s="12">
        <f>'Table-n=200-miss'!F44</f>
        <v>0.95299999999999996</v>
      </c>
      <c r="N44" s="12">
        <f>'Table-n=200-miss'!G44</f>
        <v>59.538049853264425</v>
      </c>
      <c r="O44" s="12">
        <f>'Table-n=200-miss'!I44</f>
        <v>1</v>
      </c>
      <c r="P44" s="5"/>
      <c r="Y44" s="12"/>
    </row>
    <row r="45" spans="1:25" s="3" customFormat="1" x14ac:dyDescent="0.25">
      <c r="B45" s="3" t="s">
        <v>2</v>
      </c>
      <c r="C45" s="14">
        <f>'Table-n=200-corr'!C45</f>
        <v>0.68500423796532495</v>
      </c>
      <c r="D45" s="14">
        <f>'Table-n=200-corr'!D45</f>
        <v>12.2368226187687</v>
      </c>
      <c r="E45" s="14">
        <f>'Table-n=200-corr'!E45</f>
        <v>6.4274440950973052E-2</v>
      </c>
      <c r="F45" s="14">
        <f>'Table-n=200-corr'!F45</f>
        <v>0.87963891675025097</v>
      </c>
      <c r="G45" s="14">
        <f>'Table-n=200-corr'!G45</f>
        <v>42.472571368093035</v>
      </c>
      <c r="H45" s="14">
        <f>'Table-n=200-corr'!I45</f>
        <v>2.0401303939839512</v>
      </c>
      <c r="I45" s="14"/>
      <c r="J45" s="14">
        <f>'Table-n=200-miss'!C45</f>
        <v>-15.2184673891163</v>
      </c>
      <c r="K45" s="14">
        <f>'Table-n=200-miss'!D45</f>
        <v>45.413228530413797</v>
      </c>
      <c r="L45" s="14">
        <f>'Table-n=200-miss'!E45</f>
        <v>12.233511492864936</v>
      </c>
      <c r="M45" s="14">
        <f>'Table-n=200-miss'!F45</f>
        <v>0.78800000000000003</v>
      </c>
      <c r="N45" s="14">
        <f>'Table-n=200-miss'!G45</f>
        <v>50.033986468367708</v>
      </c>
      <c r="O45" s="14">
        <f>'Table-n=200-miss'!I45</f>
        <v>1.4159861231975943</v>
      </c>
      <c r="P45" s="13"/>
      <c r="Q45" s="13"/>
      <c r="Y45" s="14"/>
    </row>
    <row r="46" spans="1:25" x14ac:dyDescent="0.25">
      <c r="G46" s="7"/>
      <c r="H46" s="7"/>
      <c r="O46" s="7"/>
    </row>
    <row r="47" spans="1:25" x14ac:dyDescent="0.25">
      <c r="G47" s="7"/>
      <c r="H47" s="7"/>
      <c r="O47" s="7"/>
    </row>
    <row r="48" spans="1:25" x14ac:dyDescent="0.25">
      <c r="G48" s="7"/>
      <c r="H48" s="7"/>
      <c r="O48" s="7"/>
    </row>
    <row r="49" spans="7:15" x14ac:dyDescent="0.25">
      <c r="G49" s="7"/>
      <c r="H49" s="7"/>
      <c r="O49" s="7"/>
    </row>
    <row r="50" spans="7:15" x14ac:dyDescent="0.25">
      <c r="G50" s="7"/>
      <c r="H50" s="7"/>
      <c r="O50" s="7"/>
    </row>
    <row r="51" spans="7:15" x14ac:dyDescent="0.25">
      <c r="G51" s="7"/>
      <c r="H51" s="7"/>
      <c r="O51" s="7"/>
    </row>
    <row r="52" spans="7:15" x14ac:dyDescent="0.25">
      <c r="G52" s="7"/>
      <c r="H52" s="7"/>
      <c r="O52" s="7"/>
    </row>
    <row r="53" spans="7:15" x14ac:dyDescent="0.25">
      <c r="G53" s="7"/>
      <c r="H53" s="7"/>
      <c r="O53" s="7"/>
    </row>
    <row r="54" spans="7:15" x14ac:dyDescent="0.25">
      <c r="G54" s="7"/>
      <c r="H54" s="7"/>
      <c r="O54" s="7"/>
    </row>
    <row r="55" spans="7:15" x14ac:dyDescent="0.25">
      <c r="G55" s="7"/>
      <c r="H55" s="7"/>
      <c r="O55" s="7"/>
    </row>
    <row r="56" spans="7:15" x14ac:dyDescent="0.25">
      <c r="G56" s="7"/>
      <c r="H56" s="7"/>
      <c r="O56" s="7"/>
    </row>
    <row r="57" spans="7:15" x14ac:dyDescent="0.25">
      <c r="G57" s="7"/>
      <c r="H57" s="7"/>
      <c r="O57" s="7"/>
    </row>
    <row r="58" spans="7:15" x14ac:dyDescent="0.25">
      <c r="G58" s="7"/>
      <c r="H58" s="7"/>
      <c r="O58" s="7"/>
    </row>
    <row r="59" spans="7:15" x14ac:dyDescent="0.25">
      <c r="G59" s="7"/>
      <c r="H59" s="7"/>
      <c r="O59" s="7"/>
    </row>
    <row r="60" spans="7:15" x14ac:dyDescent="0.25">
      <c r="G60" s="7"/>
      <c r="H60" s="7"/>
      <c r="O60" s="7"/>
    </row>
    <row r="61" spans="7:15" x14ac:dyDescent="0.25">
      <c r="G61" s="7"/>
      <c r="H61" s="7"/>
      <c r="O61" s="7"/>
    </row>
    <row r="62" spans="7:15" x14ac:dyDescent="0.25">
      <c r="G62" s="7"/>
      <c r="H62" s="7"/>
      <c r="O62" s="7"/>
    </row>
    <row r="63" spans="7:15" x14ac:dyDescent="0.25">
      <c r="G63" s="7"/>
      <c r="H63" s="7"/>
      <c r="O63" s="7"/>
    </row>
    <row r="64" spans="7:15" x14ac:dyDescent="0.25">
      <c r="G64" s="7"/>
      <c r="H64" s="7"/>
      <c r="O64" s="7"/>
    </row>
    <row r="65" spans="7:15" x14ac:dyDescent="0.25">
      <c r="G65" s="7"/>
      <c r="H65" s="7"/>
      <c r="O65" s="7"/>
    </row>
    <row r="66" spans="7:15" x14ac:dyDescent="0.25">
      <c r="G66" s="7"/>
      <c r="H66" s="7"/>
      <c r="O66" s="7"/>
    </row>
    <row r="67" spans="7:15" x14ac:dyDescent="0.25">
      <c r="G67" s="7"/>
      <c r="H67" s="7"/>
      <c r="O67" s="7"/>
    </row>
    <row r="68" spans="7:15" x14ac:dyDescent="0.25">
      <c r="G68" s="7"/>
      <c r="H68" s="7"/>
      <c r="O68" s="7"/>
    </row>
    <row r="69" spans="7:15" x14ac:dyDescent="0.25">
      <c r="G69" s="7"/>
      <c r="H69" s="7"/>
      <c r="O69" s="7"/>
    </row>
    <row r="70" spans="7:15" x14ac:dyDescent="0.25">
      <c r="G70" s="7"/>
      <c r="H70" s="7"/>
      <c r="O70" s="7"/>
    </row>
    <row r="71" spans="7:15" x14ac:dyDescent="0.25">
      <c r="G71" s="7"/>
      <c r="H71" s="7"/>
      <c r="O71" s="7"/>
    </row>
    <row r="72" spans="7:15" x14ac:dyDescent="0.25">
      <c r="G72" s="7"/>
      <c r="H72" s="7"/>
      <c r="O72" s="7"/>
    </row>
    <row r="73" spans="7:15" x14ac:dyDescent="0.25">
      <c r="G73" s="7"/>
      <c r="H73" s="7"/>
      <c r="O73" s="7"/>
    </row>
    <row r="74" spans="7:15" x14ac:dyDescent="0.25">
      <c r="G74" s="7"/>
      <c r="H74" s="7"/>
      <c r="O74" s="7"/>
    </row>
    <row r="75" spans="7:15" x14ac:dyDescent="0.25">
      <c r="G75" s="7"/>
      <c r="H75" s="7"/>
      <c r="O75" s="7"/>
    </row>
    <row r="76" spans="7:15" x14ac:dyDescent="0.25">
      <c r="G76" s="7"/>
      <c r="H76" s="7"/>
      <c r="O76" s="7"/>
    </row>
    <row r="77" spans="7:15" x14ac:dyDescent="0.25">
      <c r="G77" s="7"/>
      <c r="H77" s="7"/>
      <c r="O77" s="7"/>
    </row>
    <row r="78" spans="7:15" x14ac:dyDescent="0.25">
      <c r="G78" s="7"/>
      <c r="H78" s="7"/>
      <c r="O78" s="7"/>
    </row>
    <row r="79" spans="7:15" x14ac:dyDescent="0.25">
      <c r="G79" s="7"/>
      <c r="H79" s="7"/>
      <c r="O79" s="7"/>
    </row>
    <row r="80" spans="7:15" x14ac:dyDescent="0.25">
      <c r="G80" s="7"/>
      <c r="H80" s="7"/>
      <c r="O80" s="7"/>
    </row>
    <row r="81" spans="7:15" x14ac:dyDescent="0.25">
      <c r="G81" s="7"/>
      <c r="H81" s="7"/>
      <c r="O81" s="7"/>
    </row>
    <row r="82" spans="7:15" x14ac:dyDescent="0.25">
      <c r="G82" s="7"/>
      <c r="H82" s="7"/>
      <c r="O82" s="7"/>
    </row>
    <row r="83" spans="7:15" x14ac:dyDescent="0.25">
      <c r="G83" s="7"/>
      <c r="H83" s="7"/>
      <c r="O83" s="7"/>
    </row>
    <row r="84" spans="7:15" x14ac:dyDescent="0.25">
      <c r="G84" s="7"/>
      <c r="H84" s="7"/>
      <c r="O84" s="7"/>
    </row>
    <row r="85" spans="7:15" x14ac:dyDescent="0.25">
      <c r="G85" s="7"/>
      <c r="H85" s="7"/>
      <c r="O85" s="7"/>
    </row>
    <row r="86" spans="7:15" x14ac:dyDescent="0.25">
      <c r="G86" s="7"/>
      <c r="H86" s="7"/>
      <c r="O86" s="7"/>
    </row>
    <row r="87" spans="7:15" x14ac:dyDescent="0.25">
      <c r="G87" s="7"/>
      <c r="H87" s="7"/>
      <c r="O87" s="7"/>
    </row>
    <row r="88" spans="7:15" x14ac:dyDescent="0.25">
      <c r="G88" s="7"/>
      <c r="H88" s="7"/>
      <c r="O88" s="7"/>
    </row>
    <row r="89" spans="7:15" x14ac:dyDescent="0.25">
      <c r="G89" s="7"/>
      <c r="H89" s="7"/>
      <c r="O89" s="7"/>
    </row>
    <row r="90" spans="7:15" x14ac:dyDescent="0.25">
      <c r="G90" s="7"/>
      <c r="H90" s="7"/>
      <c r="O90" s="7"/>
    </row>
    <row r="91" spans="7:15" x14ac:dyDescent="0.25">
      <c r="G91" s="7"/>
      <c r="H91" s="7"/>
      <c r="O91" s="7"/>
    </row>
    <row r="92" spans="7:15" x14ac:dyDescent="0.25">
      <c r="G92" s="7"/>
      <c r="H92" s="7"/>
      <c r="O92" s="7"/>
    </row>
    <row r="93" spans="7:15" x14ac:dyDescent="0.25">
      <c r="G93" s="7"/>
      <c r="H93" s="7"/>
      <c r="O93" s="7"/>
    </row>
    <row r="94" spans="7:15" x14ac:dyDescent="0.25">
      <c r="G94" s="7"/>
      <c r="H94" s="7"/>
      <c r="O94" s="7"/>
    </row>
    <row r="95" spans="7:15" x14ac:dyDescent="0.25">
      <c r="G95" s="7"/>
      <c r="H95" s="7"/>
      <c r="O95" s="7"/>
    </row>
    <row r="96" spans="7:15" x14ac:dyDescent="0.25">
      <c r="G96" s="7"/>
      <c r="H96" s="7"/>
      <c r="O96" s="7"/>
    </row>
    <row r="97" spans="7:15" x14ac:dyDescent="0.25">
      <c r="G97" s="7"/>
      <c r="H97" s="7"/>
      <c r="O97" s="7"/>
    </row>
    <row r="98" spans="7:15" x14ac:dyDescent="0.25">
      <c r="G98" s="7"/>
      <c r="H98" s="7"/>
      <c r="O98" s="7"/>
    </row>
    <row r="99" spans="7:15" x14ac:dyDescent="0.25">
      <c r="G99" s="7"/>
      <c r="H99" s="7"/>
      <c r="O99" s="7"/>
    </row>
    <row r="100" spans="7:15" x14ac:dyDescent="0.25">
      <c r="G100" s="7"/>
      <c r="H100" s="7"/>
      <c r="O100" s="7"/>
    </row>
    <row r="101" spans="7:15" x14ac:dyDescent="0.25">
      <c r="G101" s="7"/>
      <c r="H101" s="7"/>
      <c r="O101" s="7"/>
    </row>
    <row r="102" spans="7:15" x14ac:dyDescent="0.25">
      <c r="G102" s="7"/>
      <c r="H102" s="7"/>
      <c r="O102" s="7"/>
    </row>
    <row r="103" spans="7:15" x14ac:dyDescent="0.25">
      <c r="G103" s="7"/>
      <c r="H103" s="7"/>
      <c r="O103" s="7"/>
    </row>
    <row r="104" spans="7:15" x14ac:dyDescent="0.25">
      <c r="G104" s="7"/>
      <c r="H104" s="7"/>
      <c r="O104" s="7"/>
    </row>
    <row r="105" spans="7:15" x14ac:dyDescent="0.25">
      <c r="G105" s="7"/>
      <c r="H105" s="7"/>
      <c r="O105" s="7"/>
    </row>
    <row r="106" spans="7:15" x14ac:dyDescent="0.25">
      <c r="G106" s="7"/>
      <c r="H106" s="7"/>
      <c r="O106" s="7"/>
    </row>
    <row r="107" spans="7:15" x14ac:dyDescent="0.25">
      <c r="G107" s="7"/>
      <c r="H107" s="7"/>
      <c r="O107" s="7"/>
    </row>
    <row r="108" spans="7:15" x14ac:dyDescent="0.25">
      <c r="G108" s="7"/>
      <c r="H108" s="7"/>
      <c r="O108" s="7"/>
    </row>
    <row r="109" spans="7:15" x14ac:dyDescent="0.25">
      <c r="G109" s="7"/>
      <c r="H109" s="7"/>
      <c r="O109" s="7"/>
    </row>
    <row r="110" spans="7:15" x14ac:dyDescent="0.25">
      <c r="G110" s="7"/>
      <c r="H110" s="7"/>
      <c r="O110" s="7"/>
    </row>
    <row r="111" spans="7:15" x14ac:dyDescent="0.25">
      <c r="G111" s="7"/>
      <c r="H111" s="7"/>
      <c r="O111" s="7"/>
    </row>
    <row r="112" spans="7:15" x14ac:dyDescent="0.25">
      <c r="G112" s="7"/>
      <c r="H112" s="7"/>
      <c r="O112" s="7"/>
    </row>
    <row r="113" spans="7:15" x14ac:dyDescent="0.25">
      <c r="G113" s="7"/>
      <c r="H113" s="7"/>
      <c r="O113" s="7"/>
    </row>
    <row r="114" spans="7:15" x14ac:dyDescent="0.25">
      <c r="G114" s="7"/>
      <c r="H114" s="7"/>
      <c r="O114" s="7"/>
    </row>
    <row r="115" spans="7:15" x14ac:dyDescent="0.25">
      <c r="G115" s="7"/>
      <c r="H115" s="7"/>
      <c r="O115" s="7"/>
    </row>
    <row r="116" spans="7:15" x14ac:dyDescent="0.25">
      <c r="G116" s="7"/>
      <c r="H116" s="7"/>
      <c r="O116" s="7"/>
    </row>
    <row r="117" spans="7:15" x14ac:dyDescent="0.25">
      <c r="G117" s="7"/>
      <c r="H117" s="7"/>
      <c r="O117" s="7"/>
    </row>
    <row r="118" spans="7:15" x14ac:dyDescent="0.25">
      <c r="G118" s="7"/>
      <c r="H118" s="7"/>
      <c r="O118" s="7"/>
    </row>
    <row r="119" spans="7:15" x14ac:dyDescent="0.25">
      <c r="G119" s="7"/>
      <c r="H119" s="7"/>
      <c r="O119" s="7"/>
    </row>
    <row r="120" spans="7:15" x14ac:dyDescent="0.2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120"/>
  <sheetViews>
    <sheetView workbookViewId="0">
      <selection activeCell="S5" sqref="S5:X10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5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5.140625" style="1" bestFit="1" customWidth="1"/>
    <col min="9" max="9" width="2.85546875" style="1" customWidth="1"/>
    <col min="10" max="10" width="5.85546875" style="1" bestFit="1" customWidth="1"/>
    <col min="11" max="11" width="6.140625" style="1" bestFit="1" customWidth="1"/>
    <col min="12" max="12" width="7.5703125" style="1" bestFit="1" customWidth="1"/>
    <col min="13" max="13" width="8" style="1" bestFit="1" customWidth="1"/>
    <col min="14" max="14" width="7.7109375" style="1" bestFit="1" customWidth="1"/>
    <col min="15" max="15" width="5.140625" style="1" bestFit="1" customWidth="1"/>
    <col min="16" max="18" width="9.28515625" style="1"/>
    <col min="19" max="19" width="6" style="1" bestFit="1" customWidth="1"/>
    <col min="20" max="20" width="7.5703125" style="1" bestFit="1" customWidth="1"/>
    <col min="21" max="21" width="7" style="1" bestFit="1" customWidth="1"/>
    <col min="22" max="22" width="8.5703125" style="1" bestFit="1" customWidth="1"/>
    <col min="23" max="23" width="7" style="1" bestFit="1" customWidth="1"/>
    <col min="24" max="24" width="8.5703125" style="1" bestFit="1" customWidth="1"/>
    <col min="25" max="25" width="2.85546875" style="1" customWidth="1"/>
    <col min="26" max="26" width="6" style="1" bestFit="1" customWidth="1"/>
    <col min="27" max="27" width="7.5703125" style="1" bestFit="1" customWidth="1"/>
    <col min="28" max="28" width="7" style="1" bestFit="1" customWidth="1"/>
    <col min="29" max="29" width="8.5703125" style="1" bestFit="1" customWidth="1"/>
    <col min="30" max="30" width="7" style="1" bestFit="1" customWidth="1"/>
    <col min="31" max="31" width="8.5703125" style="1" bestFit="1" customWidth="1"/>
    <col min="32" max="16384" width="9.28515625" style="1"/>
  </cols>
  <sheetData>
    <row r="1" spans="1:31" x14ac:dyDescent="0.25">
      <c r="C1" s="16" t="s">
        <v>61</v>
      </c>
      <c r="D1" s="16"/>
      <c r="E1" s="16"/>
      <c r="F1" s="16"/>
      <c r="G1" s="16"/>
      <c r="H1" s="11"/>
      <c r="J1" s="16" t="s">
        <v>71</v>
      </c>
      <c r="K1" s="16"/>
      <c r="L1" s="16"/>
      <c r="M1" s="16"/>
      <c r="N1" s="16"/>
      <c r="O1" s="11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25">
      <c r="C2" s="11" t="s">
        <v>0</v>
      </c>
      <c r="D2" s="11" t="s">
        <v>1</v>
      </c>
      <c r="E2" s="11" t="s">
        <v>167</v>
      </c>
      <c r="F2" s="11" t="s">
        <v>49</v>
      </c>
      <c r="G2" s="11" t="s">
        <v>48</v>
      </c>
      <c r="H2" s="11" t="s">
        <v>91</v>
      </c>
      <c r="J2" s="11" t="s">
        <v>0</v>
      </c>
      <c r="K2" s="11" t="s">
        <v>1</v>
      </c>
      <c r="L2" s="11" t="s">
        <v>167</v>
      </c>
      <c r="M2" s="11" t="s">
        <v>49</v>
      </c>
      <c r="N2" s="11" t="s">
        <v>48</v>
      </c>
      <c r="O2" s="11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2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J3" s="11">
        <v>500</v>
      </c>
      <c r="K3" s="11">
        <v>500</v>
      </c>
      <c r="L3" s="11">
        <v>500</v>
      </c>
      <c r="M3" s="11">
        <v>500</v>
      </c>
      <c r="N3" s="11">
        <v>500</v>
      </c>
      <c r="O3" s="11">
        <v>500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25">
      <c r="C4" s="11"/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</row>
    <row r="5" spans="1:31" x14ac:dyDescent="0.25">
      <c r="A5" s="2" t="s">
        <v>58</v>
      </c>
      <c r="B5" s="1" t="s">
        <v>3</v>
      </c>
      <c r="C5" s="12">
        <f>'Table-n=500-corr'!C5</f>
        <v>1.1024252498053899</v>
      </c>
      <c r="D5" s="12">
        <f>'Table-n=500-corr'!D5</f>
        <v>2.84171947449398</v>
      </c>
      <c r="E5" s="12">
        <f>'Table-n=500-corr'!E5</f>
        <v>1.0430531129284655</v>
      </c>
      <c r="F5" s="12">
        <f>'Table-n=500-corr'!F5</f>
        <v>0.98698698698698695</v>
      </c>
      <c r="G5" s="12">
        <f>'Table-n=500-corr'!G5</f>
        <v>13.212959563754236</v>
      </c>
      <c r="H5" s="12">
        <f>'Table-n=500-corr'!I5</f>
        <v>1.1538892991829897</v>
      </c>
      <c r="I5" s="12"/>
      <c r="J5" s="12">
        <f>'Table-n=500-miss'!C5</f>
        <v>-3.9399359266025602</v>
      </c>
      <c r="K5" s="12">
        <f>'Table-n=500-miss'!D5</f>
        <v>6.1067032423530696</v>
      </c>
      <c r="L5" s="12">
        <f>'Table-n=500-miss'!E5</f>
        <v>3.7523182806038284</v>
      </c>
      <c r="M5" s="12">
        <f>'Table-n=500-miss'!F5</f>
        <v>0.92100000000000004</v>
      </c>
      <c r="N5" s="12">
        <f>'Table-n=500-miss'!G5</f>
        <v>13.898696063003801</v>
      </c>
      <c r="O5" s="12">
        <f>'Table-n=500-miss'!I5</f>
        <v>1.4401121265189123</v>
      </c>
      <c r="P5" s="5"/>
      <c r="Q5" s="5"/>
      <c r="R5" s="1" t="s">
        <v>3</v>
      </c>
      <c r="S5" s="7">
        <f>100*'Table-n=500-corr'!K5/SQRT(C$3)</f>
        <v>8.369878996520427</v>
      </c>
      <c r="T5" s="7">
        <f>100*SQRT('Table-n=500-corr'!L5/D$3)</f>
        <v>2.427121473266507</v>
      </c>
      <c r="U5" s="7">
        <f>100*'Table-n=500-corr'!M5/SQRT(E$3)</f>
        <v>6.63566144077536</v>
      </c>
      <c r="V5" s="7">
        <f>100*SQRT('Table-n=500-corr'!N5/F$3)</f>
        <v>2.029405553345935</v>
      </c>
      <c r="W5" s="7">
        <f>100*'Table-n=500-corr'!O5/SQRT(G$3)</f>
        <v>2.8982251849640335</v>
      </c>
      <c r="X5" s="7">
        <f>100*SQRT('Table-n=500-corr'!P5/H$3)</f>
        <v>0.58668369733751258</v>
      </c>
      <c r="Y5" s="12"/>
      <c r="Z5" s="7">
        <f>100*'Table-n=500-miss'!K5/SQRT(J$3)</f>
        <v>9.3219464091310957</v>
      </c>
      <c r="AA5" s="7">
        <f>100*SQRT('Table-n=500-miss'!L5/K$3)</f>
        <v>2.5296649429104678</v>
      </c>
      <c r="AB5" s="7">
        <f>100*'Table-n=500-miss'!M5/SQRT(L$3)</f>
        <v>6.8006709479065162</v>
      </c>
      <c r="AC5" s="7">
        <f>100*SQRT('Table-n=500-miss'!N5/M$3)</f>
        <v>1.944059357791279</v>
      </c>
      <c r="AD5" s="7">
        <f>100*'Table-n=500-miss'!O5/SQRT(N$3)</f>
        <v>3.4415784020803786</v>
      </c>
      <c r="AE5" s="7">
        <f>100*SQRT('Table-n=500-miss'!P5/O$3)</f>
        <v>0.72251934227694137</v>
      </c>
    </row>
    <row r="6" spans="1:31" x14ac:dyDescent="0.25">
      <c r="B6" s="1" t="s">
        <v>5</v>
      </c>
      <c r="C6" s="12">
        <f>'Table-n=500-corr'!C6</f>
        <v>1.30156233318542</v>
      </c>
      <c r="D6" s="12">
        <f>'Table-n=500-corr'!D6</f>
        <v>5.6792914814845199</v>
      </c>
      <c r="E6" s="12">
        <f>'Table-n=500-corr'!E6</f>
        <v>4.1661253618689207</v>
      </c>
      <c r="F6" s="12">
        <f>'Table-n=500-corr'!F6</f>
        <v>0.99799799799799804</v>
      </c>
      <c r="G6" s="12">
        <f>'Table-n=500-corr'!G6</f>
        <v>34.8174450429538</v>
      </c>
      <c r="H6" s="12">
        <f>'Table-n=500-corr'!I6</f>
        <v>0.16617686445671356</v>
      </c>
      <c r="I6" s="12"/>
      <c r="J6" s="12">
        <f>'Table-n=500-miss'!C6</f>
        <v>-3.9514478431835398</v>
      </c>
      <c r="K6" s="12">
        <f>'Table-n=500-miss'!D6</f>
        <v>7.9649153779313204</v>
      </c>
      <c r="L6" s="12">
        <f>'Table-n=500-miss'!E6</f>
        <v>6.3833457696635127</v>
      </c>
      <c r="M6" s="12">
        <f>'Table-n=500-miss'!F6</f>
        <v>0.995</v>
      </c>
      <c r="N6" s="12">
        <f>'Table-n=500-miss'!G6</f>
        <v>31.891467453382408</v>
      </c>
      <c r="O6" s="12">
        <f>'Table-n=500-miss'!I6</f>
        <v>0.27352398586119664</v>
      </c>
      <c r="P6" s="5"/>
      <c r="Q6" s="5"/>
      <c r="R6" s="1" t="s">
        <v>5</v>
      </c>
      <c r="S6" s="7">
        <f>100*'Table-n=500-corr'!K6/SQRT(C$3)</f>
        <v>7.3880401101149227</v>
      </c>
      <c r="T6" s="7">
        <f>100*SQRT('Table-n=500-corr'!L6/D$3)</f>
        <v>1.9410361725097036</v>
      </c>
      <c r="U6" s="7">
        <f>100*'Table-n=500-corr'!M6/SQRT(E$3)</f>
        <v>5.5683764915201337</v>
      </c>
      <c r="V6" s="7">
        <f>100*SQRT('Table-n=500-corr'!N6/F$3)</f>
        <v>1.5324107020183395</v>
      </c>
      <c r="W6" s="7">
        <f>100*'Table-n=500-corr'!O6/SQRT(G$3)</f>
        <v>3.2041567006650333</v>
      </c>
      <c r="X6" s="7">
        <f>100*SQRT('Table-n=500-corr'!P6/H$3)</f>
        <v>0.56132505437884217</v>
      </c>
      <c r="Y6" s="12"/>
      <c r="Z6" s="7">
        <f>100*'Table-n=500-miss'!K6/SQRT(J$3)</f>
        <v>8.370251877534594</v>
      </c>
      <c r="AA6" s="7">
        <f>100*SQRT('Table-n=500-miss'!L6/K$3)</f>
        <v>2.0936441493291071</v>
      </c>
      <c r="AB6" s="7">
        <f>100*'Table-n=500-miss'!M6/SQRT(L$3)</f>
        <v>5.9473388172571999</v>
      </c>
      <c r="AC6" s="7">
        <f>100*SQRT('Table-n=500-miss'!N6/M$3)</f>
        <v>1.6067769113376877</v>
      </c>
      <c r="AD6" s="7">
        <f>100*'Table-n=500-miss'!O6/SQRT(N$3)</f>
        <v>3.851253064297075</v>
      </c>
      <c r="AE6" s="7">
        <f>100*SQRT('Table-n=500-miss'!P6/O$3)</f>
        <v>0.62735409803822118</v>
      </c>
    </row>
    <row r="7" spans="1:31" x14ac:dyDescent="0.25">
      <c r="B7" s="1" t="s">
        <v>4</v>
      </c>
      <c r="C7" s="12">
        <f>'Table-n=500-corr'!C7</f>
        <v>0.28593953877690498</v>
      </c>
      <c r="D7" s="12">
        <f>'Table-n=500-corr'!D7</f>
        <v>2.2780732796756</v>
      </c>
      <c r="E7" s="12">
        <f>'Table-n=500-corr'!E7</f>
        <v>0.67031570798168061</v>
      </c>
      <c r="F7" s="12">
        <f>'Table-n=500-corr'!F7</f>
        <v>0.99599599599599598</v>
      </c>
      <c r="G7" s="12">
        <f>'Table-n=500-corr'!G7</f>
        <v>22.774041545557822</v>
      </c>
      <c r="H7" s="12">
        <f>'Table-n=500-corr'!I7</f>
        <v>0.3884043994431296</v>
      </c>
      <c r="I7" s="12"/>
      <c r="J7" s="12">
        <f>'Table-n=500-miss'!C7</f>
        <v>-4.2443646926884099E-2</v>
      </c>
      <c r="K7" s="12">
        <f>'Table-n=500-miss'!D7</f>
        <v>2.8815812413580599</v>
      </c>
      <c r="L7" s="12">
        <f>'Table-n=500-miss'!E7</f>
        <v>0.83550253930289498</v>
      </c>
      <c r="M7" s="12">
        <f>'Table-n=500-miss'!F7</f>
        <v>0.96099999999999997</v>
      </c>
      <c r="N7" s="12">
        <f>'Table-n=500-miss'!G7</f>
        <v>10.069077177934265</v>
      </c>
      <c r="O7" s="12">
        <f>'Table-n=500-miss'!I7</f>
        <v>2.7438798081619011</v>
      </c>
      <c r="P7" s="5"/>
      <c r="Q7" s="5"/>
      <c r="R7" s="1" t="s">
        <v>4</v>
      </c>
      <c r="S7" s="7">
        <f>100*'Table-n=500-corr'!K7/SQRT(C$3)</f>
        <v>9.481016029767007</v>
      </c>
      <c r="T7" s="7">
        <f>100*SQRT('Table-n=500-corr'!L7/D$3)</f>
        <v>2.7632394308010335</v>
      </c>
      <c r="U7" s="7">
        <f>100*'Table-n=500-corr'!M7/SQRT(E$3)</f>
        <v>7.5744443522298921</v>
      </c>
      <c r="V7" s="7">
        <f>100*SQRT('Table-n=500-corr'!N7/F$3)</f>
        <v>2.3618852323233068</v>
      </c>
      <c r="W7" s="7">
        <f>100*'Table-n=500-corr'!O7/SQRT(G$3)</f>
        <v>3.0482095948771351</v>
      </c>
      <c r="X7" s="7">
        <f>100*SQRT('Table-n=500-corr'!P7/H$3)</f>
        <v>0.60214461910979489</v>
      </c>
      <c r="Y7" s="12"/>
      <c r="Z7" s="7">
        <f>100*'Table-n=500-miss'!K7/SQRT(J$3)</f>
        <v>9.6185993314049512</v>
      </c>
      <c r="AA7" s="7">
        <f>100*SQRT('Table-n=500-miss'!L7/K$3)</f>
        <v>2.5882935499338671</v>
      </c>
      <c r="AB7" s="7">
        <f>100*'Table-n=500-miss'!M7/SQRT(L$3)</f>
        <v>7.0316314825104991</v>
      </c>
      <c r="AC7" s="7">
        <f>100*SQRT('Table-n=500-miss'!N7/M$3)</f>
        <v>1.9843521504876043</v>
      </c>
      <c r="AD7" s="7">
        <f>100*'Table-n=500-miss'!O7/SQRT(N$3)</f>
        <v>3.2756645916280016</v>
      </c>
      <c r="AE7" s="7">
        <f>100*SQRT('Table-n=500-miss'!P7/O$3)</f>
        <v>0.70845336637184519</v>
      </c>
    </row>
    <row r="8" spans="1:31" x14ac:dyDescent="0.25">
      <c r="B8" s="1" t="s">
        <v>88</v>
      </c>
      <c r="C8" s="12">
        <f>'Table-n=500-corr'!C8</f>
        <v>0.62198333012614004</v>
      </c>
      <c r="D8" s="12">
        <f>'Table-n=500-corr'!D8</f>
        <v>2.16721729421148</v>
      </c>
      <c r="E8" s="12">
        <f>'Table-n=500-corr'!E8</f>
        <v>0.60666498835412985</v>
      </c>
      <c r="F8" s="12">
        <f>'Table-n=500-corr'!F8</f>
        <v>0.87587587587587601</v>
      </c>
      <c r="G8" s="12">
        <f>'Table-n=500-corr'!G8</f>
        <v>6.4587893845985942</v>
      </c>
      <c r="H8" s="12">
        <f>'Table-n=500-corr'!I8</f>
        <v>4.8290545579585817</v>
      </c>
      <c r="I8" s="12"/>
      <c r="J8" s="12">
        <f>'Table-n=500-miss'!C8</f>
        <v>-3.12563441423318</v>
      </c>
      <c r="K8" s="12">
        <f>'Table-n=500-miss'!D8</f>
        <v>5.1782873267913097</v>
      </c>
      <c r="L8" s="12">
        <f>'Table-n=500-miss'!E8</f>
        <v>2.6981017669811647</v>
      </c>
      <c r="M8" s="12">
        <f>'Table-n=500-miss'!F8</f>
        <v>0.78800000000000003</v>
      </c>
      <c r="N8" s="12">
        <f>'Table-n=500-miss'!G8</f>
        <v>9.9112941867871491</v>
      </c>
      <c r="O8" s="12">
        <f>'Table-n=500-miss'!I8</f>
        <v>2.831937660780838</v>
      </c>
      <c r="P8" s="5"/>
      <c r="Q8" s="5"/>
      <c r="R8" s="1" t="s">
        <v>88</v>
      </c>
      <c r="S8" s="7">
        <f>100*'Table-n=500-corr'!K8/SQRT(C$3)</f>
        <v>9.3930769655247097</v>
      </c>
      <c r="T8" s="7">
        <f>100*SQRT('Table-n=500-corr'!L8/D$3)</f>
        <v>2.826848146883373</v>
      </c>
      <c r="U8" s="7">
        <f>100*'Table-n=500-corr'!M8/SQRT(E$3)</f>
        <v>7.8355200045183544</v>
      </c>
      <c r="V8" s="7">
        <f>100*SQRT('Table-n=500-corr'!N8/F$3)</f>
        <v>2.5234321275100942</v>
      </c>
      <c r="W8" s="7">
        <f>100*'Table-n=500-corr'!O8/SQRT(G$3)</f>
        <v>3.3634043798225171</v>
      </c>
      <c r="X8" s="7">
        <f>100*SQRT('Table-n=500-corr'!P8/H$3)</f>
        <v>0.64853227521202983</v>
      </c>
      <c r="Y8" s="12"/>
      <c r="Z8" s="7">
        <f>100*'Table-n=500-miss'!K8/SQRT(J$3)</f>
        <v>9.362296635327791</v>
      </c>
      <c r="AA8" s="7">
        <f>100*SQRT('Table-n=500-miss'!L8/K$3)</f>
        <v>2.5445869394572118</v>
      </c>
      <c r="AB8" s="7">
        <f>100*'Table-n=500-miss'!M8/SQRT(L$3)</f>
        <v>7.1191898053202172</v>
      </c>
      <c r="AC8" s="7">
        <f>100*SQRT('Table-n=500-miss'!N8/M$3)</f>
        <v>2.0619341067181169</v>
      </c>
      <c r="AD8" s="7">
        <f>100*'Table-n=500-miss'!O8/SQRT(N$3)</f>
        <v>3.6200578276929294</v>
      </c>
      <c r="AE8" s="7">
        <f>100*SQRT('Table-n=500-miss'!P8/O$3)</f>
        <v>0.651047497032473</v>
      </c>
    </row>
    <row r="9" spans="1:31" x14ac:dyDescent="0.25">
      <c r="B9" s="1" t="s">
        <v>89</v>
      </c>
      <c r="C9" s="12">
        <f>'Table-n=500-corr'!C9</f>
        <v>1.7180625057238399</v>
      </c>
      <c r="D9" s="12">
        <f>'Table-n=500-corr'!D9</f>
        <v>2.7824539905882602</v>
      </c>
      <c r="E9" s="12">
        <f>'Table-n=500-corr'!E9</f>
        <v>1</v>
      </c>
      <c r="F9" s="12">
        <f>'Table-n=500-corr'!F9</f>
        <v>0.99199199199199195</v>
      </c>
      <c r="G9" s="12">
        <f>'Table-n=500-corr'!G9</f>
        <v>14.193260664725893</v>
      </c>
      <c r="H9" s="12">
        <f>'Table-n=500-corr'!I9</f>
        <v>1</v>
      </c>
      <c r="I9" s="12"/>
      <c r="J9" s="12">
        <f>'Table-n=500-miss'!C9</f>
        <v>1.9178682617765098E-2</v>
      </c>
      <c r="K9" s="12">
        <f>'Table-n=500-miss'!D9</f>
        <v>3.1525136900938802</v>
      </c>
      <c r="L9" s="12">
        <f>'Table-n=500-miss'!E9</f>
        <v>1</v>
      </c>
      <c r="M9" s="12">
        <f>'Table-n=500-miss'!F9</f>
        <v>0.995</v>
      </c>
      <c r="N9" s="12">
        <f>'Table-n=500-miss'!G9</f>
        <v>16.679084601467668</v>
      </c>
      <c r="O9" s="12">
        <f>'Table-n=500-miss'!I9</f>
        <v>1</v>
      </c>
      <c r="P9" s="5"/>
      <c r="Q9" s="5"/>
      <c r="R9" s="1" t="s">
        <v>89</v>
      </c>
      <c r="S9" s="7">
        <f>100*'Table-n=500-corr'!K9/SQRT(C$3)</f>
        <v>9.0892572474292805</v>
      </c>
      <c r="T9" s="7">
        <f>100*SQRT('Table-n=500-corr'!L9/D$3)</f>
        <v>2.6515351924733714</v>
      </c>
      <c r="U9" s="7">
        <f>100*'Table-n=500-corr'!M9/SQRT(E$3)</f>
        <v>7.112816330159621</v>
      </c>
      <c r="V9" s="7">
        <f>100*SQRT('Table-n=500-corr'!N9/F$3)</f>
        <v>2.1954092340147247</v>
      </c>
      <c r="W9" s="7">
        <f>100*'Table-n=500-corr'!O9/SQRT(G$3)</f>
        <v>2.976317631188516</v>
      </c>
      <c r="X9" s="7">
        <f>100*SQRT('Table-n=500-corr'!P9/H$3)</f>
        <v>0.61807523311633183</v>
      </c>
      <c r="Y9" s="12"/>
      <c r="Z9" s="7">
        <f>100*'Table-n=500-miss'!K9/SQRT(J$3)</f>
        <v>10.463909760997147</v>
      </c>
      <c r="AA9" s="7">
        <f>100*SQRT('Table-n=500-miss'!L9/K$3)</f>
        <v>2.9780294527248246</v>
      </c>
      <c r="AB9" s="7">
        <f>100*'Table-n=500-miss'!M9/SQRT(L$3)</f>
        <v>7.8237513110972703</v>
      </c>
      <c r="AC9" s="7">
        <f>100*SQRT('Table-n=500-miss'!N9/M$3)</f>
        <v>2.3152648203884714</v>
      </c>
      <c r="AD9" s="7">
        <f>100*'Table-n=500-miss'!O9/SQRT(N$3)</f>
        <v>3.2357035374852328</v>
      </c>
      <c r="AE9" s="7">
        <f>100*SQRT('Table-n=500-miss'!P9/O$3)</f>
        <v>0.73844775777339733</v>
      </c>
    </row>
    <row r="10" spans="1:31" s="3" customFormat="1" x14ac:dyDescent="0.25">
      <c r="B10" s="3" t="s">
        <v>2</v>
      </c>
      <c r="C10" s="14">
        <f>'Table-n=500-corr'!C10</f>
        <v>0.36853518659553203</v>
      </c>
      <c r="D10" s="14">
        <f>'Table-n=500-corr'!D10</f>
        <v>2.2395290408417701</v>
      </c>
      <c r="E10" s="14">
        <f>'Table-n=500-corr'!E10</f>
        <v>0.64782456699434754</v>
      </c>
      <c r="F10" s="14">
        <f>'Table-n=500-corr'!F10</f>
        <v>0.93993993993993996</v>
      </c>
      <c r="G10" s="14">
        <f>'Table-n=500-corr'!G10</f>
        <v>8.1146896034778813</v>
      </c>
      <c r="H10" s="14">
        <f>'Table-n=500-corr'!I10</f>
        <v>3.0592891979408363</v>
      </c>
      <c r="I10" s="14"/>
      <c r="J10" s="14">
        <f>'Table-n=500-miss'!C10</f>
        <v>-5.7058304789105598</v>
      </c>
      <c r="K10" s="14">
        <f>'Table-n=500-miss'!D10</f>
        <v>14.443082734072499</v>
      </c>
      <c r="L10" s="14">
        <f>'Table-n=500-miss'!E10</f>
        <v>20.989680872150519</v>
      </c>
      <c r="M10" s="14">
        <f>'Table-n=500-miss'!F10</f>
        <v>0.95099999999999996</v>
      </c>
      <c r="N10" s="14">
        <f>'Table-n=500-miss'!G10</f>
        <v>21.920745923497641</v>
      </c>
      <c r="O10" s="14">
        <f>'Table-n=500-miss'!I10</f>
        <v>0.57894027953560245</v>
      </c>
      <c r="P10" s="13"/>
      <c r="Q10" s="13"/>
      <c r="R10" s="3" t="s">
        <v>2</v>
      </c>
      <c r="S10" s="7">
        <f>100*'Table-n=500-corr'!K10/SQRT(C$3)</f>
        <v>9.875951677202119</v>
      </c>
      <c r="T10" s="7">
        <f>100*SQRT('Table-n=500-corr'!L10/D$3)</f>
        <v>3.0445844000101192</v>
      </c>
      <c r="U10" s="7">
        <f>100*'Table-n=500-corr'!M10/SQRT(E$3)</f>
        <v>8.2448260809421807</v>
      </c>
      <c r="V10" s="7">
        <f>100*SQRT('Table-n=500-corr'!N10/F$3)</f>
        <v>2.7051449814967219</v>
      </c>
      <c r="W10" s="7">
        <f>100*'Table-n=500-corr'!O10/SQRT(G$3)</f>
        <v>2.9208630068882533</v>
      </c>
      <c r="X10" s="7">
        <f>100*SQRT('Table-n=500-corr'!P10/H$3)</f>
        <v>0.58112538284145021</v>
      </c>
      <c r="Y10" s="14"/>
      <c r="Z10" s="7">
        <f>100*'Table-n=500-miss'!K10/SQRT(J$3)</f>
        <v>9.5975532452711043</v>
      </c>
      <c r="AA10" s="7">
        <f>100*SQRT('Table-n=500-miss'!L10/K$3)</f>
        <v>2.5858653750261746</v>
      </c>
      <c r="AB10" s="7">
        <f>100*'Table-n=500-miss'!M10/SQRT(L$3)</f>
        <v>7.2652884069405381</v>
      </c>
      <c r="AC10" s="7">
        <f>100*SQRT('Table-n=500-miss'!N10/M$3)</f>
        <v>2.1258014010788449</v>
      </c>
      <c r="AD10" s="7">
        <f>100*'Table-n=500-miss'!O10/SQRT(N$3)</f>
        <v>4.0153633626255774</v>
      </c>
      <c r="AE10" s="7">
        <f>100*SQRT('Table-n=500-miss'!P10/O$3)</f>
        <v>0.731423981451508</v>
      </c>
    </row>
    <row r="11" spans="1:31" s="4" customFormat="1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 t="s">
        <v>219</v>
      </c>
      <c r="T11" s="16"/>
      <c r="U11" s="16"/>
      <c r="V11" s="16"/>
      <c r="W11" s="16"/>
      <c r="X11" s="16"/>
      <c r="Y11" s="7"/>
      <c r="Z11" s="16" t="s">
        <v>219</v>
      </c>
      <c r="AA11" s="16"/>
      <c r="AB11" s="16"/>
      <c r="AC11" s="16"/>
      <c r="AD11" s="16"/>
      <c r="AE11" s="16"/>
    </row>
    <row r="12" spans="1:31" x14ac:dyDescent="0.25">
      <c r="A12" s="2" t="s">
        <v>206</v>
      </c>
      <c r="B12" s="1" t="s">
        <v>3</v>
      </c>
      <c r="C12" s="12">
        <f>'Table-n=500-corr'!C12</f>
        <v>0.27787623677893603</v>
      </c>
      <c r="D12" s="12">
        <f>'Table-n=500-corr'!D12</f>
        <v>1.86721876492343</v>
      </c>
      <c r="E12" s="12">
        <f>'Table-n=500-corr'!E12</f>
        <v>1.0278330676148013</v>
      </c>
      <c r="F12" s="12">
        <f>'Table-n=500-corr'!F12</f>
        <v>0.896896896896897</v>
      </c>
      <c r="G12" s="12">
        <f>'Table-n=500-corr'!G12</f>
        <v>6.188622555506937</v>
      </c>
      <c r="H12" s="12">
        <f>'Table-n=500-corr'!I12</f>
        <v>1.3729226772742389</v>
      </c>
      <c r="I12" s="12"/>
      <c r="J12" s="12">
        <f>'Table-n=500-miss'!C12</f>
        <v>0.96144494020570004</v>
      </c>
      <c r="K12" s="12">
        <f>'Table-n=500-miss'!D12</f>
        <v>1.82511456157045</v>
      </c>
      <c r="L12" s="12">
        <f>'Table-n=500-miss'!E12</f>
        <v>0.76025050404745664</v>
      </c>
      <c r="M12" s="12">
        <f>'Table-n=500-miss'!F12</f>
        <v>0.84599999999999997</v>
      </c>
      <c r="N12" s="12">
        <f>'Table-n=500-miss'!G12</f>
        <v>5.7725830708172046</v>
      </c>
      <c r="O12" s="12">
        <f>'Table-n=500-miss'!I12</f>
        <v>1.1698802473624452</v>
      </c>
      <c r="P12" s="5"/>
      <c r="Q12" s="5"/>
      <c r="R12" s="1" t="s">
        <v>3</v>
      </c>
      <c r="S12" s="15">
        <f>100*S5/S$9</f>
        <v>92.085401135364322</v>
      </c>
      <c r="T12" s="15">
        <f t="shared" ref="T12:X12" si="0">100*T5/T$9</f>
        <v>91.536460845630728</v>
      </c>
      <c r="U12" s="15">
        <f t="shared" si="0"/>
        <v>93.291618014076391</v>
      </c>
      <c r="V12" s="15">
        <f t="shared" si="0"/>
        <v>92.438599688076366</v>
      </c>
      <c r="W12" s="15">
        <f t="shared" si="0"/>
        <v>97.376205906044433</v>
      </c>
      <c r="X12" s="15">
        <f t="shared" si="0"/>
        <v>94.921081755607105</v>
      </c>
      <c r="Y12" s="12"/>
      <c r="Z12" s="15">
        <f>100*Z5/Z$9</f>
        <v>89.086647553837182</v>
      </c>
      <c r="AA12" s="15">
        <f t="shared" ref="AA12:AE12" si="1">100*AA5/AA$9</f>
        <v>84.944255356369496</v>
      </c>
      <c r="AB12" s="15">
        <f t="shared" si="1"/>
        <v>86.923403844143039</v>
      </c>
      <c r="AC12" s="15">
        <f t="shared" si="1"/>
        <v>83.967040861662255</v>
      </c>
      <c r="AD12" s="15">
        <f t="shared" si="1"/>
        <v>106.36259973171553</v>
      </c>
      <c r="AE12" s="15">
        <f t="shared" si="1"/>
        <v>97.84298681541344</v>
      </c>
    </row>
    <row r="13" spans="1:31" x14ac:dyDescent="0.25">
      <c r="B13" s="1" t="s">
        <v>5</v>
      </c>
      <c r="C13" s="12">
        <f>'Table-n=500-corr'!C13</f>
        <v>0.77270791770605696</v>
      </c>
      <c r="D13" s="12">
        <f>'Table-n=500-corr'!D13</f>
        <v>1.90501877702391</v>
      </c>
      <c r="E13" s="12">
        <f>'Table-n=500-corr'!E13</f>
        <v>1.0698692387151718</v>
      </c>
      <c r="F13" s="12">
        <f>'Table-n=500-corr'!F13</f>
        <v>0.89789789789789798</v>
      </c>
      <c r="G13" s="12">
        <f>'Table-n=500-corr'!G13</f>
        <v>6.668235909841683</v>
      </c>
      <c r="H13" s="12">
        <f>'Table-n=500-corr'!I13</f>
        <v>1.1825299755355958</v>
      </c>
      <c r="I13" s="12"/>
      <c r="J13" s="12">
        <f>'Table-n=500-miss'!C13</f>
        <v>0.87491930476901303</v>
      </c>
      <c r="K13" s="12">
        <f>'Table-n=500-miss'!D13</f>
        <v>1.98868373407454</v>
      </c>
      <c r="L13" s="12">
        <f>'Table-n=500-miss'!E13</f>
        <v>0.90262612573895551</v>
      </c>
      <c r="M13" s="12">
        <f>'Table-n=500-miss'!F13</f>
        <v>0.88700000000000001</v>
      </c>
      <c r="N13" s="12">
        <f>'Table-n=500-miss'!G13</f>
        <v>6.7729803127657409</v>
      </c>
      <c r="O13" s="12">
        <f>'Table-n=500-miss'!I13</f>
        <v>0.84981064044592447</v>
      </c>
      <c r="P13" s="5"/>
      <c r="Q13" s="5"/>
      <c r="R13" s="1" t="s">
        <v>5</v>
      </c>
      <c r="S13" s="15">
        <f t="shared" ref="S13:X17" si="2">100*S6/S$9</f>
        <v>81.283210596822826</v>
      </c>
      <c r="T13" s="15">
        <f t="shared" si="2"/>
        <v>73.204239491880585</v>
      </c>
      <c r="U13" s="15">
        <f t="shared" si="2"/>
        <v>78.286521583711021</v>
      </c>
      <c r="V13" s="15">
        <f t="shared" si="2"/>
        <v>69.800685825486596</v>
      </c>
      <c r="W13" s="15">
        <f t="shared" si="2"/>
        <v>107.65506567877755</v>
      </c>
      <c r="X13" s="15">
        <f t="shared" si="2"/>
        <v>90.818240936244024</v>
      </c>
      <c r="Y13" s="12"/>
      <c r="Z13" s="15">
        <f t="shared" ref="Z13:AE17" si="3">100*Z6/Z$9</f>
        <v>79.991629025066814</v>
      </c>
      <c r="AA13" s="15">
        <f t="shared" si="3"/>
        <v>70.303003464706279</v>
      </c>
      <c r="AB13" s="15">
        <f t="shared" si="3"/>
        <v>76.01646040079838</v>
      </c>
      <c r="AC13" s="15">
        <f t="shared" si="3"/>
        <v>69.399271184368942</v>
      </c>
      <c r="AD13" s="15">
        <f t="shared" si="3"/>
        <v>119.02366887697762</v>
      </c>
      <c r="AE13" s="15">
        <f t="shared" si="3"/>
        <v>84.955786165543913</v>
      </c>
    </row>
    <row r="14" spans="1:31" x14ac:dyDescent="0.25">
      <c r="B14" s="1" t="s">
        <v>4</v>
      </c>
      <c r="C14" s="12">
        <f>'Table-n=500-corr'!C14</f>
        <v>0.202843072125411</v>
      </c>
      <c r="D14" s="12">
        <f>'Table-n=500-corr'!D14</f>
        <v>2.0140266240184399</v>
      </c>
      <c r="E14" s="12">
        <f>'Table-n=500-corr'!E14</f>
        <v>1.1958111372855242</v>
      </c>
      <c r="F14" s="12">
        <f>'Table-n=500-corr'!F14</f>
        <v>0.87487487487487503</v>
      </c>
      <c r="G14" s="12">
        <f>'Table-n=500-corr'!G14</f>
        <v>6.3282699760400511</v>
      </c>
      <c r="H14" s="12">
        <f>'Table-n=500-corr'!I14</f>
        <v>1.3129980249888089</v>
      </c>
      <c r="I14" s="12"/>
      <c r="J14" s="12">
        <f>'Table-n=500-miss'!C14</f>
        <v>1.3167893910478301</v>
      </c>
      <c r="K14" s="12">
        <f>'Table-n=500-miss'!D14</f>
        <v>1.9674323138477099</v>
      </c>
      <c r="L14" s="12">
        <f>'Table-n=500-miss'!E14</f>
        <v>0.88343796100513505</v>
      </c>
      <c r="M14" s="12">
        <f>'Table-n=500-miss'!F14</f>
        <v>0.79100000000000004</v>
      </c>
      <c r="N14" s="12">
        <f>'Table-n=500-miss'!G14</f>
        <v>5.5165946756718638</v>
      </c>
      <c r="O14" s="12">
        <f>'Table-n=500-miss'!I14</f>
        <v>1.2809720068041945</v>
      </c>
      <c r="P14" s="5"/>
      <c r="Q14" s="5"/>
      <c r="R14" s="1" t="s">
        <v>4</v>
      </c>
      <c r="S14" s="15">
        <f t="shared" si="2"/>
        <v>104.31012976828804</v>
      </c>
      <c r="T14" s="15">
        <f t="shared" si="2"/>
        <v>104.2128137180583</v>
      </c>
      <c r="U14" s="15">
        <f t="shared" si="2"/>
        <v>106.49008776049629</v>
      </c>
      <c r="V14" s="15">
        <f t="shared" si="2"/>
        <v>107.58291418881159</v>
      </c>
      <c r="W14" s="15">
        <f t="shared" si="2"/>
        <v>102.41546678134318</v>
      </c>
      <c r="X14" s="15">
        <f t="shared" si="2"/>
        <v>97.422544513519028</v>
      </c>
      <c r="Y14" s="12"/>
      <c r="Z14" s="15">
        <f t="shared" si="3"/>
        <v>91.921657880279312</v>
      </c>
      <c r="AA14" s="15">
        <f t="shared" si="3"/>
        <v>86.9129600973436</v>
      </c>
      <c r="AB14" s="15">
        <f t="shared" si="3"/>
        <v>89.87544724915756</v>
      </c>
      <c r="AC14" s="15">
        <f t="shared" si="3"/>
        <v>85.70735118562618</v>
      </c>
      <c r="AD14" s="15">
        <f t="shared" si="3"/>
        <v>101.23500356815218</v>
      </c>
      <c r="AE14" s="15">
        <f t="shared" si="3"/>
        <v>95.938183698736836</v>
      </c>
    </row>
    <row r="15" spans="1:31" x14ac:dyDescent="0.25">
      <c r="B15" s="1" t="s">
        <v>88</v>
      </c>
      <c r="C15" s="12">
        <f>'Table-n=500-corr'!C15</f>
        <v>0.15558229570784299</v>
      </c>
      <c r="D15" s="12">
        <f>'Table-n=500-corr'!D15</f>
        <v>2.7463171154641399</v>
      </c>
      <c r="E15" s="12">
        <f>'Table-n=500-corr'!E15</f>
        <v>2.2234816328372697</v>
      </c>
      <c r="F15" s="12">
        <f>'Table-n=500-corr'!F15</f>
        <v>0.83283283283283305</v>
      </c>
      <c r="G15" s="12">
        <f>'Table-n=500-corr'!G15</f>
        <v>6.3436136533114071</v>
      </c>
      <c r="H15" s="12">
        <f>'Table-n=500-corr'!I15</f>
        <v>1.3066540530439019</v>
      </c>
      <c r="I15" s="12"/>
      <c r="J15" s="12">
        <f>'Table-n=500-miss'!C15</f>
        <v>1.1556294202584101</v>
      </c>
      <c r="K15" s="12">
        <f>'Table-n=500-miss'!D15</f>
        <v>1.9383106703772</v>
      </c>
      <c r="L15" s="12">
        <f>'Table-n=500-miss'!E15</f>
        <v>0.8574784804251897</v>
      </c>
      <c r="M15" s="12">
        <f>'Table-n=500-miss'!F15</f>
        <v>0.83</v>
      </c>
      <c r="N15" s="12">
        <f>'Table-n=500-miss'!G15</f>
        <v>5.8495403024875534</v>
      </c>
      <c r="O15" s="12">
        <f>'Table-n=500-miss'!I15</f>
        <v>1.1393005733617427</v>
      </c>
      <c r="P15" s="5"/>
      <c r="Q15" s="5"/>
      <c r="R15" s="1" t="s">
        <v>88</v>
      </c>
      <c r="S15" s="15">
        <f t="shared" si="2"/>
        <v>103.34262426318013</v>
      </c>
      <c r="T15" s="15">
        <f t="shared" si="2"/>
        <v>106.61175287839453</v>
      </c>
      <c r="U15" s="15">
        <f t="shared" si="2"/>
        <v>110.16058394892525</v>
      </c>
      <c r="V15" s="15">
        <f t="shared" si="2"/>
        <v>114.94130973000952</v>
      </c>
      <c r="W15" s="15">
        <f t="shared" si="2"/>
        <v>113.00555910356343</v>
      </c>
      <c r="X15" s="15">
        <f t="shared" si="2"/>
        <v>104.92772408014697</v>
      </c>
      <c r="Y15" s="12"/>
      <c r="Z15" s="15">
        <f t="shared" si="3"/>
        <v>89.472260839103612</v>
      </c>
      <c r="AA15" s="15">
        <f t="shared" si="3"/>
        <v>85.445324831457825</v>
      </c>
      <c r="AB15" s="15">
        <f t="shared" si="3"/>
        <v>90.994582039210556</v>
      </c>
      <c r="AC15" s="15">
        <f t="shared" si="3"/>
        <v>89.058240273877232</v>
      </c>
      <c r="AD15" s="15">
        <f t="shared" si="3"/>
        <v>111.87853849263378</v>
      </c>
      <c r="AE15" s="15">
        <f t="shared" si="3"/>
        <v>88.164327155050501</v>
      </c>
    </row>
    <row r="16" spans="1:31" x14ac:dyDescent="0.25">
      <c r="B16" s="1" t="s">
        <v>89</v>
      </c>
      <c r="C16" s="12">
        <f>'Table-n=500-corr'!C16</f>
        <v>0.64197665556781103</v>
      </c>
      <c r="D16" s="12">
        <f>'Table-n=500-corr'!D16</f>
        <v>1.8417637055366001</v>
      </c>
      <c r="E16" s="12">
        <f>'Table-n=500-corr'!E16</f>
        <v>1</v>
      </c>
      <c r="F16" s="12">
        <f>'Table-n=500-corr'!F16</f>
        <v>0.91291291291291299</v>
      </c>
      <c r="G16" s="12">
        <f>'Table-n=500-corr'!G16</f>
        <v>7.2513194023457181</v>
      </c>
      <c r="H16" s="12">
        <f>'Table-n=500-corr'!I16</f>
        <v>1</v>
      </c>
      <c r="I16" s="12"/>
      <c r="J16" s="12">
        <f>'Table-n=500-miss'!C16</f>
        <v>1.4464942664418901</v>
      </c>
      <c r="K16" s="12">
        <f>'Table-n=500-miss'!D16</f>
        <v>2.0932050398517399</v>
      </c>
      <c r="L16" s="12">
        <f>'Table-n=500-miss'!E16</f>
        <v>1</v>
      </c>
      <c r="M16" s="12">
        <f>'Table-n=500-miss'!F16</f>
        <v>0.82099999999999995</v>
      </c>
      <c r="N16" s="12">
        <f>'Table-n=500-miss'!G16</f>
        <v>6.2436837226952093</v>
      </c>
      <c r="O16" s="12">
        <f>'Table-n=500-miss'!I16</f>
        <v>1</v>
      </c>
      <c r="P16" s="5"/>
      <c r="Q16" s="5"/>
      <c r="R16" s="1" t="s">
        <v>89</v>
      </c>
      <c r="S16" s="15">
        <f t="shared" si="2"/>
        <v>100</v>
      </c>
      <c r="T16" s="15">
        <f t="shared" si="2"/>
        <v>100</v>
      </c>
      <c r="U16" s="15">
        <f t="shared" si="2"/>
        <v>100</v>
      </c>
      <c r="V16" s="15">
        <f t="shared" si="2"/>
        <v>100</v>
      </c>
      <c r="W16" s="15">
        <f t="shared" si="2"/>
        <v>100</v>
      </c>
      <c r="X16" s="15">
        <f t="shared" si="2"/>
        <v>100</v>
      </c>
      <c r="Y16" s="12"/>
      <c r="Z16" s="15">
        <f t="shared" si="3"/>
        <v>99.999999999999986</v>
      </c>
      <c r="AA16" s="15">
        <f t="shared" si="3"/>
        <v>100</v>
      </c>
      <c r="AB16" s="15">
        <f t="shared" si="3"/>
        <v>100</v>
      </c>
      <c r="AC16" s="15">
        <f t="shared" si="3"/>
        <v>100</v>
      </c>
      <c r="AD16" s="15">
        <f t="shared" si="3"/>
        <v>100.00000000000001</v>
      </c>
      <c r="AE16" s="15">
        <f t="shared" si="3"/>
        <v>100</v>
      </c>
    </row>
    <row r="17" spans="1:31" s="3" customFormat="1" x14ac:dyDescent="0.25">
      <c r="B17" s="3" t="s">
        <v>2</v>
      </c>
      <c r="C17" s="14">
        <f>'Table-n=500-corr'!C17</f>
        <v>-6.8013497473694104E-2</v>
      </c>
      <c r="D17" s="14">
        <f>'Table-n=500-corr'!D17</f>
        <v>2.9483316109206399</v>
      </c>
      <c r="E17" s="14">
        <f>'Table-n=500-corr'!E17</f>
        <v>2.5626236916608618</v>
      </c>
      <c r="F17" s="14">
        <f>'Table-n=500-corr'!F17</f>
        <v>0.90090090090090102</v>
      </c>
      <c r="G17" s="14">
        <f>'Table-n=500-corr'!G17</f>
        <v>7.686255965396918</v>
      </c>
      <c r="H17" s="14">
        <f>'Table-n=500-corr'!I17</f>
        <v>0.89002946406129557</v>
      </c>
      <c r="I17" s="14"/>
      <c r="J17" s="14">
        <f>'Table-n=500-miss'!C17</f>
        <v>1.1257296558466801</v>
      </c>
      <c r="K17" s="14">
        <f>'Table-n=500-miss'!D17</f>
        <v>1.95526453025253</v>
      </c>
      <c r="L17" s="14">
        <f>'Table-n=500-miss'!E17</f>
        <v>0.8725443295178219</v>
      </c>
      <c r="M17" s="14">
        <f>'Table-n=500-miss'!F17</f>
        <v>0.85199999999999998</v>
      </c>
      <c r="N17" s="14">
        <f>'Table-n=500-miss'!G17</f>
        <v>6.1542195947696499</v>
      </c>
      <c r="O17" s="14">
        <f>'Table-n=500-miss'!I17</f>
        <v>1.029285402731982</v>
      </c>
      <c r="P17" s="13"/>
      <c r="Q17" s="13"/>
      <c r="R17" s="3" t="s">
        <v>2</v>
      </c>
      <c r="S17" s="15">
        <f t="shared" si="2"/>
        <v>108.65521140349878</v>
      </c>
      <c r="T17" s="15">
        <f t="shared" si="2"/>
        <v>114.82345807260845</v>
      </c>
      <c r="U17" s="15">
        <f t="shared" si="2"/>
        <v>115.91507074325307</v>
      </c>
      <c r="V17" s="15">
        <f t="shared" si="2"/>
        <v>123.21825651383675</v>
      </c>
      <c r="W17" s="15">
        <f t="shared" si="2"/>
        <v>98.13680422683521</v>
      </c>
      <c r="X17" s="15">
        <f t="shared" si="2"/>
        <v>94.021787592332288</v>
      </c>
      <c r="Y17" s="14"/>
      <c r="Z17" s="15">
        <f t="shared" si="3"/>
        <v>91.720527646795347</v>
      </c>
      <c r="AA17" s="15">
        <f t="shared" si="3"/>
        <v>86.831423801405691</v>
      </c>
      <c r="AB17" s="15">
        <f t="shared" si="3"/>
        <v>92.8619548097777</v>
      </c>
      <c r="AC17" s="15">
        <f t="shared" si="3"/>
        <v>91.816771125221138</v>
      </c>
      <c r="AD17" s="15">
        <f t="shared" si="3"/>
        <v>124.09552717386126</v>
      </c>
      <c r="AE17" s="15">
        <f t="shared" si="3"/>
        <v>99.048845873258813</v>
      </c>
    </row>
    <row r="18" spans="1:31" s="4" customFormat="1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25">
      <c r="A19" s="2" t="s">
        <v>59</v>
      </c>
      <c r="B19" s="1" t="s">
        <v>3</v>
      </c>
      <c r="C19" s="12">
        <f>'Table-n=500-corr'!C19</f>
        <v>4.6719855122179701E-2</v>
      </c>
      <c r="D19" s="12">
        <f>'Table-n=500-corr'!D19</f>
        <v>1.15149369325996</v>
      </c>
      <c r="E19" s="12">
        <f>'Table-n=500-corr'!E19</f>
        <v>0.7740603128836625</v>
      </c>
      <c r="F19" s="12">
        <f>'Table-n=500-corr'!F19</f>
        <v>0.96796796796796802</v>
      </c>
      <c r="G19" s="12">
        <f>'Table-n=500-corr'!G19</f>
        <v>5.1704857299764857</v>
      </c>
      <c r="H19" s="12">
        <f>'Table-n=500-corr'!I19</f>
        <v>1.7149624867064315</v>
      </c>
      <c r="I19" s="12"/>
      <c r="J19" s="12">
        <f>'Table-n=500-miss'!C19</f>
        <v>0.56498773818338299</v>
      </c>
      <c r="K19" s="12">
        <f>'Table-n=500-miss'!D19</f>
        <v>1.22516381360675</v>
      </c>
      <c r="L19" s="12">
        <f>'Table-n=500-miss'!E19</f>
        <v>0.51205865070326284</v>
      </c>
      <c r="M19" s="12">
        <f>'Table-n=500-miss'!F19</f>
        <v>0.95699999999999996</v>
      </c>
      <c r="N19" s="12">
        <f>'Table-n=500-miss'!G19</f>
        <v>5.0906422619328575</v>
      </c>
      <c r="O19" s="12">
        <f>'Table-n=500-miss'!I19</f>
        <v>1.4477045321522872</v>
      </c>
      <c r="P19" s="5"/>
      <c r="Q19" s="5"/>
      <c r="Y19" s="12"/>
    </row>
    <row r="20" spans="1:31" x14ac:dyDescent="0.25">
      <c r="B20" s="1" t="s">
        <v>5</v>
      </c>
      <c r="C20" s="12">
        <f>'Table-n=500-corr'!C20</f>
        <v>0.44150529384562498</v>
      </c>
      <c r="D20" s="12">
        <f>'Table-n=500-corr'!D20</f>
        <v>1.2717679142759499</v>
      </c>
      <c r="E20" s="12">
        <f>'Table-n=500-corr'!E20</f>
        <v>0.94420740385360791</v>
      </c>
      <c r="F20" s="12">
        <f>'Table-n=500-corr'!F20</f>
        <v>0.97697697697697705</v>
      </c>
      <c r="G20" s="12">
        <f>'Table-n=500-corr'!G20</f>
        <v>6.2216228261635607</v>
      </c>
      <c r="H20" s="12">
        <f>'Table-n=500-corr'!I20</f>
        <v>1.1844315131431167</v>
      </c>
      <c r="I20" s="12"/>
      <c r="J20" s="12">
        <f>'Table-n=500-miss'!C20</f>
        <v>0.50522799235828597</v>
      </c>
      <c r="K20" s="12">
        <f>'Table-n=500-miss'!D20</f>
        <v>1.33973926630951</v>
      </c>
      <c r="L20" s="12">
        <f>'Table-n=500-miss'!E20</f>
        <v>0.61231085406229768</v>
      </c>
      <c r="M20" s="12">
        <f>'Table-n=500-miss'!F20</f>
        <v>0.97399999999999998</v>
      </c>
      <c r="N20" s="12">
        <f>'Table-n=500-miss'!G20</f>
        <v>6.4101315340654752</v>
      </c>
      <c r="O20" s="12">
        <f>'Table-n=500-miss'!I20</f>
        <v>0.91304295299597338</v>
      </c>
      <c r="P20" s="5"/>
      <c r="Q20" s="5"/>
      <c r="Y20" s="12"/>
    </row>
    <row r="21" spans="1:31" x14ac:dyDescent="0.25">
      <c r="B21" s="1" t="s">
        <v>4</v>
      </c>
      <c r="C21" s="12">
        <f>'Table-n=500-corr'!C21</f>
        <v>0.121234214024074</v>
      </c>
      <c r="D21" s="12">
        <f>'Table-n=500-corr'!D21</f>
        <v>1.22350721006436</v>
      </c>
      <c r="E21" s="12">
        <f>'Table-n=500-corr'!E21</f>
        <v>0.87390603753650342</v>
      </c>
      <c r="F21" s="12">
        <f>'Table-n=500-corr'!F21</f>
        <v>0.95695695695695704</v>
      </c>
      <c r="G21" s="12">
        <f>'Table-n=500-corr'!G21</f>
        <v>5.1664468243393786</v>
      </c>
      <c r="H21" s="12">
        <f>'Table-n=500-corr'!I21</f>
        <v>1.7176449024317062</v>
      </c>
      <c r="I21" s="12"/>
      <c r="J21" s="12">
        <f>'Table-n=500-miss'!C21</f>
        <v>0.93022425548127596</v>
      </c>
      <c r="K21" s="12">
        <f>'Table-n=500-miss'!D21</f>
        <v>1.41755095121557</v>
      </c>
      <c r="L21" s="12">
        <f>'Table-n=500-miss'!E21</f>
        <v>0.68550202327008813</v>
      </c>
      <c r="M21" s="12">
        <f>'Table-n=500-miss'!F21</f>
        <v>0.92300000000000004</v>
      </c>
      <c r="N21" s="12">
        <f>'Table-n=500-miss'!G21</f>
        <v>5.0311138495133196</v>
      </c>
      <c r="O21" s="12">
        <f>'Table-n=500-miss'!I21</f>
        <v>1.4821658445447516</v>
      </c>
      <c r="P21" s="5"/>
      <c r="Q21" s="5"/>
      <c r="Y21" s="12"/>
    </row>
    <row r="22" spans="1:31" x14ac:dyDescent="0.25">
      <c r="B22" s="1" t="s">
        <v>88</v>
      </c>
      <c r="C22" s="12">
        <f>'Table-n=500-corr'!C22</f>
        <v>0.23891750555865601</v>
      </c>
      <c r="D22" s="12">
        <f>'Table-n=500-corr'!D22</f>
        <v>1.42271044965116</v>
      </c>
      <c r="E22" s="12">
        <f>'Table-n=500-corr'!E22</f>
        <v>1.1816387282489158</v>
      </c>
      <c r="F22" s="12">
        <f>'Table-n=500-corr'!F22</f>
        <v>0.92992992992992995</v>
      </c>
      <c r="G22" s="12">
        <f>'Table-n=500-corr'!G22</f>
        <v>5.3287608930862911</v>
      </c>
      <c r="H22" s="12">
        <f>'Table-n=500-corr'!I22</f>
        <v>1.6145996183756401</v>
      </c>
      <c r="I22" s="12"/>
      <c r="J22" s="12">
        <f>'Table-n=500-miss'!C22</f>
        <v>0.759451717104205</v>
      </c>
      <c r="K22" s="12">
        <f>'Table-n=500-miss'!D22</f>
        <v>1.3536916853738299</v>
      </c>
      <c r="L22" s="12">
        <f>'Table-n=500-miss'!E22</f>
        <v>0.6251308162403707</v>
      </c>
      <c r="M22" s="12">
        <f>'Table-n=500-miss'!F22</f>
        <v>0.94</v>
      </c>
      <c r="N22" s="12">
        <f>'Table-n=500-miss'!G22</f>
        <v>5.2276952217832218</v>
      </c>
      <c r="O22" s="12">
        <f>'Table-n=500-miss'!I22</f>
        <v>1.3727914679584219</v>
      </c>
      <c r="P22" s="5"/>
      <c r="Q22" s="5"/>
      <c r="Y22" s="12"/>
    </row>
    <row r="23" spans="1:31" x14ac:dyDescent="0.25">
      <c r="B23" s="1" t="s">
        <v>89</v>
      </c>
      <c r="C23" s="12">
        <f>'Table-n=500-corr'!C23</f>
        <v>0.51067172246110604</v>
      </c>
      <c r="D23" s="12">
        <f>'Table-n=500-corr'!D23</f>
        <v>1.30880264223738</v>
      </c>
      <c r="E23" s="12">
        <f>'Table-n=500-corr'!E23</f>
        <v>1</v>
      </c>
      <c r="F23" s="12">
        <f>'Table-n=500-corr'!F23</f>
        <v>0.98398398398398401</v>
      </c>
      <c r="G23" s="12">
        <f>'Table-n=500-corr'!G23</f>
        <v>6.7710910882502748</v>
      </c>
      <c r="H23" s="12">
        <f>'Table-n=500-corr'!I23</f>
        <v>1</v>
      </c>
      <c r="I23" s="12"/>
      <c r="J23" s="12">
        <f>'Table-n=500-miss'!C23</f>
        <v>1.2475856649891199</v>
      </c>
      <c r="K23" s="12">
        <f>'Table-n=500-miss'!D23</f>
        <v>1.7121204210149099</v>
      </c>
      <c r="L23" s="12">
        <f>'Table-n=500-miss'!E23</f>
        <v>1</v>
      </c>
      <c r="M23" s="12">
        <f>'Table-n=500-miss'!F23</f>
        <v>0.92200000000000004</v>
      </c>
      <c r="N23" s="12">
        <f>'Table-n=500-miss'!G23</f>
        <v>6.1250910039554194</v>
      </c>
      <c r="O23" s="12">
        <f>'Table-n=500-miss'!I23</f>
        <v>1</v>
      </c>
      <c r="P23" s="5"/>
      <c r="Q23" s="5"/>
      <c r="Y23" s="12"/>
    </row>
    <row r="24" spans="1:31" s="3" customFormat="1" x14ac:dyDescent="0.25">
      <c r="B24" s="3" t="s">
        <v>2</v>
      </c>
      <c r="C24" s="14">
        <f>'Table-n=500-corr'!C24</f>
        <v>-4.8712819712246197E-2</v>
      </c>
      <c r="D24" s="14">
        <f>'Table-n=500-corr'!D24</f>
        <v>2.1237594045697601</v>
      </c>
      <c r="E24" s="14">
        <f>'Table-n=500-corr'!E24</f>
        <v>2.6330693874847024</v>
      </c>
      <c r="F24" s="14">
        <f>'Table-n=500-corr'!F24</f>
        <v>0.96096096096096095</v>
      </c>
      <c r="G24" s="14">
        <f>'Table-n=500-corr'!G24</f>
        <v>6.2417418941807403</v>
      </c>
      <c r="H24" s="14">
        <f>'Table-n=500-corr'!I24</f>
        <v>1.1768082395787127</v>
      </c>
      <c r="I24" s="14"/>
      <c r="J24" s="14">
        <f>'Table-n=500-miss'!C24</f>
        <v>0.72324763915738399</v>
      </c>
      <c r="K24" s="14">
        <f>'Table-n=500-miss'!D24</f>
        <v>1.3479942791403801</v>
      </c>
      <c r="L24" s="14">
        <f>'Table-n=500-miss'!E24</f>
        <v>0.61987979906933788</v>
      </c>
      <c r="M24" s="14">
        <f>'Table-n=500-miss'!F24</f>
        <v>0.95499999999999996</v>
      </c>
      <c r="N24" s="14">
        <f>'Table-n=500-miss'!G24</f>
        <v>5.50064043391406</v>
      </c>
      <c r="O24" s="14">
        <f>'Table-n=500-miss'!I24</f>
        <v>1.2399340246070618</v>
      </c>
      <c r="P24" s="13"/>
      <c r="Q24" s="13"/>
      <c r="Y24" s="14"/>
    </row>
    <row r="25" spans="1:31" s="4" customFormat="1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25">
      <c r="A26" s="2" t="s">
        <v>60</v>
      </c>
      <c r="B26" s="1" t="s">
        <v>3</v>
      </c>
      <c r="C26" s="12">
        <f>'Table-n=500-corr'!C26</f>
        <v>-0.133029049136933</v>
      </c>
      <c r="D26" s="12">
        <f>'Table-n=500-corr'!D26</f>
        <v>1.31183035945642</v>
      </c>
      <c r="E26" s="12">
        <f>'Table-n=500-corr'!E26</f>
        <v>0.68828395745230697</v>
      </c>
      <c r="F26" s="12">
        <f>'Table-n=500-corr'!F26</f>
        <v>0.94494494494494496</v>
      </c>
      <c r="G26" s="12">
        <f>'Table-n=500-corr'!G26</f>
        <v>5.4415347460731258</v>
      </c>
      <c r="H26" s="12">
        <f>'Table-n=500-corr'!I26</f>
        <v>2.1796041760210643</v>
      </c>
      <c r="I26" s="12"/>
      <c r="J26" s="12">
        <f>'Table-n=500-miss'!C26</f>
        <v>0.35735692365139599</v>
      </c>
      <c r="K26" s="12">
        <f>'Table-n=500-miss'!D26</f>
        <v>1.34517909825392</v>
      </c>
      <c r="L26" s="12">
        <f>'Table-n=500-miss'!E26</f>
        <v>0.34130412412261124</v>
      </c>
      <c r="M26" s="12">
        <f>'Table-n=500-miss'!F26</f>
        <v>0.95599999999999996</v>
      </c>
      <c r="N26" s="12">
        <f>'Table-n=500-miss'!G26</f>
        <v>5.326865943826677</v>
      </c>
      <c r="O26" s="12">
        <f>'Table-n=500-miss'!I26</f>
        <v>2.0029649552133688</v>
      </c>
      <c r="P26" s="5"/>
      <c r="Q26"/>
      <c r="R26"/>
      <c r="S26"/>
      <c r="T26"/>
      <c r="Y26" s="12"/>
    </row>
    <row r="27" spans="1:31" x14ac:dyDescent="0.25">
      <c r="B27" s="1" t="s">
        <v>5</v>
      </c>
      <c r="C27" s="12">
        <f>'Table-n=500-corr'!C27</f>
        <v>0.40343610402200503</v>
      </c>
      <c r="D27" s="12">
        <f>'Table-n=500-corr'!D27</f>
        <v>1.72116679873127</v>
      </c>
      <c r="E27" s="12">
        <f>'Table-n=500-corr'!E27</f>
        <v>1.1848359202837682</v>
      </c>
      <c r="F27" s="12">
        <f>'Table-n=500-corr'!F27</f>
        <v>0.98898898898898902</v>
      </c>
      <c r="G27" s="12">
        <f>'Table-n=500-corr'!G27</f>
        <v>8.5467327768666568</v>
      </c>
      <c r="H27" s="12">
        <f>'Table-n=500-corr'!I27</f>
        <v>0.88352774836812542</v>
      </c>
      <c r="I27" s="12"/>
      <c r="J27" s="12">
        <f>'Table-n=500-miss'!C27</f>
        <v>0.28993113822365302</v>
      </c>
      <c r="K27" s="12">
        <f>'Table-n=500-miss'!D27</f>
        <v>1.8356645697727401</v>
      </c>
      <c r="L27" s="12">
        <f>'Table-n=500-miss'!E27</f>
        <v>0.63557669797962679</v>
      </c>
      <c r="M27" s="12">
        <f>'Table-n=500-miss'!F27</f>
        <v>0.98899999999999999</v>
      </c>
      <c r="N27" s="12">
        <f>'Table-n=500-miss'!G27</f>
        <v>8.9825847959878828</v>
      </c>
      <c r="O27" s="12">
        <f>'Table-n=500-miss'!I27</f>
        <v>0.70439170711854215</v>
      </c>
      <c r="P27" s="5"/>
      <c r="Q27" s="5"/>
      <c r="Y27" s="12"/>
    </row>
    <row r="28" spans="1:31" x14ac:dyDescent="0.25">
      <c r="B28" s="1" t="s">
        <v>4</v>
      </c>
      <c r="C28" s="12">
        <f>'Table-n=500-corr'!C28</f>
        <v>-2.2050496126421799E-2</v>
      </c>
      <c r="D28" s="12">
        <f>'Table-n=500-corr'!D28</f>
        <v>1.37603947832233</v>
      </c>
      <c r="E28" s="12">
        <f>'Table-n=500-corr'!E28</f>
        <v>0.75731067729847679</v>
      </c>
      <c r="F28" s="12">
        <f>'Table-n=500-corr'!F28</f>
        <v>0.94994994994994997</v>
      </c>
      <c r="G28" s="12">
        <f>'Table-n=500-corr'!G28</f>
        <v>5.7661061456771554</v>
      </c>
      <c r="H28" s="12">
        <f>'Table-n=500-corr'!I28</f>
        <v>1.9411324906860532</v>
      </c>
      <c r="I28" s="12"/>
      <c r="J28" s="12">
        <f>'Table-n=500-miss'!C28</f>
        <v>1.07226166158838</v>
      </c>
      <c r="K28" s="12">
        <f>'Table-n=500-miss'!D28</f>
        <v>1.72975484940372</v>
      </c>
      <c r="L28" s="12">
        <f>'Table-n=500-miss'!E28</f>
        <v>0.56435246811528361</v>
      </c>
      <c r="M28" s="12">
        <f>'Table-n=500-miss'!F28</f>
        <v>0.89800000000000002</v>
      </c>
      <c r="N28" s="12">
        <f>'Table-n=500-miss'!G28</f>
        <v>5.3608476981007369</v>
      </c>
      <c r="O28" s="12">
        <f>'Table-n=500-miss'!I28</f>
        <v>1.9776523400254318</v>
      </c>
      <c r="P28" s="5"/>
      <c r="Q28" s="5"/>
      <c r="Y28" s="12"/>
    </row>
    <row r="29" spans="1:31" x14ac:dyDescent="0.25">
      <c r="B29" s="1" t="s">
        <v>88</v>
      </c>
      <c r="C29" s="12">
        <f>'Table-n=500-corr'!C29</f>
        <v>0.25459636047325801</v>
      </c>
      <c r="D29" s="12">
        <f>'Table-n=500-corr'!D29</f>
        <v>1.6111983019482099</v>
      </c>
      <c r="E29" s="12">
        <f>'Table-n=500-corr'!E29</f>
        <v>1.0382699463727536</v>
      </c>
      <c r="F29" s="12">
        <f>'Table-n=500-corr'!F29</f>
        <v>0.90590590590590603</v>
      </c>
      <c r="G29" s="12">
        <f>'Table-n=500-corr'!G29</f>
        <v>5.2889692599958167</v>
      </c>
      <c r="H29" s="12">
        <f>'Table-n=500-corr'!I29</f>
        <v>2.3071634279505457</v>
      </c>
      <c r="I29" s="12"/>
      <c r="J29" s="12">
        <f>'Table-n=500-miss'!C29</f>
        <v>0.65343791462801204</v>
      </c>
      <c r="K29" s="12">
        <f>'Table-n=500-miss'!D29</f>
        <v>1.5570616980206</v>
      </c>
      <c r="L29" s="12">
        <f>'Table-n=500-miss'!E29</f>
        <v>0.45729132045082621</v>
      </c>
      <c r="M29" s="12">
        <f>'Table-n=500-miss'!F29</f>
        <v>0.93500000000000005</v>
      </c>
      <c r="N29" s="12">
        <f>'Table-n=500-miss'!G29</f>
        <v>5.3832252792698307</v>
      </c>
      <c r="O29" s="12">
        <f>'Table-n=500-miss'!I29</f>
        <v>1.9612446694205075</v>
      </c>
      <c r="P29" s="5"/>
      <c r="Q29" s="5"/>
      <c r="Y29" s="12"/>
    </row>
    <row r="30" spans="1:31" x14ac:dyDescent="0.25">
      <c r="B30" s="1" t="s">
        <v>89</v>
      </c>
      <c r="C30" s="12">
        <f>'Table-n=500-corr'!C30</f>
        <v>0.71659514369698396</v>
      </c>
      <c r="D30" s="12">
        <f>'Table-n=500-corr'!D30</f>
        <v>1.5812256618165099</v>
      </c>
      <c r="E30" s="12">
        <f>'Table-n=500-corr'!E30</f>
        <v>1</v>
      </c>
      <c r="F30" s="12">
        <f>'Table-n=500-corr'!F30</f>
        <v>0.98798798798798804</v>
      </c>
      <c r="G30" s="12">
        <f>'Table-n=500-corr'!G30</f>
        <v>8.0336003379066039</v>
      </c>
      <c r="H30" s="12">
        <f>'Table-n=500-corr'!I30</f>
        <v>1</v>
      </c>
      <c r="I30" s="12"/>
      <c r="J30" s="12">
        <f>'Table-n=500-miss'!C30</f>
        <v>1.66451581102726</v>
      </c>
      <c r="K30" s="12">
        <f>'Table-n=500-miss'!D30</f>
        <v>2.30255144620893</v>
      </c>
      <c r="L30" s="12">
        <f>'Table-n=500-miss'!E30</f>
        <v>1</v>
      </c>
      <c r="M30" s="12">
        <f>'Table-n=500-miss'!F30</f>
        <v>0.92300000000000004</v>
      </c>
      <c r="N30" s="12">
        <f>'Table-n=500-miss'!G30</f>
        <v>7.5389079882951844</v>
      </c>
      <c r="O30" s="12">
        <f>'Table-n=500-miss'!I30</f>
        <v>1</v>
      </c>
      <c r="P30" s="5"/>
      <c r="Q30" s="5"/>
      <c r="Y30" s="12"/>
    </row>
    <row r="31" spans="1:31" s="3" customFormat="1" x14ac:dyDescent="0.25">
      <c r="B31" s="3" t="s">
        <v>2</v>
      </c>
      <c r="C31" s="14">
        <f>'Table-n=500-corr'!C31</f>
        <v>-2.8242780805722801E-3</v>
      </c>
      <c r="D31" s="14">
        <f>'Table-n=500-corr'!D31</f>
        <v>1.5705141692751601</v>
      </c>
      <c r="E31" s="14">
        <f>'Table-n=500-corr'!E31</f>
        <v>0.98649754799748623</v>
      </c>
      <c r="F31" s="14">
        <f>'Table-n=500-corr'!F31</f>
        <v>0.94694694694694703</v>
      </c>
      <c r="G31" s="14">
        <f>'Table-n=500-corr'!G31</f>
        <v>6.1776308904561974</v>
      </c>
      <c r="H31" s="14">
        <f>'Table-n=500-corr'!I31</f>
        <v>1.6911282046049065</v>
      </c>
      <c r="I31" s="14"/>
      <c r="J31" s="14">
        <f>'Table-n=500-miss'!C31</f>
        <v>0.53188530576530102</v>
      </c>
      <c r="K31" s="14">
        <f>'Table-n=500-miss'!D31</f>
        <v>1.5416166091962</v>
      </c>
      <c r="L31" s="14">
        <f>'Table-n=500-miss'!E31</f>
        <v>0.4482642212068883</v>
      </c>
      <c r="M31" s="14">
        <f>'Table-n=500-miss'!F31</f>
        <v>0.94699999999999995</v>
      </c>
      <c r="N31" s="14">
        <f>'Table-n=500-miss'!G31</f>
        <v>5.7599981481429232</v>
      </c>
      <c r="O31" s="14">
        <f>'Table-n=500-miss'!I31</f>
        <v>1.7130585154238556</v>
      </c>
      <c r="P31" s="13"/>
      <c r="Q31" s="13"/>
      <c r="Y31" s="14"/>
    </row>
    <row r="32" spans="1:31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25">
      <c r="A33" s="2" t="s">
        <v>62</v>
      </c>
      <c r="B33" s="1" t="s">
        <v>3</v>
      </c>
      <c r="C33" s="12">
        <f>'Table-n=500-corr'!C33</f>
        <v>-1.92656294343241E-2</v>
      </c>
      <c r="D33" s="12">
        <f>'Table-n=500-corr'!D33</f>
        <v>3.3897228766462901</v>
      </c>
      <c r="E33" s="12">
        <f>'Table-n=500-corr'!E33</f>
        <v>0.58181060878296342</v>
      </c>
      <c r="F33" s="12">
        <f>'Table-n=500-corr'!F33</f>
        <v>0.963963963963964</v>
      </c>
      <c r="G33" s="12">
        <f>'Table-n=500-corr'!G33</f>
        <v>15.02628796088692</v>
      </c>
      <c r="H33" s="12">
        <f>'Table-n=500-corr'!I33</f>
        <v>1.9920154369725547</v>
      </c>
      <c r="I33" s="12"/>
      <c r="J33" s="12">
        <f>'Table-n=500-miss'!C33</f>
        <v>-0.95587139624906703</v>
      </c>
      <c r="K33" s="12">
        <f>'Table-n=500-miss'!D33</f>
        <v>3.5854904535454399</v>
      </c>
      <c r="L33" s="12">
        <f>'Table-n=500-miss'!E33</f>
        <v>0.45958526254719384</v>
      </c>
      <c r="M33" s="12">
        <f>'Table-n=500-miss'!F33</f>
        <v>0.93500000000000005</v>
      </c>
      <c r="N33" s="12">
        <f>'Table-n=500-miss'!G33</f>
        <v>14.350324739746664</v>
      </c>
      <c r="O33" s="12">
        <f>'Table-n=500-miss'!I33</f>
        <v>2.0745729776475885</v>
      </c>
      <c r="P33" s="5"/>
      <c r="Y33" s="12"/>
    </row>
    <row r="34" spans="1:25" x14ac:dyDescent="0.25">
      <c r="B34" s="1" t="s">
        <v>5</v>
      </c>
      <c r="C34" s="12">
        <f>'Table-n=500-corr'!C34</f>
        <v>0.87598787036968395</v>
      </c>
      <c r="D34" s="12">
        <f>'Table-n=500-corr'!D34</f>
        <v>6.5771497563313304</v>
      </c>
      <c r="E34" s="12">
        <f>'Table-n=500-corr'!E34</f>
        <v>2.1904266174705924</v>
      </c>
      <c r="F34" s="12">
        <f>'Table-n=500-corr'!F34</f>
        <v>0.968968968968969</v>
      </c>
      <c r="G34" s="12">
        <f>'Table-n=500-corr'!G34</f>
        <v>30.448264745701728</v>
      </c>
      <c r="H34" s="12">
        <f>'Table-n=500-corr'!I34</f>
        <v>0.4851443970101581</v>
      </c>
      <c r="I34" s="12"/>
      <c r="J34" s="12">
        <f>'Table-n=500-miss'!C34</f>
        <v>-1.3087784139821299</v>
      </c>
      <c r="K34" s="12">
        <f>'Table-n=500-miss'!D34</f>
        <v>7.0883603959912298</v>
      </c>
      <c r="L34" s="12">
        <f>'Table-n=500-miss'!E34</f>
        <v>1.7962241602216313</v>
      </c>
      <c r="M34" s="12">
        <f>'Table-n=500-miss'!F34</f>
        <v>0.97199999999999998</v>
      </c>
      <c r="N34" s="12">
        <f>'Table-n=500-miss'!G34</f>
        <v>31.956421511823397</v>
      </c>
      <c r="O34" s="12">
        <f>'Table-n=500-miss'!I34</f>
        <v>0.4183462619782839</v>
      </c>
      <c r="P34" s="5"/>
      <c r="Y34" s="12"/>
    </row>
    <row r="35" spans="1:25" x14ac:dyDescent="0.25">
      <c r="B35" s="1" t="s">
        <v>4</v>
      </c>
      <c r="C35" s="12">
        <f>'Table-n=500-corr'!C35</f>
        <v>-0.108373443460545</v>
      </c>
      <c r="D35" s="12">
        <f>'Table-n=500-corr'!D35</f>
        <v>3.5673959409988898</v>
      </c>
      <c r="E35" s="12">
        <f>'Table-n=500-corr'!E35</f>
        <v>0.64440050919550385</v>
      </c>
      <c r="F35" s="12">
        <f>'Table-n=500-corr'!F35</f>
        <v>0.95795795795795802</v>
      </c>
      <c r="G35" s="12">
        <f>'Table-n=500-corr'!G35</f>
        <v>16.404559218170085</v>
      </c>
      <c r="H35" s="12">
        <f>'Table-n=500-corr'!I35</f>
        <v>1.6713483734263612</v>
      </c>
      <c r="I35" s="12"/>
      <c r="J35" s="12">
        <f>'Table-n=500-miss'!C35</f>
        <v>1.8437568722720501</v>
      </c>
      <c r="K35" s="12">
        <f>'Table-n=500-miss'!D35</f>
        <v>3.9897675877805701</v>
      </c>
      <c r="L35" s="12">
        <f>'Table-n=500-miss'!E35</f>
        <v>0.56906797846604706</v>
      </c>
      <c r="M35" s="12">
        <f>'Table-n=500-miss'!F35</f>
        <v>0.88300000000000001</v>
      </c>
      <c r="N35" s="12">
        <f>'Table-n=500-miss'!G35</f>
        <v>12.982318067664293</v>
      </c>
      <c r="O35" s="12">
        <f>'Table-n=500-miss'!I35</f>
        <v>2.534823264423216</v>
      </c>
      <c r="P35" s="5"/>
      <c r="Y35" s="12"/>
    </row>
    <row r="36" spans="1:25" x14ac:dyDescent="0.25">
      <c r="B36" s="1" t="s">
        <v>88</v>
      </c>
      <c r="C36" s="12">
        <f>'Table-n=500-corr'!C36</f>
        <v>0.480446818171817</v>
      </c>
      <c r="D36" s="12">
        <f>'Table-n=500-corr'!D36</f>
        <v>3.9798380318622799</v>
      </c>
      <c r="E36" s="12">
        <f>'Table-n=500-corr'!E36</f>
        <v>0.80201786623964255</v>
      </c>
      <c r="F36" s="12">
        <f>'Table-n=500-corr'!F36</f>
        <v>0.83683683683683696</v>
      </c>
      <c r="G36" s="12">
        <f>'Table-n=500-corr'!G36</f>
        <v>11.360526387517254</v>
      </c>
      <c r="H36" s="12">
        <f>'Table-n=500-corr'!I36</f>
        <v>3.4849712906264423</v>
      </c>
      <c r="I36" s="12"/>
      <c r="J36" s="12">
        <f>'Table-n=500-miss'!C36</f>
        <v>-0.19481899592197899</v>
      </c>
      <c r="K36" s="12">
        <f>'Table-n=500-miss'!D36</f>
        <v>3.5638799535505901</v>
      </c>
      <c r="L36" s="12">
        <f>'Table-n=500-miss'!E36</f>
        <v>0.45406192523943278</v>
      </c>
      <c r="M36" s="12">
        <f>'Table-n=500-miss'!F36</f>
        <v>0.90300000000000002</v>
      </c>
      <c r="N36" s="12">
        <f>'Table-n=500-miss'!G36</f>
        <v>12.340943776021483</v>
      </c>
      <c r="O36" s="12">
        <f>'Table-n=500-miss'!I36</f>
        <v>2.8051457241955919</v>
      </c>
      <c r="P36" s="5"/>
      <c r="Y36" s="12"/>
    </row>
    <row r="37" spans="1:25" x14ac:dyDescent="0.25">
      <c r="B37" s="1" t="s">
        <v>89</v>
      </c>
      <c r="C37" s="12">
        <f>'Table-n=500-corr'!C37</f>
        <v>2.3414701499223298</v>
      </c>
      <c r="D37" s="12">
        <f>'Table-n=500-corr'!D37</f>
        <v>4.4439931042833098</v>
      </c>
      <c r="E37" s="12">
        <f>'Table-n=500-corr'!E37</f>
        <v>1</v>
      </c>
      <c r="F37" s="12">
        <f>'Table-n=500-corr'!F37</f>
        <v>0.98498498498498499</v>
      </c>
      <c r="G37" s="12">
        <f>'Table-n=500-corr'!G37</f>
        <v>21.207919054721305</v>
      </c>
      <c r="H37" s="12">
        <f>'Table-n=500-corr'!I37</f>
        <v>1</v>
      </c>
      <c r="I37" s="12"/>
      <c r="J37" s="12">
        <f>'Table-n=500-miss'!C37</f>
        <v>3.4228385810526398</v>
      </c>
      <c r="K37" s="12">
        <f>'Table-n=500-miss'!D37</f>
        <v>5.2889020455017004</v>
      </c>
      <c r="L37" s="12">
        <f>'Table-n=500-miss'!E37</f>
        <v>1</v>
      </c>
      <c r="M37" s="12">
        <f>'Table-n=500-miss'!F37</f>
        <v>0.95299999999999996</v>
      </c>
      <c r="N37" s="12">
        <f>'Table-n=500-miss'!G37</f>
        <v>20.669315162634522</v>
      </c>
      <c r="O37" s="12">
        <f>'Table-n=500-miss'!I37</f>
        <v>1</v>
      </c>
      <c r="P37" s="5"/>
      <c r="Y37" s="12"/>
    </row>
    <row r="38" spans="1:25" s="3" customFormat="1" x14ac:dyDescent="0.25">
      <c r="B38" s="3" t="s">
        <v>2</v>
      </c>
      <c r="C38" s="14">
        <f>'Table-n=500-corr'!C38</f>
        <v>0.19626704086421601</v>
      </c>
      <c r="D38" s="14">
        <f>'Table-n=500-corr'!D38</f>
        <v>4.0224962783942999</v>
      </c>
      <c r="E38" s="14">
        <f>'Table-n=500-corr'!E38</f>
        <v>0.81930300768730002</v>
      </c>
      <c r="F38" s="14">
        <f>'Table-n=500-corr'!F38</f>
        <v>0.87287287287287296</v>
      </c>
      <c r="G38" s="14">
        <f>'Table-n=500-corr'!G38</f>
        <v>12.622564278324836</v>
      </c>
      <c r="H38" s="14">
        <f>'Table-n=500-corr'!I38</f>
        <v>2.8229353512833182</v>
      </c>
      <c r="I38" s="14"/>
      <c r="J38" s="14">
        <f>'Table-n=500-miss'!C38</f>
        <v>-1.95945152559313</v>
      </c>
      <c r="K38" s="14">
        <f>'Table-n=500-miss'!D38</f>
        <v>19.816259578287202</v>
      </c>
      <c r="L38" s="14">
        <f>'Table-n=500-miss'!E38</f>
        <v>14.03822884606579</v>
      </c>
      <c r="M38" s="14">
        <f>'Table-n=500-miss'!F38</f>
        <v>0.91800000000000004</v>
      </c>
      <c r="N38" s="14">
        <f>'Table-n=500-miss'!G38</f>
        <v>16.057719792512646</v>
      </c>
      <c r="O38" s="14">
        <f>'Table-n=500-miss'!I38</f>
        <v>1.6568547009823062</v>
      </c>
      <c r="P38" s="13"/>
      <c r="Q38" s="13"/>
      <c r="Y38" s="14"/>
    </row>
    <row r="39" spans="1:25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25">
      <c r="A40" s="2" t="s">
        <v>207</v>
      </c>
      <c r="B40" s="1" t="s">
        <v>3</v>
      </c>
      <c r="C40" s="12">
        <f>'Table-n=500-corr'!C40</f>
        <v>0.65943123768588296</v>
      </c>
      <c r="D40" s="12">
        <f>'Table-n=500-corr'!D40</f>
        <v>7.2410581335554598</v>
      </c>
      <c r="E40" s="12">
        <f>'Table-n=500-corr'!E40</f>
        <v>0.83951520411067793</v>
      </c>
      <c r="F40" s="12">
        <f>'Table-n=500-corr'!F40</f>
        <v>0.97697697697697705</v>
      </c>
      <c r="G40" s="12">
        <f>'Table-n=500-corr'!G40</f>
        <v>35.577093891686111</v>
      </c>
      <c r="H40" s="12">
        <f>'Table-n=500-corr'!I40</f>
        <v>1.1724767742646487</v>
      </c>
      <c r="I40" s="12"/>
      <c r="J40" s="12">
        <f>'Table-n=500-miss'!C40</f>
        <v>-7.6758571779896698</v>
      </c>
      <c r="K40" s="12">
        <f>'Table-n=500-miss'!D40</f>
        <v>11.864244399959301</v>
      </c>
      <c r="L40" s="12">
        <f>'Table-n=500-miss'!E40</f>
        <v>2.4100563210671435</v>
      </c>
      <c r="M40" s="12">
        <f>'Table-n=500-miss'!F40</f>
        <v>0.873</v>
      </c>
      <c r="N40" s="12">
        <f>'Table-n=500-miss'!G40</f>
        <v>35.496066870174843</v>
      </c>
      <c r="O40" s="12">
        <f>'Table-n=500-miss'!I40</f>
        <v>1.3108738917792901</v>
      </c>
      <c r="P40" s="5"/>
      <c r="Y40" s="12"/>
    </row>
    <row r="41" spans="1:25" x14ac:dyDescent="0.25">
      <c r="B41" s="1" t="s">
        <v>5</v>
      </c>
      <c r="C41" s="12">
        <f>'Table-n=500-corr'!C41</f>
        <v>1.4896807298065899</v>
      </c>
      <c r="D41" s="12">
        <f>'Table-n=500-corr'!D41</f>
        <v>14.069306270914399</v>
      </c>
      <c r="E41" s="12">
        <f>'Table-n=500-corr'!E41</f>
        <v>3.1693475403811338</v>
      </c>
      <c r="F41" s="12">
        <f>'Table-n=500-corr'!F41</f>
        <v>0.97297297297297303</v>
      </c>
      <c r="G41" s="12">
        <f>'Table-n=500-corr'!G41</f>
        <v>70.654717968392433</v>
      </c>
      <c r="H41" s="12">
        <f>'Table-n=500-corr'!I41</f>
        <v>0.2972780571563608</v>
      </c>
      <c r="I41" s="12"/>
      <c r="J41" s="12">
        <f>'Table-n=500-miss'!C41</f>
        <v>-8.1161897202456998</v>
      </c>
      <c r="K41" s="12">
        <f>'Table-n=500-miss'!D41</f>
        <v>17.644131766291299</v>
      </c>
      <c r="L41" s="12">
        <f>'Table-n=500-miss'!E41</f>
        <v>5.3302503549717981</v>
      </c>
      <c r="M41" s="12">
        <f>'Table-n=500-miss'!F41</f>
        <v>0.95599999999999996</v>
      </c>
      <c r="N41" s="12">
        <f>'Table-n=500-miss'!G41</f>
        <v>71.404207351482086</v>
      </c>
      <c r="O41" s="12">
        <f>'Table-n=500-miss'!I41</f>
        <v>0.32394686144485246</v>
      </c>
      <c r="P41" s="5"/>
      <c r="Y41" s="12"/>
    </row>
    <row r="42" spans="1:25" x14ac:dyDescent="0.25">
      <c r="B42" s="1" t="s">
        <v>4</v>
      </c>
      <c r="C42" s="12">
        <f>'Table-n=500-corr'!C42</f>
        <v>-0.66519396531934105</v>
      </c>
      <c r="D42" s="12">
        <f>'Table-n=500-corr'!D42</f>
        <v>7.1400459448767997</v>
      </c>
      <c r="E42" s="12">
        <f>'Table-n=500-corr'!E42</f>
        <v>0.81625623252159751</v>
      </c>
      <c r="F42" s="12">
        <f>'Table-n=500-corr'!F42</f>
        <v>0.99399399399399402</v>
      </c>
      <c r="G42" s="12">
        <f>'Table-n=500-corr'!G42</f>
        <v>46.026577536079259</v>
      </c>
      <c r="H42" s="12">
        <f>'Table-n=500-corr'!I42</f>
        <v>0.70053174934340157</v>
      </c>
      <c r="I42" s="12"/>
      <c r="J42" s="12">
        <f>'Table-n=500-miss'!C42</f>
        <v>0.22345726385499801</v>
      </c>
      <c r="K42" s="12">
        <f>'Table-n=500-miss'!D42</f>
        <v>7.7917801683799901</v>
      </c>
      <c r="L42" s="12">
        <f>'Table-n=500-miss'!E42</f>
        <v>1.0394902142678135</v>
      </c>
      <c r="M42" s="12">
        <f>'Table-n=500-miss'!F42</f>
        <v>0.92600000000000005</v>
      </c>
      <c r="N42" s="12">
        <f>'Table-n=500-miss'!G42</f>
        <v>30.338758632931977</v>
      </c>
      <c r="O42" s="12">
        <f>'Table-n=500-miss'!I42</f>
        <v>1.7944268869125513</v>
      </c>
      <c r="P42" s="5"/>
      <c r="Y42" s="12"/>
    </row>
    <row r="43" spans="1:25" x14ac:dyDescent="0.25">
      <c r="B43" s="1" t="s">
        <v>88</v>
      </c>
      <c r="C43" s="12">
        <f>'Table-n=500-corr'!C43</f>
        <v>0.31816699922686598</v>
      </c>
      <c r="D43" s="12">
        <f>'Table-n=500-corr'!D43</f>
        <v>7.68770297930556</v>
      </c>
      <c r="E43" s="12">
        <f>'Table-n=500-corr'!E43</f>
        <v>0.94627570256377325</v>
      </c>
      <c r="F43" s="12">
        <f>'Table-n=500-corr'!F43</f>
        <v>0.90890890890890896</v>
      </c>
      <c r="G43" s="12">
        <f>'Table-n=500-corr'!G43</f>
        <v>26.909098312841099</v>
      </c>
      <c r="H43" s="12">
        <f>'Table-n=500-corr'!I43</f>
        <v>2.0494951624454045</v>
      </c>
      <c r="I43" s="12"/>
      <c r="J43" s="12">
        <f>'Table-n=500-miss'!C43</f>
        <v>-6.3546187105267498</v>
      </c>
      <c r="K43" s="12">
        <f>'Table-n=500-miss'!D43</f>
        <v>10.7293964616374</v>
      </c>
      <c r="L43" s="12">
        <f>'Table-n=500-miss'!E43</f>
        <v>1.9710498549209845</v>
      </c>
      <c r="M43" s="12">
        <f>'Table-n=500-miss'!F43</f>
        <v>0.84099999999999997</v>
      </c>
      <c r="N43" s="12">
        <f>'Table-n=500-miss'!G43</f>
        <v>30.927247049425016</v>
      </c>
      <c r="O43" s="12">
        <f>'Table-n=500-miss'!I43</f>
        <v>1.7267873342800975</v>
      </c>
      <c r="P43" s="5"/>
      <c r="Y43" s="12"/>
    </row>
    <row r="44" spans="1:25" x14ac:dyDescent="0.25">
      <c r="B44" s="1" t="s">
        <v>89</v>
      </c>
      <c r="C44" s="12">
        <f>'Table-n=500-corr'!C44</f>
        <v>2.9240645041567399</v>
      </c>
      <c r="D44" s="12">
        <f>'Table-n=500-corr'!D44</f>
        <v>7.9029230124910201</v>
      </c>
      <c r="E44" s="12">
        <f>'Table-n=500-corr'!E44</f>
        <v>1</v>
      </c>
      <c r="F44" s="12">
        <f>'Table-n=500-corr'!F44</f>
        <v>0.96996996996996998</v>
      </c>
      <c r="G44" s="12">
        <f>'Table-n=500-corr'!G44</f>
        <v>38.523221178447493</v>
      </c>
      <c r="H44" s="12">
        <f>'Table-n=500-corr'!I44</f>
        <v>1</v>
      </c>
      <c r="I44" s="12"/>
      <c r="J44" s="12">
        <f>'Table-n=500-miss'!C44</f>
        <v>0.244076173551875</v>
      </c>
      <c r="K44" s="12">
        <f>'Table-n=500-miss'!D44</f>
        <v>7.6423423482275403</v>
      </c>
      <c r="L44" s="12">
        <f>'Table-n=500-miss'!E44</f>
        <v>1</v>
      </c>
      <c r="M44" s="12">
        <f>'Table-n=500-miss'!F44</f>
        <v>0.98499999999999999</v>
      </c>
      <c r="N44" s="12">
        <f>'Table-n=500-miss'!G44</f>
        <v>40.640654251035038</v>
      </c>
      <c r="O44" s="12">
        <f>'Table-n=500-miss'!I44</f>
        <v>1</v>
      </c>
      <c r="P44" s="5"/>
      <c r="Y44" s="12"/>
    </row>
    <row r="45" spans="1:25" s="3" customFormat="1" x14ac:dyDescent="0.25">
      <c r="B45" s="3" t="s">
        <v>2</v>
      </c>
      <c r="C45" s="14">
        <f>'Table-n=500-corr'!C45</f>
        <v>0.392782793160944</v>
      </c>
      <c r="D45" s="14">
        <f>'Table-n=500-corr'!D45</f>
        <v>6.9775692751662</v>
      </c>
      <c r="E45" s="14">
        <f>'Table-n=500-corr'!E45</f>
        <v>0.77952996044890011</v>
      </c>
      <c r="F45" s="14">
        <f>'Table-n=500-corr'!F45</f>
        <v>0.92892892892892898</v>
      </c>
      <c r="G45" s="14">
        <f>'Table-n=500-corr'!G45</f>
        <v>26.621411347113064</v>
      </c>
      <c r="H45" s="14">
        <f>'Table-n=500-corr'!I45</f>
        <v>2.0940306600743286</v>
      </c>
      <c r="I45" s="14"/>
      <c r="J45" s="14">
        <f>'Table-n=500-miss'!C45</f>
        <v>-16.364597340625298</v>
      </c>
      <c r="K45" s="14">
        <f>'Table-n=500-miss'!D45</f>
        <v>69.683530907648702</v>
      </c>
      <c r="L45" s="14">
        <f>'Table-n=500-miss'!E45</f>
        <v>83.139483080888184</v>
      </c>
      <c r="M45" s="14">
        <f>'Table-n=500-miss'!F45</f>
        <v>0.85799999999999998</v>
      </c>
      <c r="N45" s="14">
        <f>'Table-n=500-miss'!G45</f>
        <v>44.508787559473134</v>
      </c>
      <c r="O45" s="14">
        <f>'Table-n=500-miss'!I45</f>
        <v>0.83373849397924782</v>
      </c>
      <c r="P45" s="13"/>
      <c r="Q45" s="13"/>
      <c r="Y45" s="14"/>
    </row>
    <row r="46" spans="1:25" x14ac:dyDescent="0.25">
      <c r="G46" s="7"/>
      <c r="H46" s="7"/>
      <c r="O46" s="7"/>
    </row>
    <row r="47" spans="1:25" x14ac:dyDescent="0.25">
      <c r="G47" s="7"/>
      <c r="H47" s="7"/>
      <c r="O47" s="7"/>
    </row>
    <row r="48" spans="1:25" x14ac:dyDescent="0.25">
      <c r="G48" s="7"/>
      <c r="H48" s="7"/>
      <c r="O48" s="7"/>
    </row>
    <row r="49" spans="7:15" x14ac:dyDescent="0.25">
      <c r="G49" s="7"/>
      <c r="H49" s="7"/>
      <c r="O49" s="7"/>
    </row>
    <row r="50" spans="7:15" x14ac:dyDescent="0.25">
      <c r="G50" s="7"/>
      <c r="H50" s="7"/>
      <c r="O50" s="7"/>
    </row>
    <row r="51" spans="7:15" x14ac:dyDescent="0.25">
      <c r="G51" s="7"/>
      <c r="H51" s="7"/>
      <c r="O51" s="7"/>
    </row>
    <row r="52" spans="7:15" x14ac:dyDescent="0.25">
      <c r="G52" s="7"/>
      <c r="H52" s="7"/>
      <c r="O52" s="7"/>
    </row>
    <row r="53" spans="7:15" x14ac:dyDescent="0.25">
      <c r="G53" s="7"/>
      <c r="H53" s="7"/>
      <c r="O53" s="7"/>
    </row>
    <row r="54" spans="7:15" x14ac:dyDescent="0.25">
      <c r="G54" s="7"/>
      <c r="H54" s="7"/>
      <c r="O54" s="7"/>
    </row>
    <row r="55" spans="7:15" x14ac:dyDescent="0.25">
      <c r="G55" s="7"/>
      <c r="H55" s="7"/>
      <c r="O55" s="7"/>
    </row>
    <row r="56" spans="7:15" x14ac:dyDescent="0.25">
      <c r="G56" s="7"/>
      <c r="H56" s="7"/>
      <c r="O56" s="7"/>
    </row>
    <row r="57" spans="7:15" x14ac:dyDescent="0.25">
      <c r="G57" s="7"/>
      <c r="H57" s="7"/>
      <c r="O57" s="7"/>
    </row>
    <row r="58" spans="7:15" x14ac:dyDescent="0.25">
      <c r="G58" s="7"/>
      <c r="H58" s="7"/>
      <c r="O58" s="7"/>
    </row>
    <row r="59" spans="7:15" x14ac:dyDescent="0.25">
      <c r="G59" s="7"/>
      <c r="H59" s="7"/>
      <c r="O59" s="7"/>
    </row>
    <row r="60" spans="7:15" x14ac:dyDescent="0.25">
      <c r="G60" s="7"/>
      <c r="H60" s="7"/>
      <c r="O60" s="7"/>
    </row>
    <row r="61" spans="7:15" x14ac:dyDescent="0.25">
      <c r="G61" s="7"/>
      <c r="H61" s="7"/>
      <c r="O61" s="7"/>
    </row>
    <row r="62" spans="7:15" x14ac:dyDescent="0.25">
      <c r="G62" s="7"/>
      <c r="H62" s="7"/>
      <c r="O62" s="7"/>
    </row>
    <row r="63" spans="7:15" x14ac:dyDescent="0.25">
      <c r="G63" s="7"/>
      <c r="H63" s="7"/>
      <c r="O63" s="7"/>
    </row>
    <row r="64" spans="7:15" x14ac:dyDescent="0.25">
      <c r="G64" s="7"/>
      <c r="H64" s="7"/>
      <c r="O64" s="7"/>
    </row>
    <row r="65" spans="7:15" x14ac:dyDescent="0.25">
      <c r="G65" s="7"/>
      <c r="H65" s="7"/>
      <c r="O65" s="7"/>
    </row>
    <row r="66" spans="7:15" x14ac:dyDescent="0.25">
      <c r="G66" s="7"/>
      <c r="H66" s="7"/>
      <c r="O66" s="7"/>
    </row>
    <row r="67" spans="7:15" x14ac:dyDescent="0.25">
      <c r="G67" s="7"/>
      <c r="H67" s="7"/>
      <c r="O67" s="7"/>
    </row>
    <row r="68" spans="7:15" x14ac:dyDescent="0.25">
      <c r="G68" s="7"/>
      <c r="H68" s="7"/>
      <c r="O68" s="7"/>
    </row>
    <row r="69" spans="7:15" x14ac:dyDescent="0.25">
      <c r="G69" s="7"/>
      <c r="H69" s="7"/>
      <c r="O69" s="7"/>
    </row>
    <row r="70" spans="7:15" x14ac:dyDescent="0.25">
      <c r="G70" s="7"/>
      <c r="H70" s="7"/>
      <c r="O70" s="7"/>
    </row>
    <row r="71" spans="7:15" x14ac:dyDescent="0.25">
      <c r="G71" s="7"/>
      <c r="H71" s="7"/>
      <c r="O71" s="7"/>
    </row>
    <row r="72" spans="7:15" x14ac:dyDescent="0.25">
      <c r="G72" s="7"/>
      <c r="H72" s="7"/>
      <c r="O72" s="7"/>
    </row>
    <row r="73" spans="7:15" x14ac:dyDescent="0.25">
      <c r="G73" s="7"/>
      <c r="H73" s="7"/>
      <c r="O73" s="7"/>
    </row>
    <row r="74" spans="7:15" x14ac:dyDescent="0.25">
      <c r="G74" s="7"/>
      <c r="H74" s="7"/>
      <c r="O74" s="7"/>
    </row>
    <row r="75" spans="7:15" x14ac:dyDescent="0.25">
      <c r="G75" s="7"/>
      <c r="H75" s="7"/>
      <c r="O75" s="7"/>
    </row>
    <row r="76" spans="7:15" x14ac:dyDescent="0.25">
      <c r="G76" s="7"/>
      <c r="H76" s="7"/>
      <c r="O76" s="7"/>
    </row>
    <row r="77" spans="7:15" x14ac:dyDescent="0.25">
      <c r="G77" s="7"/>
      <c r="H77" s="7"/>
      <c r="O77" s="7"/>
    </row>
    <row r="78" spans="7:15" x14ac:dyDescent="0.25">
      <c r="G78" s="7"/>
      <c r="H78" s="7"/>
      <c r="O78" s="7"/>
    </row>
    <row r="79" spans="7:15" x14ac:dyDescent="0.25">
      <c r="G79" s="7"/>
      <c r="H79" s="7"/>
      <c r="O79" s="7"/>
    </row>
    <row r="80" spans="7:15" x14ac:dyDescent="0.25">
      <c r="G80" s="7"/>
      <c r="H80" s="7"/>
      <c r="O80" s="7"/>
    </row>
    <row r="81" spans="7:15" x14ac:dyDescent="0.25">
      <c r="G81" s="7"/>
      <c r="H81" s="7"/>
      <c r="O81" s="7"/>
    </row>
    <row r="82" spans="7:15" x14ac:dyDescent="0.25">
      <c r="G82" s="7"/>
      <c r="H82" s="7"/>
      <c r="O82" s="7"/>
    </row>
    <row r="83" spans="7:15" x14ac:dyDescent="0.25">
      <c r="G83" s="7"/>
      <c r="H83" s="7"/>
      <c r="O83" s="7"/>
    </row>
    <row r="84" spans="7:15" x14ac:dyDescent="0.25">
      <c r="G84" s="7"/>
      <c r="H84" s="7"/>
      <c r="O84" s="7"/>
    </row>
    <row r="85" spans="7:15" x14ac:dyDescent="0.25">
      <c r="G85" s="7"/>
      <c r="H85" s="7"/>
      <c r="O85" s="7"/>
    </row>
    <row r="86" spans="7:15" x14ac:dyDescent="0.25">
      <c r="G86" s="7"/>
      <c r="H86" s="7"/>
      <c r="O86" s="7"/>
    </row>
    <row r="87" spans="7:15" x14ac:dyDescent="0.25">
      <c r="G87" s="7"/>
      <c r="H87" s="7"/>
      <c r="O87" s="7"/>
    </row>
    <row r="88" spans="7:15" x14ac:dyDescent="0.25">
      <c r="G88" s="7"/>
      <c r="H88" s="7"/>
      <c r="O88" s="7"/>
    </row>
    <row r="89" spans="7:15" x14ac:dyDescent="0.25">
      <c r="G89" s="7"/>
      <c r="H89" s="7"/>
      <c r="O89" s="7"/>
    </row>
    <row r="90" spans="7:15" x14ac:dyDescent="0.25">
      <c r="G90" s="7"/>
      <c r="H90" s="7"/>
      <c r="O90" s="7"/>
    </row>
    <row r="91" spans="7:15" x14ac:dyDescent="0.25">
      <c r="G91" s="7"/>
      <c r="H91" s="7"/>
      <c r="O91" s="7"/>
    </row>
    <row r="92" spans="7:15" x14ac:dyDescent="0.25">
      <c r="G92" s="7"/>
      <c r="H92" s="7"/>
      <c r="O92" s="7"/>
    </row>
    <row r="93" spans="7:15" x14ac:dyDescent="0.25">
      <c r="G93" s="7"/>
      <c r="H93" s="7"/>
      <c r="O93" s="7"/>
    </row>
    <row r="94" spans="7:15" x14ac:dyDescent="0.25">
      <c r="G94" s="7"/>
      <c r="H94" s="7"/>
      <c r="O94" s="7"/>
    </row>
    <row r="95" spans="7:15" x14ac:dyDescent="0.25">
      <c r="G95" s="7"/>
      <c r="H95" s="7"/>
      <c r="O95" s="7"/>
    </row>
    <row r="96" spans="7:15" x14ac:dyDescent="0.25">
      <c r="G96" s="7"/>
      <c r="H96" s="7"/>
      <c r="O96" s="7"/>
    </row>
    <row r="97" spans="7:15" x14ac:dyDescent="0.25">
      <c r="G97" s="7"/>
      <c r="H97" s="7"/>
      <c r="O97" s="7"/>
    </row>
    <row r="98" spans="7:15" x14ac:dyDescent="0.25">
      <c r="G98" s="7"/>
      <c r="H98" s="7"/>
      <c r="O98" s="7"/>
    </row>
    <row r="99" spans="7:15" x14ac:dyDescent="0.25">
      <c r="G99" s="7"/>
      <c r="H99" s="7"/>
      <c r="O99" s="7"/>
    </row>
    <row r="100" spans="7:15" x14ac:dyDescent="0.25">
      <c r="G100" s="7"/>
      <c r="H100" s="7"/>
      <c r="O100" s="7"/>
    </row>
    <row r="101" spans="7:15" x14ac:dyDescent="0.25">
      <c r="G101" s="7"/>
      <c r="H101" s="7"/>
      <c r="O101" s="7"/>
    </row>
    <row r="102" spans="7:15" x14ac:dyDescent="0.25">
      <c r="G102" s="7"/>
      <c r="H102" s="7"/>
      <c r="O102" s="7"/>
    </row>
    <row r="103" spans="7:15" x14ac:dyDescent="0.25">
      <c r="G103" s="7"/>
      <c r="H103" s="7"/>
      <c r="O103" s="7"/>
    </row>
    <row r="104" spans="7:15" x14ac:dyDescent="0.25">
      <c r="G104" s="7"/>
      <c r="H104" s="7"/>
      <c r="O104" s="7"/>
    </row>
    <row r="105" spans="7:15" x14ac:dyDescent="0.25">
      <c r="G105" s="7"/>
      <c r="H105" s="7"/>
      <c r="O105" s="7"/>
    </row>
    <row r="106" spans="7:15" x14ac:dyDescent="0.25">
      <c r="G106" s="7"/>
      <c r="H106" s="7"/>
      <c r="O106" s="7"/>
    </row>
    <row r="107" spans="7:15" x14ac:dyDescent="0.25">
      <c r="G107" s="7"/>
      <c r="H107" s="7"/>
      <c r="O107" s="7"/>
    </row>
    <row r="108" spans="7:15" x14ac:dyDescent="0.25">
      <c r="G108" s="7"/>
      <c r="H108" s="7"/>
      <c r="O108" s="7"/>
    </row>
    <row r="109" spans="7:15" x14ac:dyDescent="0.25">
      <c r="G109" s="7"/>
      <c r="H109" s="7"/>
      <c r="O109" s="7"/>
    </row>
    <row r="110" spans="7:15" x14ac:dyDescent="0.25">
      <c r="G110" s="7"/>
      <c r="H110" s="7"/>
      <c r="O110" s="7"/>
    </row>
    <row r="111" spans="7:15" x14ac:dyDescent="0.25">
      <c r="G111" s="7"/>
      <c r="H111" s="7"/>
      <c r="O111" s="7"/>
    </row>
    <row r="112" spans="7:15" x14ac:dyDescent="0.25">
      <c r="G112" s="7"/>
      <c r="H112" s="7"/>
      <c r="O112" s="7"/>
    </row>
    <row r="113" spans="7:15" x14ac:dyDescent="0.25">
      <c r="G113" s="7"/>
      <c r="H113" s="7"/>
      <c r="O113" s="7"/>
    </row>
    <row r="114" spans="7:15" x14ac:dyDescent="0.25">
      <c r="G114" s="7"/>
      <c r="H114" s="7"/>
      <c r="O114" s="7"/>
    </row>
    <row r="115" spans="7:15" x14ac:dyDescent="0.25">
      <c r="G115" s="7"/>
      <c r="H115" s="7"/>
      <c r="O115" s="7"/>
    </row>
    <row r="116" spans="7:15" x14ac:dyDescent="0.25">
      <c r="G116" s="7"/>
      <c r="H116" s="7"/>
      <c r="O116" s="7"/>
    </row>
    <row r="117" spans="7:15" x14ac:dyDescent="0.25">
      <c r="G117" s="7"/>
      <c r="H117" s="7"/>
      <c r="O117" s="7"/>
    </row>
    <row r="118" spans="7:15" x14ac:dyDescent="0.25">
      <c r="G118" s="7"/>
      <c r="H118" s="7"/>
      <c r="O118" s="7"/>
    </row>
    <row r="119" spans="7:15" x14ac:dyDescent="0.25">
      <c r="G119" s="7"/>
      <c r="H119" s="7"/>
      <c r="O119" s="7"/>
    </row>
    <row r="120" spans="7:15" x14ac:dyDescent="0.2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120"/>
  <sheetViews>
    <sheetView topLeftCell="B1" workbookViewId="0">
      <selection activeCell="L14" sqref="L14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5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5.140625" style="1" bestFit="1" customWidth="1"/>
    <col min="9" max="9" width="2.85546875" style="1" customWidth="1"/>
    <col min="10" max="10" width="6.28515625" style="1" bestFit="1" customWidth="1"/>
    <col min="11" max="11" width="6.140625" style="1" bestFit="1" customWidth="1"/>
    <col min="12" max="12" width="7.5703125" style="1" bestFit="1" customWidth="1"/>
    <col min="13" max="13" width="8" style="1" bestFit="1" customWidth="1"/>
    <col min="14" max="14" width="7.7109375" style="1" bestFit="1" customWidth="1"/>
    <col min="15" max="15" width="5.140625" style="1" bestFit="1" customWidth="1"/>
    <col min="16" max="18" width="9.28515625" style="1"/>
    <col min="19" max="19" width="6" style="1" bestFit="1" customWidth="1"/>
    <col min="20" max="20" width="7.5703125" style="1" bestFit="1" customWidth="1"/>
    <col min="21" max="21" width="7" style="1" bestFit="1" customWidth="1"/>
    <col min="22" max="22" width="8.5703125" style="1" bestFit="1" customWidth="1"/>
    <col min="23" max="23" width="7" style="1" bestFit="1" customWidth="1"/>
    <col min="24" max="24" width="8.5703125" style="1" bestFit="1" customWidth="1"/>
    <col min="25" max="25" width="2.85546875" style="1" customWidth="1"/>
    <col min="26" max="26" width="6" style="1" bestFit="1" customWidth="1"/>
    <col min="27" max="27" width="7.5703125" style="1" bestFit="1" customWidth="1"/>
    <col min="28" max="28" width="7" style="1" bestFit="1" customWidth="1"/>
    <col min="29" max="29" width="8.5703125" style="1" bestFit="1" customWidth="1"/>
    <col min="30" max="30" width="7" style="1" bestFit="1" customWidth="1"/>
    <col min="31" max="31" width="8.5703125" style="1" bestFit="1" customWidth="1"/>
    <col min="32" max="16384" width="9.28515625" style="1"/>
  </cols>
  <sheetData>
    <row r="1" spans="1:31" x14ac:dyDescent="0.25">
      <c r="C1" s="16" t="s">
        <v>61</v>
      </c>
      <c r="D1" s="16"/>
      <c r="E1" s="16"/>
      <c r="F1" s="16"/>
      <c r="G1" s="16"/>
      <c r="H1" s="11"/>
      <c r="J1" s="16" t="s">
        <v>71</v>
      </c>
      <c r="K1" s="16"/>
      <c r="L1" s="16"/>
      <c r="M1" s="16"/>
      <c r="N1" s="16"/>
      <c r="O1" s="11"/>
      <c r="S1" s="16" t="s">
        <v>61</v>
      </c>
      <c r="T1" s="16"/>
      <c r="U1" s="16"/>
      <c r="V1" s="16"/>
      <c r="W1" s="16"/>
      <c r="X1" s="11"/>
      <c r="Z1" s="16" t="s">
        <v>71</v>
      </c>
      <c r="AA1" s="16"/>
      <c r="AB1" s="16"/>
      <c r="AC1" s="16"/>
      <c r="AD1" s="16"/>
      <c r="AE1" s="11"/>
    </row>
    <row r="2" spans="1:31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91</v>
      </c>
      <c r="J2" s="11" t="s">
        <v>0</v>
      </c>
      <c r="K2" s="11" t="s">
        <v>1</v>
      </c>
      <c r="L2" s="11" t="s">
        <v>90</v>
      </c>
      <c r="M2" s="11" t="s">
        <v>49</v>
      </c>
      <c r="N2" s="11" t="s">
        <v>48</v>
      </c>
      <c r="O2" s="11" t="s">
        <v>91</v>
      </c>
      <c r="S2" s="11" t="s">
        <v>208</v>
      </c>
      <c r="T2" s="11" t="s">
        <v>209</v>
      </c>
      <c r="U2" s="11" t="s">
        <v>210</v>
      </c>
      <c r="V2" s="11" t="s">
        <v>211</v>
      </c>
      <c r="W2" s="11" t="s">
        <v>212</v>
      </c>
      <c r="X2" s="11" t="s">
        <v>213</v>
      </c>
      <c r="Z2" s="11" t="s">
        <v>208</v>
      </c>
      <c r="AA2" s="11" t="s">
        <v>209</v>
      </c>
      <c r="AB2" s="11" t="s">
        <v>210</v>
      </c>
      <c r="AC2" s="11" t="s">
        <v>211</v>
      </c>
      <c r="AD2" s="11" t="s">
        <v>212</v>
      </c>
      <c r="AE2" s="11" t="s">
        <v>213</v>
      </c>
    </row>
    <row r="3" spans="1:31" x14ac:dyDescent="0.25">
      <c r="B3" s="1" t="s">
        <v>6</v>
      </c>
      <c r="C3" s="11">
        <v>1000</v>
      </c>
      <c r="D3" s="11">
        <v>1000</v>
      </c>
      <c r="E3" s="11">
        <v>1000</v>
      </c>
      <c r="F3" s="11">
        <v>1000</v>
      </c>
      <c r="G3" s="11">
        <v>1000</v>
      </c>
      <c r="H3" s="11">
        <v>1000</v>
      </c>
      <c r="J3" s="11">
        <v>1000</v>
      </c>
      <c r="K3" s="11">
        <v>1000</v>
      </c>
      <c r="L3" s="11">
        <v>1000</v>
      </c>
      <c r="M3" s="11">
        <v>1000</v>
      </c>
      <c r="N3" s="11">
        <v>1000</v>
      </c>
      <c r="O3" s="11">
        <v>1000</v>
      </c>
      <c r="S3" s="16" t="s">
        <v>218</v>
      </c>
      <c r="T3" s="16"/>
      <c r="U3" s="16"/>
      <c r="V3" s="16"/>
      <c r="W3" s="16"/>
      <c r="X3" s="16"/>
      <c r="Z3" s="16" t="s">
        <v>218</v>
      </c>
      <c r="AA3" s="16"/>
      <c r="AB3" s="16"/>
      <c r="AC3" s="16"/>
      <c r="AD3" s="16"/>
      <c r="AE3" s="16"/>
    </row>
    <row r="4" spans="1:31" x14ac:dyDescent="0.25">
      <c r="C4" s="11"/>
      <c r="D4" s="11"/>
      <c r="E4" s="11"/>
      <c r="F4" s="11"/>
      <c r="G4" s="11"/>
      <c r="H4" s="11"/>
      <c r="J4" s="11"/>
      <c r="K4" s="11"/>
      <c r="L4" s="11"/>
      <c r="M4" s="11"/>
      <c r="N4" s="11"/>
      <c r="O4" s="11"/>
    </row>
    <row r="5" spans="1:31" x14ac:dyDescent="0.25">
      <c r="A5" s="2" t="s">
        <v>58</v>
      </c>
      <c r="B5" s="1" t="s">
        <v>3</v>
      </c>
      <c r="C5" s="12">
        <f>'Table-n=1000-corr'!C5</f>
        <v>0.93438429890152497</v>
      </c>
      <c r="D5" s="12">
        <f>'Table-n=1000-corr'!D5</f>
        <v>2.26874121038168</v>
      </c>
      <c r="E5" s="12">
        <f>'Table-n=1000-corr'!E5</f>
        <v>1.5266183446161548</v>
      </c>
      <c r="F5" s="12">
        <f>'Table-n=1000-corr'!F5</f>
        <v>0.99099999999999999</v>
      </c>
      <c r="G5" s="12">
        <f>'Table-n=1000-corr'!G5</f>
        <v>11.171874536399612</v>
      </c>
      <c r="H5" s="12">
        <f>'Table-n=1000-corr'!I5</f>
        <v>0.79987902788081455</v>
      </c>
      <c r="I5" s="12"/>
      <c r="J5" s="12">
        <f>'Table-n=1000-miss'!C5</f>
        <v>-5.0685667621945303</v>
      </c>
      <c r="K5" s="12">
        <f>'Table-n=1000-miss'!D5</f>
        <v>6.6820543495102402</v>
      </c>
      <c r="L5" s="12">
        <f>'Table-n=1000-miss'!E5</f>
        <v>6.8510958657708736</v>
      </c>
      <c r="M5" s="12">
        <f>'Table-n=1000-miss'!F5</f>
        <v>0.75600000000000001</v>
      </c>
      <c r="N5" s="12">
        <f>'Table-n=1000-miss'!G5</f>
        <v>12.721945153123041</v>
      </c>
      <c r="O5" s="12">
        <f>'Table-n=1000-miss'!I5</f>
        <v>1.0321949586273917</v>
      </c>
      <c r="P5" s="5"/>
      <c r="Q5" s="5"/>
      <c r="R5" s="1" t="s">
        <v>3</v>
      </c>
      <c r="S5" s="7">
        <f>100*'Table-n=1000-corr'!K5/SQRT(C$3)</f>
        <v>6.2154281652634671</v>
      </c>
      <c r="T5" s="7">
        <f>100*SQRT('Table-n=1000-corr'!L5/D$3)</f>
        <v>1.6911148525311579</v>
      </c>
      <c r="U5" s="7">
        <f>100*'Table-n=1000-corr'!M5/SQRT(E$3)</f>
        <v>4.9006104686518386</v>
      </c>
      <c r="V5" s="7">
        <f>100*SQRT('Table-n=1000-corr'!N5/F$3)</f>
        <v>1.4161683034609904</v>
      </c>
      <c r="W5" s="7">
        <f>100*'Table-n=1000-corr'!O5/SQRT(G$3)</f>
        <v>2.2093877249157221</v>
      </c>
      <c r="X5" s="7">
        <f>100*SQRT('Table-n=1000-corr'!P5/H$3)</f>
        <v>0.40241171162771588</v>
      </c>
      <c r="Y5" s="12"/>
      <c r="Z5" s="7">
        <f>100*'Table-n=1000-miss'!K5/SQRT(J$3)</f>
        <v>7.7169547030892991</v>
      </c>
      <c r="AA5" s="7">
        <f>100*SQRT('Table-n=1000-miss'!L5/K$3)</f>
        <v>1.9290993409222967</v>
      </c>
      <c r="AB5" s="7">
        <f>100*'Table-n=1000-miss'!M5/SQRT(L$3)</f>
        <v>5.4382121372803853</v>
      </c>
      <c r="AC5" s="7">
        <f>100*SQRT('Table-n=1000-miss'!N5/M$3)</f>
        <v>1.4499498107365372</v>
      </c>
      <c r="AD5" s="7">
        <f>100*'Table-n=1000-miss'!O5/SQRT(N$3)</f>
        <v>3.1234044322770895</v>
      </c>
      <c r="AE5" s="7">
        <f>100*SQRT('Table-n=1000-miss'!P5/O$3)</f>
        <v>0.58014574059032786</v>
      </c>
    </row>
    <row r="6" spans="1:31" x14ac:dyDescent="0.25">
      <c r="B6" s="1" t="s">
        <v>5</v>
      </c>
      <c r="C6" s="12">
        <f>'Table-n=1000-corr'!C6</f>
        <v>0.67763254017006602</v>
      </c>
      <c r="D6" s="12">
        <f>'Table-n=1000-corr'!D6</f>
        <v>4.1254923358279001</v>
      </c>
      <c r="E6" s="12">
        <f>'Table-n=1000-corr'!E6</f>
        <v>5.0479160812615111</v>
      </c>
      <c r="F6" s="12">
        <f>'Table-n=1000-corr'!F6</f>
        <v>0.999</v>
      </c>
      <c r="G6" s="12">
        <f>'Table-n=1000-corr'!G6</f>
        <v>36.6031074780635</v>
      </c>
      <c r="H6" s="12">
        <f>'Table-n=1000-corr'!I6</f>
        <v>7.4514449202628633E-2</v>
      </c>
      <c r="I6" s="12"/>
      <c r="J6" s="12">
        <f>'Table-n=1000-miss'!C6</f>
        <v>-5.1284867638948199</v>
      </c>
      <c r="K6" s="12">
        <f>'Table-n=1000-miss'!D6</f>
        <v>7.5728615507947401</v>
      </c>
      <c r="L6" s="12">
        <f>'Table-n=1000-miss'!E6</f>
        <v>8.7995420527681194</v>
      </c>
      <c r="M6" s="12">
        <f>'Table-n=1000-miss'!F6</f>
        <v>0.98899999999999999</v>
      </c>
      <c r="N6" s="12">
        <f>'Table-n=1000-miss'!G6</f>
        <v>26.398719655332979</v>
      </c>
      <c r="O6" s="12">
        <f>'Table-n=1000-miss'!I6</f>
        <v>0.23971932350908262</v>
      </c>
      <c r="P6" s="5"/>
      <c r="Q6" s="5"/>
      <c r="R6" s="1" t="s">
        <v>5</v>
      </c>
      <c r="S6" s="7">
        <f>100*'Table-n=1000-corr'!K6/SQRT(C$3)</f>
        <v>5.7317435286574092</v>
      </c>
      <c r="T6" s="7">
        <f>100*SQRT('Table-n=1000-corr'!L6/D$3)</f>
        <v>1.3532375709303153</v>
      </c>
      <c r="U6" s="7">
        <f>100*'Table-n=1000-corr'!M6/SQRT(E$3)</f>
        <v>4.2265681513256599</v>
      </c>
      <c r="V6" s="7">
        <f>100*SQRT('Table-n=1000-corr'!N6/F$3)</f>
        <v>1.071021662105571</v>
      </c>
      <c r="W6" s="7">
        <f>100*'Table-n=1000-corr'!O6/SQRT(G$3)</f>
        <v>2.5860657995808691</v>
      </c>
      <c r="X6" s="7">
        <f>100*SQRT('Table-n=1000-corr'!P6/H$3)</f>
        <v>0.39299067625837508</v>
      </c>
      <c r="Y6" s="12"/>
      <c r="Z6" s="7">
        <f>100*'Table-n=1000-miss'!K6/SQRT(J$3)</f>
        <v>7.3858145441232965</v>
      </c>
      <c r="AA6" s="7">
        <f>100*SQRT('Table-n=1000-miss'!L6/K$3)</f>
        <v>1.5850840543128681</v>
      </c>
      <c r="AB6" s="7">
        <f>100*'Table-n=1000-miss'!M6/SQRT(L$3)</f>
        <v>5.0208665682226625</v>
      </c>
      <c r="AC6" s="7">
        <f>100*SQRT('Table-n=1000-miss'!N6/M$3)</f>
        <v>1.2051524757364687</v>
      </c>
      <c r="AD6" s="7">
        <f>100*'Table-n=1000-miss'!O6/SQRT(N$3)</f>
        <v>3.5649508325819297</v>
      </c>
      <c r="AE6" s="7">
        <f>100*SQRT('Table-n=1000-miss'!P6/O$3)</f>
        <v>0.48879931405741256</v>
      </c>
    </row>
    <row r="7" spans="1:31" x14ac:dyDescent="0.25">
      <c r="B7" s="1" t="s">
        <v>4</v>
      </c>
      <c r="C7" s="12">
        <f>'Table-n=1000-corr'!C7</f>
        <v>0.124392977625346</v>
      </c>
      <c r="D7" s="12">
        <f>'Table-n=1000-corr'!D7</f>
        <v>1.6623482070886799</v>
      </c>
      <c r="E7" s="12">
        <f>'Table-n=1000-corr'!E7</f>
        <v>0.81960491818709236</v>
      </c>
      <c r="F7" s="12">
        <f>'Table-n=1000-corr'!F7</f>
        <v>1</v>
      </c>
      <c r="G7" s="12">
        <f>'Table-n=1000-corr'!G7</f>
        <v>19.657239398701329</v>
      </c>
      <c r="H7" s="12">
        <f>'Table-n=1000-corr'!I7</f>
        <v>0.25836361711413947</v>
      </c>
      <c r="I7" s="12"/>
      <c r="J7" s="12">
        <f>'Table-n=1000-miss'!C7</f>
        <v>-0.89297066866814201</v>
      </c>
      <c r="K7" s="12">
        <f>'Table-n=1000-miss'!D7</f>
        <v>2.4594915202458099</v>
      </c>
      <c r="L7" s="12">
        <f>'Table-n=1000-miss'!E7</f>
        <v>0.92817677282935962</v>
      </c>
      <c r="M7" s="12">
        <f>'Table-n=1000-miss'!F7</f>
        <v>0.94499999999999995</v>
      </c>
      <c r="N7" s="12">
        <f>'Table-n=1000-miss'!G7</f>
        <v>7.9074211443688815</v>
      </c>
      <c r="O7" s="12">
        <f>'Table-n=1000-miss'!I7</f>
        <v>2.6717697724690455</v>
      </c>
      <c r="P7" s="5"/>
      <c r="Q7" s="5"/>
      <c r="R7" s="1" t="s">
        <v>4</v>
      </c>
      <c r="S7" s="7">
        <f>100*'Table-n=1000-corr'!K7/SQRT(C$3)</f>
        <v>6.9903802870933118</v>
      </c>
      <c r="T7" s="7">
        <f>100*SQRT('Table-n=1000-corr'!L7/D$3)</f>
        <v>1.9205271536323016</v>
      </c>
      <c r="U7" s="7">
        <f>100*'Table-n=1000-corr'!M7/SQRT(E$3)</f>
        <v>5.5665729428304545</v>
      </c>
      <c r="V7" s="7">
        <f>100*SQRT('Table-n=1000-corr'!N7/F$3)</f>
        <v>1.6395473481915155</v>
      </c>
      <c r="W7" s="7">
        <f>100*'Table-n=1000-corr'!O7/SQRT(G$3)</f>
        <v>2.2713205371653911</v>
      </c>
      <c r="X7" s="7">
        <f>100*SQRT('Table-n=1000-corr'!P7/H$3)</f>
        <v>0.4141020206462907</v>
      </c>
      <c r="Y7" s="12"/>
      <c r="Z7" s="7">
        <f>100*'Table-n=1000-miss'!K7/SQRT(J$3)</f>
        <v>8.0699368729313878</v>
      </c>
      <c r="AA7" s="7">
        <f>100*SQRT('Table-n=1000-miss'!L7/K$3)</f>
        <v>1.9859292147529752</v>
      </c>
      <c r="AB7" s="7">
        <f>100*'Table-n=1000-miss'!M7/SQRT(L$3)</f>
        <v>5.8273551408509121</v>
      </c>
      <c r="AC7" s="7">
        <f>100*SQRT('Table-n=1000-miss'!N7/M$3)</f>
        <v>1.5071633649571667</v>
      </c>
      <c r="AD7" s="7">
        <f>100*'Table-n=1000-miss'!O7/SQRT(N$3)</f>
        <v>2.7714286831114032</v>
      </c>
      <c r="AE7" s="7">
        <f>100*SQRT('Table-n=1000-miss'!P7/O$3)</f>
        <v>0.5472007626953429</v>
      </c>
    </row>
    <row r="8" spans="1:31" x14ac:dyDescent="0.25">
      <c r="B8" s="1" t="s">
        <v>88</v>
      </c>
      <c r="C8" s="12">
        <f>'Table-n=1000-corr'!C8</f>
        <v>0.37938531083073301</v>
      </c>
      <c r="D8" s="12">
        <f>'Table-n=1000-corr'!D8</f>
        <v>1.61516669350852</v>
      </c>
      <c r="E8" s="12">
        <f>'Table-n=1000-corr'!E8</f>
        <v>0.77374037198304024</v>
      </c>
      <c r="F8" s="12">
        <f>'Table-n=1000-corr'!F8</f>
        <v>0.874</v>
      </c>
      <c r="G8" s="12">
        <f>'Table-n=1000-corr'!G8</f>
        <v>4.8063208077489126</v>
      </c>
      <c r="H8" s="12">
        <f>'Table-n=1000-corr'!I8</f>
        <v>4.3216630116834676</v>
      </c>
      <c r="I8" s="12"/>
      <c r="J8" s="12">
        <f>'Table-n=1000-miss'!C8</f>
        <v>-3.6778571651807099</v>
      </c>
      <c r="K8" s="12">
        <f>'Table-n=1000-miss'!D8</f>
        <v>5.0431155938993797</v>
      </c>
      <c r="L8" s="12">
        <f>'Table-n=1000-miss'!E8</f>
        <v>3.9024548101149543</v>
      </c>
      <c r="M8" s="12">
        <f>'Table-n=1000-miss'!F8</f>
        <v>0.64500000000000002</v>
      </c>
      <c r="N8" s="12">
        <f>'Table-n=1000-miss'!G8</f>
        <v>8.7373228401692096</v>
      </c>
      <c r="O8" s="12">
        <f>'Table-n=1000-miss'!I8</f>
        <v>2.1883259248632156</v>
      </c>
      <c r="P8" s="5"/>
      <c r="Q8" s="5"/>
      <c r="R8" s="1" t="s">
        <v>88</v>
      </c>
      <c r="S8" s="7">
        <f>100*'Table-n=1000-corr'!K8/SQRT(C$3)</f>
        <v>7.0032960945328222</v>
      </c>
      <c r="T8" s="7">
        <f>100*SQRT('Table-n=1000-corr'!L8/D$3)</f>
        <v>1.9745469971937439</v>
      </c>
      <c r="U8" s="7">
        <f>100*'Table-n=1000-corr'!M8/SQRT(E$3)</f>
        <v>5.7687825526016763</v>
      </c>
      <c r="V8" s="7">
        <f>100*SQRT('Table-n=1000-corr'!N8/F$3)</f>
        <v>1.7449358682696134</v>
      </c>
      <c r="W8" s="7">
        <f>100*'Table-n=1000-corr'!O8/SQRT(G$3)</f>
        <v>2.3974692586086439</v>
      </c>
      <c r="X8" s="7">
        <f>100*SQRT('Table-n=1000-corr'!P8/H$3)</f>
        <v>0.43203445889082392</v>
      </c>
      <c r="Y8" s="12"/>
      <c r="Z8" s="7">
        <f>100*'Table-n=1000-miss'!K8/SQRT(J$3)</f>
        <v>7.7538471710289079</v>
      </c>
      <c r="AA8" s="7">
        <f>100*SQRT('Table-n=1000-miss'!L8/K$3)</f>
        <v>1.9693044952711223</v>
      </c>
      <c r="AB8" s="7">
        <f>100*'Table-n=1000-miss'!M8/SQRT(L$3)</f>
        <v>5.9383542146615627</v>
      </c>
      <c r="AC8" s="7">
        <f>100*SQRT('Table-n=1000-miss'!N8/M$3)</f>
        <v>1.6052130943539429</v>
      </c>
      <c r="AD8" s="7">
        <f>100*'Table-n=1000-miss'!O8/SQRT(N$3)</f>
        <v>3.189759366244143</v>
      </c>
      <c r="AE8" s="7">
        <f>100*SQRT('Table-n=1000-miss'!P8/O$3)</f>
        <v>0.49532403312581863</v>
      </c>
    </row>
    <row r="9" spans="1:31" x14ac:dyDescent="0.25">
      <c r="B9" s="1" t="s">
        <v>89</v>
      </c>
      <c r="C9" s="12">
        <f>'Table-n=1000-corr'!C9</f>
        <v>1.00892387973857</v>
      </c>
      <c r="D9" s="12">
        <f>'Table-n=1000-corr'!D9</f>
        <v>1.8361988938820399</v>
      </c>
      <c r="E9" s="12">
        <f>'Table-n=1000-corr'!E9</f>
        <v>1</v>
      </c>
      <c r="F9" s="12">
        <f>'Table-n=1000-corr'!F9</f>
        <v>1</v>
      </c>
      <c r="G9" s="12">
        <f>'Table-n=1000-corr'!G9</f>
        <v>9.9916728279607891</v>
      </c>
      <c r="H9" s="12">
        <f>'Table-n=1000-corr'!I9</f>
        <v>1</v>
      </c>
      <c r="I9" s="12"/>
      <c r="J9" s="12">
        <f>'Table-n=1000-miss'!C9</f>
        <v>-0.45689599693528699</v>
      </c>
      <c r="K9" s="12">
        <f>'Table-n=1000-miss'!D9</f>
        <v>2.5528775340455199</v>
      </c>
      <c r="L9" s="12">
        <f>'Table-n=1000-miss'!E9</f>
        <v>1</v>
      </c>
      <c r="M9" s="12">
        <f>'Table-n=1000-miss'!F9</f>
        <v>0.997</v>
      </c>
      <c r="N9" s="12">
        <f>'Table-n=1000-miss'!G9</f>
        <v>12.925114102110868</v>
      </c>
      <c r="O9" s="12">
        <f>'Table-n=1000-miss'!I9</f>
        <v>1</v>
      </c>
      <c r="P9" s="5"/>
      <c r="Q9" s="5"/>
      <c r="R9" s="1" t="s">
        <v>89</v>
      </c>
      <c r="S9" s="7">
        <f>100*'Table-n=1000-corr'!K9/SQRT(C$3)</f>
        <v>6.9984083025998141</v>
      </c>
      <c r="T9" s="7">
        <f>100*SQRT('Table-n=1000-corr'!L9/D$3)</f>
        <v>1.916788483897141</v>
      </c>
      <c r="U9" s="7">
        <f>100*'Table-n=1000-corr'!M9/SQRT(E$3)</f>
        <v>5.472379243425249</v>
      </c>
      <c r="V9" s="7">
        <f>100*SQRT('Table-n=1000-corr'!N9/F$3)</f>
        <v>1.5972838575204786</v>
      </c>
      <c r="W9" s="7">
        <f>100*'Table-n=1000-corr'!O9/SQRT(G$3)</f>
        <v>2.2206393781434679</v>
      </c>
      <c r="X9" s="7">
        <f>100*SQRT('Table-n=1000-corr'!P9/H$3)</f>
        <v>0.42612603876656846</v>
      </c>
      <c r="Y9" s="12"/>
      <c r="Z9" s="7">
        <f>100*'Table-n=1000-miss'!K9/SQRT(J$3)</f>
        <v>9.2574581252393351</v>
      </c>
      <c r="AA9" s="7">
        <f>100*SQRT('Table-n=1000-miss'!L9/K$3)</f>
        <v>2.4841291328278814</v>
      </c>
      <c r="AB9" s="7">
        <f>100*'Table-n=1000-miss'!M9/SQRT(L$3)</f>
        <v>7.0000669775634856</v>
      </c>
      <c r="AC9" s="7">
        <f>100*SQRT('Table-n=1000-miss'!N9/M$3)</f>
        <v>1.9534143715622323</v>
      </c>
      <c r="AD9" s="7">
        <f>100*'Table-n=1000-miss'!O9/SQRT(N$3)</f>
        <v>2.7343890100637385</v>
      </c>
      <c r="AE9" s="7">
        <f>100*SQRT('Table-n=1000-miss'!P9/O$3)</f>
        <v>0.58016794306940467</v>
      </c>
    </row>
    <row r="10" spans="1:31" s="3" customFormat="1" x14ac:dyDescent="0.25">
      <c r="B10" s="3" t="s">
        <v>2</v>
      </c>
      <c r="C10" s="14">
        <f>'Table-n=1000-corr'!C10</f>
        <v>0.114410280479614</v>
      </c>
      <c r="D10" s="14">
        <f>'Table-n=1000-corr'!D10</f>
        <v>1.5553658871523699</v>
      </c>
      <c r="E10" s="14">
        <f>'Table-n=1000-corr'!E10</f>
        <v>0.71750626308381615</v>
      </c>
      <c r="F10" s="14">
        <f>'Table-n=1000-corr'!F10</f>
        <v>0.93400000000000005</v>
      </c>
      <c r="G10" s="14">
        <f>'Table-n=1000-corr'!G10</f>
        <v>5.4515121013756334</v>
      </c>
      <c r="H10" s="14">
        <f>'Table-n=1000-corr'!I10</f>
        <v>3.3592509507693213</v>
      </c>
      <c r="I10" s="14"/>
      <c r="J10" s="14">
        <f>'Table-n=1000-miss'!C10</f>
        <v>-6.4166544074290499</v>
      </c>
      <c r="K10" s="14">
        <f>'Table-n=1000-miss'!D10</f>
        <v>12.6520770831906</v>
      </c>
      <c r="L10" s="14">
        <f>'Table-n=1000-miss'!E10</f>
        <v>24.561998217852576</v>
      </c>
      <c r="M10" s="14">
        <f>'Table-n=1000-miss'!F10</f>
        <v>0.88400000000000001</v>
      </c>
      <c r="N10" s="14">
        <f>'Table-n=1000-miss'!G10</f>
        <v>19.167500880383557</v>
      </c>
      <c r="O10" s="14">
        <f>'Table-n=1000-miss'!I10</f>
        <v>0.45471343664305325</v>
      </c>
      <c r="P10" s="13"/>
      <c r="Q10" s="13"/>
      <c r="R10" s="3" t="s">
        <v>2</v>
      </c>
      <c r="S10" s="7">
        <f>100*'Table-n=1000-corr'!K10/SQRT(C$3)</f>
        <v>7.3064899964226857</v>
      </c>
      <c r="T10" s="7">
        <f>100*SQRT('Table-n=1000-corr'!L10/D$3)</f>
        <v>2.0995968196166115</v>
      </c>
      <c r="U10" s="7">
        <f>100*'Table-n=1000-corr'!M10/SQRT(E$3)</f>
        <v>5.9992982391432204</v>
      </c>
      <c r="V10" s="7">
        <f>100*SQRT('Table-n=1000-corr'!N10/F$3)</f>
        <v>1.8480658135861718</v>
      </c>
      <c r="W10" s="7">
        <f>100*'Table-n=1000-corr'!O10/SQRT(G$3)</f>
        <v>2.1624422893794848</v>
      </c>
      <c r="X10" s="7">
        <f>100*SQRT('Table-n=1000-corr'!P10/H$3)</f>
        <v>0.3994700285414915</v>
      </c>
      <c r="Y10" s="14"/>
      <c r="Z10" s="7">
        <f>100*'Table-n=1000-miss'!K10/SQRT(J$3)</f>
        <v>7.8604498430509935</v>
      </c>
      <c r="AA10" s="7">
        <f>100*SQRT('Table-n=1000-miss'!L10/K$3)</f>
        <v>1.9771009700996329</v>
      </c>
      <c r="AB10" s="7">
        <f>100*'Table-n=1000-miss'!M10/SQRT(L$3)</f>
        <v>6.0193045686533972</v>
      </c>
      <c r="AC10" s="7">
        <f>100*SQRT('Table-n=1000-miss'!N10/M$3)</f>
        <v>1.6579268324104022</v>
      </c>
      <c r="AD10" s="7">
        <f>100*'Table-n=1000-miss'!O10/SQRT(N$3)</f>
        <v>3.7139158323776522</v>
      </c>
      <c r="AE10" s="7">
        <f>100*SQRT('Table-n=1000-miss'!P10/O$3)</f>
        <v>0.57364935438207376</v>
      </c>
    </row>
    <row r="11" spans="1:31" s="4" customFormat="1" x14ac:dyDescent="0.25"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5"/>
      <c r="Q11" s="6"/>
      <c r="S11" s="16" t="s">
        <v>219</v>
      </c>
      <c r="T11" s="16"/>
      <c r="U11" s="16"/>
      <c r="V11" s="16"/>
      <c r="W11" s="16"/>
      <c r="X11" s="16"/>
      <c r="Y11" s="7"/>
      <c r="Z11" s="16" t="s">
        <v>219</v>
      </c>
      <c r="AA11" s="16"/>
      <c r="AB11" s="16"/>
      <c r="AC11" s="16"/>
      <c r="AD11" s="16"/>
      <c r="AE11" s="16"/>
    </row>
    <row r="12" spans="1:31" x14ac:dyDescent="0.25">
      <c r="A12" s="2" t="s">
        <v>206</v>
      </c>
      <c r="B12" s="1" t="s">
        <v>3</v>
      </c>
      <c r="C12" s="12">
        <f>'Table-n=1000-corr'!C12</f>
        <v>0.170080891611959</v>
      </c>
      <c r="D12" s="12">
        <f>'Table-n=1000-corr'!D12</f>
        <v>1.2530169489662799</v>
      </c>
      <c r="E12" s="12">
        <f>'Table-n=1000-corr'!E12</f>
        <v>0.92461108291712701</v>
      </c>
      <c r="F12" s="12">
        <f>'Table-n=1000-corr'!F12</f>
        <v>0.92800000000000005</v>
      </c>
      <c r="G12" s="12">
        <f>'Table-n=1000-corr'!G12</f>
        <v>4.694756999779754</v>
      </c>
      <c r="H12" s="12">
        <f>'Table-n=1000-corr'!I12</f>
        <v>1.1550414282055579</v>
      </c>
      <c r="I12" s="12"/>
      <c r="J12" s="12">
        <f>'Table-n=1000-miss'!C12</f>
        <v>0.93325023333335799</v>
      </c>
      <c r="K12" s="12">
        <f>'Table-n=1000-miss'!D12</f>
        <v>1.4499849418584501</v>
      </c>
      <c r="L12" s="12">
        <f>'Table-n=1000-miss'!E12</f>
        <v>0.64441196326300665</v>
      </c>
      <c r="M12" s="12">
        <f>'Table-n=1000-miss'!F12</f>
        <v>0.80300000000000005</v>
      </c>
      <c r="N12" s="12">
        <f>'Table-n=1000-miss'!G12</f>
        <v>4.0807224281596692</v>
      </c>
      <c r="O12" s="12">
        <f>'Table-n=1000-miss'!I12</f>
        <v>1.0964072960429645</v>
      </c>
      <c r="P12" s="5"/>
      <c r="Q12" s="5"/>
      <c r="R12" s="1" t="s">
        <v>3</v>
      </c>
      <c r="S12" s="15">
        <f>100*S5/S$9</f>
        <v>88.812025485202383</v>
      </c>
      <c r="T12" s="15">
        <f t="shared" ref="T12:X12" si="0">100*T5/T$9</f>
        <v>88.226471868865161</v>
      </c>
      <c r="U12" s="15">
        <f t="shared" si="0"/>
        <v>89.551733362406168</v>
      </c>
      <c r="V12" s="15">
        <f t="shared" si="0"/>
        <v>88.661028958206572</v>
      </c>
      <c r="W12" s="15">
        <f t="shared" si="0"/>
        <v>99.493314703031501</v>
      </c>
      <c r="X12" s="15">
        <f t="shared" si="0"/>
        <v>94.434903061194234</v>
      </c>
      <c r="Y12" s="12"/>
      <c r="Z12" s="15">
        <f>100*Z5/Z$9</f>
        <v>83.359326055712415</v>
      </c>
      <c r="AA12" s="15">
        <f t="shared" ref="AA12:AE12" si="1">100*AA5/AA$9</f>
        <v>77.656967000191727</v>
      </c>
      <c r="AB12" s="15">
        <f t="shared" si="1"/>
        <v>77.688001482141019</v>
      </c>
      <c r="AC12" s="15">
        <f t="shared" si="1"/>
        <v>74.226433052038416</v>
      </c>
      <c r="AD12" s="15">
        <f t="shared" si="1"/>
        <v>114.22677683320131</v>
      </c>
      <c r="AE12" s="15">
        <f t="shared" si="1"/>
        <v>99.99617309447342</v>
      </c>
    </row>
    <row r="13" spans="1:31" x14ac:dyDescent="0.25">
      <c r="B13" s="1" t="s">
        <v>5</v>
      </c>
      <c r="C13" s="12">
        <f>'Table-n=1000-corr'!C13</f>
        <v>0.51632682158427501</v>
      </c>
      <c r="D13" s="12">
        <f>'Table-n=1000-corr'!D13</f>
        <v>1.3657735602580301</v>
      </c>
      <c r="E13" s="12">
        <f>'Table-n=1000-corr'!E13</f>
        <v>1.0985064363147186</v>
      </c>
      <c r="F13" s="12">
        <f>'Table-n=1000-corr'!F13</f>
        <v>0.92300000000000004</v>
      </c>
      <c r="G13" s="12">
        <f>'Table-n=1000-corr'!G13</f>
        <v>5.1232460104699156</v>
      </c>
      <c r="H13" s="12">
        <f>'Table-n=1000-corr'!I13</f>
        <v>0.96991433182008546</v>
      </c>
      <c r="I13" s="12"/>
      <c r="J13" s="12">
        <f>'Table-n=1000-miss'!C13</f>
        <v>0.691157979860195</v>
      </c>
      <c r="K13" s="12">
        <f>'Table-n=1000-miss'!D13</f>
        <v>1.5155770829849899</v>
      </c>
      <c r="L13" s="12">
        <f>'Table-n=1000-miss'!E13</f>
        <v>0.7040324379821653</v>
      </c>
      <c r="M13" s="12">
        <f>'Table-n=1000-miss'!F13</f>
        <v>0.85099999999999998</v>
      </c>
      <c r="N13" s="12">
        <f>'Table-n=1000-miss'!G13</f>
        <v>4.914110802475248</v>
      </c>
      <c r="O13" s="12">
        <f>'Table-n=1000-miss'!I13</f>
        <v>0.75605978333892954</v>
      </c>
      <c r="P13" s="5"/>
      <c r="Q13" s="5"/>
      <c r="R13" s="1" t="s">
        <v>5</v>
      </c>
      <c r="S13" s="15">
        <f t="shared" ref="S13:X17" si="2">100*S6/S$9</f>
        <v>81.900673422100056</v>
      </c>
      <c r="T13" s="15">
        <f t="shared" si="2"/>
        <v>70.599212291747733</v>
      </c>
      <c r="U13" s="15">
        <f t="shared" si="2"/>
        <v>77.234562213568083</v>
      </c>
      <c r="V13" s="15">
        <f t="shared" si="2"/>
        <v>67.052681779940897</v>
      </c>
      <c r="W13" s="15">
        <f t="shared" si="2"/>
        <v>116.45591017767642</v>
      </c>
      <c r="X13" s="15">
        <f t="shared" si="2"/>
        <v>92.224046527617872</v>
      </c>
      <c r="Y13" s="12"/>
      <c r="Z13" s="15">
        <f t="shared" ref="Z13:AE17" si="3">100*Z6/Z$9</f>
        <v>79.782316530136612</v>
      </c>
      <c r="AA13" s="15">
        <f t="shared" si="3"/>
        <v>63.80844028460151</v>
      </c>
      <c r="AB13" s="15">
        <f t="shared" si="3"/>
        <v>71.725978970136609</v>
      </c>
      <c r="AC13" s="15">
        <f t="shared" si="3"/>
        <v>61.694666184556354</v>
      </c>
      <c r="AD13" s="15">
        <f t="shared" si="3"/>
        <v>130.37467673624209</v>
      </c>
      <c r="AE13" s="15">
        <f t="shared" si="3"/>
        <v>84.251348233995444</v>
      </c>
    </row>
    <row r="14" spans="1:31" x14ac:dyDescent="0.25">
      <c r="B14" s="1" t="s">
        <v>4</v>
      </c>
      <c r="C14" s="12">
        <f>'Table-n=1000-corr'!C14</f>
        <v>0.16126099943374</v>
      </c>
      <c r="D14" s="12">
        <f>'Table-n=1000-corr'!D14</f>
        <v>1.3347742744948401</v>
      </c>
      <c r="E14" s="12">
        <f>'Table-n=1000-corr'!E14</f>
        <v>1.0492062267096192</v>
      </c>
      <c r="F14" s="12">
        <f>'Table-n=1000-corr'!F14</f>
        <v>0.91400000000000003</v>
      </c>
      <c r="G14" s="12">
        <f>'Table-n=1000-corr'!G14</f>
        <v>4.7253809085118208</v>
      </c>
      <c r="H14" s="12">
        <f>'Table-n=1000-corr'!I14</f>
        <v>1.140118920927023</v>
      </c>
      <c r="I14" s="12"/>
      <c r="J14" s="12">
        <f>'Table-n=1000-miss'!C14</f>
        <v>1.26809567286263</v>
      </c>
      <c r="K14" s="12">
        <f>'Table-n=1000-miss'!D14</f>
        <v>1.63387794422968</v>
      </c>
      <c r="L14" s="12">
        <f>'Table-n=1000-miss'!E14</f>
        <v>0.81823081392735386</v>
      </c>
      <c r="M14" s="12">
        <f>'Table-n=1000-miss'!F14</f>
        <v>0.70899999999999996</v>
      </c>
      <c r="N14" s="12">
        <f>'Table-n=1000-miss'!G14</f>
        <v>3.9074859286490593</v>
      </c>
      <c r="O14" s="12">
        <f>'Table-n=1000-miss'!I14</f>
        <v>1.1957797134870984</v>
      </c>
      <c r="P14" s="5"/>
      <c r="Q14" s="5"/>
      <c r="R14" s="1" t="s">
        <v>4</v>
      </c>
      <c r="S14" s="15">
        <f t="shared" si="2"/>
        <v>99.885287980360914</v>
      </c>
      <c r="T14" s="15">
        <f t="shared" si="2"/>
        <v>100.19504863299049</v>
      </c>
      <c r="U14" s="15">
        <f t="shared" si="2"/>
        <v>101.72125679188579</v>
      </c>
      <c r="V14" s="15">
        <f t="shared" si="2"/>
        <v>102.64595991952514</v>
      </c>
      <c r="W14" s="15">
        <f t="shared" si="2"/>
        <v>102.28227777642556</v>
      </c>
      <c r="X14" s="15">
        <f t="shared" si="2"/>
        <v>97.178295380615182</v>
      </c>
      <c r="Y14" s="12"/>
      <c r="Z14" s="15">
        <f t="shared" si="3"/>
        <v>87.172275194307232</v>
      </c>
      <c r="AA14" s="15">
        <f t="shared" si="3"/>
        <v>79.94468518197499</v>
      </c>
      <c r="AB14" s="15">
        <f t="shared" si="3"/>
        <v>83.247134056412122</v>
      </c>
      <c r="AC14" s="15">
        <f t="shared" si="3"/>
        <v>77.155333087460647</v>
      </c>
      <c r="AD14" s="15">
        <f t="shared" si="3"/>
        <v>101.35458681670174</v>
      </c>
      <c r="AE14" s="15">
        <f t="shared" si="3"/>
        <v>94.317648748455937</v>
      </c>
    </row>
    <row r="15" spans="1:31" x14ac:dyDescent="0.25">
      <c r="B15" s="1" t="s">
        <v>88</v>
      </c>
      <c r="C15" s="12">
        <f>'Table-n=1000-corr'!C15</f>
        <v>0.19996364218114099</v>
      </c>
      <c r="D15" s="12">
        <f>'Table-n=1000-corr'!D15</f>
        <v>1.45303391064368</v>
      </c>
      <c r="E15" s="12">
        <f>'Table-n=1000-corr'!E15</f>
        <v>1.2433594616684993</v>
      </c>
      <c r="F15" s="12">
        <f>'Table-n=1000-corr'!F15</f>
        <v>0.89100000000000001</v>
      </c>
      <c r="G15" s="12">
        <f>'Table-n=1000-corr'!G15</f>
        <v>4.6571532045207498</v>
      </c>
      <c r="H15" s="12">
        <f>'Table-n=1000-corr'!I15</f>
        <v>1.1737693039425057</v>
      </c>
      <c r="I15" s="12"/>
      <c r="J15" s="12">
        <f>'Table-n=1000-miss'!C15</f>
        <v>1.17333238005607</v>
      </c>
      <c r="K15" s="12">
        <f>'Table-n=1000-miss'!D15</f>
        <v>1.5917522002347899</v>
      </c>
      <c r="L15" s="12">
        <f>'Table-n=1000-miss'!E15</f>
        <v>0.77658237158728749</v>
      </c>
      <c r="M15" s="12">
        <f>'Table-n=1000-miss'!F15</f>
        <v>0.754</v>
      </c>
      <c r="N15" s="12">
        <f>'Table-n=1000-miss'!G15</f>
        <v>4.0823948172908757</v>
      </c>
      <c r="O15" s="12">
        <f>'Table-n=1000-miss'!I15</f>
        <v>1.0955091741571228</v>
      </c>
      <c r="P15" s="5"/>
      <c r="Q15" s="5"/>
      <c r="R15" s="1" t="s">
        <v>88</v>
      </c>
      <c r="S15" s="15">
        <f t="shared" si="2"/>
        <v>100.06984147997186</v>
      </c>
      <c r="T15" s="15">
        <f t="shared" si="2"/>
        <v>103.01329613474985</v>
      </c>
      <c r="U15" s="15">
        <f t="shared" si="2"/>
        <v>105.41635175472422</v>
      </c>
      <c r="V15" s="15">
        <f t="shared" si="2"/>
        <v>109.24394308838383</v>
      </c>
      <c r="W15" s="15">
        <f t="shared" si="2"/>
        <v>107.96301651702727</v>
      </c>
      <c r="X15" s="15">
        <f t="shared" si="2"/>
        <v>101.38654285041054</v>
      </c>
      <c r="Y15" s="12"/>
      <c r="Z15" s="15">
        <f t="shared" si="3"/>
        <v>83.757842229812368</v>
      </c>
      <c r="AA15" s="15">
        <f t="shared" si="3"/>
        <v>79.275447851992567</v>
      </c>
      <c r="AB15" s="15">
        <f t="shared" si="3"/>
        <v>84.832819938653316</v>
      </c>
      <c r="AC15" s="15">
        <f t="shared" si="3"/>
        <v>82.174735566739116</v>
      </c>
      <c r="AD15" s="15">
        <f t="shared" si="3"/>
        <v>116.65345912759466</v>
      </c>
      <c r="AE15" s="15">
        <f t="shared" si="3"/>
        <v>85.375974154187929</v>
      </c>
    </row>
    <row r="16" spans="1:31" x14ac:dyDescent="0.25">
      <c r="B16" s="1" t="s">
        <v>89</v>
      </c>
      <c r="C16" s="12">
        <f>'Table-n=1000-corr'!C16</f>
        <v>0.48727896359057499</v>
      </c>
      <c r="D16" s="12">
        <f>'Table-n=1000-corr'!D16</f>
        <v>1.3030989598071401</v>
      </c>
      <c r="E16" s="12">
        <f>'Table-n=1000-corr'!E16</f>
        <v>1</v>
      </c>
      <c r="F16" s="12">
        <f>'Table-n=1000-corr'!F16</f>
        <v>0.92500000000000004</v>
      </c>
      <c r="G16" s="12">
        <f>'Table-n=1000-corr'!G16</f>
        <v>5.0455893218638579</v>
      </c>
      <c r="H16" s="12">
        <f>'Table-n=1000-corr'!I16</f>
        <v>1</v>
      </c>
      <c r="I16" s="12"/>
      <c r="J16" s="12">
        <f>'Table-n=1000-miss'!C16</f>
        <v>1.4674493997464</v>
      </c>
      <c r="K16" s="12">
        <f>'Table-n=1000-miss'!D16</f>
        <v>1.8062659492911699</v>
      </c>
      <c r="L16" s="12">
        <f>'Table-n=1000-miss'!E16</f>
        <v>1</v>
      </c>
      <c r="M16" s="12">
        <f>'Table-n=1000-miss'!F16</f>
        <v>0.68899999999999995</v>
      </c>
      <c r="N16" s="12">
        <f>'Table-n=1000-miss'!G16</f>
        <v>4.2729027980038463</v>
      </c>
      <c r="O16" s="12">
        <f>'Table-n=1000-miss'!I16</f>
        <v>1</v>
      </c>
      <c r="P16" s="5"/>
      <c r="Q16" s="5"/>
      <c r="R16" s="1" t="s">
        <v>89</v>
      </c>
      <c r="S16" s="15">
        <f t="shared" si="2"/>
        <v>100</v>
      </c>
      <c r="T16" s="15">
        <f t="shared" si="2"/>
        <v>100</v>
      </c>
      <c r="U16" s="15">
        <f t="shared" si="2"/>
        <v>100.00000000000001</v>
      </c>
      <c r="V16" s="15">
        <f t="shared" si="2"/>
        <v>100</v>
      </c>
      <c r="W16" s="15">
        <f t="shared" si="2"/>
        <v>100</v>
      </c>
      <c r="X16" s="15">
        <f t="shared" si="2"/>
        <v>100</v>
      </c>
      <c r="Y16" s="12"/>
      <c r="Z16" s="15">
        <f t="shared" si="3"/>
        <v>100</v>
      </c>
      <c r="AA16" s="15">
        <f t="shared" si="3"/>
        <v>100</v>
      </c>
      <c r="AB16" s="15">
        <f t="shared" si="3"/>
        <v>100</v>
      </c>
      <c r="AC16" s="15">
        <f t="shared" si="3"/>
        <v>100</v>
      </c>
      <c r="AD16" s="15">
        <f t="shared" si="3"/>
        <v>100</v>
      </c>
      <c r="AE16" s="15">
        <f t="shared" si="3"/>
        <v>100</v>
      </c>
    </row>
    <row r="17" spans="1:31" s="3" customFormat="1" x14ac:dyDescent="0.25">
      <c r="B17" s="3" t="s">
        <v>2</v>
      </c>
      <c r="C17" s="14">
        <f>'Table-n=1000-corr'!C17</f>
        <v>7.8086071165315699E-2</v>
      </c>
      <c r="D17" s="14">
        <f>'Table-n=1000-corr'!D17</f>
        <v>1.4719466755851101</v>
      </c>
      <c r="E17" s="14">
        <f>'Table-n=1000-corr'!E17</f>
        <v>1.2759373714767202</v>
      </c>
      <c r="F17" s="14">
        <f>'Table-n=1000-corr'!F17</f>
        <v>0.92700000000000005</v>
      </c>
      <c r="G17" s="14">
        <f>'Table-n=1000-corr'!G17</f>
        <v>5.2250736647428706</v>
      </c>
      <c r="H17" s="14">
        <f>'Table-n=1000-corr'!I17</f>
        <v>0.93247879053605831</v>
      </c>
      <c r="I17" s="14"/>
      <c r="J17" s="14">
        <f>'Table-n=1000-miss'!C17</f>
        <v>1.1269393344688099</v>
      </c>
      <c r="K17" s="14">
        <f>'Table-n=1000-miss'!D17</f>
        <v>1.5799411380969699</v>
      </c>
      <c r="L17" s="14">
        <f>'Table-n=1000-miss'!E17</f>
        <v>0.76510039242150896</v>
      </c>
      <c r="M17" s="14">
        <f>'Table-n=1000-miss'!F17</f>
        <v>0.78300000000000003</v>
      </c>
      <c r="N17" s="14">
        <f>'Table-n=1000-miss'!G17</f>
        <v>4.2430764825412197</v>
      </c>
      <c r="O17" s="14">
        <f>'Table-n=1000-miss'!I17</f>
        <v>1.0141082284304614</v>
      </c>
      <c r="P17" s="13"/>
      <c r="Q17" s="13"/>
      <c r="R17" s="3" t="s">
        <v>2</v>
      </c>
      <c r="S17" s="15">
        <f t="shared" si="2"/>
        <v>104.40216804310236</v>
      </c>
      <c r="T17" s="15">
        <f t="shared" si="2"/>
        <v>109.53722005611134</v>
      </c>
      <c r="U17" s="15">
        <f t="shared" si="2"/>
        <v>109.62870028335544</v>
      </c>
      <c r="V17" s="15">
        <f t="shared" si="2"/>
        <v>115.70052529391934</v>
      </c>
      <c r="W17" s="15">
        <f t="shared" si="2"/>
        <v>97.379264308433648</v>
      </c>
      <c r="X17" s="15">
        <f t="shared" si="2"/>
        <v>93.744571370894533</v>
      </c>
      <c r="Y17" s="14"/>
      <c r="Z17" s="15">
        <f t="shared" si="3"/>
        <v>84.909375086671275</v>
      </c>
      <c r="AA17" s="15">
        <f t="shared" si="3"/>
        <v>79.589299282881569</v>
      </c>
      <c r="AB17" s="15">
        <f t="shared" si="3"/>
        <v>85.989242502198707</v>
      </c>
      <c r="AC17" s="15">
        <f t="shared" si="3"/>
        <v>84.873279143763256</v>
      </c>
      <c r="AD17" s="15">
        <f t="shared" si="3"/>
        <v>135.82251167294888</v>
      </c>
      <c r="AE17" s="15">
        <f t="shared" si="3"/>
        <v>98.876430736099621</v>
      </c>
    </row>
    <row r="18" spans="1:31" s="4" customFormat="1" x14ac:dyDescent="0.25"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5"/>
      <c r="Q18" s="6"/>
      <c r="Y18" s="7"/>
    </row>
    <row r="19" spans="1:31" x14ac:dyDescent="0.25">
      <c r="A19" s="2" t="s">
        <v>59</v>
      </c>
      <c r="B19" s="1" t="s">
        <v>3</v>
      </c>
      <c r="C19" s="12">
        <f>'Table-n=1000-corr'!C19</f>
        <v>2.2603129872940102E-2</v>
      </c>
      <c r="D19" s="12">
        <f>'Table-n=1000-corr'!D19</f>
        <v>0.80927260089167297</v>
      </c>
      <c r="E19" s="12">
        <f>'Table-n=1000-corr'!E19</f>
        <v>0.78851701307804389</v>
      </c>
      <c r="F19" s="12">
        <f>'Table-n=1000-corr'!F19</f>
        <v>0.97499999999999998</v>
      </c>
      <c r="G19" s="12">
        <f>'Table-n=1000-corr'!G19</f>
        <v>3.7611478150469697</v>
      </c>
      <c r="H19" s="12">
        <f>'Table-n=1000-corr'!I19</f>
        <v>1.4653459641074023</v>
      </c>
      <c r="I19" s="12"/>
      <c r="J19" s="12">
        <f>'Table-n=1000-miss'!C19</f>
        <v>0.55883231487026896</v>
      </c>
      <c r="K19" s="12">
        <f>'Table-n=1000-miss'!D19</f>
        <v>0.92695156664072398</v>
      </c>
      <c r="L19" s="12">
        <f>'Table-n=1000-miss'!E19</f>
        <v>0.37515108509655071</v>
      </c>
      <c r="M19" s="12">
        <f>'Table-n=1000-miss'!F19</f>
        <v>0.94499999999999995</v>
      </c>
      <c r="N19" s="12">
        <f>'Table-n=1000-miss'!G19</f>
        <v>3.5255566019944928</v>
      </c>
      <c r="O19" s="12">
        <f>'Table-n=1000-miss'!I19</f>
        <v>1.3874369811613412</v>
      </c>
      <c r="P19" s="5"/>
      <c r="Q19" s="5"/>
      <c r="Y19" s="12"/>
    </row>
    <row r="20" spans="1:31" x14ac:dyDescent="0.25">
      <c r="B20" s="1" t="s">
        <v>5</v>
      </c>
      <c r="C20" s="12">
        <f>'Table-n=1000-corr'!C20</f>
        <v>0.25605294013839902</v>
      </c>
      <c r="D20" s="12">
        <f>'Table-n=1000-corr'!D20</f>
        <v>0.94502415648690796</v>
      </c>
      <c r="E20" s="12">
        <f>'Table-n=1000-corr'!E20</f>
        <v>1.0752444613671326</v>
      </c>
      <c r="F20" s="12">
        <f>'Table-n=1000-corr'!F20</f>
        <v>0.98499999999999999</v>
      </c>
      <c r="G20" s="12">
        <f>'Table-n=1000-corr'!G20</f>
        <v>4.5932792730191023</v>
      </c>
      <c r="H20" s="12">
        <f>'Table-n=1000-corr'!I20</f>
        <v>0.98250613991306157</v>
      </c>
      <c r="I20" s="12"/>
      <c r="J20" s="12">
        <f>'Table-n=1000-miss'!C20</f>
        <v>0.29696088582115898</v>
      </c>
      <c r="K20" s="12">
        <f>'Table-n=1000-miss'!D20</f>
        <v>0.91947985095039697</v>
      </c>
      <c r="L20" s="12">
        <f>'Table-n=1000-miss'!E20</f>
        <v>0.36912763050699327</v>
      </c>
      <c r="M20" s="12">
        <f>'Table-n=1000-miss'!F20</f>
        <v>0.98</v>
      </c>
      <c r="N20" s="12">
        <f>'Table-n=1000-miss'!G20</f>
        <v>4.4755208806905378</v>
      </c>
      <c r="O20" s="12">
        <f>'Table-n=1000-miss'!I20</f>
        <v>0.86095702475809466</v>
      </c>
      <c r="P20" s="5"/>
      <c r="Q20" s="5"/>
      <c r="Y20" s="12"/>
    </row>
    <row r="21" spans="1:31" x14ac:dyDescent="0.25">
      <c r="B21" s="1" t="s">
        <v>4</v>
      </c>
      <c r="C21" s="12">
        <f>'Table-n=1000-corr'!C21</f>
        <v>0.114216873723453</v>
      </c>
      <c r="D21" s="12">
        <f>'Table-n=1000-corr'!D21</f>
        <v>0.84488859371055902</v>
      </c>
      <c r="E21" s="12">
        <f>'Table-n=1000-corr'!E21</f>
        <v>0.85944935153567348</v>
      </c>
      <c r="F21" s="12">
        <f>'Table-n=1000-corr'!F21</f>
        <v>0.96699999999999997</v>
      </c>
      <c r="G21" s="12">
        <f>'Table-n=1000-corr'!G21</f>
        <v>3.7432678426479717</v>
      </c>
      <c r="H21" s="12">
        <f>'Table-n=1000-corr'!I21</f>
        <v>1.479378045358027</v>
      </c>
      <c r="I21" s="12"/>
      <c r="J21" s="12">
        <f>'Table-n=1000-miss'!C21</f>
        <v>0.88794759996565498</v>
      </c>
      <c r="K21" s="12">
        <f>'Table-n=1000-miss'!D21</f>
        <v>1.1587619828353199</v>
      </c>
      <c r="L21" s="12">
        <f>'Table-n=1000-miss'!E21</f>
        <v>0.58624695215408229</v>
      </c>
      <c r="M21" s="12">
        <f>'Table-n=1000-miss'!F21</f>
        <v>0.88200000000000001</v>
      </c>
      <c r="N21" s="12">
        <f>'Table-n=1000-miss'!G21</f>
        <v>3.5032408022782158</v>
      </c>
      <c r="O21" s="12">
        <f>'Table-n=1000-miss'!I21</f>
        <v>1.4051693503909439</v>
      </c>
      <c r="P21" s="5"/>
      <c r="Q21" s="5"/>
      <c r="Y21" s="12"/>
    </row>
    <row r="22" spans="1:31" x14ac:dyDescent="0.25">
      <c r="B22" s="1" t="s">
        <v>88</v>
      </c>
      <c r="C22" s="12">
        <f>'Table-n=1000-corr'!C22</f>
        <v>0.217698393056447</v>
      </c>
      <c r="D22" s="12">
        <f>'Table-n=1000-corr'!D22</f>
        <v>1.01156698556143</v>
      </c>
      <c r="E22" s="12">
        <f>'Table-n=1000-corr'!E22</f>
        <v>1.2319999435321403</v>
      </c>
      <c r="F22" s="12">
        <f>'Table-n=1000-corr'!F22</f>
        <v>0.94</v>
      </c>
      <c r="G22" s="12">
        <f>'Table-n=1000-corr'!G22</f>
        <v>3.8112415419010111</v>
      </c>
      <c r="H22" s="12">
        <f>'Table-n=1000-corr'!I22</f>
        <v>1.4270790443975452</v>
      </c>
      <c r="I22" s="12"/>
      <c r="J22" s="12">
        <f>'Table-n=1000-miss'!C22</f>
        <v>0.80166030989088899</v>
      </c>
      <c r="K22" s="12">
        <f>'Table-n=1000-miss'!D22</f>
        <v>1.11343229805471</v>
      </c>
      <c r="L22" s="12">
        <f>'Table-n=1000-miss'!E22</f>
        <v>0.5412772218712979</v>
      </c>
      <c r="M22" s="12">
        <f>'Table-n=1000-miss'!F22</f>
        <v>0.90300000000000002</v>
      </c>
      <c r="N22" s="12">
        <f>'Table-n=1000-miss'!G22</f>
        <v>3.5997197426997145</v>
      </c>
      <c r="O22" s="12">
        <f>'Table-n=1000-miss'!I22</f>
        <v>1.3308566204193906</v>
      </c>
      <c r="P22" s="5"/>
      <c r="Q22" s="5"/>
      <c r="Y22" s="12"/>
    </row>
    <row r="23" spans="1:31" x14ac:dyDescent="0.25">
      <c r="B23" s="1" t="s">
        <v>89</v>
      </c>
      <c r="C23" s="12">
        <f>'Table-n=1000-corr'!C23</f>
        <v>0.38847919054704599</v>
      </c>
      <c r="D23" s="12">
        <f>'Table-n=1000-corr'!D23</f>
        <v>0.91135861420405295</v>
      </c>
      <c r="E23" s="12">
        <f>'Table-n=1000-corr'!E23</f>
        <v>1</v>
      </c>
      <c r="F23" s="12">
        <f>'Table-n=1000-corr'!F23</f>
        <v>0.98099999999999998</v>
      </c>
      <c r="G23" s="12">
        <f>'Table-n=1000-corr'!G23</f>
        <v>4.552924913476005</v>
      </c>
      <c r="H23" s="12">
        <f>'Table-n=1000-corr'!I23</f>
        <v>1</v>
      </c>
      <c r="I23" s="12"/>
      <c r="J23" s="12">
        <f>'Table-n=1000-miss'!C23</f>
        <v>1.2592499085930999</v>
      </c>
      <c r="K23" s="12">
        <f>'Table-n=1000-miss'!D23</f>
        <v>1.5134007306694801</v>
      </c>
      <c r="L23" s="12">
        <f>'Table-n=1000-miss'!E23</f>
        <v>1</v>
      </c>
      <c r="M23" s="12">
        <f>'Table-n=1000-miss'!F23</f>
        <v>0.82599999999999996</v>
      </c>
      <c r="N23" s="12">
        <f>'Table-n=1000-miss'!G23</f>
        <v>4.1527360177026749</v>
      </c>
      <c r="O23" s="12">
        <f>'Table-n=1000-miss'!I23</f>
        <v>1</v>
      </c>
      <c r="P23" s="5"/>
      <c r="Q23" s="5"/>
      <c r="Y23" s="12"/>
    </row>
    <row r="24" spans="1:31" s="3" customFormat="1" x14ac:dyDescent="0.25">
      <c r="B24" s="3" t="s">
        <v>2</v>
      </c>
      <c r="C24" s="14">
        <f>'Table-n=1000-corr'!C24</f>
        <v>6.0577463756412299E-2</v>
      </c>
      <c r="D24" s="14">
        <f>'Table-n=1000-corr'!D24</f>
        <v>0.94243409403505196</v>
      </c>
      <c r="E24" s="14">
        <f>'Table-n=1000-corr'!E24</f>
        <v>1.069358614155687</v>
      </c>
      <c r="F24" s="14">
        <f>'Table-n=1000-corr'!F24</f>
        <v>0.97499999999999998</v>
      </c>
      <c r="G24" s="14">
        <f>'Table-n=1000-corr'!G24</f>
        <v>4.1932044220370628</v>
      </c>
      <c r="H24" s="14">
        <f>'Table-n=1000-corr'!I24</f>
        <v>1.1789324065919864</v>
      </c>
      <c r="I24" s="14"/>
      <c r="J24" s="14">
        <f>'Table-n=1000-miss'!C24</f>
        <v>0.75173540837594799</v>
      </c>
      <c r="K24" s="14">
        <f>'Table-n=1000-miss'!D24</f>
        <v>1.08774973251428</v>
      </c>
      <c r="L24" s="14">
        <f>'Table-n=1000-miss'!E24</f>
        <v>0.51659487307350893</v>
      </c>
      <c r="M24" s="14">
        <f>'Table-n=1000-miss'!F24</f>
        <v>0.91900000000000004</v>
      </c>
      <c r="N24" s="14">
        <f>'Table-n=1000-miss'!G24</f>
        <v>3.7313425081868981</v>
      </c>
      <c r="O24" s="14">
        <f>'Table-n=1000-miss'!I24</f>
        <v>1.2386209398494983</v>
      </c>
      <c r="P24" s="13"/>
      <c r="Q24" s="13"/>
      <c r="Y24" s="14"/>
    </row>
    <row r="25" spans="1:31" s="4" customFormat="1" x14ac:dyDescent="0.25"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5"/>
      <c r="Q25" s="6"/>
      <c r="Y25" s="7"/>
    </row>
    <row r="26" spans="1:31" x14ac:dyDescent="0.25">
      <c r="A26" s="2" t="s">
        <v>60</v>
      </c>
      <c r="B26" s="1" t="s">
        <v>3</v>
      </c>
      <c r="C26" s="12">
        <f>'Table-n=1000-corr'!C26</f>
        <v>-0.116753891404263</v>
      </c>
      <c r="D26" s="12">
        <f>'Table-n=1000-corr'!D26</f>
        <v>0.98512728265001703</v>
      </c>
      <c r="E26" s="12">
        <f>'Table-n=1000-corr'!E26</f>
        <v>0.75185447320666476</v>
      </c>
      <c r="F26" s="12">
        <f>'Table-n=1000-corr'!F26</f>
        <v>0.95499999999999996</v>
      </c>
      <c r="G26" s="12">
        <f>'Table-n=1000-corr'!G26</f>
        <v>4.0860580820622241</v>
      </c>
      <c r="H26" s="12">
        <f>'Table-n=1000-corr'!I26</f>
        <v>1.8006946267267141</v>
      </c>
      <c r="I26" s="12"/>
      <c r="J26" s="12">
        <f>'Table-n=1000-miss'!C26</f>
        <v>0.31149167257349503</v>
      </c>
      <c r="K26" s="12">
        <f>'Table-n=1000-miss'!D26</f>
        <v>0.96633502987807796</v>
      </c>
      <c r="L26" s="12">
        <f>'Table-n=1000-miss'!E26</f>
        <v>0.23471828786533291</v>
      </c>
      <c r="M26" s="12">
        <f>'Table-n=1000-miss'!F26</f>
        <v>0.96</v>
      </c>
      <c r="N26" s="12">
        <f>'Table-n=1000-miss'!G26</f>
        <v>3.7738564237994097</v>
      </c>
      <c r="O26" s="12">
        <f>'Table-n=1000-miss'!I26</f>
        <v>1.924507611408081</v>
      </c>
      <c r="P26" s="5"/>
      <c r="Q26"/>
      <c r="R26"/>
      <c r="S26"/>
      <c r="T26"/>
      <c r="Y26" s="12"/>
    </row>
    <row r="27" spans="1:31" x14ac:dyDescent="0.25">
      <c r="B27" s="1" t="s">
        <v>5</v>
      </c>
      <c r="C27" s="12">
        <f>'Table-n=1000-corr'!C27</f>
        <v>0.15775728883510401</v>
      </c>
      <c r="D27" s="12">
        <f>'Table-n=1000-corr'!D27</f>
        <v>1.2668212503563201</v>
      </c>
      <c r="E27" s="12">
        <f>'Table-n=1000-corr'!E27</f>
        <v>1.2433109942089855</v>
      </c>
      <c r="F27" s="12">
        <f>'Table-n=1000-corr'!F27</f>
        <v>0.98799999999999999</v>
      </c>
      <c r="G27" s="12">
        <f>'Table-n=1000-corr'!G27</f>
        <v>6.2138866162237285</v>
      </c>
      <c r="H27" s="12">
        <f>'Table-n=1000-corr'!I27</f>
        <v>0.77861450684064215</v>
      </c>
      <c r="I27" s="12"/>
      <c r="J27" s="12">
        <f>'Table-n=1000-miss'!C27</f>
        <v>3.2557686782483101E-2</v>
      </c>
      <c r="K27" s="12">
        <f>'Table-n=1000-miss'!D27</f>
        <v>1.29875067811556</v>
      </c>
      <c r="L27" s="12">
        <f>'Table-n=1000-miss'!E27</f>
        <v>0.42397774145072858</v>
      </c>
      <c r="M27" s="12">
        <f>'Table-n=1000-miss'!F27</f>
        <v>0.98399999999999999</v>
      </c>
      <c r="N27" s="12">
        <f>'Table-n=1000-miss'!G27</f>
        <v>6.2745325516237722</v>
      </c>
      <c r="O27" s="12">
        <f>'Table-n=1000-miss'!I27</f>
        <v>0.69618975258017313</v>
      </c>
      <c r="P27" s="5"/>
      <c r="Q27" s="5"/>
      <c r="Y27" s="12"/>
    </row>
    <row r="28" spans="1:31" x14ac:dyDescent="0.25">
      <c r="B28" s="1" t="s">
        <v>4</v>
      </c>
      <c r="C28" s="12">
        <f>'Table-n=1000-corr'!C28</f>
        <v>9.0179643099004298E-3</v>
      </c>
      <c r="D28" s="12">
        <f>'Table-n=1000-corr'!D28</f>
        <v>0.99807144116945001</v>
      </c>
      <c r="E28" s="12">
        <f>'Table-n=1000-corr'!E28</f>
        <v>0.77174238345687463</v>
      </c>
      <c r="F28" s="12">
        <f>'Table-n=1000-corr'!F28</f>
        <v>0.96299999999999997</v>
      </c>
      <c r="G28" s="12">
        <f>'Table-n=1000-corr'!G28</f>
        <v>4.3133157130203283</v>
      </c>
      <c r="H28" s="12">
        <f>'Table-n=1000-corr'!I28</f>
        <v>1.6159452602942457</v>
      </c>
      <c r="I28" s="12"/>
      <c r="J28" s="12">
        <f>'Table-n=1000-miss'!C28</f>
        <v>0.94542754599170797</v>
      </c>
      <c r="K28" s="12">
        <f>'Table-n=1000-miss'!D28</f>
        <v>1.3437102661876501</v>
      </c>
      <c r="L28" s="12">
        <f>'Table-n=1000-miss'!E28</f>
        <v>0.45383998155227073</v>
      </c>
      <c r="M28" s="12">
        <f>'Table-n=1000-miss'!F28</f>
        <v>0.86499999999999999</v>
      </c>
      <c r="N28" s="12">
        <f>'Table-n=1000-miss'!G28</f>
        <v>3.8122925129534124</v>
      </c>
      <c r="O28" s="12">
        <f>'Table-n=1000-miss'!I28</f>
        <v>1.8858969040911191</v>
      </c>
      <c r="P28" s="5"/>
      <c r="Q28" s="5"/>
      <c r="Y28" s="12"/>
    </row>
    <row r="29" spans="1:31" x14ac:dyDescent="0.25">
      <c r="B29" s="1" t="s">
        <v>88</v>
      </c>
      <c r="C29" s="12">
        <f>'Table-n=1000-corr'!C29</f>
        <v>0.25077756867124801</v>
      </c>
      <c r="D29" s="12">
        <f>'Table-n=1000-corr'!D29</f>
        <v>1.2175251533389</v>
      </c>
      <c r="E29" s="12">
        <f>'Table-n=1000-corr'!E29</f>
        <v>1.1484311896663513</v>
      </c>
      <c r="F29" s="12">
        <f>'Table-n=1000-corr'!F29</f>
        <v>0.90700000000000003</v>
      </c>
      <c r="G29" s="12">
        <f>'Table-n=1000-corr'!G29</f>
        <v>3.9100953855632024</v>
      </c>
      <c r="H29" s="12">
        <f>'Table-n=1000-corr'!I29</f>
        <v>1.9664116387203379</v>
      </c>
      <c r="I29" s="12"/>
      <c r="J29" s="12">
        <f>'Table-n=1000-miss'!C29</f>
        <v>0.70625866401870796</v>
      </c>
      <c r="K29" s="12">
        <f>'Table-n=1000-miss'!D29</f>
        <v>1.21521359863932</v>
      </c>
      <c r="L29" s="12">
        <f>'Table-n=1000-miss'!E29</f>
        <v>0.37119038998777487</v>
      </c>
      <c r="M29" s="12">
        <f>'Table-n=1000-miss'!F29</f>
        <v>0.89900000000000002</v>
      </c>
      <c r="N29" s="12">
        <f>'Table-n=1000-miss'!G29</f>
        <v>3.820890894583985</v>
      </c>
      <c r="O29" s="12">
        <f>'Table-n=1000-miss'!I29</f>
        <v>1.877418559012445</v>
      </c>
      <c r="P29" s="5"/>
      <c r="Q29" s="5"/>
      <c r="Y29" s="12"/>
    </row>
    <row r="30" spans="1:31" x14ac:dyDescent="0.25">
      <c r="B30" s="1" t="s">
        <v>89</v>
      </c>
      <c r="C30" s="12">
        <f>'Table-n=1000-corr'!C30</f>
        <v>0.49776774361229198</v>
      </c>
      <c r="D30" s="12">
        <f>'Table-n=1000-corr'!D30</f>
        <v>1.1361232640763399</v>
      </c>
      <c r="E30" s="12">
        <f>'Table-n=1000-corr'!E30</f>
        <v>1</v>
      </c>
      <c r="F30" s="12">
        <f>'Table-n=1000-corr'!F30</f>
        <v>0.98399999999999999</v>
      </c>
      <c r="G30" s="12">
        <f>'Table-n=1000-corr'!G30</f>
        <v>5.4830798432955623</v>
      </c>
      <c r="H30" s="12">
        <f>'Table-n=1000-corr'!I30</f>
        <v>1</v>
      </c>
      <c r="I30" s="12"/>
      <c r="J30" s="12">
        <f>'Table-n=1000-miss'!C30</f>
        <v>1.6423574343990599</v>
      </c>
      <c r="K30" s="12">
        <f>'Table-n=1000-miss'!D30</f>
        <v>1.9945928542152001</v>
      </c>
      <c r="L30" s="12">
        <f>'Table-n=1000-miss'!E30</f>
        <v>1</v>
      </c>
      <c r="M30" s="12">
        <f>'Table-n=1000-miss'!F30</f>
        <v>0.81899999999999995</v>
      </c>
      <c r="N30" s="12">
        <f>'Table-n=1000-miss'!G30</f>
        <v>5.2353435987819221</v>
      </c>
      <c r="O30" s="12">
        <f>'Table-n=1000-miss'!I30</f>
        <v>1</v>
      </c>
      <c r="P30" s="5"/>
      <c r="Q30" s="5"/>
      <c r="Y30" s="12"/>
    </row>
    <row r="31" spans="1:31" s="3" customFormat="1" x14ac:dyDescent="0.25">
      <c r="B31" s="3" t="s">
        <v>2</v>
      </c>
      <c r="C31" s="14">
        <f>'Table-n=1000-corr'!C31</f>
        <v>4.8529317799869402E-2</v>
      </c>
      <c r="D31" s="14">
        <f>'Table-n=1000-corr'!D31</f>
        <v>1.16612844431915</v>
      </c>
      <c r="E31" s="14">
        <f>'Table-n=1000-corr'!E31</f>
        <v>1.0535177859408371</v>
      </c>
      <c r="F31" s="14">
        <f>'Table-n=1000-corr'!F31</f>
        <v>0.94499999999999995</v>
      </c>
      <c r="G31" s="14">
        <f>'Table-n=1000-corr'!G31</f>
        <v>4.4845706343851832</v>
      </c>
      <c r="H31" s="14">
        <f>'Table-n=1000-corr'!I31</f>
        <v>1.4948836864461355</v>
      </c>
      <c r="I31" s="14"/>
      <c r="J31" s="14">
        <f>'Table-n=1000-miss'!C31</f>
        <v>0.55005938820517697</v>
      </c>
      <c r="K31" s="14">
        <f>'Table-n=1000-miss'!D31</f>
        <v>1.14516876181905</v>
      </c>
      <c r="L31" s="14">
        <f>'Table-n=1000-miss'!E31</f>
        <v>0.3296328366775188</v>
      </c>
      <c r="M31" s="14">
        <f>'Table-n=1000-miss'!F31</f>
        <v>0.92100000000000004</v>
      </c>
      <c r="N31" s="14">
        <f>'Table-n=1000-miss'!G31</f>
        <v>3.9731677247519919</v>
      </c>
      <c r="O31" s="14">
        <f>'Table-n=1000-miss'!I31</f>
        <v>1.7362672842894975</v>
      </c>
      <c r="P31" s="13"/>
      <c r="Q31" s="13"/>
      <c r="Y31" s="14"/>
    </row>
    <row r="32" spans="1:31" x14ac:dyDescent="0.25"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5"/>
      <c r="Y32" s="7"/>
    </row>
    <row r="33" spans="1:25" x14ac:dyDescent="0.25">
      <c r="A33" s="2" t="s">
        <v>62</v>
      </c>
      <c r="B33" s="1" t="s">
        <v>3</v>
      </c>
      <c r="C33" s="12">
        <f>'Table-n=1000-corr'!C33</f>
        <v>-0.24572292152391001</v>
      </c>
      <c r="D33" s="12">
        <f>'Table-n=1000-corr'!D33</f>
        <v>2.5950979956065998</v>
      </c>
      <c r="E33" s="12">
        <f>'Table-n=1000-corr'!E33</f>
        <v>0.74790374253919467</v>
      </c>
      <c r="F33" s="12">
        <f>'Table-n=1000-corr'!F33</f>
        <v>0.95</v>
      </c>
      <c r="G33" s="12">
        <f>'Table-n=1000-corr'!G33</f>
        <v>11.139026638136416</v>
      </c>
      <c r="H33" s="12">
        <f>'Table-n=1000-corr'!I33</f>
        <v>1.7886654059614882</v>
      </c>
      <c r="I33" s="12"/>
      <c r="J33" s="12">
        <f>'Table-n=1000-miss'!C33</f>
        <v>-1.31950777982538</v>
      </c>
      <c r="K33" s="12">
        <f>'Table-n=1000-miss'!D33</f>
        <v>2.82688388564927</v>
      </c>
      <c r="L33" s="12">
        <f>'Table-n=1000-miss'!E33</f>
        <v>0.44958476371880074</v>
      </c>
      <c r="M33" s="12">
        <f>'Table-n=1000-miss'!F33</f>
        <v>0.91800000000000004</v>
      </c>
      <c r="N33" s="12">
        <f>'Table-n=1000-miss'!G33</f>
        <v>10.51389310366306</v>
      </c>
      <c r="O33" s="12">
        <f>'Table-n=1000-miss'!I33</f>
        <v>2.0125912117935028</v>
      </c>
      <c r="P33" s="5"/>
      <c r="Y33" s="12"/>
    </row>
    <row r="34" spans="1:25" x14ac:dyDescent="0.25">
      <c r="B34" s="1" t="s">
        <v>5</v>
      </c>
      <c r="C34" s="12">
        <f>'Table-n=1000-corr'!C34</f>
        <v>-7.59253208364985E-2</v>
      </c>
      <c r="D34" s="12">
        <f>'Table-n=1000-corr'!D34</f>
        <v>4.6597074554623799</v>
      </c>
      <c r="E34" s="12">
        <f>'Table-n=1000-corr'!E34</f>
        <v>2.4113235381661386</v>
      </c>
      <c r="F34" s="12">
        <f>'Table-n=1000-corr'!F34</f>
        <v>0.97799999999999998</v>
      </c>
      <c r="G34" s="12">
        <f>'Table-n=1000-corr'!G34</f>
        <v>22.918400246123149</v>
      </c>
      <c r="H34" s="12">
        <f>'Table-n=1000-corr'!I34</f>
        <v>0.42252751284022744</v>
      </c>
      <c r="I34" s="12"/>
      <c r="J34" s="12">
        <f>'Table-n=1000-miss'!C34</f>
        <v>-1.91990560166555</v>
      </c>
      <c r="K34" s="12">
        <f>'Table-n=1000-miss'!D34</f>
        <v>5.3755767633646201</v>
      </c>
      <c r="L34" s="12">
        <f>'Table-n=1000-miss'!E34</f>
        <v>1.6257201187058763</v>
      </c>
      <c r="M34" s="12">
        <f>'Table-n=1000-miss'!F34</f>
        <v>0.96499999999999997</v>
      </c>
      <c r="N34" s="12">
        <f>'Table-n=1000-miss'!G34</f>
        <v>23.229046426120814</v>
      </c>
      <c r="O34" s="12">
        <f>'Table-n=1000-miss'!I34</f>
        <v>0.41230625397163773</v>
      </c>
      <c r="P34" s="5"/>
      <c r="Y34" s="12"/>
    </row>
    <row r="35" spans="1:25" x14ac:dyDescent="0.25">
      <c r="B35" s="1" t="s">
        <v>4</v>
      </c>
      <c r="C35" s="12">
        <f>'Table-n=1000-corr'!C35</f>
        <v>-0.17578499059409</v>
      </c>
      <c r="D35" s="12">
        <f>'Table-n=1000-corr'!D35</f>
        <v>2.71499967865932</v>
      </c>
      <c r="E35" s="12">
        <f>'Table-n=1000-corr'!E35</f>
        <v>0.81861132210085841</v>
      </c>
      <c r="F35" s="12">
        <f>'Table-n=1000-corr'!F35</f>
        <v>0.96399999999999997</v>
      </c>
      <c r="G35" s="12">
        <f>'Table-n=1000-corr'!G35</f>
        <v>12.584853929962925</v>
      </c>
      <c r="H35" s="12">
        <f>'Table-n=1000-corr'!I35</f>
        <v>1.4012874559081894</v>
      </c>
      <c r="I35" s="12"/>
      <c r="J35" s="12">
        <f>'Table-n=1000-miss'!C35</f>
        <v>1.1954329639958501</v>
      </c>
      <c r="K35" s="12">
        <f>'Table-n=1000-miss'!D35</f>
        <v>2.8116291282727199</v>
      </c>
      <c r="L35" s="12">
        <f>'Table-n=1000-miss'!E35</f>
        <v>0.44474565325333137</v>
      </c>
      <c r="M35" s="12">
        <f>'Table-n=1000-miss'!F35</f>
        <v>0.91400000000000003</v>
      </c>
      <c r="N35" s="12">
        <f>'Table-n=1000-miss'!G35</f>
        <v>9.3556098959282803</v>
      </c>
      <c r="O35" s="12">
        <f>'Table-n=1000-miss'!I35</f>
        <v>2.5417830374740422</v>
      </c>
      <c r="P35" s="5"/>
      <c r="Y35" s="12"/>
    </row>
    <row r="36" spans="1:25" x14ac:dyDescent="0.25">
      <c r="B36" s="1" t="s">
        <v>88</v>
      </c>
      <c r="C36" s="12">
        <f>'Table-n=1000-corr'!C36</f>
        <v>0.211039706054308</v>
      </c>
      <c r="D36" s="12">
        <f>'Table-n=1000-corr'!D36</f>
        <v>2.9380718715043899</v>
      </c>
      <c r="E36" s="12">
        <f>'Table-n=1000-corr'!E36</f>
        <v>0.95865648103565315</v>
      </c>
      <c r="F36" s="12">
        <f>'Table-n=1000-corr'!F36</f>
        <v>0.84299999999999997</v>
      </c>
      <c r="G36" s="12">
        <f>'Table-n=1000-corr'!G36</f>
        <v>8.5270193841076587</v>
      </c>
      <c r="H36" s="12">
        <f>'Table-n=1000-corr'!I36</f>
        <v>3.0523131806397918</v>
      </c>
      <c r="I36" s="12"/>
      <c r="J36" s="12">
        <f>'Table-n=1000-miss'!C36</f>
        <v>-0.227001793275871</v>
      </c>
      <c r="K36" s="12">
        <f>'Table-n=1000-miss'!D36</f>
        <v>2.62364809318523</v>
      </c>
      <c r="L36" s="12">
        <f>'Table-n=1000-miss'!E36</f>
        <v>0.38726371805473286</v>
      </c>
      <c r="M36" s="12">
        <f>'Table-n=1000-miss'!F36</f>
        <v>0.90300000000000002</v>
      </c>
      <c r="N36" s="12">
        <f>'Table-n=1000-miss'!G36</f>
        <v>8.9571411979593307</v>
      </c>
      <c r="O36" s="12">
        <f>'Table-n=1000-miss'!I36</f>
        <v>2.7729615364855573</v>
      </c>
      <c r="P36" s="5"/>
      <c r="Y36" s="12"/>
    </row>
    <row r="37" spans="1:25" x14ac:dyDescent="0.25">
      <c r="B37" s="1" t="s">
        <v>89</v>
      </c>
      <c r="C37" s="12">
        <f>'Table-n=1000-corr'!C37</f>
        <v>1.37255380250214</v>
      </c>
      <c r="D37" s="12">
        <f>'Table-n=1000-corr'!D37</f>
        <v>3.0007575606624899</v>
      </c>
      <c r="E37" s="12">
        <f>'Table-n=1000-corr'!E37</f>
        <v>1</v>
      </c>
      <c r="F37" s="12">
        <f>'Table-n=1000-corr'!F37</f>
        <v>0.98399999999999999</v>
      </c>
      <c r="G37" s="12">
        <f>'Table-n=1000-corr'!G37</f>
        <v>14.897445190764161</v>
      </c>
      <c r="H37" s="12">
        <f>'Table-n=1000-corr'!I37</f>
        <v>1</v>
      </c>
      <c r="I37" s="12"/>
      <c r="J37" s="12">
        <f>'Table-n=1000-miss'!C37</f>
        <v>3.1215961273762498</v>
      </c>
      <c r="K37" s="12">
        <f>'Table-n=1000-miss'!D37</f>
        <v>4.2160152958175701</v>
      </c>
      <c r="L37" s="12">
        <f>'Table-n=1000-miss'!E37</f>
        <v>1</v>
      </c>
      <c r="M37" s="12">
        <f>'Table-n=1000-miss'!F37</f>
        <v>0.93500000000000005</v>
      </c>
      <c r="N37" s="12">
        <f>'Table-n=1000-miss'!G37</f>
        <v>14.915621122578171</v>
      </c>
      <c r="O37" s="12">
        <f>'Table-n=1000-miss'!I37</f>
        <v>1</v>
      </c>
      <c r="P37" s="5"/>
      <c r="Y37" s="12"/>
    </row>
    <row r="38" spans="1:25" s="3" customFormat="1" x14ac:dyDescent="0.25">
      <c r="B38" s="3" t="s">
        <v>2</v>
      </c>
      <c r="C38" s="14">
        <f>'Table-n=1000-corr'!C38</f>
        <v>7.8827049515830097E-2</v>
      </c>
      <c r="D38" s="14">
        <f>'Table-n=1000-corr'!D38</f>
        <v>3.1264904191296701</v>
      </c>
      <c r="E38" s="14">
        <f>'Table-n=1000-corr'!E38</f>
        <v>1.0855563854470704</v>
      </c>
      <c r="F38" s="14">
        <f>'Table-n=1000-corr'!F38</f>
        <v>0.88200000000000001</v>
      </c>
      <c r="G38" s="14">
        <f>'Table-n=1000-corr'!G38</f>
        <v>9.1034008603814929</v>
      </c>
      <c r="H38" s="14">
        <f>'Table-n=1000-corr'!I38</f>
        <v>2.678035062108739</v>
      </c>
      <c r="I38" s="14"/>
      <c r="J38" s="14">
        <f>'Table-n=1000-miss'!C38</f>
        <v>-1.51348281170066</v>
      </c>
      <c r="K38" s="14">
        <f>'Table-n=1000-miss'!D38</f>
        <v>3.8469380706160501</v>
      </c>
      <c r="L38" s="14">
        <f>'Table-n=1000-miss'!E38</f>
        <v>0.8325801150522808</v>
      </c>
      <c r="M38" s="14">
        <f>'Table-n=1000-miss'!F38</f>
        <v>0.91</v>
      </c>
      <c r="N38" s="14">
        <f>'Table-n=1000-miss'!G38</f>
        <v>11.195999531537135</v>
      </c>
      <c r="O38" s="14">
        <f>'Table-n=1000-miss'!I38</f>
        <v>1.77483074399973</v>
      </c>
      <c r="P38" s="13"/>
      <c r="Q38" s="13"/>
      <c r="Y38" s="14"/>
    </row>
    <row r="39" spans="1:25" x14ac:dyDescent="0.25"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5"/>
      <c r="Y39" s="7"/>
    </row>
    <row r="40" spans="1:25" x14ac:dyDescent="0.25">
      <c r="A40" s="2" t="s">
        <v>207</v>
      </c>
      <c r="B40" s="1" t="s">
        <v>3</v>
      </c>
      <c r="C40" s="12">
        <f>'Table-n=1000-corr'!C40</f>
        <v>0.34262959519543701</v>
      </c>
      <c r="D40" s="12">
        <f>'Table-n=1000-corr'!D40</f>
        <v>5.1412065948474401</v>
      </c>
      <c r="E40" s="12">
        <f>'Table-n=1000-corr'!E40</f>
        <v>0.9725287010628012</v>
      </c>
      <c r="F40" s="12">
        <f>'Table-n=1000-corr'!F40</f>
        <v>0.98399999999999999</v>
      </c>
      <c r="G40" s="12">
        <f>'Table-n=1000-corr'!G40</f>
        <v>26.31576089012815</v>
      </c>
      <c r="H40" s="12">
        <f>'Table-n=1000-corr'!I40</f>
        <v>1.0223699980176573</v>
      </c>
      <c r="I40" s="12"/>
      <c r="J40" s="12">
        <f>'Table-n=1000-miss'!C40</f>
        <v>-8.5885044865462898</v>
      </c>
      <c r="K40" s="12">
        <f>'Table-n=1000-miss'!D40</f>
        <v>10.605293849741599</v>
      </c>
      <c r="L40" s="12">
        <f>'Table-n=1000-miss'!E40</f>
        <v>4.0683255940384715</v>
      </c>
      <c r="M40" s="12">
        <f>'Table-n=1000-miss'!F40</f>
        <v>0.77600000000000002</v>
      </c>
      <c r="N40" s="12">
        <f>'Table-n=1000-miss'!G40</f>
        <v>26.406524732770759</v>
      </c>
      <c r="O40" s="12">
        <f>'Table-n=1000-miss'!I40</f>
        <v>1.165314807936715</v>
      </c>
      <c r="P40" s="5"/>
      <c r="Y40" s="12"/>
    </row>
    <row r="41" spans="1:25" x14ac:dyDescent="0.25">
      <c r="B41" s="1" t="s">
        <v>5</v>
      </c>
      <c r="C41" s="12">
        <f>'Table-n=1000-corr'!C41</f>
        <v>0.121414315375642</v>
      </c>
      <c r="D41" s="12">
        <f>'Table-n=1000-corr'!D41</f>
        <v>9.41333690172792</v>
      </c>
      <c r="E41" s="12">
        <f>'Table-n=1000-corr'!E41</f>
        <v>3.2603146815782802</v>
      </c>
      <c r="F41" s="12">
        <f>'Table-n=1000-corr'!F41</f>
        <v>0.98899999999999999</v>
      </c>
      <c r="G41" s="12">
        <f>'Table-n=1000-corr'!G41</f>
        <v>57.689439618907869</v>
      </c>
      <c r="H41" s="12">
        <f>'Table-n=1000-corr'!I41</f>
        <v>0.21273910069582413</v>
      </c>
      <c r="I41" s="12"/>
      <c r="J41" s="12">
        <f>'Table-n=1000-miss'!C41</f>
        <v>-9.1339923016426692</v>
      </c>
      <c r="K41" s="12">
        <f>'Table-n=1000-miss'!D41</f>
        <v>13.669670239330401</v>
      </c>
      <c r="L41" s="12">
        <f>'Table-n=1000-miss'!E41</f>
        <v>6.7590610019835022</v>
      </c>
      <c r="M41" s="12">
        <f>'Table-n=1000-miss'!F41</f>
        <v>0.95699999999999996</v>
      </c>
      <c r="N41" s="12">
        <f>'Table-n=1000-miss'!G41</f>
        <v>53.036307437385609</v>
      </c>
      <c r="O41" s="12">
        <f>'Table-n=1000-miss'!I41</f>
        <v>0.28888115006077603</v>
      </c>
      <c r="P41" s="5"/>
      <c r="Y41" s="12"/>
    </row>
    <row r="42" spans="1:25" x14ac:dyDescent="0.25">
      <c r="B42" s="1" t="s">
        <v>4</v>
      </c>
      <c r="C42" s="12">
        <f>'Table-n=1000-corr'!C42</f>
        <v>-0.73621329974327998</v>
      </c>
      <c r="D42" s="12">
        <f>'Table-n=1000-corr'!D42</f>
        <v>5.1929484697971899</v>
      </c>
      <c r="E42" s="12">
        <f>'Table-n=1000-corr'!E42</f>
        <v>0.9922025553716044</v>
      </c>
      <c r="F42" s="12">
        <f>'Table-n=1000-corr'!F42</f>
        <v>0.998</v>
      </c>
      <c r="G42" s="12">
        <f>'Table-n=1000-corr'!G42</f>
        <v>35.697429664994488</v>
      </c>
      <c r="H42" s="12">
        <f>'Table-n=1000-corr'!I42</f>
        <v>0.55560489918145528</v>
      </c>
      <c r="I42" s="12"/>
      <c r="J42" s="12">
        <f>'Table-n=1000-miss'!C42</f>
        <v>-1.10544669218707</v>
      </c>
      <c r="K42" s="12">
        <f>'Table-n=1000-miss'!D42</f>
        <v>5.4555929042582196</v>
      </c>
      <c r="L42" s="12">
        <f>'Table-n=1000-miss'!E42</f>
        <v>1.0765995694701298</v>
      </c>
      <c r="M42" s="12">
        <f>'Table-n=1000-miss'!F42</f>
        <v>0.93400000000000005</v>
      </c>
      <c r="N42" s="12">
        <f>'Table-n=1000-miss'!G42</f>
        <v>21.297318539007652</v>
      </c>
      <c r="O42" s="12">
        <f>'Table-n=1000-miss'!I42</f>
        <v>1.7914962774808063</v>
      </c>
      <c r="P42" s="5"/>
      <c r="Y42" s="12"/>
    </row>
    <row r="43" spans="1:25" x14ac:dyDescent="0.25">
      <c r="B43" s="1" t="s">
        <v>88</v>
      </c>
      <c r="C43" s="12">
        <f>'Table-n=1000-corr'!C43</f>
        <v>-0.28269454076681</v>
      </c>
      <c r="D43" s="12">
        <f>'Table-n=1000-corr'!D43</f>
        <v>5.3034857328760703</v>
      </c>
      <c r="E43" s="12">
        <f>'Table-n=1000-corr'!E43</f>
        <v>1.0348922265854159</v>
      </c>
      <c r="F43" s="12">
        <f>'Table-n=1000-corr'!F43</f>
        <v>0.91800000000000004</v>
      </c>
      <c r="G43" s="12">
        <f>'Table-n=1000-corr'!G43</f>
        <v>19.236901163218413</v>
      </c>
      <c r="H43" s="12">
        <f>'Table-n=1000-corr'!I43</f>
        <v>1.9132412351828456</v>
      </c>
      <c r="I43" s="12"/>
      <c r="J43" s="12">
        <f>'Table-n=1000-miss'!C43</f>
        <v>-6.1900219902621503</v>
      </c>
      <c r="K43" s="12">
        <f>'Table-n=1000-miss'!D43</f>
        <v>8.5474667375404003</v>
      </c>
      <c r="L43" s="12">
        <f>'Table-n=1000-miss'!E43</f>
        <v>2.6426833527714999</v>
      </c>
      <c r="M43" s="12">
        <f>'Table-n=1000-miss'!F43</f>
        <v>0.79900000000000004</v>
      </c>
      <c r="N43" s="12">
        <f>'Table-n=1000-miss'!G43</f>
        <v>22.114097896930538</v>
      </c>
      <c r="O43" s="12">
        <f>'Table-n=1000-miss'!I43</f>
        <v>1.6616031527992055</v>
      </c>
      <c r="P43" s="5"/>
      <c r="Y43" s="12"/>
    </row>
    <row r="44" spans="1:25" x14ac:dyDescent="0.25">
      <c r="B44" s="1" t="s">
        <v>89</v>
      </c>
      <c r="C44" s="12">
        <f>'Table-n=1000-corr'!C44</f>
        <v>1.4532267553395499</v>
      </c>
      <c r="D44" s="12">
        <f>'Table-n=1000-corr'!D44</f>
        <v>5.2133135080067303</v>
      </c>
      <c r="E44" s="12">
        <f>'Table-n=1000-corr'!E44</f>
        <v>1</v>
      </c>
      <c r="F44" s="12">
        <f>'Table-n=1000-corr'!F44</f>
        <v>0.98</v>
      </c>
      <c r="G44" s="12">
        <f>'Table-n=1000-corr'!G44</f>
        <v>26.608474701698373</v>
      </c>
      <c r="H44" s="12">
        <f>'Table-n=1000-corr'!I44</f>
        <v>1</v>
      </c>
      <c r="I44" s="12"/>
      <c r="J44" s="12">
        <f>'Table-n=1000-miss'!C44</f>
        <v>-5.8100103631346697E-2</v>
      </c>
      <c r="K44" s="12">
        <f>'Table-n=1000-miss'!D44</f>
        <v>5.2579306658613998</v>
      </c>
      <c r="L44" s="12">
        <f>'Table-n=1000-miss'!E44</f>
        <v>1</v>
      </c>
      <c r="M44" s="12">
        <f>'Table-n=1000-miss'!F44</f>
        <v>0.98899999999999999</v>
      </c>
      <c r="N44" s="12">
        <f>'Table-n=1000-miss'!G44</f>
        <v>28.505776887587171</v>
      </c>
      <c r="O44" s="12">
        <f>'Table-n=1000-miss'!I44</f>
        <v>1</v>
      </c>
      <c r="P44" s="5"/>
      <c r="Y44" s="12"/>
    </row>
    <row r="45" spans="1:25" s="3" customFormat="1" x14ac:dyDescent="0.25">
      <c r="B45" s="3" t="s">
        <v>2</v>
      </c>
      <c r="C45" s="14">
        <f>'Table-n=1000-corr'!C45</f>
        <v>-0.24526574096836001</v>
      </c>
      <c r="D45" s="14">
        <f>'Table-n=1000-corr'!D45</f>
        <v>5.0054649540803</v>
      </c>
      <c r="E45" s="14">
        <f>'Table-n=1000-corr'!E45</f>
        <v>0.92185192108878999</v>
      </c>
      <c r="F45" s="14">
        <f>'Table-n=1000-corr'!F45</f>
        <v>0.93100000000000005</v>
      </c>
      <c r="G45" s="14">
        <f>'Table-n=1000-corr'!G45</f>
        <v>18.832658022538556</v>
      </c>
      <c r="H45" s="14">
        <f>'Table-n=1000-corr'!I45</f>
        <v>1.9962582283588648</v>
      </c>
      <c r="I45" s="14"/>
      <c r="J45" s="14">
        <f>'Table-n=1000-miss'!C45</f>
        <v>-12.1740645527086</v>
      </c>
      <c r="K45" s="14">
        <f>'Table-n=1000-miss'!D45</f>
        <v>41.762375317859501</v>
      </c>
      <c r="L45" s="14">
        <f>'Table-n=1000-miss'!E45</f>
        <v>63.087115991187993</v>
      </c>
      <c r="M45" s="14">
        <f>'Table-n=1000-miss'!F45</f>
        <v>0.81599999999999995</v>
      </c>
      <c r="N45" s="14">
        <f>'Table-n=1000-miss'!G45</f>
        <v>35.394936849890058</v>
      </c>
      <c r="O45" s="14">
        <f>'Table-n=1000-miss'!I45</f>
        <v>0.64860976024199235</v>
      </c>
      <c r="P45" s="13"/>
      <c r="Q45" s="13"/>
      <c r="Y45" s="14"/>
    </row>
    <row r="46" spans="1:25" x14ac:dyDescent="0.25">
      <c r="G46" s="7"/>
      <c r="H46" s="7"/>
      <c r="O46" s="7"/>
    </row>
    <row r="47" spans="1:25" x14ac:dyDescent="0.25">
      <c r="G47" s="7"/>
      <c r="H47" s="7"/>
      <c r="O47" s="7"/>
    </row>
    <row r="48" spans="1:25" x14ac:dyDescent="0.25">
      <c r="G48" s="7"/>
      <c r="H48" s="7"/>
      <c r="O48" s="7"/>
    </row>
    <row r="49" spans="7:15" x14ac:dyDescent="0.25">
      <c r="G49" s="7"/>
      <c r="H49" s="7"/>
      <c r="O49" s="7"/>
    </row>
    <row r="50" spans="7:15" x14ac:dyDescent="0.25">
      <c r="G50" s="7"/>
      <c r="H50" s="7"/>
      <c r="O50" s="7"/>
    </row>
    <row r="51" spans="7:15" x14ac:dyDescent="0.25">
      <c r="G51" s="7"/>
      <c r="H51" s="7"/>
      <c r="O51" s="7"/>
    </row>
    <row r="52" spans="7:15" x14ac:dyDescent="0.25">
      <c r="G52" s="7"/>
      <c r="H52" s="7"/>
      <c r="O52" s="7"/>
    </row>
    <row r="53" spans="7:15" x14ac:dyDescent="0.25">
      <c r="G53" s="7"/>
      <c r="H53" s="7"/>
      <c r="O53" s="7"/>
    </row>
    <row r="54" spans="7:15" x14ac:dyDescent="0.25">
      <c r="G54" s="7"/>
      <c r="H54" s="7"/>
      <c r="O54" s="7"/>
    </row>
    <row r="55" spans="7:15" x14ac:dyDescent="0.25">
      <c r="G55" s="7"/>
      <c r="H55" s="7"/>
      <c r="O55" s="7"/>
    </row>
    <row r="56" spans="7:15" x14ac:dyDescent="0.25">
      <c r="G56" s="7"/>
      <c r="H56" s="7"/>
      <c r="O56" s="7"/>
    </row>
    <row r="57" spans="7:15" x14ac:dyDescent="0.25">
      <c r="G57" s="7"/>
      <c r="H57" s="7"/>
      <c r="O57" s="7"/>
    </row>
    <row r="58" spans="7:15" x14ac:dyDescent="0.25">
      <c r="G58" s="7"/>
      <c r="H58" s="7"/>
      <c r="O58" s="7"/>
    </row>
    <row r="59" spans="7:15" x14ac:dyDescent="0.25">
      <c r="G59" s="7"/>
      <c r="H59" s="7"/>
      <c r="O59" s="7"/>
    </row>
    <row r="60" spans="7:15" x14ac:dyDescent="0.25">
      <c r="G60" s="7"/>
      <c r="H60" s="7"/>
      <c r="O60" s="7"/>
    </row>
    <row r="61" spans="7:15" x14ac:dyDescent="0.25">
      <c r="G61" s="7"/>
      <c r="H61" s="7"/>
      <c r="O61" s="7"/>
    </row>
    <row r="62" spans="7:15" x14ac:dyDescent="0.25">
      <c r="G62" s="7"/>
      <c r="H62" s="7"/>
      <c r="O62" s="7"/>
    </row>
    <row r="63" spans="7:15" x14ac:dyDescent="0.25">
      <c r="G63" s="7"/>
      <c r="H63" s="7"/>
      <c r="O63" s="7"/>
    </row>
    <row r="64" spans="7:15" x14ac:dyDescent="0.25">
      <c r="G64" s="7"/>
      <c r="H64" s="7"/>
      <c r="O64" s="7"/>
    </row>
    <row r="65" spans="7:15" x14ac:dyDescent="0.25">
      <c r="G65" s="7"/>
      <c r="H65" s="7"/>
      <c r="O65" s="7"/>
    </row>
    <row r="66" spans="7:15" x14ac:dyDescent="0.25">
      <c r="G66" s="7"/>
      <c r="H66" s="7"/>
      <c r="O66" s="7"/>
    </row>
    <row r="67" spans="7:15" x14ac:dyDescent="0.25">
      <c r="G67" s="7"/>
      <c r="H67" s="7"/>
      <c r="O67" s="7"/>
    </row>
    <row r="68" spans="7:15" x14ac:dyDescent="0.25">
      <c r="G68" s="7"/>
      <c r="H68" s="7"/>
      <c r="O68" s="7"/>
    </row>
    <row r="69" spans="7:15" x14ac:dyDescent="0.25">
      <c r="G69" s="7"/>
      <c r="H69" s="7"/>
      <c r="O69" s="7"/>
    </row>
    <row r="70" spans="7:15" x14ac:dyDescent="0.25">
      <c r="G70" s="7"/>
      <c r="H70" s="7"/>
      <c r="O70" s="7"/>
    </row>
    <row r="71" spans="7:15" x14ac:dyDescent="0.25">
      <c r="G71" s="7"/>
      <c r="H71" s="7"/>
      <c r="O71" s="7"/>
    </row>
    <row r="72" spans="7:15" x14ac:dyDescent="0.25">
      <c r="G72" s="7"/>
      <c r="H72" s="7"/>
      <c r="O72" s="7"/>
    </row>
    <row r="73" spans="7:15" x14ac:dyDescent="0.25">
      <c r="G73" s="7"/>
      <c r="H73" s="7"/>
      <c r="O73" s="7"/>
    </row>
    <row r="74" spans="7:15" x14ac:dyDescent="0.25">
      <c r="G74" s="7"/>
      <c r="H74" s="7"/>
      <c r="O74" s="7"/>
    </row>
    <row r="75" spans="7:15" x14ac:dyDescent="0.25">
      <c r="G75" s="7"/>
      <c r="H75" s="7"/>
      <c r="O75" s="7"/>
    </row>
    <row r="76" spans="7:15" x14ac:dyDescent="0.25">
      <c r="G76" s="7"/>
      <c r="H76" s="7"/>
      <c r="O76" s="7"/>
    </row>
    <row r="77" spans="7:15" x14ac:dyDescent="0.25">
      <c r="G77" s="7"/>
      <c r="H77" s="7"/>
      <c r="O77" s="7"/>
    </row>
    <row r="78" spans="7:15" x14ac:dyDescent="0.25">
      <c r="G78" s="7"/>
      <c r="H78" s="7"/>
      <c r="O78" s="7"/>
    </row>
    <row r="79" spans="7:15" x14ac:dyDescent="0.25">
      <c r="G79" s="7"/>
      <c r="H79" s="7"/>
      <c r="O79" s="7"/>
    </row>
    <row r="80" spans="7:15" x14ac:dyDescent="0.25">
      <c r="G80" s="7"/>
      <c r="H80" s="7"/>
      <c r="O80" s="7"/>
    </row>
    <row r="81" spans="7:15" x14ac:dyDescent="0.25">
      <c r="G81" s="7"/>
      <c r="H81" s="7"/>
      <c r="O81" s="7"/>
    </row>
    <row r="82" spans="7:15" x14ac:dyDescent="0.25">
      <c r="G82" s="7"/>
      <c r="H82" s="7"/>
      <c r="O82" s="7"/>
    </row>
    <row r="83" spans="7:15" x14ac:dyDescent="0.25">
      <c r="G83" s="7"/>
      <c r="H83" s="7"/>
      <c r="O83" s="7"/>
    </row>
    <row r="84" spans="7:15" x14ac:dyDescent="0.25">
      <c r="G84" s="7"/>
      <c r="H84" s="7"/>
      <c r="O84" s="7"/>
    </row>
    <row r="85" spans="7:15" x14ac:dyDescent="0.25">
      <c r="G85" s="7"/>
      <c r="H85" s="7"/>
      <c r="O85" s="7"/>
    </row>
    <row r="86" spans="7:15" x14ac:dyDescent="0.25">
      <c r="G86" s="7"/>
      <c r="H86" s="7"/>
      <c r="O86" s="7"/>
    </row>
    <row r="87" spans="7:15" x14ac:dyDescent="0.25">
      <c r="G87" s="7"/>
      <c r="H87" s="7"/>
      <c r="O87" s="7"/>
    </row>
    <row r="88" spans="7:15" x14ac:dyDescent="0.25">
      <c r="G88" s="7"/>
      <c r="H88" s="7"/>
      <c r="O88" s="7"/>
    </row>
    <row r="89" spans="7:15" x14ac:dyDescent="0.25">
      <c r="G89" s="7"/>
      <c r="H89" s="7"/>
      <c r="O89" s="7"/>
    </row>
    <row r="90" spans="7:15" x14ac:dyDescent="0.25">
      <c r="G90" s="7"/>
      <c r="H90" s="7"/>
      <c r="O90" s="7"/>
    </row>
    <row r="91" spans="7:15" x14ac:dyDescent="0.25">
      <c r="G91" s="7"/>
      <c r="H91" s="7"/>
      <c r="O91" s="7"/>
    </row>
    <row r="92" spans="7:15" x14ac:dyDescent="0.25">
      <c r="G92" s="7"/>
      <c r="H92" s="7"/>
      <c r="O92" s="7"/>
    </row>
    <row r="93" spans="7:15" x14ac:dyDescent="0.25">
      <c r="G93" s="7"/>
      <c r="H93" s="7"/>
      <c r="O93" s="7"/>
    </row>
    <row r="94" spans="7:15" x14ac:dyDescent="0.25">
      <c r="G94" s="7"/>
      <c r="H94" s="7"/>
      <c r="O94" s="7"/>
    </row>
    <row r="95" spans="7:15" x14ac:dyDescent="0.25">
      <c r="G95" s="7"/>
      <c r="H95" s="7"/>
      <c r="O95" s="7"/>
    </row>
    <row r="96" spans="7:15" x14ac:dyDescent="0.25">
      <c r="G96" s="7"/>
      <c r="H96" s="7"/>
      <c r="O96" s="7"/>
    </row>
    <row r="97" spans="7:15" x14ac:dyDescent="0.25">
      <c r="G97" s="7"/>
      <c r="H97" s="7"/>
      <c r="O97" s="7"/>
    </row>
    <row r="98" spans="7:15" x14ac:dyDescent="0.25">
      <c r="G98" s="7"/>
      <c r="H98" s="7"/>
      <c r="O98" s="7"/>
    </row>
    <row r="99" spans="7:15" x14ac:dyDescent="0.25">
      <c r="G99" s="7"/>
      <c r="H99" s="7"/>
      <c r="O99" s="7"/>
    </row>
    <row r="100" spans="7:15" x14ac:dyDescent="0.25">
      <c r="G100" s="7"/>
      <c r="H100" s="7"/>
      <c r="O100" s="7"/>
    </row>
    <row r="101" spans="7:15" x14ac:dyDescent="0.25">
      <c r="G101" s="7"/>
      <c r="H101" s="7"/>
      <c r="O101" s="7"/>
    </row>
    <row r="102" spans="7:15" x14ac:dyDescent="0.25">
      <c r="G102" s="7"/>
      <c r="H102" s="7"/>
      <c r="O102" s="7"/>
    </row>
    <row r="103" spans="7:15" x14ac:dyDescent="0.25">
      <c r="G103" s="7"/>
      <c r="H103" s="7"/>
      <c r="O103" s="7"/>
    </row>
    <row r="104" spans="7:15" x14ac:dyDescent="0.25">
      <c r="G104" s="7"/>
      <c r="H104" s="7"/>
      <c r="O104" s="7"/>
    </row>
    <row r="105" spans="7:15" x14ac:dyDescent="0.25">
      <c r="G105" s="7"/>
      <c r="H105" s="7"/>
      <c r="O105" s="7"/>
    </row>
    <row r="106" spans="7:15" x14ac:dyDescent="0.25">
      <c r="G106" s="7"/>
      <c r="H106" s="7"/>
      <c r="O106" s="7"/>
    </row>
    <row r="107" spans="7:15" x14ac:dyDescent="0.25">
      <c r="G107" s="7"/>
      <c r="H107" s="7"/>
      <c r="O107" s="7"/>
    </row>
    <row r="108" spans="7:15" x14ac:dyDescent="0.25">
      <c r="G108" s="7"/>
      <c r="H108" s="7"/>
      <c r="O108" s="7"/>
    </row>
    <row r="109" spans="7:15" x14ac:dyDescent="0.25">
      <c r="G109" s="7"/>
      <c r="H109" s="7"/>
      <c r="O109" s="7"/>
    </row>
    <row r="110" spans="7:15" x14ac:dyDescent="0.25">
      <c r="G110" s="7"/>
      <c r="H110" s="7"/>
      <c r="O110" s="7"/>
    </row>
    <row r="111" spans="7:15" x14ac:dyDescent="0.25">
      <c r="G111" s="7"/>
      <c r="H111" s="7"/>
      <c r="O111" s="7"/>
    </row>
    <row r="112" spans="7:15" x14ac:dyDescent="0.25">
      <c r="G112" s="7"/>
      <c r="H112" s="7"/>
      <c r="O112" s="7"/>
    </row>
    <row r="113" spans="7:15" x14ac:dyDescent="0.25">
      <c r="G113" s="7"/>
      <c r="H113" s="7"/>
      <c r="O113" s="7"/>
    </row>
    <row r="114" spans="7:15" x14ac:dyDescent="0.25">
      <c r="G114" s="7"/>
      <c r="H114" s="7"/>
      <c r="O114" s="7"/>
    </row>
    <row r="115" spans="7:15" x14ac:dyDescent="0.25">
      <c r="G115" s="7"/>
      <c r="H115" s="7"/>
      <c r="O115" s="7"/>
    </row>
    <row r="116" spans="7:15" x14ac:dyDescent="0.25">
      <c r="G116" s="7"/>
      <c r="H116" s="7"/>
      <c r="O116" s="7"/>
    </row>
    <row r="117" spans="7:15" x14ac:dyDescent="0.25">
      <c r="G117" s="7"/>
      <c r="H117" s="7"/>
      <c r="O117" s="7"/>
    </row>
    <row r="118" spans="7:15" x14ac:dyDescent="0.25">
      <c r="G118" s="7"/>
      <c r="H118" s="7"/>
      <c r="O118" s="7"/>
    </row>
    <row r="119" spans="7:15" x14ac:dyDescent="0.25">
      <c r="G119" s="7"/>
      <c r="H119" s="7"/>
      <c r="O119" s="7"/>
    </row>
    <row r="120" spans="7:15" x14ac:dyDescent="0.25">
      <c r="G120" s="7"/>
      <c r="H120" s="7"/>
      <c r="O120" s="7"/>
    </row>
  </sheetData>
  <mergeCells count="8">
    <mergeCell ref="S11:X11"/>
    <mergeCell ref="Z11:AE11"/>
    <mergeCell ref="C1:G1"/>
    <mergeCell ref="J1:N1"/>
    <mergeCell ref="S1:W1"/>
    <mergeCell ref="Z1:AD1"/>
    <mergeCell ref="S3:X3"/>
    <mergeCell ref="Z3:AE3"/>
  </mergeCell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20"/>
  <sheetViews>
    <sheetView workbookViewId="0">
      <selection activeCell="O9" sqref="O9"/>
    </sheetView>
  </sheetViews>
  <sheetFormatPr defaultColWidth="9.28515625" defaultRowHeight="15" x14ac:dyDescent="0.25"/>
  <cols>
    <col min="1" max="1" width="8" style="1" bestFit="1" customWidth="1"/>
    <col min="2" max="2" width="11.7109375" style="1" bestFit="1" customWidth="1"/>
    <col min="3" max="4" width="6.5703125" style="1" bestFit="1" customWidth="1"/>
    <col min="5" max="5" width="6.5703125" style="1" customWidth="1"/>
    <col min="6" max="7" width="8.28515625" style="1" bestFit="1" customWidth="1"/>
    <col min="8" max="10" width="8.28515625" style="1" customWidth="1"/>
    <col min="11" max="17" width="9.28515625" style="1"/>
    <col min="18" max="18" width="14" style="1" bestFit="1" customWidth="1"/>
    <col min="19" max="16384" width="9.28515625" style="1"/>
  </cols>
  <sheetData>
    <row r="1" spans="1:18" x14ac:dyDescent="0.25">
      <c r="C1" s="16" t="s">
        <v>61</v>
      </c>
      <c r="D1" s="16"/>
      <c r="E1" s="16"/>
      <c r="F1" s="16"/>
      <c r="G1" s="16"/>
      <c r="H1" s="9"/>
      <c r="I1" s="9"/>
      <c r="J1" s="11"/>
      <c r="R1" s="10" t="s">
        <v>165</v>
      </c>
    </row>
    <row r="2" spans="1:18" x14ac:dyDescent="0.25">
      <c r="C2" s="9" t="s">
        <v>0</v>
      </c>
      <c r="D2" s="9" t="s">
        <v>1</v>
      </c>
      <c r="E2" s="9" t="s">
        <v>90</v>
      </c>
      <c r="F2" s="9" t="s">
        <v>49</v>
      </c>
      <c r="G2" s="9" t="s">
        <v>48</v>
      </c>
      <c r="H2" s="9" t="s">
        <v>164</v>
      </c>
      <c r="I2" s="9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2</v>
      </c>
    </row>
    <row r="3" spans="1:18" x14ac:dyDescent="0.25">
      <c r="B3" s="1" t="s">
        <v>6</v>
      </c>
      <c r="C3" s="9">
        <v>200</v>
      </c>
      <c r="D3" s="9">
        <v>200</v>
      </c>
      <c r="E3" s="9">
        <v>200</v>
      </c>
      <c r="F3" s="9">
        <v>200</v>
      </c>
      <c r="G3" s="9">
        <v>200</v>
      </c>
      <c r="H3" s="9">
        <v>200</v>
      </c>
      <c r="I3" s="9">
        <v>200</v>
      </c>
      <c r="J3" s="11"/>
      <c r="K3" s="11">
        <v>200</v>
      </c>
      <c r="L3" s="11">
        <v>200</v>
      </c>
      <c r="M3" s="11">
        <v>200</v>
      </c>
      <c r="N3" s="11">
        <v>200</v>
      </c>
      <c r="O3" s="11">
        <v>200</v>
      </c>
      <c r="P3" s="11">
        <v>200</v>
      </c>
    </row>
    <row r="4" spans="1:18" x14ac:dyDescent="0.25">
      <c r="C4" s="9"/>
      <c r="D4" s="9"/>
      <c r="E4" s="9"/>
      <c r="F4" s="9"/>
      <c r="G4" s="9"/>
      <c r="H4" s="9"/>
      <c r="I4" s="9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1.19416692405959</v>
      </c>
      <c r="D5" s="5">
        <f>HLOOKUP("ATE-RMSE-IPS-exp",Point!$D$1:$DR$96,$R$2,FALSE)</f>
        <v>4.1118896435690502</v>
      </c>
      <c r="E5" s="5">
        <f>(D5/$D$9)^2</f>
        <v>8.6122351099882227E-2</v>
      </c>
      <c r="F5" s="5">
        <f>HLOOKUP("ATE-Empcov-IPS-exp",inference!$D$1:$DR$96,$R$2,FALSE)</f>
        <v>0.97993981945837505</v>
      </c>
      <c r="G5" s="5">
        <f>HLOOKUP("ATE-ASSD-IPS-exp",inference!$D$1:$DR$96,$R$2,FALSE)*2*1.96/SQRT(G$3)</f>
        <v>17.311056215405415</v>
      </c>
      <c r="H5" s="5">
        <f>G5/(2*1.96/SQRT(G$3))</f>
        <v>62.452883874564805</v>
      </c>
      <c r="I5" s="5">
        <f t="shared" ref="I5:I10" si="0">($H$9/H5)^2</f>
        <v>1.8479751839090104</v>
      </c>
      <c r="J5" s="5"/>
      <c r="K5" s="5">
        <f>HLOOKUP("ks-IPS-exp",balance!$D$1:$DR$96,$R$2,FALSE)</f>
        <v>1.7812209900895799</v>
      </c>
      <c r="L5" s="5">
        <f>HLOOKUP("cvm-IPS-exp",balance!$D$1:$DR$96,$R$2,FALSE)</f>
        <v>0.32402776003489597</v>
      </c>
      <c r="M5" s="5">
        <f>HLOOKUP("ks-IPS-exp_1",balance!$D$1:$DR$96,$R$2,FALSE)</f>
        <v>1.39744816486292</v>
      </c>
      <c r="N5" s="5">
        <f>HLOOKUP("cvm-IPS-exp_1",balance!$D$1:$DR$96,$R$2,FALSE)</f>
        <v>0.22111105779758</v>
      </c>
      <c r="O5" s="5">
        <f>HLOOKUP("ks-IPS-exp_0",balance!$D$1:$DR$96,$R$2,FALSE)</f>
        <v>0.60208208275688901</v>
      </c>
      <c r="P5" s="5">
        <f>HLOOKUP("cvm-IPS-exp_0",balance!$D$1:$DR$96,$R$2,FALSE)</f>
        <v>2.0949860476863001E-2</v>
      </c>
    </row>
    <row r="6" spans="1:18" x14ac:dyDescent="0.25">
      <c r="B6" s="1" t="s">
        <v>5</v>
      </c>
      <c r="C6" s="5">
        <f>HLOOKUP("ATE-bias-IPS-ind",Point!$D$1:$DR$96,$R$2,FALSE)</f>
        <v>0.861126023932684</v>
      </c>
      <c r="D6" s="5">
        <f>HLOOKUP("ATE-RMSE-IPS-ind",Point!$D$1:$DR$96,$R$2,FALSE)</f>
        <v>7.3570235025251902</v>
      </c>
      <c r="E6" s="5">
        <f t="shared" ref="E6:E10" si="1">(D6/$D$9)^2</f>
        <v>0.27570031571599291</v>
      </c>
      <c r="F6" s="5">
        <f>HLOOKUP("ATE-Empcov-IPS-ind",inference!$D$1:$DR$96,$R$2,FALSE)</f>
        <v>0.98395185556669995</v>
      </c>
      <c r="G6" s="5">
        <f>HLOOKUP("ATE-ASSD-IPS-ind",inference!$D$1:$DR$96,$R$2,FALSE)*2*1.96/SQRT(G$3)</f>
        <v>33.842940539000182</v>
      </c>
      <c r="H6" s="5">
        <f t="shared" ref="H6:H9" si="2">G6/(2*1.96/SQRT(G$3))</f>
        <v>122.09475893071502</v>
      </c>
      <c r="I6" s="5">
        <f t="shared" si="0"/>
        <v>0.48351181006231242</v>
      </c>
      <c r="J6" s="5"/>
      <c r="K6" s="5">
        <f>HLOOKUP("ks-IPS-ind",balance!$D$1:$DR$96,$R$2,FALSE)</f>
        <v>1.49768112243628</v>
      </c>
      <c r="L6" s="5">
        <f>HLOOKUP("cvm-IPS-ind",balance!$D$1:$DR$96,$R$2,FALSE)</f>
        <v>0.202565727099044</v>
      </c>
      <c r="M6" s="5">
        <f>HLOOKUP("ks-IPS-ind_1",balance!$D$1:$DR$96,$R$2,FALSE)</f>
        <v>1.1627902398761301</v>
      </c>
      <c r="N6" s="5">
        <f>HLOOKUP("cvm-IPS-ind_1",balance!$D$1:$DR$96,$R$2,FALSE)</f>
        <v>0.12619264133251601</v>
      </c>
      <c r="O6" s="5">
        <f>HLOOKUP("ks-IPS-ind_0",balance!$D$1:$DR$96,$R$2,FALSE)</f>
        <v>0.60705452685447303</v>
      </c>
      <c r="P6" s="5">
        <f>HLOOKUP("cvm-IPS-ind_0",balance!$D$1:$DR$96,$R$2,FALSE)</f>
        <v>1.7563065162745299E-2</v>
      </c>
    </row>
    <row r="7" spans="1:18" x14ac:dyDescent="0.25">
      <c r="B7" s="1" t="s">
        <v>4</v>
      </c>
      <c r="C7" s="5">
        <f>HLOOKUP("ATE-bias-IPS-proj",Point!$D$1:$DR$96,$R$2,FALSE)</f>
        <v>0.19419406432130901</v>
      </c>
      <c r="D7" s="5">
        <f>HLOOKUP("ATE-RMSE-IPS-proj",Point!$D$1:$DR$96,$R$2,FALSE)</f>
        <v>3.4105744823833599</v>
      </c>
      <c r="E7" s="5">
        <f t="shared" si="1"/>
        <v>5.9249958888408255E-2</v>
      </c>
      <c r="F7" s="6">
        <f>HLOOKUP("ATE-Empcov-IPS-proj",inference!$D$1:$DR$96,$R$2,FALSE)</f>
        <v>0.99498495486459404</v>
      </c>
      <c r="G7" s="6">
        <f>HLOOKUP("ATE-ASSD-IPS-proj",inference!$D$1:$DR$96,$R$2,FALSE)*2*1.96/SQRT(G$3)</f>
        <v>24.754204571330298</v>
      </c>
      <c r="H7" s="5">
        <f t="shared" si="2"/>
        <v>89.305438343197395</v>
      </c>
      <c r="I7" s="5">
        <f t="shared" si="0"/>
        <v>0.90374377087483171</v>
      </c>
      <c r="J7" s="5"/>
      <c r="K7" s="5">
        <f>HLOOKUP("ks-IPS-proj",balance!$D$1:$DR$96,$R$2,FALSE)</f>
        <v>1.97752148645357</v>
      </c>
      <c r="L7" s="5">
        <f>HLOOKUP("cvm-IPS-proj",balance!$D$1:$DR$96,$R$2,FALSE)</f>
        <v>0.39701838444002902</v>
      </c>
      <c r="M7" s="5">
        <f>HLOOKUP("ks-IPS-proj_1",balance!$D$1:$DR$96,$R$2,FALSE)</f>
        <v>1.5623005178458</v>
      </c>
      <c r="N7" s="5">
        <f>HLOOKUP("cvm-IPS-proj_1",balance!$D$1:$DR$96,$R$2,FALSE)</f>
        <v>0.282197513342619</v>
      </c>
      <c r="O7" s="5">
        <f>HLOOKUP("ks-IPS-proj_0",balance!$D$1:$DR$96,$R$2,FALSE)</f>
        <v>0.63372574055332698</v>
      </c>
      <c r="P7" s="5">
        <f>HLOOKUP("cvm-IPS-proj_0",balance!$D$1:$DR$96,$R$2,FALSE)</f>
        <v>2.1861910350754198E-2</v>
      </c>
    </row>
    <row r="8" spans="1:18" x14ac:dyDescent="0.25">
      <c r="B8" s="1" t="s">
        <v>88</v>
      </c>
      <c r="C8" s="5">
        <f>HLOOKUP("ATE-bias-CBPS-just",Point!$D$1:$DR$96,$R$2,FALSE)</f>
        <v>0.77571615007821404</v>
      </c>
      <c r="D8" s="5">
        <f>HLOOKUP("ATE-RMSE-CBPS-just",Point!$D$1:$DR$96,$R$2,FALSE)</f>
        <v>3.2478523475240899</v>
      </c>
      <c r="E8" s="5">
        <f t="shared" si="1"/>
        <v>5.3731075196495399E-2</v>
      </c>
      <c r="F8" s="5">
        <f>HLOOKUP("ATE-Empcov-CBPS-just",inference!$D$1:$DR$96,$R$2,FALSE)</f>
        <v>0.88164493480441297</v>
      </c>
      <c r="G8" s="5">
        <f>HLOOKUP("ATE-ASSD-CBPS-just",inference!$D$1:$DR$96,$R$2,FALSE)*2*1.96/SQRT(G$3)</f>
        <v>9.4217257396049252</v>
      </c>
      <c r="H8" s="5">
        <f t="shared" si="2"/>
        <v>33.990643678339204</v>
      </c>
      <c r="I8" s="5">
        <f t="shared" si="0"/>
        <v>6.2385312106329716</v>
      </c>
      <c r="J8" s="5"/>
      <c r="K8" s="5">
        <f>HLOOKUP("ks-CBPS-Just",balance!$D$1:$DR$96,$R$2,FALSE)</f>
        <v>1.9943988212880499</v>
      </c>
      <c r="L8" s="5">
        <f>HLOOKUP("cvm-CBPS-Just",balance!$D$1:$DR$96,$R$2,FALSE)</f>
        <v>0.417614402850984</v>
      </c>
      <c r="M8" s="5">
        <f>HLOOKUP("ks-CBPS-Just_1",balance!$D$1:$DR$96,$R$2,FALSE)</f>
        <v>1.6498128801949701</v>
      </c>
      <c r="N8" s="5">
        <f>HLOOKUP("cvm-CBPS-Just_1",balance!$D$1:$DR$96,$R$2,FALSE)</f>
        <v>0.329180113495948</v>
      </c>
      <c r="O8" s="5">
        <f>HLOOKUP("ks-CBPS-Just_0",balance!$D$1:$DR$96,$R$2,FALSE)</f>
        <v>0.77808672017757097</v>
      </c>
      <c r="P8" s="5">
        <f>HLOOKUP("cvm-CBPS-Just_0",balance!$D$1:$DR$96,$R$2,FALSE)</f>
        <v>3.2431232280893202E-2</v>
      </c>
    </row>
    <row r="9" spans="1:18" x14ac:dyDescent="0.25">
      <c r="B9" s="1" t="s">
        <v>89</v>
      </c>
      <c r="C9" s="5">
        <f>HLOOKUP("ATE-bias-CBPS-over",Point!$D$1:$DR$96,$R$2,FALSE)</f>
        <v>3.0910755380470301</v>
      </c>
      <c r="D9" s="5">
        <f>HLOOKUP("ATE-RMSE-CBPS-over",Point!$D$1:$DR$96,$R$2,FALSE)</f>
        <v>14.011463884439401</v>
      </c>
      <c r="E9" s="5">
        <f t="shared" si="1"/>
        <v>1</v>
      </c>
      <c r="F9" s="5">
        <f>HLOOKUP("ATE-Empcov-CBPS-over",inference!$D$1:$DR$96,$R$2,FALSE)</f>
        <v>0.98996990972918797</v>
      </c>
      <c r="G9" s="5">
        <f>HLOOKUP("ATE-ASSD-CBPS-over",inference!$D$1:$DR$96,$R$2,FALSE)*2*1.96/SQRT(G$3)</f>
        <v>23.532693268156734</v>
      </c>
      <c r="H9" s="5">
        <f t="shared" si="2"/>
        <v>84.898607089268609</v>
      </c>
      <c r="I9" s="5">
        <f t="shared" si="0"/>
        <v>1</v>
      </c>
      <c r="J9" s="5"/>
      <c r="K9" s="5">
        <f>HLOOKUP("ks-CBPS-over",balance!$D$1:$DR$96,$R$2,FALSE)</f>
        <v>1.9049505410991101</v>
      </c>
      <c r="L9" s="5">
        <f>HLOOKUP("cvm-CBPS-over",balance!$D$1:$DR$96,$R$2,FALSE)</f>
        <v>0.36029661920872902</v>
      </c>
      <c r="M9" s="5">
        <f>HLOOKUP("ks-CBPS-over_1",balance!$D$1:$DR$96,$R$2,FALSE)</f>
        <v>1.4612521703821599</v>
      </c>
      <c r="N9" s="5">
        <f>HLOOKUP("cvm-CBPS-over_1",balance!$D$1:$DR$96,$R$2,FALSE)</f>
        <v>0.23691010963266801</v>
      </c>
      <c r="O9" s="5">
        <f>HLOOKUP("ks-CBPS-over_0",balance!$D$1:$DR$96,$R$2,FALSE)</f>
        <v>0.64734032024383004</v>
      </c>
      <c r="P9" s="5">
        <f>HLOOKUP("cvm-CBPS-over_0",balance!$D$1:$DR$96,$R$2,FALSE)</f>
        <v>3.05335299553912E-2</v>
      </c>
    </row>
    <row r="10" spans="1:18" s="3" customFormat="1" x14ac:dyDescent="0.25">
      <c r="B10" s="3" t="s">
        <v>2</v>
      </c>
      <c r="C10" s="5">
        <f>HLOOKUP("ATE-bias-GLM",Point!$D$1:$DR$96,$R$2,FALSE)</f>
        <v>0.80345299197272302</v>
      </c>
      <c r="D10" s="5">
        <f>HLOOKUP("ATE-RMSE-GLM",Point!$D$1:$DR$96,$R$2,FALSE)</f>
        <v>3.7134748479485502</v>
      </c>
      <c r="E10" s="5">
        <f t="shared" si="1"/>
        <v>7.0241527928097389E-2</v>
      </c>
      <c r="F10" s="5">
        <f>HLOOKUP("ATE-Empcov-GLM",inference!$D$1:$DR$96,$R$2,FALSE)</f>
        <v>0.95687061183550604</v>
      </c>
      <c r="G10" s="5">
        <f>HLOOKUP("ATE-ASSD-GLM",inference!$D$1:$DR$96,$R$2,FALSE)*2*1.96/SQRT(G$3)</f>
        <v>13.252500426644792</v>
      </c>
      <c r="H10" s="5">
        <f>G10/(2*1.96/SQRT(G$3))</f>
        <v>47.810882241623204</v>
      </c>
      <c r="I10" s="5">
        <f t="shared" si="0"/>
        <v>3.1531716594752646</v>
      </c>
      <c r="J10" s="5"/>
      <c r="K10" s="5">
        <f>HLOOKUP("ks-GLM",balance!$D$1:$DR$96,$R$2,FALSE)</f>
        <v>2.1288825704290799</v>
      </c>
      <c r="L10" s="5">
        <f>HLOOKUP("cvm-GLM",balance!$D$1:$DR$96,$R$2,FALSE)</f>
        <v>0.51843113839815202</v>
      </c>
      <c r="M10" s="5">
        <f>HLOOKUP("ks-GLM_1",balance!$D$1:$DR$96,$R$2,FALSE)</f>
        <v>1.7841383858461899</v>
      </c>
      <c r="N10" s="5">
        <f>HLOOKUP("cvm-GLM_1",balance!$D$1:$DR$96,$R$2,FALSE)</f>
        <v>0.41272741674348401</v>
      </c>
      <c r="O10" s="5">
        <f>HLOOKUP("ks-GLM_0",balance!$D$1:$DR$96,$R$2,FALSE)</f>
        <v>0.65789097620003101</v>
      </c>
      <c r="P10" s="5">
        <f>HLOOKUP("cvm-GLM_0",balance!$D$1:$DR$96,$R$2,FALSE)</f>
        <v>2.2468330144325799E-2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0.62734029039273498</v>
      </c>
      <c r="D12" s="5">
        <f>HLOOKUP("QTE-0.10-RMSE-IPS-exp",Point!$D$1:$DR$96,$R$2,FALSE)</f>
        <v>2.7841901267522302</v>
      </c>
      <c r="E12" s="5">
        <f t="shared" ref="E12:E15" si="3">(D12/$D$16)^2</f>
        <v>0.90797260603439855</v>
      </c>
      <c r="F12" s="5">
        <f>HLOOKUP("QTE-0.1-Empcov-IPS-exp",inference!$D$1:$DR$96,$R$2,FALSE)</f>
        <v>0.84353059177532597</v>
      </c>
      <c r="G12" s="5">
        <f>HLOOKUP("QTE-0.1-ASSD-IPS-exp",inference!$D$1:$DR$96,$R$2,FALSE)*2*1.96/SQRT(G$3)</f>
        <v>8.4264238601180779</v>
      </c>
      <c r="H12" s="5">
        <f>G12/(2*1.96/SQRT(G$3))</f>
        <v>30.399905370620498</v>
      </c>
      <c r="I12" s="5">
        <f t="shared" ref="I12:I17" si="4">($H$16/H12)^2</f>
        <v>2.1448933828724015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1.2609266438876701</v>
      </c>
      <c r="D13" s="5">
        <f>HLOOKUP("QTE-0.10-RMSE-IPS-ind",Point!$D$1:$DR$96,$R$2,FALSE)</f>
        <v>2.8741403717019001</v>
      </c>
      <c r="E13" s="5">
        <f t="shared" si="3"/>
        <v>0.96758898977927699</v>
      </c>
      <c r="F13" s="5">
        <f>HLOOKUP("QTE-0.1-Empcov-IPS-ind",inference!$D$1:$DR$96,$R$2,FALSE)</f>
        <v>0.86559679037111303</v>
      </c>
      <c r="G13" s="5">
        <f>HLOOKUP("QTE-0.1-ASSD-IPS-ind",inference!$D$1:$DR$96,$R$2,FALSE)*2*1.96/SQRT(G$3)</f>
        <v>9.1902059709285577</v>
      </c>
      <c r="H13" s="5">
        <f t="shared" ref="H13:H16" si="5">G13/(2*1.96/SQRT(G$3))</f>
        <v>33.1553926660443</v>
      </c>
      <c r="I13" s="5">
        <f t="shared" si="4"/>
        <v>1.8031913751282931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0.30694641452451099</v>
      </c>
      <c r="D14" s="5">
        <f>HLOOKUP("QTE-0.10-RMSE-IPS-proj",Point!$D$1:$DR$96,$R$2,FALSE)</f>
        <v>3.1449034222429799</v>
      </c>
      <c r="E14" s="5">
        <f t="shared" si="3"/>
        <v>1.1584828100509239</v>
      </c>
      <c r="F14" s="6">
        <f>HLOOKUP("QTE-0.1-Empcov-IPS-proj",inference!$D$1:$DR$96,$R$2,FALSE)</f>
        <v>0.84553660982948797</v>
      </c>
      <c r="G14" s="6">
        <f>HLOOKUP("QTE-0.1-ASSD-IPS-proj",inference!$D$1:$DR$96,$R$2,FALSE)*2*1.96/SQRT(G$3)</f>
        <v>8.690789724601661</v>
      </c>
      <c r="H14" s="5">
        <f t="shared" si="5"/>
        <v>31.353654837409199</v>
      </c>
      <c r="I14" s="5">
        <f t="shared" si="4"/>
        <v>2.0163867122150179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0.44752788964470602</v>
      </c>
      <c r="D15" s="5">
        <f>HLOOKUP("QTE-0.10-RMSE-CBPS-just",Point!$D$1:$DR$96,$R$2,FALSE)</f>
        <v>3.6806419953010199</v>
      </c>
      <c r="E15" s="5">
        <f t="shared" si="3"/>
        <v>1.5867997441593933</v>
      </c>
      <c r="F15" s="5">
        <f>HLOOKUP("QTE-0.1-Empcov-CBPS-just",inference!$D$1:$DR$96,$R$2,FALSE)</f>
        <v>0.83350050150451305</v>
      </c>
      <c r="G15" s="5">
        <f>HLOOKUP("QTE-0.1-ASSD-CBPS-just",inference!$D$1:$DR$96,$R$2,FALSE)*2*1.96/SQRT(G$3)</f>
        <v>9.4919309465076562</v>
      </c>
      <c r="H15" s="5">
        <f t="shared" si="5"/>
        <v>34.243922136887804</v>
      </c>
      <c r="I15" s="5">
        <f t="shared" si="4"/>
        <v>1.6903754282881358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1.11653262107772</v>
      </c>
      <c r="D16" s="5">
        <f>HLOOKUP("QTE-0.10-RMSE-CBPS-over",Point!$D$1:$DR$96,$R$2,FALSE)</f>
        <v>2.9218809445650402</v>
      </c>
      <c r="E16" s="5">
        <f>(D16/$D$16)^2</f>
        <v>1</v>
      </c>
      <c r="F16" s="5">
        <f>HLOOKUP("QTE-0.1-Empcov-CBPS-over",inference!$D$1:$DR$96,$R$2,FALSE)</f>
        <v>0.92377131394182499</v>
      </c>
      <c r="G16" s="5">
        <f>HLOOKUP("QTE-0.1-ASSD-CBPS-over",inference!$D$1:$DR$96,$R$2,FALSE)*2*1.96/SQRT(G$3)</f>
        <v>12.340880746421879</v>
      </c>
      <c r="H16" s="5">
        <f t="shared" si="5"/>
        <v>44.522043171476604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25">
      <c r="B17" s="3" t="s">
        <v>2</v>
      </c>
      <c r="C17" s="5">
        <f>HLOOKUP("QTE-0.10-bias-GLM",Point!$D$1:$DR$96,$R$2,FALSE)</f>
        <v>0.47733014588295303</v>
      </c>
      <c r="D17" s="5">
        <f>HLOOKUP("QTE-0.10-RMSE-GLM",Point!$D$1:$DR$96,$R$2,FALSE)</f>
        <v>3.7451457821673699</v>
      </c>
      <c r="E17" s="5">
        <f>(D17/$D$16)^2</f>
        <v>1.6429048922269225</v>
      </c>
      <c r="F17" s="5">
        <f>HLOOKUP("QTE-0.1-Empcov-GLM",inference!$D$1:$DR$96,$R$2,FALSE)</f>
        <v>0.872617853560682</v>
      </c>
      <c r="G17" s="5">
        <f>HLOOKUP("QTE-0.1-ASSD-GLM",inference!$D$1:$DR$96,$R$2,FALSE)*2*1.96/SQRT(G$3)</f>
        <v>11.689062283014202</v>
      </c>
      <c r="H17" s="5">
        <f>G17/(2*1.96/SQRT(G$3))</f>
        <v>42.170485745057398</v>
      </c>
      <c r="I17" s="5">
        <f t="shared" si="4"/>
        <v>1.114635743989443</v>
      </c>
      <c r="J17" s="5"/>
      <c r="K17" s="5"/>
      <c r="L17" s="5"/>
      <c r="M17" s="5"/>
      <c r="N17" s="5"/>
    </row>
    <row r="18" spans="1:17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25">
      <c r="A19" s="2" t="s">
        <v>59</v>
      </c>
      <c r="B19" s="1" t="s">
        <v>3</v>
      </c>
      <c r="C19" s="5">
        <f>HLOOKUP("QTE-0.25-bias-IPS-exp",Point!$D$1:$DR$96,$R$2,FALSE)</f>
        <v>0.21513454607143301</v>
      </c>
      <c r="D19" s="5">
        <f>HLOOKUP("QTE-0.25-RMSE-IPS-exp",Point!$D$1:$DR$96,$R$2,FALSE)</f>
        <v>1.7106705076087001</v>
      </c>
      <c r="E19" s="5">
        <f>(D19/$D$23)^2</f>
        <v>0.62021881164553316</v>
      </c>
      <c r="F19" s="5">
        <f>HLOOKUP("QTE-0.25-Empcov-IPS-exp",inference!$D$1:$DR$96,$R$2,FALSE)</f>
        <v>0.96890672016048096</v>
      </c>
      <c r="G19" s="5">
        <f>HLOOKUP("QTE-0.25-ASSD-IPS-exp",inference!$D$1:$DR$96,$R$2,FALSE)*2*1.96/SQRT(G$3)</f>
        <v>7.5064030408908726</v>
      </c>
      <c r="H19" s="5">
        <f>G19/(2*1.96/SQRT(G$3))</f>
        <v>27.080757614965602</v>
      </c>
      <c r="I19" s="5">
        <f>($H$23/H19)^2</f>
        <v>2.6197699571961266</v>
      </c>
      <c r="J19" s="5"/>
      <c r="K19" s="5"/>
      <c r="L19" s="5"/>
      <c r="M19" s="5"/>
      <c r="N19" s="5"/>
    </row>
    <row r="20" spans="1:17" x14ac:dyDescent="0.25">
      <c r="B20" s="1" t="s">
        <v>5</v>
      </c>
      <c r="C20" s="5">
        <f>HLOOKUP("QTE-0.25-bias-IPS-ind",Point!$D$1:$DR$96,$R$2,FALSE)</f>
        <v>0.87557203197785105</v>
      </c>
      <c r="D20" s="5">
        <f>HLOOKUP("QTE-0.25-RMSE-IPS-ind",Point!$D$1:$DR$96,$R$2,FALSE)</f>
        <v>2.08691478819228</v>
      </c>
      <c r="E20" s="5">
        <f t="shared" ref="E20:E24" si="6">(D20/$D$23)^2</f>
        <v>0.92304235877728225</v>
      </c>
      <c r="F20" s="5">
        <f>HLOOKUP("QTE-0.25-Empcov-IPS-ind",inference!$D$1:$DR$96,$R$2,FALSE)</f>
        <v>0.96690070210631895</v>
      </c>
      <c r="G20" s="5">
        <f>HLOOKUP("QTE-0.25-ASSD-IPS-ind",inference!$D$1:$DR$96,$R$2,FALSE)*2*1.96/SQRT(G$3)</f>
        <v>9.2927407216585696</v>
      </c>
      <c r="H20" s="5">
        <f t="shared" ref="H20:H23" si="7">G20/(2*1.96/SQRT(G$3))</f>
        <v>33.525306020883399</v>
      </c>
      <c r="I20" s="5">
        <f t="shared" ref="I20:I24" si="8">($H$23/H20)^2</f>
        <v>1.7093825884535763</v>
      </c>
      <c r="J20" s="5"/>
      <c r="K20" s="5"/>
      <c r="L20" s="5"/>
      <c r="M20" s="5"/>
      <c r="N20" s="5"/>
    </row>
    <row r="21" spans="1:17" x14ac:dyDescent="0.25">
      <c r="B21" s="1" t="s">
        <v>4</v>
      </c>
      <c r="C21" s="5">
        <f>HLOOKUP("QTE-0.25-bias-IPS-proj",Point!$D$1:$DR$96,$R$2,FALSE)</f>
        <v>0.22348567789648399</v>
      </c>
      <c r="D21" s="5">
        <f>HLOOKUP("QTE-0.25-RMSE-IPS-proj",Point!$D$1:$DR$96,$R$2,FALSE)</f>
        <v>1.86381513120415</v>
      </c>
      <c r="E21" s="5">
        <f t="shared" si="6"/>
        <v>0.73623738202587574</v>
      </c>
      <c r="F21" s="6">
        <f>HLOOKUP("QTE-0.25-Empcov-IPS-proj",inference!$D$1:$DR$96,$R$2,FALSE)</f>
        <v>0.94884653961885701</v>
      </c>
      <c r="G21" s="6">
        <f>HLOOKUP("QTE-0.25-ASSD-IPS-proj",inference!$D$1:$DR$96,$R$2,FALSE)*2*1.96/SQRT(G$3)</f>
        <v>7.5304250499962997</v>
      </c>
      <c r="H21" s="5">
        <f t="shared" si="7"/>
        <v>27.167421520762399</v>
      </c>
      <c r="I21" s="5">
        <f t="shared" si="8"/>
        <v>2.6030825163718525</v>
      </c>
      <c r="J21" s="5"/>
      <c r="K21" s="5"/>
      <c r="L21" s="5"/>
      <c r="M21" s="5"/>
      <c r="N21" s="5"/>
    </row>
    <row r="22" spans="1:17" x14ac:dyDescent="0.25">
      <c r="B22" s="1" t="s">
        <v>88</v>
      </c>
      <c r="C22" s="5">
        <f>HLOOKUP("QTE-0.25-bias-CBPS-just",Point!$D$1:$DR$96,$R$2,FALSE)</f>
        <v>0.28855951828913901</v>
      </c>
      <c r="D22" s="5">
        <f>HLOOKUP("QTE-0.25-RMSE-CBPS-just",Point!$D$1:$DR$96,$R$2,FALSE)</f>
        <v>2.09935266623499</v>
      </c>
      <c r="E22" s="5">
        <f t="shared" si="6"/>
        <v>0.93407769230802928</v>
      </c>
      <c r="F22" s="5">
        <f>HLOOKUP("QTE-0.25-Empcov-CBPS-just",inference!$D$1:$DR$96,$R$2,FALSE)</f>
        <v>0.93179538615847501</v>
      </c>
      <c r="G22" s="5">
        <f>HLOOKUP("QTE-0.25-ASSD-CBPS-just",inference!$D$1:$DR$96,$R$2,FALSE)*2*1.96/SQRT(G$3)</f>
        <v>8.2220603628703017</v>
      </c>
      <c r="H22" s="5">
        <f t="shared" si="7"/>
        <v>29.662625703626105</v>
      </c>
      <c r="I22" s="5">
        <f t="shared" si="8"/>
        <v>2.1835623341882613</v>
      </c>
      <c r="J22" s="5"/>
      <c r="K22" s="5"/>
      <c r="L22" s="5"/>
      <c r="M22" s="5"/>
      <c r="N22" s="5"/>
    </row>
    <row r="23" spans="1:17" x14ac:dyDescent="0.25">
      <c r="B23" s="1" t="s">
        <v>89</v>
      </c>
      <c r="C23" s="5">
        <f>HLOOKUP("QTE-0.25-bias-CBPS-over",Point!$D$1:$DR$96,$R$2,FALSE)</f>
        <v>0.92471616859258898</v>
      </c>
      <c r="D23" s="5">
        <f>HLOOKUP("QTE-0.25-RMSE-CBPS-over",Point!$D$1:$DR$96,$R$2,FALSE)</f>
        <v>2.1721704476518799</v>
      </c>
      <c r="E23" s="5">
        <f>(D23/$D$23)^2</f>
        <v>1</v>
      </c>
      <c r="F23" s="5">
        <f>HLOOKUP("QTE-0.25-Empcov-CBPS-over",inference!$D$1:$DR$96,$R$2,FALSE)</f>
        <v>0.982948846539619</v>
      </c>
      <c r="G23" s="5">
        <f>HLOOKUP("QTE-0.25-ASSD-CBPS-over",inference!$D$1:$DR$96,$R$2,FALSE)*2*1.96/SQRT(G$3)</f>
        <v>12.149641349128922</v>
      </c>
      <c r="H23" s="5">
        <f t="shared" si="7"/>
        <v>43.832111157926207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25">
      <c r="B24" s="3" t="s">
        <v>2</v>
      </c>
      <c r="C24" s="5">
        <f>HLOOKUP("QTE-0.25-bias-GLM",Point!$D$1:$DR$96,$R$2,FALSE)</f>
        <v>0.21236124417129101</v>
      </c>
      <c r="D24" s="5">
        <f>HLOOKUP("QTE-0.25-RMSE-GLM",Point!$D$1:$DR$96,$R$2,FALSE)</f>
        <v>2.5643456566094698</v>
      </c>
      <c r="E24" s="5">
        <f t="shared" si="6"/>
        <v>1.3936872529997109</v>
      </c>
      <c r="F24" s="5">
        <f>HLOOKUP("QTE-0.25-Empcov-GLM",inference!$D$1:$DR$96,$R$2,FALSE)</f>
        <v>0.95285857572718202</v>
      </c>
      <c r="G24" s="5">
        <f>HLOOKUP("QTE-0.25-ASSD-GLM",inference!$D$1:$DR$96,$R$2,FALSE)*2*1.96/SQRT(G$3)</f>
        <v>10.464190768557609</v>
      </c>
      <c r="H24" s="5">
        <f>G24/(2*1.96/SQRT(G$3))</f>
        <v>37.751531898350798</v>
      </c>
      <c r="I24" s="5">
        <f t="shared" si="8"/>
        <v>1.3480798552614803</v>
      </c>
      <c r="J24" s="5"/>
      <c r="K24" s="5"/>
      <c r="L24" s="5"/>
      <c r="M24" s="5"/>
      <c r="N24" s="5"/>
    </row>
    <row r="25" spans="1:17" s="4" customFormat="1" x14ac:dyDescent="0.25"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7" x14ac:dyDescent="0.25">
      <c r="A26" s="2" t="s">
        <v>60</v>
      </c>
      <c r="B26" s="1" t="s">
        <v>3</v>
      </c>
      <c r="C26" s="5">
        <f>HLOOKUP("QTE-0.5-bias-IPS-exp",Point!$D$1:$DR$96,$R$2,FALSE)</f>
        <v>-2.4557657246935701E-2</v>
      </c>
      <c r="D26" s="5">
        <f>HLOOKUP("QTE-0.5-RMSE-IPS-exp",Point!$D$1:$DR$96,$R$2,FALSE)</f>
        <v>2.09348519049896</v>
      </c>
      <c r="E26" s="5">
        <f>(D26/$D$30)^2</f>
        <v>0.53026795685557171</v>
      </c>
      <c r="F26" s="5">
        <f>HLOOKUP("QTE-0.5-Empcov-IPS-exp",inference!$D$1:$DR$96,$R$2,FALSE)</f>
        <v>0.92778335005015</v>
      </c>
      <c r="G26" s="5">
        <f>HLOOKUP("QTE-0.5-ASSD-IPS-exp",inference!$D$1:$DR$96,$R$2,FALSE)*2*1.96/SQRT(G$3)</f>
        <v>7.9609555627722601</v>
      </c>
      <c r="H26" s="5">
        <f>G26/(2*1.96/SQRT(G$3))</f>
        <v>28.720641138576703</v>
      </c>
      <c r="I26" s="5">
        <f>($H$30/H26)^2</f>
        <v>3.2176429114980571</v>
      </c>
      <c r="J26" s="5"/>
      <c r="K26"/>
      <c r="L26"/>
      <c r="M26"/>
      <c r="N26"/>
      <c r="O26"/>
      <c r="P26"/>
      <c r="Q26"/>
    </row>
    <row r="27" spans="1:17" x14ac:dyDescent="0.25">
      <c r="B27" s="1" t="s">
        <v>5</v>
      </c>
      <c r="C27" s="5">
        <f>HLOOKUP("QTE-0.5-bias-IPS-ind",Point!$D$1:$DR$96,$R$2,FALSE)</f>
        <v>0.71588120852619197</v>
      </c>
      <c r="D27" s="5">
        <f>HLOOKUP("QTE-0.5-RMSE-IPS-ind",Point!$D$1:$DR$96,$R$2,FALSE)</f>
        <v>3.0174200114231899</v>
      </c>
      <c r="E27" s="5">
        <f t="shared" ref="E27:E31" si="9">(D27/$D$30)^2</f>
        <v>1.101608125803899</v>
      </c>
      <c r="F27" s="5">
        <f>HLOOKUP("QTE-0.5-Empcov-IPS-ind",inference!$D$1:$DR$96,$R$2,FALSE)</f>
        <v>0.97693079237713099</v>
      </c>
      <c r="G27" s="5">
        <f>HLOOKUP("QTE-0.5-ASSD-IPS-ind",inference!$D$1:$DR$96,$R$2,FALSE)*2*1.96/SQRT(G$3)</f>
        <v>13.413468617418699</v>
      </c>
      <c r="H27" s="5">
        <f t="shared" ref="H27:H30" si="10">G27/(2*1.96/SQRT(G$3))</f>
        <v>48.391605196988301</v>
      </c>
      <c r="I27" s="5">
        <f t="shared" ref="I27:I31" si="11">($H$30/H27)^2</f>
        <v>1.1334074151913516</v>
      </c>
      <c r="J27" s="5"/>
      <c r="K27" s="5"/>
      <c r="L27" s="5"/>
      <c r="M27" s="5"/>
      <c r="N27" s="5"/>
    </row>
    <row r="28" spans="1:17" x14ac:dyDescent="0.25">
      <c r="B28" s="1" t="s">
        <v>4</v>
      </c>
      <c r="C28" s="5">
        <f>HLOOKUP("QTE-0.5-bias-IPS-proj",Point!$D$1:$DR$96,$R$2,FALSE)</f>
        <v>-1.6571394274151899E-2</v>
      </c>
      <c r="D28" s="5">
        <f>HLOOKUP("QTE-0.5-RMSE-IPS-proj",Point!$D$1:$DR$96,$R$2,FALSE)</f>
        <v>2.3198708514255899</v>
      </c>
      <c r="E28" s="5">
        <f t="shared" si="9"/>
        <v>0.65115325302137694</v>
      </c>
      <c r="F28" s="6">
        <f>HLOOKUP("QTE-0.5-Empcov-IPS-proj",inference!$D$1:$DR$96,$R$2,FALSE)</f>
        <v>0.91574724172517596</v>
      </c>
      <c r="G28" s="6">
        <f>HLOOKUP("QTE-0.5-ASSD-IPS-proj",inference!$D$1:$DR$96,$R$2,FALSE)*2*1.96/SQRT(G$3)</f>
        <v>8.4189096011735973</v>
      </c>
      <c r="H28" s="5">
        <f t="shared" si="10"/>
        <v>30.3727962713591</v>
      </c>
      <c r="I28" s="5">
        <f t="shared" si="11"/>
        <v>2.8771105671966324</v>
      </c>
      <c r="J28" s="5"/>
      <c r="K28" s="5"/>
      <c r="L28" s="5"/>
      <c r="M28" s="5"/>
      <c r="N28" s="5"/>
    </row>
    <row r="29" spans="1:17" x14ac:dyDescent="0.25">
      <c r="B29" s="1" t="s">
        <v>88</v>
      </c>
      <c r="C29" s="5">
        <f>HLOOKUP("QTE-0.5-bias-CBPS-just",Point!$D$1:$DR$96,$R$2,FALSE)</f>
        <v>0.15154050475033701</v>
      </c>
      <c r="D29" s="5">
        <f>HLOOKUP("QTE-0.5-RMSE-CBPS-just",Point!$D$1:$DR$96,$R$2,FALSE)</f>
        <v>2.5125641512149399</v>
      </c>
      <c r="E29" s="5">
        <f t="shared" si="9"/>
        <v>0.76381804873242543</v>
      </c>
      <c r="F29" s="5">
        <f>HLOOKUP("QTE-0.5-Empcov-CBPS-just",inference!$D$1:$DR$96,$R$2,FALSE)</f>
        <v>0.87462387161484501</v>
      </c>
      <c r="G29" s="5">
        <f>HLOOKUP("QTE-0.5-ASSD-CBPS-just",inference!$D$1:$DR$96,$R$2,FALSE)*2*1.96/SQRT(G$3)</f>
        <v>7.9420499849862578</v>
      </c>
      <c r="H29" s="5">
        <f t="shared" si="10"/>
        <v>28.652435718909704</v>
      </c>
      <c r="I29" s="5">
        <f t="shared" si="11"/>
        <v>3.2329799595472442</v>
      </c>
      <c r="J29" s="5"/>
      <c r="K29" s="5"/>
      <c r="L29" s="5"/>
      <c r="M29" s="5"/>
      <c r="N29" s="5"/>
    </row>
    <row r="30" spans="1:17" x14ac:dyDescent="0.25">
      <c r="B30" s="1" t="s">
        <v>89</v>
      </c>
      <c r="C30" s="5">
        <f>HLOOKUP("QTE-0.5-bias-CBPS-over",Point!$D$1:$DR$96,$R$2,FALSE)</f>
        <v>1.23644929456599</v>
      </c>
      <c r="D30" s="5">
        <f>HLOOKUP("QTE-0.5-RMSE-CBPS-over",Point!$D$1:$DR$96,$R$2,FALSE)</f>
        <v>2.8748964120975802</v>
      </c>
      <c r="E30" s="5">
        <f t="shared" si="9"/>
        <v>1</v>
      </c>
      <c r="F30" s="5">
        <f>HLOOKUP("QTE-0.5-Empcov-CBPS-over",inference!$D$1:$DR$96,$R$2,FALSE)</f>
        <v>0.98595787362086296</v>
      </c>
      <c r="G30" s="5">
        <f>HLOOKUP("QTE-0.5-ASSD-CBPS-over",inference!$D$1:$DR$96,$R$2,FALSE)*2*1.96/SQRT(G$3)</f>
        <v>14.28019448827339</v>
      </c>
      <c r="H30" s="5">
        <f t="shared" si="10"/>
        <v>51.518481425106508</v>
      </c>
      <c r="I30" s="5">
        <f t="shared" si="11"/>
        <v>1</v>
      </c>
      <c r="J30" s="5"/>
      <c r="K30" s="5"/>
      <c r="L30" s="5"/>
      <c r="M30" s="5"/>
      <c r="N30" s="5"/>
    </row>
    <row r="31" spans="1:17" s="3" customFormat="1" x14ac:dyDescent="0.25">
      <c r="B31" s="3" t="s">
        <v>2</v>
      </c>
      <c r="C31" s="5">
        <f>HLOOKUP("QTE-0.5-bias-GLM",Point!$D$1:$DR$96,$R$2,FALSE)</f>
        <v>0.25415349687925598</v>
      </c>
      <c r="D31" s="5">
        <f>HLOOKUP("QTE-0.5-RMSE-GLM",Point!$D$1:$DR$96,$R$2,FALSE)</f>
        <v>3.1631123769855001</v>
      </c>
      <c r="E31" s="5">
        <f t="shared" si="9"/>
        <v>1.2105558793652993</v>
      </c>
      <c r="F31" s="5">
        <f>HLOOKUP("QTE-0.5-Empcov-GLM",inference!$D$1:$DR$96,$R$2,FALSE)</f>
        <v>0.93380140421263802</v>
      </c>
      <c r="G31" s="5">
        <f>HLOOKUP("QTE-0.5-ASSD-GLM",inference!$D$1:$DR$96,$R$2,FALSE)*2*1.96/SQRT(G$3)</f>
        <v>11.004711846758831</v>
      </c>
      <c r="H31" s="5">
        <f>G31/(2*1.96/SQRT(G$3))</f>
        <v>39.701563121668904</v>
      </c>
      <c r="I31" s="5">
        <f t="shared" si="11"/>
        <v>1.6838790518769455</v>
      </c>
      <c r="J31" s="5"/>
      <c r="K31" s="5"/>
      <c r="L31" s="5"/>
      <c r="M31" s="5"/>
      <c r="N31" s="5"/>
    </row>
    <row r="32" spans="1:17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-0.30300135276601903</v>
      </c>
      <c r="D33" s="5">
        <f>HLOOKUP("QTE-0.75-RMSE-IPS-exp",Point!$D$1:$DR$96,$R$2,FALSE)</f>
        <v>5.3474012308059597</v>
      </c>
      <c r="E33" s="5">
        <f>(D33/$D$37)^2</f>
        <v>8.4223265254897831E-2</v>
      </c>
      <c r="F33" s="5">
        <f>HLOOKUP("QTE-0.75-Empcov-IPS-exp",inference!$D$1:$DR$96,$R$2,FALSE)</f>
        <v>0.925777331995988</v>
      </c>
      <c r="G33" s="5">
        <f>HLOOKUP("QTE-0.75-ASSD-IPS-exp",inference!$D$1:$DR$96,$R$2,FALSE)*2*1.96/SQRT(G$3)</f>
        <v>21.143902574410902</v>
      </c>
      <c r="H33" s="5">
        <f>G33/(2*1.96/SQRT(G$3))</f>
        <v>76.280596383232904</v>
      </c>
      <c r="I33" s="5">
        <f>($H$37/H33)^2</f>
        <v>2.6484169571818277</v>
      </c>
      <c r="J33" s="5"/>
    </row>
    <row r="34" spans="1:10" x14ac:dyDescent="0.25">
      <c r="B34" s="1" t="s">
        <v>5</v>
      </c>
      <c r="C34" s="5">
        <f>HLOOKUP("QTE-0.75-bias-IPS-ind",Point!$D$1:$DR$96,$R$2,FALSE)</f>
        <v>0.28583322282632501</v>
      </c>
      <c r="D34" s="5">
        <f>HLOOKUP("QTE-0.75-RMSE-IPS-ind",Point!$D$1:$DR$96,$R$2,FALSE)</f>
        <v>10.6603473894925</v>
      </c>
      <c r="E34" s="5">
        <f t="shared" ref="E34:E38" si="12">(D34/$D$37)^2</f>
        <v>0.33472584442346437</v>
      </c>
      <c r="F34" s="5">
        <f>HLOOKUP("QTE-0.75-Empcov-IPS-ind",inference!$D$1:$DR$96,$R$2,FALSE)</f>
        <v>0.93279839518555696</v>
      </c>
      <c r="G34" s="5">
        <f>HLOOKUP("QTE-0.75-ASSD-IPS-ind",inference!$D$1:$DR$96,$R$2,FALSE)*2*1.96/SQRT(G$3)</f>
        <v>42.150905593646634</v>
      </c>
      <c r="H34" s="5">
        <f t="shared" ref="H34:H37" si="13">G34/(2*1.96/SQRT(G$3))</f>
        <v>152.06730193072201</v>
      </c>
      <c r="I34" s="5">
        <f t="shared" ref="I34:I38" si="14">($H$37/H34)^2</f>
        <v>0.66641204572205381</v>
      </c>
      <c r="J34" s="5"/>
    </row>
    <row r="35" spans="1:10" x14ac:dyDescent="0.25">
      <c r="B35" s="1" t="s">
        <v>4</v>
      </c>
      <c r="C35" s="5">
        <f>HLOOKUP("QTE-0.75-bias-IPS-proj",Point!$D$1:$DR$96,$R$2,FALSE)</f>
        <v>-0.84787345145737103</v>
      </c>
      <c r="D35" s="5">
        <f>HLOOKUP("QTE-0.75-RMSE-IPS-proj",Point!$D$1:$DR$96,$R$2,FALSE)</f>
        <v>5.5112163534728502</v>
      </c>
      <c r="E35" s="5">
        <f t="shared" si="12"/>
        <v>8.9462586903224811E-2</v>
      </c>
      <c r="F35" s="6">
        <f>HLOOKUP("QTE-0.75-Empcov-IPS-proj",inference!$D$1:$DR$96,$R$2,FALSE)</f>
        <v>0.92377131394182499</v>
      </c>
      <c r="G35" s="6">
        <f>HLOOKUP("QTE-0.75-ASSD-IPS-proj",inference!$D$1:$DR$96,$R$2,FALSE)*2*1.96/SQRT(G$3)</f>
        <v>22.147486522596711</v>
      </c>
      <c r="H35" s="5">
        <f t="shared" si="13"/>
        <v>79.901213807988796</v>
      </c>
      <c r="I35" s="5">
        <f t="shared" si="14"/>
        <v>2.4138360316564689</v>
      </c>
      <c r="J35" s="5"/>
    </row>
    <row r="36" spans="1:10" x14ac:dyDescent="0.25">
      <c r="B36" s="1" t="s">
        <v>88</v>
      </c>
      <c r="C36" s="5">
        <f>HLOOKUP("QTE-0.75-bias-CBPS-just",Point!$D$1:$DR$96,$R$2,FALSE)</f>
        <v>0.10882820783729701</v>
      </c>
      <c r="D36" s="5">
        <f>HLOOKUP("QTE-0.75-RMSE-CBPS-just",Point!$D$1:$DR$96,$R$2,FALSE)</f>
        <v>5.9689816311477504</v>
      </c>
      <c r="E36" s="5">
        <f t="shared" si="12"/>
        <v>0.10494143921941354</v>
      </c>
      <c r="F36" s="5">
        <f>HLOOKUP("QTE-0.75-Empcov-CBPS-just",inference!$D$1:$DR$96,$R$2,FALSE)</f>
        <v>0.81845536609829495</v>
      </c>
      <c r="G36" s="5">
        <f>HLOOKUP("QTE-0.75-ASSD-CBPS-just",inference!$D$1:$DR$96,$R$2,FALSE)*2*1.96/SQRT(G$3)</f>
        <v>16.642315445978134</v>
      </c>
      <c r="H36" s="5">
        <f t="shared" si="13"/>
        <v>60.040276053554912</v>
      </c>
      <c r="I36" s="5">
        <f t="shared" si="14"/>
        <v>4.2749314867813171</v>
      </c>
      <c r="J36" s="5"/>
    </row>
    <row r="37" spans="1:10" x14ac:dyDescent="0.25">
      <c r="B37" s="1" t="s">
        <v>89</v>
      </c>
      <c r="C37" s="5">
        <f>HLOOKUP("QTE-0.75-bias-CBPS-over",Point!$D$1:$DR$96,$R$2,FALSE)</f>
        <v>3.6851130525287799</v>
      </c>
      <c r="D37" s="5">
        <f>HLOOKUP("QTE-0.75-RMSE-CBPS-over",Point!$D$1:$DR$96,$R$2,FALSE)</f>
        <v>18.425816186539301</v>
      </c>
      <c r="E37" s="5">
        <f t="shared" si="12"/>
        <v>1</v>
      </c>
      <c r="F37" s="5">
        <f>HLOOKUP("QTE-0.75-Empcov-CBPS-over",inference!$D$1:$DR$96,$R$2,FALSE)</f>
        <v>0.97191574724172503</v>
      </c>
      <c r="G37" s="5">
        <f>HLOOKUP("QTE-0.75-ASSD-CBPS-over",inference!$D$1:$DR$96,$R$2,FALSE)*2*1.96/SQRT(G$3)</f>
        <v>34.409497383311752</v>
      </c>
      <c r="H37" s="5">
        <f t="shared" si="13"/>
        <v>124.13871906612503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-0.104627728192442</v>
      </c>
      <c r="D38" s="5">
        <f>HLOOKUP("QTE-0.75-RMSE-GLM",Point!$D$1:$DR$96,$R$2,FALSE)</f>
        <v>6.6746418090103603</v>
      </c>
      <c r="E38" s="5">
        <f t="shared" si="12"/>
        <v>0.1312207332427496</v>
      </c>
      <c r="F38" s="5">
        <f>HLOOKUP("QTE-0.75-Empcov-GLM",inference!$D$1:$DR$96,$R$2,FALSE)</f>
        <v>0.87362086258776295</v>
      </c>
      <c r="G38" s="5">
        <f>HLOOKUP("QTE-0.75-ASSD-GLM",inference!$D$1:$DR$96,$R$2,FALSE)*2*1.96/SQRT(G$3)</f>
        <v>20.882905100098704</v>
      </c>
      <c r="H38" s="5">
        <f>G38/(2*1.96/SQRT(G$3))</f>
        <v>75.338999016096594</v>
      </c>
      <c r="I38" s="5">
        <f t="shared" si="14"/>
        <v>2.7150312217175774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0.88941770797046604</v>
      </c>
      <c r="D40" s="5">
        <f>HLOOKUP("QTE-0.9-RMSE-IPS-exp",Point!$D$1:$DR$96,$R$2,FALSE)</f>
        <v>11.587618148630099</v>
      </c>
      <c r="E40" s="5">
        <f t="shared" ref="E40:E44" si="15">(D40/$D$44)^2</f>
        <v>5.7635402326636172E-2</v>
      </c>
      <c r="F40" s="5">
        <f>HLOOKUP("QTE-0.9-Empcov-IPS-exp",inference!$D$1:$DR$96,$R$2,FALSE)</f>
        <v>0.91975927783350098</v>
      </c>
      <c r="G40" s="5">
        <f>HLOOKUP("QTE-0.9-ASSD-IPS-exp",inference!$D$1:$DR$96,$R$2,FALSE)*2*1.96/SQRT(G$3)</f>
        <v>49.667260176196244</v>
      </c>
      <c r="H40" s="5">
        <f>G40/(2*1.96/SQRT(G$3))</f>
        <v>179.18396159971903</v>
      </c>
      <c r="I40" s="5">
        <f t="shared" ref="I40:I45" si="16">($H$44/H40)^2</f>
        <v>1.4918825313257074</v>
      </c>
      <c r="J40" s="5"/>
    </row>
    <row r="41" spans="1:10" x14ac:dyDescent="0.25">
      <c r="B41" s="1" t="s">
        <v>5</v>
      </c>
      <c r="C41" s="5">
        <f>HLOOKUP("QTE-0.9-bias-IPS-ind",Point!$D$1:$DR$96,$R$2,FALSE)</f>
        <v>-0.63532853887123497</v>
      </c>
      <c r="D41" s="5">
        <f>HLOOKUP("QTE-0.9-RMSE-IPS-ind",Point!$D$1:$DR$96,$R$2,FALSE)</f>
        <v>22.495426516154399</v>
      </c>
      <c r="E41" s="5">
        <f t="shared" si="15"/>
        <v>0.2172148147739747</v>
      </c>
      <c r="F41" s="5">
        <f>HLOOKUP("QTE-0.9-Empcov-IPS-ind",inference!$D$1:$DR$96,$R$2,FALSE)</f>
        <v>0.91975927783350098</v>
      </c>
      <c r="G41" s="5">
        <f>HLOOKUP("QTE-0.9-ASSD-IPS-ind",inference!$D$1:$DR$96,$R$2,FALSE)*2*1.96/SQRT(G$3)</f>
        <v>84.278630305744741</v>
      </c>
      <c r="H41" s="5">
        <f t="shared" ref="H41:H44" si="17">G41/(2*1.96/SQRT(G$3))</f>
        <v>304.05097448115401</v>
      </c>
      <c r="I41" s="5">
        <f t="shared" si="16"/>
        <v>0.51813162134771718</v>
      </c>
      <c r="J41" s="5"/>
    </row>
    <row r="42" spans="1:10" x14ac:dyDescent="0.25">
      <c r="B42" s="1" t="s">
        <v>4</v>
      </c>
      <c r="C42" s="5">
        <f>HLOOKUP("QTE-0.9-bias-IPS-proj",Point!$D$1:$DR$96,$R$2,FALSE)</f>
        <v>-1.1460540997611699</v>
      </c>
      <c r="D42" s="5">
        <f>HLOOKUP("QTE-0.9-RMSE-IPS-proj",Point!$D$1:$DR$96,$R$2,FALSE)</f>
        <v>11.464651659698999</v>
      </c>
      <c r="E42" s="5">
        <f t="shared" si="15"/>
        <v>5.6418652073332187E-2</v>
      </c>
      <c r="F42" s="6">
        <f>HLOOKUP("QTE-0.9-Empcov-IPS-proj",inference!$D$1:$DR$96,$R$2,FALSE)</f>
        <v>0.96088264794383105</v>
      </c>
      <c r="G42" s="6">
        <f>HLOOKUP("QTE-0.9-ASSD-IPS-proj",inference!$D$1:$DR$96,$R$2,FALSE)*2*1.96/SQRT(G$3)</f>
        <v>60.766838472692591</v>
      </c>
      <c r="H42" s="5">
        <f t="shared" si="17"/>
        <v>219.22777324137002</v>
      </c>
      <c r="I42" s="5">
        <f t="shared" si="16"/>
        <v>0.99664789071739202</v>
      </c>
      <c r="J42" s="5"/>
    </row>
    <row r="43" spans="1:10" x14ac:dyDescent="0.25">
      <c r="B43" s="1" t="s">
        <v>88</v>
      </c>
      <c r="C43" s="5">
        <f>HLOOKUP("QTE-0.9-bias-CBPS-just",Point!$D$1:$DR$96,$R$2,FALSE)</f>
        <v>0.965775467097718</v>
      </c>
      <c r="D43" s="5">
        <f>HLOOKUP("QTE-0.9-RMSE-CBPS-just",Point!$D$1:$DR$96,$R$2,FALSE)</f>
        <v>13.251846757449901</v>
      </c>
      <c r="E43" s="5">
        <f t="shared" si="15"/>
        <v>7.5379593096758735E-2</v>
      </c>
      <c r="F43" s="5">
        <f>HLOOKUP("QTE-0.9-Empcov-CBPS-just",inference!$D$1:$DR$96,$R$2,FALSE)</f>
        <v>0.83049147442326998</v>
      </c>
      <c r="G43" s="5">
        <f>HLOOKUP("QTE-0.9-ASSD-CBPS-just",inference!$D$1:$DR$96,$R$2,FALSE)*2*1.96/SQRT(G$3)</f>
        <v>39.972901790641288</v>
      </c>
      <c r="H43" s="5">
        <f t="shared" si="17"/>
        <v>144.209744489114</v>
      </c>
      <c r="I43" s="5">
        <f t="shared" si="16"/>
        <v>2.3032638030437029</v>
      </c>
      <c r="J43" s="5"/>
    </row>
    <row r="44" spans="1:10" x14ac:dyDescent="0.25">
      <c r="B44" s="1" t="s">
        <v>89</v>
      </c>
      <c r="C44" s="5">
        <f>HLOOKUP("QTE-0.9-bias-CBPS-over",Point!$D$1:$DR$96,$R$2,FALSE)</f>
        <v>6.5168106816947402</v>
      </c>
      <c r="D44" s="5">
        <f>HLOOKUP("QTE-0.9-RMSE-CBPS-over",Point!$D$1:$DR$96,$R$2,FALSE)</f>
        <v>48.266911569912601</v>
      </c>
      <c r="E44" s="5">
        <f t="shared" si="15"/>
        <v>1</v>
      </c>
      <c r="F44" s="5">
        <f>HLOOKUP("QTE-0.9-Empcov-CBPS-over",inference!$D$1:$DR$96,$R$2,FALSE)</f>
        <v>0.93179538615847501</v>
      </c>
      <c r="G44" s="5">
        <f>HLOOKUP("QTE-0.9-ASSD-CBPS-over",inference!$D$1:$DR$96,$R$2,FALSE)*2*1.96/SQRT(G$3)</f>
        <v>60.664904435817789</v>
      </c>
      <c r="H44" s="5">
        <f t="shared" si="17"/>
        <v>218.86002707449302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0.68500423796532495</v>
      </c>
      <c r="D45" s="5">
        <f>HLOOKUP("QTE-0.9-RMSE-GLM",Point!$D$1:$DR$96,$R$2,FALSE)</f>
        <v>12.2368226187687</v>
      </c>
      <c r="E45" s="5">
        <f t="shared" ref="E45" si="18">(D45/$D$44)^2</f>
        <v>6.4274440950973052E-2</v>
      </c>
      <c r="F45" s="5">
        <f>HLOOKUP("QTE-0.9-Empcov-GLM",inference!$D$1:$DR$96,$R$2,FALSE)</f>
        <v>0.87963891675025097</v>
      </c>
      <c r="G45" s="5">
        <f>HLOOKUP("QTE-0.9-ASSD-GLM",inference!$D$1:$DR$96,$R$2,FALSE)*2*1.96/SQRT(G$3)</f>
        <v>42.472571368093035</v>
      </c>
      <c r="H45" s="5">
        <f>G45/(2*1.96/SQRT(G$3))</f>
        <v>153.227771575552</v>
      </c>
      <c r="I45" s="5">
        <f t="shared" si="16"/>
        <v>2.0401303939839512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H114" s="7"/>
      <c r="I114" s="7"/>
      <c r="J114" s="7"/>
    </row>
    <row r="115" spans="8:10" x14ac:dyDescent="0.25">
      <c r="H115" s="7"/>
      <c r="I115" s="7"/>
      <c r="J115" s="7"/>
    </row>
    <row r="116" spans="8:10" x14ac:dyDescent="0.25">
      <c r="H116" s="7"/>
      <c r="I116" s="7"/>
      <c r="J116" s="7"/>
    </row>
    <row r="117" spans="8:10" x14ac:dyDescent="0.25">
      <c r="H117" s="7"/>
      <c r="I117" s="7"/>
      <c r="J117" s="7"/>
    </row>
    <row r="118" spans="8:10" x14ac:dyDescent="0.25">
      <c r="H118" s="7"/>
      <c r="I118" s="7"/>
      <c r="J118" s="7"/>
    </row>
    <row r="119" spans="8:10" x14ac:dyDescent="0.25">
      <c r="H119" s="7"/>
      <c r="I119" s="7"/>
      <c r="J119" s="7"/>
    </row>
    <row r="120" spans="8:10" x14ac:dyDescent="0.25">
      <c r="H120" s="7"/>
      <c r="I120" s="7"/>
      <c r="J120" s="7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0"/>
  <sheetViews>
    <sheetView workbookViewId="0">
      <selection activeCell="O9" sqref="O9"/>
    </sheetView>
  </sheetViews>
  <sheetFormatPr defaultColWidth="9.28515625" defaultRowHeight="15" x14ac:dyDescent="0.25"/>
  <cols>
    <col min="1" max="1" width="8" style="1" bestFit="1" customWidth="1"/>
    <col min="2" max="2" width="11.140625" style="1" bestFit="1" customWidth="1"/>
    <col min="3" max="3" width="6.85546875" style="1" bestFit="1" customWidth="1"/>
    <col min="4" max="4" width="6.140625" style="1" bestFit="1" customWidth="1"/>
    <col min="5" max="5" width="7.5703125" style="1" bestFit="1" customWidth="1"/>
    <col min="6" max="6" width="8" style="1" bestFit="1" customWidth="1"/>
    <col min="7" max="7" width="7.7109375" style="1" bestFit="1" customWidth="1"/>
    <col min="8" max="8" width="10.42578125" style="1" bestFit="1" customWidth="1"/>
    <col min="9" max="9" width="5.140625" style="1" bestFit="1" customWidth="1"/>
    <col min="10" max="10" width="8.28515625" style="1" customWidth="1"/>
    <col min="11" max="17" width="9.28515625" style="1"/>
    <col min="18" max="18" width="28" style="1" bestFit="1" customWidth="1"/>
    <col min="19" max="16384" width="9.28515625" style="1"/>
  </cols>
  <sheetData>
    <row r="1" spans="1:18" x14ac:dyDescent="0.25">
      <c r="C1" s="16" t="s">
        <v>71</v>
      </c>
      <c r="D1" s="16"/>
      <c r="E1" s="16"/>
      <c r="F1" s="16"/>
      <c r="G1" s="16"/>
      <c r="H1" s="9"/>
      <c r="I1" s="9"/>
      <c r="J1" s="11"/>
      <c r="R1" s="10" t="s">
        <v>166</v>
      </c>
    </row>
    <row r="2" spans="1:18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3</v>
      </c>
    </row>
    <row r="3" spans="1:18" x14ac:dyDescent="0.25">
      <c r="B3" s="1" t="s">
        <v>6</v>
      </c>
      <c r="C3" s="11">
        <v>200</v>
      </c>
      <c r="D3" s="11">
        <v>200</v>
      </c>
      <c r="E3" s="11">
        <v>200</v>
      </c>
      <c r="F3" s="11">
        <v>200</v>
      </c>
      <c r="G3" s="11">
        <v>200</v>
      </c>
      <c r="H3" s="11">
        <v>200</v>
      </c>
      <c r="I3" s="11">
        <v>200</v>
      </c>
      <c r="J3" s="11"/>
      <c r="K3" s="11">
        <v>200</v>
      </c>
      <c r="L3" s="11">
        <v>200</v>
      </c>
      <c r="M3" s="11">
        <v>200</v>
      </c>
      <c r="N3" s="11">
        <v>200</v>
      </c>
      <c r="O3" s="11">
        <v>200</v>
      </c>
      <c r="P3" s="11">
        <v>200</v>
      </c>
    </row>
    <row r="4" spans="1:18" x14ac:dyDescent="0.25">
      <c r="C4" s="11"/>
      <c r="D4" s="11"/>
      <c r="E4" s="11"/>
      <c r="F4" s="11"/>
      <c r="G4" s="11"/>
      <c r="H4" s="11"/>
      <c r="I4" s="11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-2.3319635446476998</v>
      </c>
      <c r="D5" s="5">
        <f>HLOOKUP("ATE-RMSE-IPS-exp",Point!$D$1:$DR$96,$R$2,FALSE)</f>
        <v>5.6247503657511704</v>
      </c>
      <c r="E5" s="5">
        <f>(D5/$D$9)^2</f>
        <v>1.5087671431226441</v>
      </c>
      <c r="F5" s="5">
        <f>HLOOKUP("ATE-Empcov-IPS-exp",inference!$D$1:$DR$96,$R$2,FALSE)</f>
        <v>0.94799999999999995</v>
      </c>
      <c r="G5" s="5">
        <f>HLOOKUP("ATE-ASSD-IPS-exp",inference!$D$1:$DR$96,$R$2,FALSE)*2*1.96/SQRT(G$3)</f>
        <v>16.30212810364813</v>
      </c>
      <c r="H5" s="5">
        <f>G5/(2*1.96/SQRT(G$3))</f>
        <v>58.81298637684381</v>
      </c>
      <c r="I5" s="5">
        <f t="shared" ref="I5:I10" si="0">($H$9/H5)^2</f>
        <v>2.0730870819474712</v>
      </c>
      <c r="J5" s="5"/>
      <c r="K5" s="5">
        <f>HLOOKUP("ks-IPS-exp",balance!$D$1:$DR$96,$R$2,FALSE)</f>
        <v>1.8569452498594701</v>
      </c>
      <c r="L5" s="5">
        <f>HLOOKUP("cvm-IPS-exp",balance!$D$1:$DR$96,$R$2,FALSE)</f>
        <v>0.32683131173755903</v>
      </c>
      <c r="M5" s="5">
        <f>HLOOKUP("ks-IPS-exp_1",balance!$D$1:$DR$96,$R$2,FALSE)</f>
        <v>1.3995401876642499</v>
      </c>
      <c r="N5" s="5">
        <f>HLOOKUP("cvm-IPS-exp_1",balance!$D$1:$DR$96,$R$2,FALSE)</f>
        <v>0.20319508623065399</v>
      </c>
      <c r="O5" s="5">
        <f>HLOOKUP("ks-IPS-exp_0",balance!$D$1:$DR$96,$R$2,FALSE)</f>
        <v>0.63741954414105795</v>
      </c>
      <c r="P5" s="5">
        <f>HLOOKUP("cvm-IPS-exp_0",balance!$D$1:$DR$96,$R$2,FALSE)</f>
        <v>2.4316526504073298E-2</v>
      </c>
    </row>
    <row r="6" spans="1:18" x14ac:dyDescent="0.25">
      <c r="B6" s="1" t="s">
        <v>5</v>
      </c>
      <c r="C6" s="5">
        <f>HLOOKUP("ATE-bias-IPS-ind",Point!$D$1:$DR$96,$R$2,FALSE)</f>
        <v>-2.5115159517696699</v>
      </c>
      <c r="D6" s="5">
        <f>HLOOKUP("ATE-RMSE-IPS-ind",Point!$D$1:$DR$96,$R$2,FALSE)</f>
        <v>9.1921253954250908</v>
      </c>
      <c r="E6" s="5">
        <f t="shared" ref="E6:E10" si="1">(D6/$D$9)^2</f>
        <v>4.0294669025858987</v>
      </c>
      <c r="F6" s="5">
        <f>HLOOKUP("ATE-Empcov-IPS-ind",inference!$D$1:$DR$96,$R$2,FALSE)</f>
        <v>0.98799999999999999</v>
      </c>
      <c r="G6" s="5">
        <f>HLOOKUP("ATE-ASSD-IPS-ind",inference!$D$1:$DR$96,$R$2,FALSE)*2*1.96/SQRT(G$3)</f>
        <v>37.988046173173409</v>
      </c>
      <c r="H6" s="5">
        <f t="shared" ref="H6:H9" si="2">G6/(2*1.96/SQRT(G$3))</f>
        <v>137.04900537284999</v>
      </c>
      <c r="I6" s="5">
        <f t="shared" si="0"/>
        <v>0.38177917408571371</v>
      </c>
      <c r="J6" s="5"/>
      <c r="K6" s="5">
        <f>HLOOKUP("ks-IPS-ind",balance!$D$1:$DR$96,$R$2,FALSE)</f>
        <v>1.57807172864489</v>
      </c>
      <c r="L6" s="5">
        <f>HLOOKUP("cvm-IPS-ind",balance!$D$1:$DR$96,$R$2,FALSE)</f>
        <v>0.21807752450388801</v>
      </c>
      <c r="M6" s="5">
        <f>HLOOKUP("ks-IPS-ind_1",balance!$D$1:$DR$96,$R$2,FALSE)</f>
        <v>1.1892143475228401</v>
      </c>
      <c r="N6" s="5">
        <f>HLOOKUP("cvm-IPS-ind_1",balance!$D$1:$DR$96,$R$2,FALSE)</f>
        <v>0.13171706052118801</v>
      </c>
      <c r="O6" s="5">
        <f>HLOOKUP("ks-IPS-ind_0",balance!$D$1:$DR$96,$R$2,FALSE)</f>
        <v>0.64984702242774295</v>
      </c>
      <c r="P6" s="5">
        <f>HLOOKUP("cvm-IPS-ind_0",balance!$D$1:$DR$96,$R$2,FALSE)</f>
        <v>1.8920055982002401E-2</v>
      </c>
    </row>
    <row r="7" spans="1:18" x14ac:dyDescent="0.25">
      <c r="B7" s="1" t="s">
        <v>4</v>
      </c>
      <c r="C7" s="5">
        <f>HLOOKUP("ATE-bias-IPS-proj",Point!$D$1:$DR$96,$R$2,FALSE)</f>
        <v>1.5259266221313399</v>
      </c>
      <c r="D7" s="5">
        <f>HLOOKUP("ATE-RMSE-IPS-proj",Point!$D$1:$DR$96,$R$2,FALSE)</f>
        <v>4.4617728076188303</v>
      </c>
      <c r="E7" s="5">
        <f t="shared" si="1"/>
        <v>0.94935931759308512</v>
      </c>
      <c r="F7" s="6">
        <f>HLOOKUP("ATE-Empcov-IPS-proj",inference!$D$1:$DR$96,$R$2,FALSE)</f>
        <v>0.90800000000000003</v>
      </c>
      <c r="G7" s="6">
        <f>HLOOKUP("ATE-ASSD-IPS-proj",inference!$D$1:$DR$96,$R$2,FALSE)*2*1.96/SQRT(G$3)</f>
        <v>14.025362933776037</v>
      </c>
      <c r="H7" s="5">
        <f t="shared" si="2"/>
        <v>50.599128770793307</v>
      </c>
      <c r="I7" s="5">
        <f t="shared" si="0"/>
        <v>2.8007731342652415</v>
      </c>
      <c r="J7" s="5"/>
      <c r="K7" s="5">
        <f>HLOOKUP("ks-IPS-proj",balance!$D$1:$DR$96,$R$2,FALSE)</f>
        <v>1.89177118299293</v>
      </c>
      <c r="L7" s="5">
        <f>HLOOKUP("cvm-IPS-proj",balance!$D$1:$DR$96,$R$2,FALSE)</f>
        <v>0.33250926111810802</v>
      </c>
      <c r="M7" s="5">
        <f>HLOOKUP("ks-IPS-proj_1",balance!$D$1:$DR$96,$R$2,FALSE)</f>
        <v>1.4029413066185099</v>
      </c>
      <c r="N7" s="5">
        <f>HLOOKUP("cvm-IPS-proj_1",balance!$D$1:$DR$96,$R$2,FALSE)</f>
        <v>0.20083373042786501</v>
      </c>
      <c r="O7" s="5">
        <f>HLOOKUP("ks-IPS-proj_0",balance!$D$1:$DR$96,$R$2,FALSE)</f>
        <v>0.63899780696413</v>
      </c>
      <c r="P7" s="5">
        <f>HLOOKUP("cvm-IPS-proj_0",balance!$D$1:$DR$96,$R$2,FALSE)</f>
        <v>2.4701682420101002E-2</v>
      </c>
    </row>
    <row r="8" spans="1:18" x14ac:dyDescent="0.25">
      <c r="B8" s="1" t="s">
        <v>88</v>
      </c>
      <c r="C8" s="5">
        <f>HLOOKUP("ATE-bias-CBPS-just",Point!$D$1:$DR$96,$R$2,FALSE)</f>
        <v>-2.2479748662377701</v>
      </c>
      <c r="D8" s="5">
        <f>HLOOKUP("ATE-RMSE-CBPS-just",Point!$D$1:$DR$96,$R$2,FALSE)</f>
        <v>5.1019232771076499</v>
      </c>
      <c r="E8" s="5">
        <f t="shared" si="1"/>
        <v>1.2413194470085789</v>
      </c>
      <c r="F8" s="5">
        <f>HLOOKUP("ATE-Empcov-CBPS-just",inference!$D$1:$DR$96,$R$2,FALSE)</f>
        <v>0.82399999999999995</v>
      </c>
      <c r="G8" s="5">
        <f>HLOOKUP("ATE-ASSD-CBPS-just",inference!$D$1:$DR$96,$R$2,FALSE)*2*1.96/SQRT(G$3)</f>
        <v>11.822570004206355</v>
      </c>
      <c r="H8" s="5">
        <f t="shared" si="2"/>
        <v>42.652139903198901</v>
      </c>
      <c r="I8" s="5">
        <f t="shared" si="0"/>
        <v>3.9416890418867716</v>
      </c>
      <c r="J8" s="5"/>
      <c r="K8" s="5">
        <f>HLOOKUP("ks-CBPS-Just",balance!$D$1:$DR$96,$R$2,FALSE)</f>
        <v>1.88951787823991</v>
      </c>
      <c r="L8" s="5">
        <f>HLOOKUP("cvm-CBPS-Just",balance!$D$1:$DR$96,$R$2,FALSE)</f>
        <v>0.32727671313158502</v>
      </c>
      <c r="M8" s="5">
        <f>HLOOKUP("ks-CBPS-Just_1",balance!$D$1:$DR$96,$R$2,FALSE)</f>
        <v>1.4555790318339901</v>
      </c>
      <c r="N8" s="5">
        <f>HLOOKUP("cvm-CBPS-Just_1",balance!$D$1:$DR$96,$R$2,FALSE)</f>
        <v>0.22002067231981701</v>
      </c>
      <c r="O8" s="5">
        <f>HLOOKUP("ks-CBPS-Just_0",balance!$D$1:$DR$96,$R$2,FALSE)</f>
        <v>0.704726929180161</v>
      </c>
      <c r="P8" s="5">
        <f>HLOOKUP("cvm-CBPS-Just_0",balance!$D$1:$DR$96,$R$2,FALSE)</f>
        <v>2.3674876923116199E-2</v>
      </c>
    </row>
    <row r="9" spans="1:18" x14ac:dyDescent="0.25">
      <c r="B9" s="1" t="s">
        <v>89</v>
      </c>
      <c r="C9" s="5">
        <f>HLOOKUP("ATE-bias-CBPS-over",Point!$D$1:$DR$96,$R$2,FALSE)</f>
        <v>0.77754752114987402</v>
      </c>
      <c r="D9" s="5">
        <f>HLOOKUP("ATE-RMSE-CBPS-over",Point!$D$1:$DR$96,$R$2,FALSE)</f>
        <v>4.5792266940089004</v>
      </c>
      <c r="E9" s="5">
        <f t="shared" si="1"/>
        <v>1</v>
      </c>
      <c r="F9" s="5">
        <f>HLOOKUP("ATE-Empcov-CBPS-over",inference!$D$1:$DR$96,$R$2,FALSE)</f>
        <v>0.998</v>
      </c>
      <c r="G9" s="5">
        <f>HLOOKUP("ATE-ASSD-CBPS-over",inference!$D$1:$DR$96,$R$2,FALSE)*2*1.96/SQRT(G$3)</f>
        <v>23.472160936982458</v>
      </c>
      <c r="H9" s="5">
        <f t="shared" si="2"/>
        <v>84.680225345113698</v>
      </c>
      <c r="I9" s="5">
        <f t="shared" si="0"/>
        <v>1</v>
      </c>
      <c r="J9" s="5"/>
      <c r="K9" s="5">
        <f>HLOOKUP("ks-CBPS-over",balance!$D$1:$DR$96,$R$2,FALSE)</f>
        <v>1.9470354682924</v>
      </c>
      <c r="L9" s="5">
        <f>HLOOKUP("cvm-CBPS-over",balance!$D$1:$DR$96,$R$2,FALSE)</f>
        <v>0.36762204573399199</v>
      </c>
      <c r="M9" s="5">
        <f>HLOOKUP("ks-CBPS-over_1",balance!$D$1:$DR$96,$R$2,FALSE)</f>
        <v>1.44904513220607</v>
      </c>
      <c r="N9" s="5">
        <f>HLOOKUP("cvm-CBPS-over_1",balance!$D$1:$DR$96,$R$2,FALSE)</f>
        <v>0.22255789487941899</v>
      </c>
      <c r="O9" s="5">
        <f>HLOOKUP("ks-CBPS-over_0",balance!$D$1:$DR$96,$R$2,FALSE)</f>
        <v>0.64042944875534402</v>
      </c>
      <c r="P9" s="5">
        <f>HLOOKUP("cvm-CBPS-over_0",balance!$D$1:$DR$96,$R$2,FALSE)</f>
        <v>2.5566103380411001E-2</v>
      </c>
    </row>
    <row r="10" spans="1:18" s="3" customFormat="1" x14ac:dyDescent="0.25">
      <c r="B10" s="3" t="s">
        <v>2</v>
      </c>
      <c r="C10" s="5">
        <f>HLOOKUP("ATE-bias-GLM",Point!$D$1:$DR$96,$R$2,FALSE)</f>
        <v>-3.6648717561309301</v>
      </c>
      <c r="D10" s="5">
        <f>HLOOKUP("ATE-RMSE-GLM",Point!$D$1:$DR$96,$R$2,FALSE)</f>
        <v>10.0912605562149</v>
      </c>
      <c r="E10" s="5">
        <f t="shared" si="1"/>
        <v>4.856311679314218</v>
      </c>
      <c r="F10" s="5">
        <f>HLOOKUP("ATE-Empcov-GLM",inference!$D$1:$DR$96,$R$2,FALSE)</f>
        <v>0.94599999999999995</v>
      </c>
      <c r="G10" s="5">
        <f>HLOOKUP("ATE-ASSD-GLM",inference!$D$1:$DR$96,$R$2,FALSE)*2*1.96/SQRT(G$3)</f>
        <v>22.530988140184881</v>
      </c>
      <c r="H10" s="5">
        <f>G10/(2*1.96/SQRT(G$3))</f>
        <v>81.284767861012298</v>
      </c>
      <c r="I10" s="5">
        <f t="shared" si="0"/>
        <v>1.0852896730907793</v>
      </c>
      <c r="J10" s="5"/>
      <c r="K10" s="5">
        <f>HLOOKUP("ks-GLM",balance!$D$1:$DR$96,$R$2,FALSE)</f>
        <v>1.95074924622978</v>
      </c>
      <c r="L10" s="5">
        <f>HLOOKUP("cvm-GLM",balance!$D$1:$DR$96,$R$2,FALSE)</f>
        <v>0.34959655148973501</v>
      </c>
      <c r="M10" s="5">
        <f>HLOOKUP("ks-GLM_1",balance!$D$1:$DR$96,$R$2,FALSE)</f>
        <v>1.4883749977811001</v>
      </c>
      <c r="N10" s="5">
        <f>HLOOKUP("cvm-GLM_1",balance!$D$1:$DR$96,$R$2,FALSE)</f>
        <v>0.23532977570626301</v>
      </c>
      <c r="O10" s="5">
        <f>HLOOKUP("ks-GLM_0",balance!$D$1:$DR$96,$R$2,FALSE)</f>
        <v>0.76749461215013004</v>
      </c>
      <c r="P10" s="5">
        <f>HLOOKUP("cvm-GLM_0",balance!$D$1:$DR$96,$R$2,FALSE)</f>
        <v>2.89168203988848E-2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1.11746315336378</v>
      </c>
      <c r="D12" s="5">
        <f>HLOOKUP("QTE-0.10-RMSE-IPS-exp",Point!$D$1:$DR$96,$R$2,FALSE)</f>
        <v>2.69661751750614</v>
      </c>
      <c r="E12" s="5">
        <f t="shared" ref="E12:E15" si="3">(D12/$D$16)^2</f>
        <v>0.88841049964864505</v>
      </c>
      <c r="F12" s="5">
        <f>HLOOKUP("QTE-0.1-Empcov-IPS-exp",inference!$D$1:$DR$96,$R$2,FALSE)</f>
        <v>0.88500000000000001</v>
      </c>
      <c r="G12" s="5">
        <f>HLOOKUP("QTE-0.1-ASSD-IPS-exp",inference!$D$1:$DR$96,$R$2,FALSE)*2*1.96/SQRT(G$3)</f>
        <v>8.978711181174015</v>
      </c>
      <c r="H12" s="5">
        <f>G12/(2*1.96/SQRT(G$3))</f>
        <v>32.39238552307971</v>
      </c>
      <c r="I12" s="5">
        <f t="shared" ref="I12:I17" si="4">($H$16/H12)^2</f>
        <v>1.3877432493718356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1.3020256134456401</v>
      </c>
      <c r="D13" s="5">
        <f>HLOOKUP("QTE-0.10-RMSE-IPS-ind",Point!$D$1:$DR$96,$R$2,FALSE)</f>
        <v>2.84020186384546</v>
      </c>
      <c r="E13" s="5">
        <f t="shared" si="3"/>
        <v>0.98553804912537901</v>
      </c>
      <c r="F13" s="5">
        <f>HLOOKUP("QTE-0.1-Empcov-IPS-ind",inference!$D$1:$DR$96,$R$2,FALSE)</f>
        <v>0.88300000000000001</v>
      </c>
      <c r="G13" s="5">
        <f>HLOOKUP("QTE-0.1-ASSD-IPS-ind",inference!$D$1:$DR$96,$R$2,FALSE)*2*1.96/SQRT(G$3)</f>
        <v>10.048918391911705</v>
      </c>
      <c r="H13" s="5">
        <f t="shared" ref="H13:H16" si="5">G13/(2*1.96/SQRT(G$3))</f>
        <v>36.253358869953999</v>
      </c>
      <c r="I13" s="5">
        <f t="shared" si="4"/>
        <v>1.1078947092670699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1.47690193964645</v>
      </c>
      <c r="D14" s="5">
        <f>HLOOKUP("QTE-0.10-RMSE-IPS-proj",Point!$D$1:$DR$96,$R$2,FALSE)</f>
        <v>2.7249346519634501</v>
      </c>
      <c r="E14" s="5">
        <f t="shared" si="3"/>
        <v>0.90716683218674021</v>
      </c>
      <c r="F14" s="6">
        <f>HLOOKUP("QTE-0.1-Empcov-IPS-proj",inference!$D$1:$DR$96,$R$2,FALSE)</f>
        <v>0.85599999999999998</v>
      </c>
      <c r="G14" s="6">
        <f>HLOOKUP("QTE-0.1-ASSD-IPS-proj",inference!$D$1:$DR$96,$R$2,FALSE)*2*1.96/SQRT(G$3)</f>
        <v>8.6345684288353723</v>
      </c>
      <c r="H14" s="5">
        <f t="shared" si="5"/>
        <v>31.150825962493705</v>
      </c>
      <c r="I14" s="5">
        <f t="shared" si="4"/>
        <v>1.5005686045629667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1.2492467067326301</v>
      </c>
      <c r="D15" s="5">
        <f>HLOOKUP("QTE-0.10-RMSE-CBPS-just",Point!$D$1:$DR$96,$R$2,FALSE)</f>
        <v>2.82652333142636</v>
      </c>
      <c r="E15" s="5">
        <f t="shared" si="3"/>
        <v>0.97606812201818094</v>
      </c>
      <c r="F15" s="5">
        <f>HLOOKUP("QTE-0.1-Empcov-CBPS-just",inference!$D$1:$DR$96,$R$2,FALSE)</f>
        <v>0.88200000000000001</v>
      </c>
      <c r="G15" s="5">
        <f>HLOOKUP("QTE-0.1-ASSD-CBPS-just",inference!$D$1:$DR$96,$R$2,FALSE)*2*1.96/SQRT(G$3)</f>
        <v>9.4708897788989219</v>
      </c>
      <c r="H15" s="5">
        <f t="shared" si="5"/>
        <v>34.168012176172397</v>
      </c>
      <c r="I15" s="5">
        <f t="shared" si="4"/>
        <v>1.2472558863986623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1.6154936347218201</v>
      </c>
      <c r="D16" s="5">
        <f>HLOOKUP("QTE-0.10-RMSE-CBPS-over",Point!$D$1:$DR$96,$R$2,FALSE)</f>
        <v>2.86096477125822</v>
      </c>
      <c r="E16" s="5">
        <f>(D16/$D$16)^2</f>
        <v>1</v>
      </c>
      <c r="F16" s="5">
        <f>HLOOKUP("QTE-0.1-Empcov-CBPS-over",inference!$D$1:$DR$96,$R$2,FALSE)</f>
        <v>0.89100000000000001</v>
      </c>
      <c r="G16" s="5">
        <f>HLOOKUP("QTE-0.1-ASSD-CBPS-over",inference!$D$1:$DR$96,$R$2,FALSE)*2*1.96/SQRT(G$3)</f>
        <v>10.577147568247709</v>
      </c>
      <c r="H16" s="5">
        <f t="shared" si="5"/>
        <v>38.159044750605901</v>
      </c>
      <c r="I16" s="5">
        <f>($H$16/H16)^2</f>
        <v>1</v>
      </c>
      <c r="J16" s="5"/>
      <c r="K16" s="5"/>
      <c r="L16" s="5"/>
      <c r="M16" s="5"/>
      <c r="N16" s="5"/>
    </row>
    <row r="17" spans="1:17" s="3" customFormat="1" x14ac:dyDescent="0.25">
      <c r="B17" s="3" t="s">
        <v>2</v>
      </c>
      <c r="C17" s="5">
        <f>HLOOKUP("QTE-0.10-bias-GLM",Point!$D$1:$DR$96,$R$2,FALSE)</f>
        <v>1.24302079391077</v>
      </c>
      <c r="D17" s="5">
        <f>HLOOKUP("QTE-0.10-RMSE-GLM",Point!$D$1:$DR$96,$R$2,FALSE)</f>
        <v>3.3103762480437799</v>
      </c>
      <c r="E17" s="5">
        <f>(D17/$D$16)^2</f>
        <v>1.3388431296003214</v>
      </c>
      <c r="F17" s="5">
        <f>HLOOKUP("QTE-0.1-Empcov-GLM",inference!$D$1:$DR$96,$R$2,FALSE)</f>
        <v>0.89300000000000002</v>
      </c>
      <c r="G17" s="5">
        <f>HLOOKUP("QTE-0.1-ASSD-GLM",inference!$D$1:$DR$96,$R$2,FALSE)*2*1.96/SQRT(G$3)</f>
        <v>10.608711636463065</v>
      </c>
      <c r="H17" s="5">
        <f>G17/(2*1.96/SQRT(G$3))</f>
        <v>38.27291804997791</v>
      </c>
      <c r="I17" s="5">
        <f t="shared" si="4"/>
        <v>0.99405825833405914</v>
      </c>
      <c r="J17" s="5"/>
      <c r="K17" s="5"/>
      <c r="L17" s="5"/>
      <c r="M17" s="5"/>
      <c r="N17" s="5"/>
    </row>
    <row r="18" spans="1:17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7" x14ac:dyDescent="0.25">
      <c r="A19" s="2" t="s">
        <v>59</v>
      </c>
      <c r="B19" s="1" t="s">
        <v>3</v>
      </c>
      <c r="C19" s="5">
        <f>HLOOKUP("QTE-0.25-bias-IPS-exp",Point!$D$1:$DR$96,$R$2,FALSE)</f>
        <v>0.66682008986696595</v>
      </c>
      <c r="D19" s="5">
        <f>HLOOKUP("QTE-0.25-RMSE-IPS-exp",Point!$D$1:$DR$96,$R$2,FALSE)</f>
        <v>1.85451422536889</v>
      </c>
      <c r="E19" s="5">
        <f>(D19/$D$23)^2</f>
        <v>0.64583699707986275</v>
      </c>
      <c r="F19" s="5">
        <f>HLOOKUP("QTE-0.25-Empcov-IPS-exp",inference!$D$1:$DR$96,$R$2,FALSE)</f>
        <v>0.96899999999999997</v>
      </c>
      <c r="G19" s="5">
        <f>HLOOKUP("QTE-0.25-ASSD-IPS-exp",inference!$D$1:$DR$96,$R$2,FALSE)*2*1.96/SQRT(G$3)</f>
        <v>8.1259595528566244</v>
      </c>
      <c r="H19" s="5">
        <f>G19/(2*1.96/SQRT(G$3))</f>
        <v>29.315923997308804</v>
      </c>
      <c r="I19" s="5">
        <f>($H$23/H19)^2</f>
        <v>1.6532434175235406</v>
      </c>
      <c r="J19" s="5"/>
      <c r="K19" s="5"/>
      <c r="L19" s="5"/>
      <c r="M19" s="5"/>
      <c r="N19" s="5"/>
    </row>
    <row r="20" spans="1:17" x14ac:dyDescent="0.25">
      <c r="B20" s="1" t="s">
        <v>5</v>
      </c>
      <c r="C20" s="5">
        <f>HLOOKUP("QTE-0.25-bias-IPS-ind",Point!$D$1:$DR$96,$R$2,FALSE)</f>
        <v>0.92232185708585201</v>
      </c>
      <c r="D20" s="5">
        <f>HLOOKUP("QTE-0.25-RMSE-IPS-ind",Point!$D$1:$DR$96,$R$2,FALSE)</f>
        <v>2.19346128729488</v>
      </c>
      <c r="E20" s="5">
        <f t="shared" ref="E20:E24" si="6">(D20/$D$23)^2</f>
        <v>0.90348829378099293</v>
      </c>
      <c r="F20" s="5">
        <f>HLOOKUP("QTE-0.25-Empcov-IPS-ind",inference!$D$1:$DR$96,$R$2,FALSE)</f>
        <v>0.97699999999999998</v>
      </c>
      <c r="G20" s="5">
        <f>HLOOKUP("QTE-0.25-ASSD-IPS-ind",inference!$D$1:$DR$96,$R$2,FALSE)*2*1.96/SQRT(G$3)</f>
        <v>10.131999471429776</v>
      </c>
      <c r="H20" s="5">
        <f t="shared" ref="H20:H23" si="7">G20/(2*1.96/SQRT(G$3))</f>
        <v>36.553089455237298</v>
      </c>
      <c r="I20" s="5">
        <f t="shared" ref="I20:I24" si="8">($H$23/H20)^2</f>
        <v>1.063397898839499</v>
      </c>
      <c r="J20" s="5"/>
      <c r="K20" s="5"/>
      <c r="L20" s="5"/>
      <c r="M20" s="5"/>
      <c r="N20" s="5"/>
    </row>
    <row r="21" spans="1:17" x14ac:dyDescent="0.25">
      <c r="B21" s="1" t="s">
        <v>4</v>
      </c>
      <c r="C21" s="5">
        <f>HLOOKUP("QTE-0.25-bias-IPS-proj",Point!$D$1:$DR$96,$R$2,FALSE)</f>
        <v>1.1668539254725501</v>
      </c>
      <c r="D21" s="5">
        <f>HLOOKUP("QTE-0.25-RMSE-IPS-proj",Point!$D$1:$DR$96,$R$2,FALSE)</f>
        <v>2.09369672786731</v>
      </c>
      <c r="E21" s="5">
        <f t="shared" si="6"/>
        <v>0.8231711303445346</v>
      </c>
      <c r="F21" s="6">
        <f>HLOOKUP("QTE-0.25-Empcov-IPS-proj",inference!$D$1:$DR$96,$R$2,FALSE)</f>
        <v>0.94099999999999995</v>
      </c>
      <c r="G21" s="6">
        <f>HLOOKUP("QTE-0.25-ASSD-IPS-proj",inference!$D$1:$DR$96,$R$2,FALSE)*2*1.96/SQRT(G$3)</f>
        <v>7.9539020038183388</v>
      </c>
      <c r="H21" s="5">
        <f t="shared" si="7"/>
        <v>28.695194100985798</v>
      </c>
      <c r="I21" s="5">
        <f t="shared" si="8"/>
        <v>1.7255424303830131</v>
      </c>
      <c r="J21" s="5"/>
      <c r="K21" s="5"/>
      <c r="L21" s="5"/>
      <c r="M21" s="5"/>
      <c r="N21" s="5"/>
    </row>
    <row r="22" spans="1:17" x14ac:dyDescent="0.25">
      <c r="B22" s="1" t="s">
        <v>88</v>
      </c>
      <c r="C22" s="5">
        <f>HLOOKUP("QTE-0.25-bias-CBPS-just",Point!$D$1:$DR$96,$R$2,FALSE)</f>
        <v>0.75898832663592097</v>
      </c>
      <c r="D22" s="5">
        <f>HLOOKUP("QTE-0.25-RMSE-CBPS-just",Point!$D$1:$DR$96,$R$2,FALSE)</f>
        <v>1.95182843473874</v>
      </c>
      <c r="E22" s="5">
        <f t="shared" si="6"/>
        <v>0.715394938918545</v>
      </c>
      <c r="F22" s="5">
        <f>HLOOKUP("QTE-0.25-Empcov-CBPS-just",inference!$D$1:$DR$96,$R$2,FALSE)</f>
        <v>0.96799999999999997</v>
      </c>
      <c r="G22" s="5">
        <f>HLOOKUP("QTE-0.25-ASSD-CBPS-just",inference!$D$1:$DR$96,$R$2,FALSE)*2*1.96/SQRT(G$3)</f>
        <v>8.5007298641639384</v>
      </c>
      <c r="H22" s="5">
        <f t="shared" si="7"/>
        <v>30.667978224414902</v>
      </c>
      <c r="I22" s="5">
        <f t="shared" si="8"/>
        <v>1.5106841894094714</v>
      </c>
      <c r="J22" s="5"/>
      <c r="K22" s="5"/>
      <c r="L22" s="5"/>
      <c r="M22" s="5"/>
      <c r="N22" s="5"/>
    </row>
    <row r="23" spans="1:17" x14ac:dyDescent="0.25">
      <c r="B23" s="1" t="s">
        <v>89</v>
      </c>
      <c r="C23" s="5">
        <f>HLOOKUP("QTE-0.25-bias-CBPS-over",Point!$D$1:$DR$96,$R$2,FALSE)</f>
        <v>1.3790175823052899</v>
      </c>
      <c r="D23" s="5">
        <f>HLOOKUP("QTE-0.25-RMSE-CBPS-over",Point!$D$1:$DR$96,$R$2,FALSE)</f>
        <v>2.3076434571740201</v>
      </c>
      <c r="E23" s="5">
        <f>(D23/$D$23)^2</f>
        <v>1</v>
      </c>
      <c r="F23" s="5">
        <f>HLOOKUP("QTE-0.25-Empcov-CBPS-over",inference!$D$1:$DR$96,$R$2,FALSE)</f>
        <v>0.97599999999999998</v>
      </c>
      <c r="G23" s="5">
        <f>HLOOKUP("QTE-0.25-ASSD-CBPS-over",inference!$D$1:$DR$96,$R$2,FALSE)*2*1.96/SQRT(G$3)</f>
        <v>10.448238013745538</v>
      </c>
      <c r="H23" s="5">
        <f t="shared" si="7"/>
        <v>37.693979341686401</v>
      </c>
      <c r="I23" s="5">
        <f t="shared" si="8"/>
        <v>1</v>
      </c>
      <c r="J23" s="5"/>
      <c r="K23" s="5"/>
      <c r="L23" s="5"/>
      <c r="M23" s="5"/>
      <c r="N23" s="5"/>
    </row>
    <row r="24" spans="1:17" s="3" customFormat="1" x14ac:dyDescent="0.25">
      <c r="B24" s="3" t="s">
        <v>2</v>
      </c>
      <c r="C24" s="5">
        <f>HLOOKUP("QTE-0.25-bias-GLM",Point!$D$1:$DR$96,$R$2,FALSE)</f>
        <v>0.77976267776583397</v>
      </c>
      <c r="D24" s="5">
        <f>HLOOKUP("QTE-0.25-RMSE-GLM",Point!$D$1:$DR$96,$R$2,FALSE)</f>
        <v>2.0602236566025902</v>
      </c>
      <c r="E24" s="5">
        <f t="shared" si="6"/>
        <v>0.79706056274712167</v>
      </c>
      <c r="F24" s="5">
        <f>HLOOKUP("QTE-0.25-Empcov-GLM",inference!$D$1:$DR$96,$R$2,FALSE)</f>
        <v>0.97099999999999997</v>
      </c>
      <c r="G24" s="5">
        <f>HLOOKUP("QTE-0.25-ASSD-GLM",inference!$D$1:$DR$96,$R$2,FALSE)*2*1.96/SQRT(G$3)</f>
        <v>9.4836069302919448</v>
      </c>
      <c r="H24" s="5">
        <f>G24/(2*1.96/SQRT(G$3))</f>
        <v>34.21389168631211</v>
      </c>
      <c r="I24" s="5">
        <f t="shared" si="8"/>
        <v>1.21377733632553</v>
      </c>
      <c r="J24" s="5"/>
      <c r="K24" s="5"/>
      <c r="L24" s="5"/>
      <c r="M24" s="5"/>
      <c r="N24" s="5"/>
    </row>
    <row r="25" spans="1:17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</row>
    <row r="26" spans="1:17" x14ac:dyDescent="0.25">
      <c r="A26" s="2" t="s">
        <v>60</v>
      </c>
      <c r="B26" s="1" t="s">
        <v>3</v>
      </c>
      <c r="C26" s="5">
        <f>HLOOKUP("QTE-0.5-bias-IPS-exp",Point!$D$1:$DR$96,$R$2,FALSE)</f>
        <v>0.377512327326812</v>
      </c>
      <c r="D26" s="5">
        <f>HLOOKUP("QTE-0.5-RMSE-IPS-exp",Point!$D$1:$DR$96,$R$2,FALSE)</f>
        <v>2.0735152699651298</v>
      </c>
      <c r="E26" s="5">
        <f>(D26/$D$30)^2</f>
        <v>0.46929168784198566</v>
      </c>
      <c r="F26" s="5">
        <f>HLOOKUP("QTE-0.5-Empcov-IPS-exp",inference!$D$1:$DR$96,$R$2,FALSE)</f>
        <v>0.95699999999999996</v>
      </c>
      <c r="G26" s="5">
        <f>HLOOKUP("QTE-0.5-ASSD-IPS-exp",inference!$D$1:$DR$96,$R$2,FALSE)*2*1.96/SQRT(G$3)</f>
        <v>8.314377093617523</v>
      </c>
      <c r="H26" s="5">
        <f>G26/(2*1.96/SQRT(G$3))</f>
        <v>29.9956756338727</v>
      </c>
      <c r="I26" s="5">
        <f>($H$30/H26)^2</f>
        <v>2.2496576397812618</v>
      </c>
      <c r="J26" s="5"/>
      <c r="K26"/>
      <c r="L26"/>
      <c r="M26"/>
      <c r="N26"/>
      <c r="O26"/>
      <c r="P26"/>
      <c r="Q26"/>
    </row>
    <row r="27" spans="1:17" x14ac:dyDescent="0.25">
      <c r="B27" s="1" t="s">
        <v>5</v>
      </c>
      <c r="C27" s="5">
        <f>HLOOKUP("QTE-0.5-bias-IPS-ind",Point!$D$1:$DR$96,$R$2,FALSE)</f>
        <v>0.75763289218790897</v>
      </c>
      <c r="D27" s="5">
        <f>HLOOKUP("QTE-0.5-RMSE-IPS-ind",Point!$D$1:$DR$96,$R$2,FALSE)</f>
        <v>2.99182371172683</v>
      </c>
      <c r="E27" s="5">
        <f t="shared" ref="E27:E31" si="9">(D27/$D$30)^2</f>
        <v>0.9770130974923843</v>
      </c>
      <c r="F27" s="5">
        <f>HLOOKUP("QTE-0.5-Empcov-IPS-ind",inference!$D$1:$DR$96,$R$2,FALSE)</f>
        <v>0.97899999999999998</v>
      </c>
      <c r="G27" s="5">
        <f>HLOOKUP("QTE-0.5-ASSD-IPS-ind",inference!$D$1:$DR$96,$R$2,FALSE)*2*1.96/SQRT(G$3)</f>
        <v>14.186679057751624</v>
      </c>
      <c r="H27" s="5">
        <f t="shared" ref="H27:H30" si="10">G27/(2*1.96/SQRT(G$3))</f>
        <v>51.181106960476299</v>
      </c>
      <c r="I27" s="5">
        <f t="shared" ref="I27:I31" si="11">($H$30/H27)^2</f>
        <v>0.77270616734267628</v>
      </c>
      <c r="J27" s="5"/>
      <c r="K27" s="5"/>
      <c r="L27" s="5"/>
      <c r="M27" s="5"/>
      <c r="N27" s="5"/>
    </row>
    <row r="28" spans="1:17" x14ac:dyDescent="0.25">
      <c r="B28" s="1" t="s">
        <v>4</v>
      </c>
      <c r="C28" s="5">
        <f>HLOOKUP("QTE-0.5-bias-IPS-proj",Point!$D$1:$DR$96,$R$2,FALSE)</f>
        <v>1.3871005235959299</v>
      </c>
      <c r="D28" s="5">
        <f>HLOOKUP("QTE-0.5-RMSE-IPS-proj",Point!$D$1:$DR$96,$R$2,FALSE)</f>
        <v>2.5896662578534801</v>
      </c>
      <c r="E28" s="5">
        <f t="shared" si="9"/>
        <v>0.73200826117451878</v>
      </c>
      <c r="F28" s="6">
        <f>HLOOKUP("QTE-0.5-Empcov-IPS-proj",inference!$D$1:$DR$96,$R$2,FALSE)</f>
        <v>0.90800000000000003</v>
      </c>
      <c r="G28" s="6">
        <f>HLOOKUP("QTE-0.5-ASSD-IPS-proj",inference!$D$1:$DR$96,$R$2,FALSE)*2*1.96/SQRT(G$3)</f>
        <v>8.3077866554903945</v>
      </c>
      <c r="H28" s="5">
        <f t="shared" si="10"/>
        <v>29.971899391573299</v>
      </c>
      <c r="I28" s="5">
        <f t="shared" si="11"/>
        <v>2.2532282924246321</v>
      </c>
      <c r="J28" s="5"/>
      <c r="K28" s="5"/>
      <c r="L28" s="5"/>
      <c r="M28" s="5"/>
      <c r="N28" s="5"/>
    </row>
    <row r="29" spans="1:17" x14ac:dyDescent="0.25">
      <c r="B29" s="1" t="s">
        <v>88</v>
      </c>
      <c r="C29" s="5">
        <f>HLOOKUP("QTE-0.5-bias-CBPS-just",Point!$D$1:$DR$96,$R$2,FALSE)</f>
        <v>0.45447159680682903</v>
      </c>
      <c r="D29" s="5">
        <f>HLOOKUP("QTE-0.5-RMSE-CBPS-just",Point!$D$1:$DR$96,$R$2,FALSE)</f>
        <v>2.2468323916720001</v>
      </c>
      <c r="E29" s="5">
        <f t="shared" si="9"/>
        <v>0.55102301485691474</v>
      </c>
      <c r="F29" s="5">
        <f>HLOOKUP("QTE-0.5-Empcov-CBPS-just",inference!$D$1:$DR$96,$R$2,FALSE)</f>
        <v>0.93700000000000006</v>
      </c>
      <c r="G29" s="5">
        <f>HLOOKUP("QTE-0.5-ASSD-CBPS-just",inference!$D$1:$DR$96,$R$2,FALSE)*2*1.96/SQRT(G$3)</f>
        <v>8.3536517430543196</v>
      </c>
      <c r="H29" s="5">
        <f t="shared" si="10"/>
        <v>30.137366301961901</v>
      </c>
      <c r="I29" s="5">
        <f t="shared" si="11"/>
        <v>2.228553859369077</v>
      </c>
      <c r="J29" s="5"/>
      <c r="K29" s="5"/>
      <c r="L29" s="5"/>
      <c r="M29" s="5"/>
      <c r="N29" s="5"/>
    </row>
    <row r="30" spans="1:17" x14ac:dyDescent="0.25">
      <c r="B30" s="1" t="s">
        <v>89</v>
      </c>
      <c r="C30" s="5">
        <f>HLOOKUP("QTE-0.5-bias-CBPS-over",Point!$D$1:$DR$96,$R$2,FALSE)</f>
        <v>1.71560582575634</v>
      </c>
      <c r="D30" s="5">
        <f>HLOOKUP("QTE-0.5-RMSE-CBPS-over",Point!$D$1:$DR$96,$R$2,FALSE)</f>
        <v>3.0268145082807099</v>
      </c>
      <c r="E30" s="5">
        <f t="shared" si="9"/>
        <v>1</v>
      </c>
      <c r="F30" s="5">
        <f>HLOOKUP("QTE-0.5-Empcov-CBPS-over",inference!$D$1:$DR$96,$R$2,FALSE)</f>
        <v>0.97799999999999998</v>
      </c>
      <c r="G30" s="5">
        <f>HLOOKUP("QTE-0.5-ASSD-CBPS-over",inference!$D$1:$DR$96,$R$2,FALSE)*2*1.96/SQRT(G$3)</f>
        <v>12.470616767009595</v>
      </c>
      <c r="H30" s="5">
        <f t="shared" si="10"/>
        <v>44.990090211893602</v>
      </c>
      <c r="I30" s="5">
        <f t="shared" si="11"/>
        <v>1</v>
      </c>
      <c r="J30" s="5"/>
      <c r="K30" s="5"/>
      <c r="L30" s="5"/>
      <c r="M30" s="5"/>
      <c r="N30" s="5"/>
    </row>
    <row r="31" spans="1:17" x14ac:dyDescent="0.25">
      <c r="A31" s="3"/>
      <c r="B31" s="3" t="s">
        <v>2</v>
      </c>
      <c r="C31" s="5">
        <f>HLOOKUP("QTE-0.5-bias-GLM",Point!$D$1:$DR$96,$R$2,FALSE)</f>
        <v>0.34419963435300899</v>
      </c>
      <c r="D31" s="5">
        <f>HLOOKUP("QTE-0.5-RMSE-GLM",Point!$D$1:$DR$96,$R$2,FALSE)</f>
        <v>3.68390540413291</v>
      </c>
      <c r="E31" s="5">
        <f t="shared" si="9"/>
        <v>1.4813078543821037</v>
      </c>
      <c r="F31" s="5">
        <f>HLOOKUP("QTE-0.5-Empcov-GLM",inference!$D$1:$DR$96,$R$2,FALSE)</f>
        <v>0.95399999999999996</v>
      </c>
      <c r="G31" s="5">
        <f>HLOOKUP("QTE-0.5-ASSD-GLM",inference!$D$1:$DR$96,$R$2,FALSE)*2*1.96/SQRT(G$3)</f>
        <v>11.029195211137599</v>
      </c>
      <c r="H31" s="5">
        <f>G31/(2*1.96/SQRT(G$3))</f>
        <v>39.789891453191807</v>
      </c>
      <c r="I31" s="5">
        <f t="shared" si="11"/>
        <v>1.2784631635906458</v>
      </c>
      <c r="J31" s="5"/>
      <c r="K31" s="5"/>
      <c r="L31" s="5"/>
      <c r="M31" s="5"/>
      <c r="N31" s="5"/>
      <c r="O31" s="3"/>
      <c r="P31" s="3"/>
      <c r="Q31" s="3"/>
    </row>
    <row r="32" spans="1:17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-0.64861750831756904</v>
      </c>
      <c r="D33" s="5">
        <f>HLOOKUP("QTE-0.75-RMSE-IPS-exp",Point!$D$1:$DR$96,$R$2,FALSE)</f>
        <v>5.4012295903592502</v>
      </c>
      <c r="E33" s="5">
        <f>(D33/$D$37)^2</f>
        <v>0.54580298319340714</v>
      </c>
      <c r="F33" s="5">
        <f>HLOOKUP("QTE-0.75-Empcov-IPS-exp",inference!$D$1:$DR$96,$R$2,FALSE)</f>
        <v>0.93799999999999994</v>
      </c>
      <c r="G33" s="5">
        <f>HLOOKUP("QTE-0.75-ASSD-IPS-exp",inference!$D$1:$DR$96,$R$2,FALSE)*2*1.96/SQRT(G$3)</f>
        <v>21.046943639834254</v>
      </c>
      <c r="H33" s="5">
        <f>G33/(2*1.96/SQRT(G$3))</f>
        <v>75.930798831519795</v>
      </c>
      <c r="I33" s="5">
        <f>($H$37/H33)^2</f>
        <v>2.3060709437535647</v>
      </c>
      <c r="J33" s="5"/>
    </row>
    <row r="34" spans="1:10" x14ac:dyDescent="0.25">
      <c r="B34" s="1" t="s">
        <v>5</v>
      </c>
      <c r="C34" s="5">
        <f>HLOOKUP("QTE-0.75-bias-IPS-ind",Point!$D$1:$DR$96,$R$2,FALSE)</f>
        <v>-0.85035050555953295</v>
      </c>
      <c r="D34" s="5">
        <f>HLOOKUP("QTE-0.75-RMSE-IPS-ind",Point!$D$1:$DR$96,$R$2,FALSE)</f>
        <v>10.7714916925372</v>
      </c>
      <c r="E34" s="5">
        <f t="shared" ref="E34:E38" si="12">(D34/$D$37)^2</f>
        <v>2.1707126154277465</v>
      </c>
      <c r="F34" s="5">
        <f>HLOOKUP("QTE-0.75-Empcov-IPS-ind",inference!$D$1:$DR$96,$R$2,FALSE)</f>
        <v>0.95299999999999996</v>
      </c>
      <c r="G34" s="5">
        <f>HLOOKUP("QTE-0.75-ASSD-IPS-ind",inference!$D$1:$DR$96,$R$2,FALSE)*2*1.96/SQRT(G$3)</f>
        <v>46.88861344151772</v>
      </c>
      <c r="H34" s="5">
        <f t="shared" ref="H34:H37" si="13">G34/(2*1.96/SQRT(G$3))</f>
        <v>169.159472065979</v>
      </c>
      <c r="I34" s="5">
        <f t="shared" ref="I34:I38" si="14">($H$37/H34)^2</f>
        <v>0.46463932034691907</v>
      </c>
      <c r="J34" s="5"/>
    </row>
    <row r="35" spans="1:10" x14ac:dyDescent="0.25">
      <c r="B35" s="1" t="s">
        <v>4</v>
      </c>
      <c r="C35" s="5">
        <f>HLOOKUP("QTE-0.75-bias-IPS-proj",Point!$D$1:$DR$96,$R$2,FALSE)</f>
        <v>2.94488002027708</v>
      </c>
      <c r="D35" s="5">
        <f>HLOOKUP("QTE-0.75-RMSE-IPS-proj",Point!$D$1:$DR$96,$R$2,FALSE)</f>
        <v>6.2848682589141598</v>
      </c>
      <c r="E35" s="5">
        <f t="shared" si="12"/>
        <v>0.73899752816987063</v>
      </c>
      <c r="F35" s="6">
        <f>HLOOKUP("QTE-0.75-Empcov-IPS-proj",inference!$D$1:$DR$96,$R$2,FALSE)</f>
        <v>0.88500000000000001</v>
      </c>
      <c r="G35" s="6">
        <f>HLOOKUP("QTE-0.75-ASSD-IPS-proj",inference!$D$1:$DR$96,$R$2,FALSE)*2*1.96/SQRT(G$3)</f>
        <v>19.264277223087554</v>
      </c>
      <c r="H35" s="5">
        <f t="shared" si="13"/>
        <v>69.499495199503897</v>
      </c>
      <c r="I35" s="5">
        <f t="shared" si="14"/>
        <v>2.7526139166591745</v>
      </c>
      <c r="J35" s="5"/>
    </row>
    <row r="36" spans="1:10" x14ac:dyDescent="0.25">
      <c r="B36" s="1" t="s">
        <v>88</v>
      </c>
      <c r="C36" s="5">
        <f>HLOOKUP("QTE-0.75-bias-CBPS-just",Point!$D$1:$DR$96,$R$2,FALSE)</f>
        <v>-0.58018246885947999</v>
      </c>
      <c r="D36" s="5">
        <f>HLOOKUP("QTE-0.75-RMSE-CBPS-just",Point!$D$1:$DR$96,$R$2,FALSE)</f>
        <v>5.6903154234244102</v>
      </c>
      <c r="E36" s="5">
        <f t="shared" si="12"/>
        <v>0.60579168778592041</v>
      </c>
      <c r="F36" s="5">
        <f>HLOOKUP("QTE-0.75-Empcov-CBPS-just",inference!$D$1:$DR$96,$R$2,FALSE)</f>
        <v>0.85399999999999998</v>
      </c>
      <c r="G36" s="5">
        <f>HLOOKUP("QTE-0.75-ASSD-CBPS-just",inference!$D$1:$DR$96,$R$2,FALSE)*2*1.96/SQRT(G$3)</f>
        <v>18.02288059896977</v>
      </c>
      <c r="H36" s="5">
        <f t="shared" si="13"/>
        <v>65.020923918607096</v>
      </c>
      <c r="I36" s="5">
        <f t="shared" si="14"/>
        <v>3.1448673297379806</v>
      </c>
      <c r="J36" s="5"/>
    </row>
    <row r="37" spans="1:10" x14ac:dyDescent="0.25">
      <c r="B37" s="1" t="s">
        <v>89</v>
      </c>
      <c r="C37" s="5">
        <f>HLOOKUP("QTE-0.75-bias-CBPS-over",Point!$D$1:$DR$96,$R$2,FALSE)</f>
        <v>3.5199029893879001</v>
      </c>
      <c r="D37" s="5">
        <f>HLOOKUP("QTE-0.75-RMSE-CBPS-over",Point!$D$1:$DR$96,$R$2,FALSE)</f>
        <v>7.3109646788572</v>
      </c>
      <c r="E37" s="5">
        <f t="shared" si="12"/>
        <v>1</v>
      </c>
      <c r="F37" s="5">
        <f>HLOOKUP("QTE-0.75-Empcov-CBPS-over",inference!$D$1:$DR$96,$R$2,FALSE)</f>
        <v>0.97</v>
      </c>
      <c r="G37" s="5">
        <f>HLOOKUP("QTE-0.75-ASSD-CBPS-over",inference!$D$1:$DR$96,$R$2,FALSE)*2*1.96/SQRT(G$3)</f>
        <v>31.961368765689539</v>
      </c>
      <c r="H37" s="5">
        <f t="shared" si="13"/>
        <v>115.30663566440302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-2.5164671505787402</v>
      </c>
      <c r="D38" s="5">
        <f>HLOOKUP("QTE-0.75-RMSE-GLM",Point!$D$1:$DR$96,$R$2,FALSE)</f>
        <v>15.4267920793227</v>
      </c>
      <c r="E38" s="5">
        <f t="shared" si="12"/>
        <v>4.4524790115742494</v>
      </c>
      <c r="F38" s="5">
        <f>HLOOKUP("QTE-0.75-Empcov-GLM",inference!$D$1:$DR$96,$R$2,FALSE)</f>
        <v>0.90700000000000003</v>
      </c>
      <c r="G38" s="5">
        <f>HLOOKUP("QTE-0.75-ASSD-GLM",inference!$D$1:$DR$96,$R$2,FALSE)*2*1.96/SQRT(G$3)</f>
        <v>29.284027367393062</v>
      </c>
      <c r="H38" s="5">
        <f>G38/(2*1.96/SQRT(G$3))</f>
        <v>105.64762414253101</v>
      </c>
      <c r="I38" s="5">
        <f t="shared" si="14"/>
        <v>1.1912121977462453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-6.3843343766036798</v>
      </c>
      <c r="D40" s="5">
        <f>HLOOKUP("QTE-0.9-RMSE-IPS-exp",Point!$D$1:$DR$96,$R$2,FALSE)</f>
        <v>15.207903704069301</v>
      </c>
      <c r="E40" s="5">
        <f t="shared" ref="E40:E45" si="15">(D40/$D$44)^2</f>
        <v>1.3719083082678256</v>
      </c>
      <c r="F40" s="5">
        <f>HLOOKUP("QTE-0.9-Empcov-IPS-exp",inference!$D$1:$DR$96,$R$2,FALSE)</f>
        <v>0.88400000000000001</v>
      </c>
      <c r="G40" s="5">
        <f>HLOOKUP("QTE-0.9-ASSD-IPS-exp",inference!$D$1:$DR$96,$R$2,FALSE)*2*1.96/SQRT(G$3)</f>
        <v>49.295959287508836</v>
      </c>
      <c r="H40" s="5">
        <f>G40/(2*1.96/SQRT(G$3))</f>
        <v>177.84442396578302</v>
      </c>
      <c r="I40" s="5">
        <f t="shared" ref="I40:I45" si="16">($H$44/H40)^2</f>
        <v>1.4587019589310666</v>
      </c>
      <c r="J40" s="5"/>
    </row>
    <row r="41" spans="1:10" x14ac:dyDescent="0.25">
      <c r="B41" s="1" t="s">
        <v>5</v>
      </c>
      <c r="C41" s="5">
        <f>HLOOKUP("QTE-0.9-bias-IPS-ind",Point!$D$1:$DR$96,$R$2,FALSE)</f>
        <v>-9.2210288278836803</v>
      </c>
      <c r="D41" s="5">
        <f>HLOOKUP("QTE-0.9-RMSE-IPS-ind",Point!$D$1:$DR$96,$R$2,FALSE)</f>
        <v>32.324892065942699</v>
      </c>
      <c r="E41" s="5">
        <f t="shared" si="15"/>
        <v>6.1981280629501363</v>
      </c>
      <c r="F41" s="5">
        <f>HLOOKUP("QTE-0.9-Empcov-IPS-ind",inference!$D$1:$DR$96,$R$2,FALSE)</f>
        <v>0.89900000000000002</v>
      </c>
      <c r="G41" s="5">
        <f>HLOOKUP("QTE-0.9-ASSD-IPS-ind",inference!$D$1:$DR$96,$R$2,FALSE)*2*1.96/SQRT(G$3)</f>
        <v>88.650145876587871</v>
      </c>
      <c r="H41" s="5">
        <f t="shared" ref="H41:H44" si="17">G41/(2*1.96/SQRT(G$3))</f>
        <v>319.82203725771399</v>
      </c>
      <c r="I41" s="5">
        <f t="shared" si="16"/>
        <v>0.45105583110557695</v>
      </c>
      <c r="J41" s="5"/>
    </row>
    <row r="42" spans="1:10" x14ac:dyDescent="0.25">
      <c r="B42" s="1" t="s">
        <v>4</v>
      </c>
      <c r="C42" s="5">
        <f>HLOOKUP("QTE-0.9-bias-IPS-proj",Point!$D$1:$DR$96,$R$2,FALSE)</f>
        <v>3.0734197572676898</v>
      </c>
      <c r="D42" s="5">
        <f>HLOOKUP("QTE-0.9-RMSE-IPS-proj",Point!$D$1:$DR$96,$R$2,FALSE)</f>
        <v>12.9717453628579</v>
      </c>
      <c r="E42" s="5">
        <f t="shared" si="15"/>
        <v>0.99812103435294008</v>
      </c>
      <c r="F42" s="6">
        <f>HLOOKUP("QTE-0.9-Empcov-IPS-proj",inference!$D$1:$DR$96,$R$2,FALSE)</f>
        <v>0.88100000000000001</v>
      </c>
      <c r="G42" s="6">
        <f>HLOOKUP("QTE-0.9-ASSD-IPS-proj",inference!$D$1:$DR$96,$R$2,FALSE)*2*1.96/SQRT(G$3)</f>
        <v>44.512154161136976</v>
      </c>
      <c r="H42" s="5">
        <f t="shared" si="17"/>
        <v>160.58594924776</v>
      </c>
      <c r="I42" s="5">
        <f t="shared" si="16"/>
        <v>1.789089166466596</v>
      </c>
      <c r="J42" s="5"/>
    </row>
    <row r="43" spans="1:10" x14ac:dyDescent="0.25">
      <c r="B43" s="1" t="s">
        <v>88</v>
      </c>
      <c r="C43" s="5">
        <f>HLOOKUP("QTE-0.9-bias-CBPS-just",Point!$D$1:$DR$96,$R$2,FALSE)</f>
        <v>-7.4118192680859503</v>
      </c>
      <c r="D43" s="5">
        <f>HLOOKUP("QTE-0.9-RMSE-CBPS-just",Point!$D$1:$DR$96,$R$2,FALSE)</f>
        <v>16.3534246490882</v>
      </c>
      <c r="E43" s="5">
        <f t="shared" si="15"/>
        <v>1.586367510539638</v>
      </c>
      <c r="F43" s="5">
        <f>HLOOKUP("QTE-0.9-Empcov-CBPS-just",inference!$D$1:$DR$96,$R$2,FALSE)</f>
        <v>0.80400000000000005</v>
      </c>
      <c r="G43" s="5">
        <f>HLOOKUP("QTE-0.9-ASSD-CBPS-just",inference!$D$1:$DR$96,$R$2,FALSE)*2*1.96/SQRT(G$3)</f>
        <v>43.625038224342426</v>
      </c>
      <c r="H43" s="5">
        <f t="shared" si="17"/>
        <v>157.38551203038202</v>
      </c>
      <c r="I43" s="5">
        <f t="shared" si="16"/>
        <v>1.862591298763062</v>
      </c>
      <c r="J43" s="5"/>
    </row>
    <row r="44" spans="1:10" x14ac:dyDescent="0.25">
      <c r="B44" s="1" t="s">
        <v>89</v>
      </c>
      <c r="C44" s="5">
        <f>HLOOKUP("QTE-0.9-bias-CBPS-over",Point!$D$1:$DR$96,$R$2,FALSE)</f>
        <v>0.31415109898648402</v>
      </c>
      <c r="D44" s="5">
        <f>HLOOKUP("QTE-0.9-RMSE-CBPS-over",Point!$D$1:$DR$96,$R$2,FALSE)</f>
        <v>12.983949295590699</v>
      </c>
      <c r="E44" s="5">
        <f t="shared" si="15"/>
        <v>1</v>
      </c>
      <c r="F44" s="5">
        <f>HLOOKUP("QTE-0.9-Empcov-CBPS-over",inference!$D$1:$DR$96,$R$2,FALSE)</f>
        <v>0.95299999999999996</v>
      </c>
      <c r="G44" s="5">
        <f>HLOOKUP("QTE-0.9-ASSD-CBPS-over",inference!$D$1:$DR$96,$R$2,FALSE)*2*1.96/SQRT(G$3)</f>
        <v>59.538049853264425</v>
      </c>
      <c r="H44" s="5">
        <f t="shared" si="17"/>
        <v>214.79468770339801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-15.2184673891163</v>
      </c>
      <c r="D45" s="5">
        <f>HLOOKUP("QTE-0.9-RMSE-GLM",Point!$D$1:$DR$96,$R$2,FALSE)</f>
        <v>45.413228530413797</v>
      </c>
      <c r="E45" s="5">
        <f t="shared" si="15"/>
        <v>12.233511492864936</v>
      </c>
      <c r="F45" s="5">
        <f>HLOOKUP("QTE-0.9-Empcov-GLM",inference!$D$1:$DR$96,$R$2,FALSE)</f>
        <v>0.78800000000000003</v>
      </c>
      <c r="G45" s="5">
        <f>HLOOKUP("QTE-0.9-ASSD-GLM",inference!$D$1:$DR$96,$R$2,FALSE)*2*1.96/SQRT(G$3)</f>
        <v>50.033986468367708</v>
      </c>
      <c r="H45" s="5">
        <f>G45/(2*1.96/SQRT(G$3))</f>
        <v>180.50699551825903</v>
      </c>
      <c r="I45" s="5">
        <f t="shared" si="16"/>
        <v>1.4159861231975943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J114" s="7"/>
    </row>
    <row r="115" spans="8:10" x14ac:dyDescent="0.25">
      <c r="J115" s="7"/>
    </row>
    <row r="116" spans="8:10" x14ac:dyDescent="0.25">
      <c r="J116" s="7"/>
    </row>
    <row r="117" spans="8:10" x14ac:dyDescent="0.25">
      <c r="J117" s="7"/>
    </row>
    <row r="118" spans="8:10" x14ac:dyDescent="0.25">
      <c r="J118" s="7"/>
    </row>
    <row r="119" spans="8:10" x14ac:dyDescent="0.25">
      <c r="J119" s="7"/>
    </row>
    <row r="120" spans="8:10" x14ac:dyDescent="0.25">
      <c r="J120" s="7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20"/>
  <sheetViews>
    <sheetView workbookViewId="0">
      <selection activeCell="K12" sqref="K12"/>
    </sheetView>
  </sheetViews>
  <sheetFormatPr defaultColWidth="9.28515625" defaultRowHeight="15" x14ac:dyDescent="0.25"/>
  <cols>
    <col min="1" max="1" width="8" style="1" bestFit="1" customWidth="1"/>
    <col min="2" max="2" width="11.7109375" style="1" bestFit="1" customWidth="1"/>
    <col min="3" max="4" width="6.5703125" style="1" bestFit="1" customWidth="1"/>
    <col min="5" max="5" width="6.5703125" style="1" customWidth="1"/>
    <col min="6" max="7" width="8.28515625" style="1" bestFit="1" customWidth="1"/>
    <col min="8" max="10" width="8.28515625" style="1" customWidth="1"/>
    <col min="11" max="17" width="9.28515625" style="1"/>
    <col min="18" max="18" width="14" style="1" bestFit="1" customWidth="1"/>
    <col min="19" max="16384" width="9.28515625" style="1"/>
  </cols>
  <sheetData>
    <row r="1" spans="1:18" x14ac:dyDescent="0.25">
      <c r="C1" s="16" t="s">
        <v>61</v>
      </c>
      <c r="D1" s="16"/>
      <c r="E1" s="16"/>
      <c r="F1" s="16"/>
      <c r="G1" s="16"/>
      <c r="H1" s="11"/>
      <c r="I1" s="11"/>
      <c r="J1" s="11"/>
      <c r="R1" s="10" t="s">
        <v>214</v>
      </c>
    </row>
    <row r="2" spans="1:18" x14ac:dyDescent="0.25">
      <c r="C2" s="11" t="s">
        <v>0</v>
      </c>
      <c r="D2" s="11" t="s">
        <v>1</v>
      </c>
      <c r="E2" s="11" t="s">
        <v>90</v>
      </c>
      <c r="F2" s="11" t="s">
        <v>49</v>
      </c>
      <c r="G2" s="11" t="s">
        <v>48</v>
      </c>
      <c r="H2" s="11" t="s">
        <v>164</v>
      </c>
      <c r="I2" s="11" t="s">
        <v>91</v>
      </c>
      <c r="J2" s="11"/>
      <c r="K2" s="11" t="s">
        <v>208</v>
      </c>
      <c r="L2" s="11" t="s">
        <v>209</v>
      </c>
      <c r="M2" s="11" t="s">
        <v>210</v>
      </c>
      <c r="N2" s="11" t="s">
        <v>211</v>
      </c>
      <c r="O2" s="11" t="s">
        <v>212</v>
      </c>
      <c r="P2" s="11" t="s">
        <v>213</v>
      </c>
      <c r="Q2" s="11"/>
      <c r="R2" s="10">
        <v>4</v>
      </c>
    </row>
    <row r="3" spans="1:18" x14ac:dyDescent="0.25">
      <c r="B3" s="1" t="s">
        <v>6</v>
      </c>
      <c r="C3" s="11">
        <v>500</v>
      </c>
      <c r="D3" s="11">
        <v>500</v>
      </c>
      <c r="E3" s="11">
        <v>500</v>
      </c>
      <c r="F3" s="11">
        <v>500</v>
      </c>
      <c r="G3" s="11">
        <v>500</v>
      </c>
      <c r="H3" s="11">
        <v>500</v>
      </c>
      <c r="I3" s="11">
        <v>500</v>
      </c>
      <c r="J3" s="11"/>
      <c r="K3" s="11"/>
      <c r="L3" s="11"/>
      <c r="M3" s="11"/>
      <c r="N3" s="11"/>
      <c r="O3" s="11"/>
      <c r="P3" s="11"/>
    </row>
    <row r="4" spans="1:18" x14ac:dyDescent="0.25">
      <c r="C4" s="11"/>
      <c r="D4" s="11"/>
      <c r="E4" s="11"/>
      <c r="F4" s="11"/>
      <c r="G4" s="11"/>
      <c r="H4" s="11"/>
      <c r="I4" s="11"/>
      <c r="J4" s="11"/>
    </row>
    <row r="5" spans="1:18" x14ac:dyDescent="0.25">
      <c r="A5" s="2" t="s">
        <v>58</v>
      </c>
      <c r="B5" s="1" t="s">
        <v>3</v>
      </c>
      <c r="C5" s="5">
        <f>HLOOKUP("ATE-bias-IPS-exp",Point!$D$1:$DR$96,$R$2,FALSE)</f>
        <v>1.1024252498053899</v>
      </c>
      <c r="D5" s="5">
        <f>HLOOKUP("ATE-RMSE-IPS-exp",Point!$D$1:$DR$96,$R$2,FALSE)</f>
        <v>2.84171947449398</v>
      </c>
      <c r="E5" s="5">
        <f>(D5/$D$9)^2</f>
        <v>1.0430531129284655</v>
      </c>
      <c r="F5" s="5">
        <f>HLOOKUP("ATE-Empcov-IPS-exp",inference!$D$1:$DR$96,$R$2,FALSE)</f>
        <v>0.98698698698698695</v>
      </c>
      <c r="G5" s="5">
        <f>HLOOKUP("ATE-ASSD-IPS-exp",inference!$D$1:$DR$96,$R$2,FALSE)*2*1.96/SQRT(G$3)</f>
        <v>13.212959563754236</v>
      </c>
      <c r="H5" s="5">
        <f>G5/(2*1.96/SQRT(G$3))</f>
        <v>75.370091246200104</v>
      </c>
      <c r="I5" s="5">
        <f t="shared" ref="I5:I10" si="0">($H$9/H5)^2</f>
        <v>1.1538892991829897</v>
      </c>
      <c r="J5" s="5"/>
      <c r="K5" s="5">
        <f>HLOOKUP("ks-IPS-exp",balance!$D$1:$DR$96,$R$2,FALSE)</f>
        <v>1.87156183996674</v>
      </c>
      <c r="L5" s="5">
        <f>HLOOKUP("cvm-IPS-exp",balance!$D$1:$DR$96,$R$2,FALSE)</f>
        <v>0.29454593229956899</v>
      </c>
      <c r="M5" s="5">
        <f>HLOOKUP("ks-IPS-exp_1",balance!$D$1:$DR$96,$R$2,FALSE)</f>
        <v>1.4837790057247899</v>
      </c>
      <c r="N5" s="5">
        <f>HLOOKUP("cvm-IPS-exp_1",balance!$D$1:$DR$96,$R$2,FALSE)</f>
        <v>0.20592434499756601</v>
      </c>
      <c r="O5" s="5">
        <f>HLOOKUP("ks-IPS-exp_0",balance!$D$1:$DR$96,$R$2,FALSE)</f>
        <v>0.64806285276814801</v>
      </c>
      <c r="P5" s="5">
        <f>HLOOKUP("cvm-IPS-exp_0",balance!$D$1:$DR$96,$R$2,FALSE)</f>
        <v>1.7209888036080701E-2</v>
      </c>
    </row>
    <row r="6" spans="1:18" x14ac:dyDescent="0.25">
      <c r="B6" s="1" t="s">
        <v>5</v>
      </c>
      <c r="C6" s="5">
        <f>HLOOKUP("ATE-bias-IPS-ind",Point!$D$1:$DR$96,$R$2,FALSE)</f>
        <v>1.30156233318542</v>
      </c>
      <c r="D6" s="5">
        <f>HLOOKUP("ATE-RMSE-IPS-ind",Point!$D$1:$DR$96,$R$2,FALSE)</f>
        <v>5.6792914814845199</v>
      </c>
      <c r="E6" s="5">
        <f t="shared" ref="E6:E10" si="1">(D6/$D$9)^2</f>
        <v>4.1661253618689207</v>
      </c>
      <c r="F6" s="5">
        <f>HLOOKUP("ATE-Empcov-IPS-ind",inference!$D$1:$DR$96,$R$2,FALSE)</f>
        <v>0.99799799799799804</v>
      </c>
      <c r="G6" s="5">
        <f>HLOOKUP("ATE-ASSD-IPS-ind",inference!$D$1:$DR$96,$R$2,FALSE)*2*1.96/SQRT(G$3)</f>
        <v>34.8174450429538</v>
      </c>
      <c r="H6" s="5">
        <f t="shared" ref="H6:H9" si="2">G6/(2*1.96/SQRT(G$3))</f>
        <v>198.60758652782599</v>
      </c>
      <c r="I6" s="5">
        <f t="shared" si="0"/>
        <v>0.16617686445671356</v>
      </c>
      <c r="J6" s="5"/>
      <c r="K6" s="5">
        <f>HLOOKUP("ks-IPS-ind",balance!$D$1:$DR$96,$R$2,FALSE)</f>
        <v>1.6520159906712</v>
      </c>
      <c r="L6" s="5">
        <f>HLOOKUP("cvm-IPS-ind",balance!$D$1:$DR$96,$R$2,FALSE)</f>
        <v>0.18838107114955599</v>
      </c>
      <c r="M6" s="5">
        <f>HLOOKUP("ks-IPS-ind_1",balance!$D$1:$DR$96,$R$2,FALSE)</f>
        <v>1.24512683593508</v>
      </c>
      <c r="N6" s="5">
        <f>HLOOKUP("cvm-IPS-ind_1",balance!$D$1:$DR$96,$R$2,FALSE)</f>
        <v>0.11741412798301699</v>
      </c>
      <c r="O6" s="5">
        <f>HLOOKUP("ks-IPS-ind_0",balance!$D$1:$DR$96,$R$2,FALSE)</f>
        <v>0.71647121932484603</v>
      </c>
      <c r="P6" s="5">
        <f>HLOOKUP("cvm-IPS-ind_0",balance!$D$1:$DR$96,$R$2,FALSE)</f>
        <v>1.5754290833670501E-2</v>
      </c>
    </row>
    <row r="7" spans="1:18" x14ac:dyDescent="0.25">
      <c r="B7" s="1" t="s">
        <v>4</v>
      </c>
      <c r="C7" s="5">
        <f>HLOOKUP("ATE-bias-IPS-proj",Point!$D$1:$DR$96,$R$2,FALSE)</f>
        <v>0.28593953877690498</v>
      </c>
      <c r="D7" s="5">
        <f>HLOOKUP("ATE-RMSE-IPS-proj",Point!$D$1:$DR$96,$R$2,FALSE)</f>
        <v>2.2780732796756</v>
      </c>
      <c r="E7" s="5">
        <f t="shared" si="1"/>
        <v>0.67031570798168061</v>
      </c>
      <c r="F7" s="6">
        <f>HLOOKUP("ATE-Empcov-IPS-proj",inference!$D$1:$DR$96,$R$2,FALSE)</f>
        <v>0.99599599599599598</v>
      </c>
      <c r="G7" s="6">
        <f>HLOOKUP("ATE-ASSD-IPS-proj",inference!$D$1:$DR$96,$R$2,FALSE)*2*1.96/SQRT(G$3)</f>
        <v>22.774041545557822</v>
      </c>
      <c r="H7" s="5">
        <f t="shared" si="2"/>
        <v>129.908941373142</v>
      </c>
      <c r="I7" s="5">
        <f t="shared" si="0"/>
        <v>0.3884043994431296</v>
      </c>
      <c r="J7" s="5"/>
      <c r="K7" s="5">
        <f>HLOOKUP("ks-IPS-proj",balance!$D$1:$DR$96,$R$2,FALSE)</f>
        <v>2.12001963383242</v>
      </c>
      <c r="L7" s="5">
        <f>HLOOKUP("cvm-IPS-proj",balance!$D$1:$DR$96,$R$2,FALSE)</f>
        <v>0.38177460759668103</v>
      </c>
      <c r="M7" s="5">
        <f>HLOOKUP("ks-IPS-proj_1",balance!$D$1:$DR$96,$R$2,FALSE)</f>
        <v>1.6936972463375399</v>
      </c>
      <c r="N7" s="5">
        <f>HLOOKUP("cvm-IPS-proj_1",balance!$D$1:$DR$96,$R$2,FALSE)</f>
        <v>0.27892509253334602</v>
      </c>
      <c r="O7" s="5">
        <f>HLOOKUP("ks-IPS-proj_0",balance!$D$1:$DR$96,$R$2,FALSE)</f>
        <v>0.68160038638123699</v>
      </c>
      <c r="P7" s="5">
        <f>HLOOKUP("cvm-IPS-proj_0",balance!$D$1:$DR$96,$R$2,FALSE)</f>
        <v>1.8128907116144E-2</v>
      </c>
    </row>
    <row r="8" spans="1:18" x14ac:dyDescent="0.25">
      <c r="B8" s="1" t="s">
        <v>88</v>
      </c>
      <c r="C8" s="5">
        <f>HLOOKUP("ATE-bias-CBPS-just",Point!$D$1:$DR$96,$R$2,FALSE)</f>
        <v>0.62198333012614004</v>
      </c>
      <c r="D8" s="5">
        <f>HLOOKUP("ATE-RMSE-CBPS-just",Point!$D$1:$DR$96,$R$2,FALSE)</f>
        <v>2.16721729421148</v>
      </c>
      <c r="E8" s="5">
        <f t="shared" si="1"/>
        <v>0.60666498835412985</v>
      </c>
      <c r="F8" s="5">
        <f>HLOOKUP("ATE-Empcov-CBPS-just",inference!$D$1:$DR$96,$R$2,FALSE)</f>
        <v>0.87587587587587601</v>
      </c>
      <c r="G8" s="5">
        <f>HLOOKUP("ATE-ASSD-CBPS-just",inference!$D$1:$DR$96,$R$2,FALSE)*2*1.96/SQRT(G$3)</f>
        <v>6.4587893845985942</v>
      </c>
      <c r="H8" s="5">
        <f t="shared" si="2"/>
        <v>36.842581929378802</v>
      </c>
      <c r="I8" s="5">
        <f t="shared" si="0"/>
        <v>4.8290545579585817</v>
      </c>
      <c r="J8" s="5"/>
      <c r="K8" s="5">
        <f>HLOOKUP("ks-CBPS-Just",balance!$D$1:$DR$96,$R$2,FALSE)</f>
        <v>2.1003558612800699</v>
      </c>
      <c r="L8" s="5">
        <f>HLOOKUP("cvm-CBPS-Just",balance!$D$1:$DR$96,$R$2,FALSE)</f>
        <v>0.399553522276898</v>
      </c>
      <c r="M8" s="5">
        <f>HLOOKUP("ks-CBPS-Just_1",balance!$D$1:$DR$96,$R$2,FALSE)</f>
        <v>1.75207553691625</v>
      </c>
      <c r="N8" s="5">
        <f>HLOOKUP("cvm-CBPS-Just_1",balance!$D$1:$DR$96,$R$2,FALSE)</f>
        <v>0.31838548510750603</v>
      </c>
      <c r="O8" s="5">
        <f>HLOOKUP("ks-CBPS-Just_0",balance!$D$1:$DR$96,$R$2,FALSE)</f>
        <v>0.75208008291036699</v>
      </c>
      <c r="P8" s="5">
        <f>HLOOKUP("cvm-CBPS-Just_0",balance!$D$1:$DR$96,$R$2,FALSE)</f>
        <v>2.10297055995846E-2</v>
      </c>
    </row>
    <row r="9" spans="1:18" x14ac:dyDescent="0.25">
      <c r="B9" s="1" t="s">
        <v>89</v>
      </c>
      <c r="C9" s="5">
        <f>HLOOKUP("ATE-bias-CBPS-over",Point!$D$1:$DR$96,$R$2,FALSE)</f>
        <v>1.7180625057238399</v>
      </c>
      <c r="D9" s="5">
        <f>HLOOKUP("ATE-RMSE-CBPS-over",Point!$D$1:$DR$96,$R$2,FALSE)</f>
        <v>2.7824539905882602</v>
      </c>
      <c r="E9" s="5">
        <f t="shared" si="1"/>
        <v>1</v>
      </c>
      <c r="F9" s="5">
        <f>HLOOKUP("ATE-Empcov-CBPS-over",inference!$D$1:$DR$96,$R$2,FALSE)</f>
        <v>0.99199199199199195</v>
      </c>
      <c r="G9" s="5">
        <f>HLOOKUP("ATE-ASSD-CBPS-over",inference!$D$1:$DR$96,$R$2,FALSE)*2*1.96/SQRT(G$3)</f>
        <v>14.193260664725893</v>
      </c>
      <c r="H9" s="5">
        <f t="shared" si="2"/>
        <v>80.9619787466861</v>
      </c>
      <c r="I9" s="5">
        <f t="shared" si="0"/>
        <v>1</v>
      </c>
      <c r="J9" s="5"/>
      <c r="K9" s="5">
        <f>HLOOKUP("ks-CBPS-over",balance!$D$1:$DR$96,$R$2,FALSE)</f>
        <v>2.03241970702345</v>
      </c>
      <c r="L9" s="5">
        <f>HLOOKUP("cvm-CBPS-over",balance!$D$1:$DR$96,$R$2,FALSE)</f>
        <v>0.35153194384623998</v>
      </c>
      <c r="M9" s="5">
        <f>HLOOKUP("ks-CBPS-over_1",balance!$D$1:$DR$96,$R$2,FALSE)</f>
        <v>1.59047408257075</v>
      </c>
      <c r="N9" s="5">
        <f>HLOOKUP("cvm-CBPS-over_1",balance!$D$1:$DR$96,$R$2,FALSE)</f>
        <v>0.24099108523985599</v>
      </c>
      <c r="O9" s="5">
        <f>HLOOKUP("ks-CBPS-over_0",balance!$D$1:$DR$96,$R$2,FALSE)</f>
        <v>0.66552485459686705</v>
      </c>
      <c r="P9" s="5">
        <f>HLOOKUP("cvm-CBPS-over_0",balance!$D$1:$DR$96,$R$2,FALSE)</f>
        <v>1.9100849689590398E-2</v>
      </c>
    </row>
    <row r="10" spans="1:18" s="3" customFormat="1" x14ac:dyDescent="0.25">
      <c r="B10" s="3" t="s">
        <v>2</v>
      </c>
      <c r="C10" s="5">
        <f>HLOOKUP("ATE-bias-GLM",Point!$D$1:$DR$96,$R$2,FALSE)</f>
        <v>0.36853518659553203</v>
      </c>
      <c r="D10" s="5">
        <f>HLOOKUP("ATE-RMSE-GLM",Point!$D$1:$DR$96,$R$2,FALSE)</f>
        <v>2.2395290408417701</v>
      </c>
      <c r="E10" s="5">
        <f t="shared" si="1"/>
        <v>0.64782456699434754</v>
      </c>
      <c r="F10" s="5">
        <f>HLOOKUP("ATE-Empcov-GLM",inference!$D$1:$DR$96,$R$2,FALSE)</f>
        <v>0.93993993993993996</v>
      </c>
      <c r="G10" s="5">
        <f>HLOOKUP("ATE-ASSD-GLM",inference!$D$1:$DR$96,$R$2,FALSE)*2*1.96/SQRT(G$3)</f>
        <v>8.1146896034778813</v>
      </c>
      <c r="H10" s="5">
        <f>G10/(2*1.96/SQRT(G$3))</f>
        <v>46.288259106345301</v>
      </c>
      <c r="I10" s="5">
        <f t="shared" si="0"/>
        <v>3.0592891979408363</v>
      </c>
      <c r="J10" s="5"/>
      <c r="K10" s="5">
        <f>HLOOKUP("ks-GLM",balance!$D$1:$DR$96,$R$2,FALSE)</f>
        <v>2.2083299292727001</v>
      </c>
      <c r="L10" s="5">
        <f>HLOOKUP("cvm-GLM",balance!$D$1:$DR$96,$R$2,FALSE)</f>
        <v>0.46347470843924898</v>
      </c>
      <c r="M10" s="5">
        <f>HLOOKUP("ks-GLM_1",balance!$D$1:$DR$96,$R$2,FALSE)</f>
        <v>1.84359915796499</v>
      </c>
      <c r="N10" s="5">
        <f>HLOOKUP("cvm-GLM_1",balance!$D$1:$DR$96,$R$2,FALSE)</f>
        <v>0.365890468545845</v>
      </c>
      <c r="O10" s="5">
        <f>HLOOKUP("ks-GLM_0",balance!$D$1:$DR$96,$R$2,FALSE)</f>
        <v>0.65312482363665703</v>
      </c>
      <c r="P10" s="5">
        <f>HLOOKUP("cvm-GLM_0",balance!$D$1:$DR$96,$R$2,FALSE)</f>
        <v>1.6885335529131101E-2</v>
      </c>
    </row>
    <row r="11" spans="1:18" s="4" customFormat="1" x14ac:dyDescent="0.2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8" x14ac:dyDescent="0.25">
      <c r="A12" s="2" t="s">
        <v>206</v>
      </c>
      <c r="B12" s="1" t="s">
        <v>3</v>
      </c>
      <c r="C12" s="5">
        <f>HLOOKUP("QTE-0.10-bias-IPS-exp",Point!$D$1:$DR$96,$R$2,FALSE)</f>
        <v>0.27787623677893603</v>
      </c>
      <c r="D12" s="5">
        <f>HLOOKUP("QTE-0.10-RMSE-IPS-exp",Point!$D$1:$DR$96,$R$2,FALSE)</f>
        <v>1.86721876492343</v>
      </c>
      <c r="E12" s="5">
        <f t="shared" ref="E12:E15" si="3">(D12/$D$16)^2</f>
        <v>1.0278330676148013</v>
      </c>
      <c r="F12" s="5">
        <f>HLOOKUP("QTE-0.1-Empcov-IPS-exp",inference!$D$1:$DR$96,$R$2,FALSE)</f>
        <v>0.896896896896897</v>
      </c>
      <c r="G12" s="5">
        <f>HLOOKUP("QTE-0.1-ASSD-IPS-exp",inference!$D$1:$DR$96,$R$2,FALSE)*2*1.96/SQRT(G$3)</f>
        <v>6.188622555506937</v>
      </c>
      <c r="H12" s="5">
        <f>G12/(2*1.96/SQRT(G$3))</f>
        <v>35.301481431637697</v>
      </c>
      <c r="I12" s="5">
        <f t="shared" ref="I12:I17" si="4">($H$16/H12)^2</f>
        <v>1.3729226772742389</v>
      </c>
      <c r="J12" s="5"/>
      <c r="K12" s="5"/>
      <c r="L12" s="5"/>
      <c r="M12" s="5"/>
      <c r="N12" s="5"/>
    </row>
    <row r="13" spans="1:18" x14ac:dyDescent="0.25">
      <c r="B13" s="1" t="s">
        <v>5</v>
      </c>
      <c r="C13" s="5">
        <f>HLOOKUP("QTE-0.10-bias-IPS-ind",Point!$D$1:$DR$96,$R$2,FALSE)</f>
        <v>0.77270791770605696</v>
      </c>
      <c r="D13" s="5">
        <f>HLOOKUP("QTE-0.10-RMSE-IPS-ind",Point!$D$1:$DR$96,$R$2,FALSE)</f>
        <v>1.90501877702391</v>
      </c>
      <c r="E13" s="5">
        <f t="shared" si="3"/>
        <v>1.0698692387151718</v>
      </c>
      <c r="F13" s="5">
        <f>HLOOKUP("QTE-0.1-Empcov-IPS-ind",inference!$D$1:$DR$96,$R$2,FALSE)</f>
        <v>0.89789789789789798</v>
      </c>
      <c r="G13" s="5">
        <f>HLOOKUP("QTE-0.1-ASSD-IPS-ind",inference!$D$1:$DR$96,$R$2,FALSE)*2*1.96/SQRT(G$3)</f>
        <v>6.668235909841683</v>
      </c>
      <c r="H13" s="5">
        <f t="shared" ref="H13:H16" si="5">G13/(2*1.96/SQRT(G$3))</f>
        <v>38.037318327579499</v>
      </c>
      <c r="I13" s="5">
        <f t="shared" si="4"/>
        <v>1.1825299755355958</v>
      </c>
      <c r="J13" s="5"/>
      <c r="K13" s="5"/>
      <c r="L13" s="5"/>
      <c r="M13" s="5"/>
      <c r="N13" s="5"/>
    </row>
    <row r="14" spans="1:18" x14ac:dyDescent="0.25">
      <c r="B14" s="1" t="s">
        <v>4</v>
      </c>
      <c r="C14" s="5">
        <f>HLOOKUP("QTE-0.10-bias-IPS-proj",Point!$D$1:$DR$96,$R$2,FALSE)</f>
        <v>0.202843072125411</v>
      </c>
      <c r="D14" s="5">
        <f>HLOOKUP("QTE-0.10-RMSE-IPS-proj",Point!$D$1:$DR$96,$R$2,FALSE)</f>
        <v>2.0140266240184399</v>
      </c>
      <c r="E14" s="5">
        <f t="shared" si="3"/>
        <v>1.1958111372855242</v>
      </c>
      <c r="F14" s="6">
        <f>HLOOKUP("QTE-0.1-Empcov-IPS-proj",inference!$D$1:$DR$96,$R$2,FALSE)</f>
        <v>0.87487487487487503</v>
      </c>
      <c r="G14" s="6">
        <f>HLOOKUP("QTE-0.1-ASSD-IPS-proj",inference!$D$1:$DR$96,$R$2,FALSE)*2*1.96/SQRT(G$3)</f>
        <v>6.3282699760400511</v>
      </c>
      <c r="H14" s="5">
        <f t="shared" si="5"/>
        <v>36.098065934685003</v>
      </c>
      <c r="I14" s="5">
        <f t="shared" si="4"/>
        <v>1.3129980249888089</v>
      </c>
      <c r="J14" s="5"/>
      <c r="K14" s="5"/>
      <c r="L14" s="5"/>
      <c r="M14" s="5"/>
      <c r="N14" s="5"/>
    </row>
    <row r="15" spans="1:18" x14ac:dyDescent="0.25">
      <c r="B15" s="1" t="s">
        <v>88</v>
      </c>
      <c r="C15" s="5">
        <f>HLOOKUP("QTE-0.10-bias-CBPS-just",Point!$D$1:$DR$96,$R$2,FALSE)</f>
        <v>0.15558229570784299</v>
      </c>
      <c r="D15" s="5">
        <f>HLOOKUP("QTE-0.10-RMSE-CBPS-just",Point!$D$1:$DR$96,$R$2,FALSE)</f>
        <v>2.7463171154641399</v>
      </c>
      <c r="E15" s="5">
        <f t="shared" si="3"/>
        <v>2.2234816328372697</v>
      </c>
      <c r="F15" s="5">
        <f>HLOOKUP("QTE-0.1-Empcov-CBPS-just",inference!$D$1:$DR$96,$R$2,FALSE)</f>
        <v>0.83283283283283305</v>
      </c>
      <c r="G15" s="5">
        <f>HLOOKUP("QTE-0.1-ASSD-CBPS-just",inference!$D$1:$DR$96,$R$2,FALSE)*2*1.96/SQRT(G$3)</f>
        <v>6.3436136533114071</v>
      </c>
      <c r="H15" s="5">
        <f t="shared" si="5"/>
        <v>36.185590183163498</v>
      </c>
      <c r="I15" s="5">
        <f t="shared" si="4"/>
        <v>1.3066540530439019</v>
      </c>
      <c r="J15" s="5"/>
      <c r="K15" s="5"/>
      <c r="L15" s="5"/>
      <c r="M15" s="5"/>
      <c r="N15" s="5"/>
    </row>
    <row r="16" spans="1:18" x14ac:dyDescent="0.25">
      <c r="B16" s="1" t="s">
        <v>89</v>
      </c>
      <c r="C16" s="5">
        <f>HLOOKUP("QTE-0.10-bias-CBPS-over",Point!$D$1:$DR$96,$R$2,FALSE)</f>
        <v>0.64197665556781103</v>
      </c>
      <c r="D16" s="5">
        <f>HLOOKUP("QTE-0.10-RMSE-CBPS-over",Point!$D$1:$DR$96,$R$2,FALSE)</f>
        <v>1.8417637055366001</v>
      </c>
      <c r="E16" s="5">
        <f>(D16/$D$16)^2</f>
        <v>1</v>
      </c>
      <c r="F16" s="5">
        <f>HLOOKUP("QTE-0.1-Empcov-CBPS-over",inference!$D$1:$DR$96,$R$2,FALSE)</f>
        <v>0.91291291291291299</v>
      </c>
      <c r="G16" s="5">
        <f>HLOOKUP("QTE-0.1-ASSD-CBPS-over",inference!$D$1:$DR$96,$R$2,FALSE)*2*1.96/SQRT(G$3)</f>
        <v>7.2513194023457181</v>
      </c>
      <c r="H16" s="5">
        <f t="shared" si="5"/>
        <v>41.363375281143306</v>
      </c>
      <c r="I16" s="5">
        <f>($H$16/H16)^2</f>
        <v>1</v>
      </c>
      <c r="J16" s="5"/>
      <c r="K16" s="5"/>
      <c r="L16" s="5"/>
      <c r="M16" s="5"/>
      <c r="N16" s="5"/>
    </row>
    <row r="17" spans="1:18" s="3" customFormat="1" x14ac:dyDescent="0.25">
      <c r="B17" s="3" t="s">
        <v>2</v>
      </c>
      <c r="C17" s="5">
        <f>HLOOKUP("QTE-0.10-bias-GLM",Point!$D$1:$DR$96,$R$2,FALSE)</f>
        <v>-6.8013497473694104E-2</v>
      </c>
      <c r="D17" s="5">
        <f>HLOOKUP("QTE-0.10-RMSE-GLM",Point!$D$1:$DR$96,$R$2,FALSE)</f>
        <v>2.9483316109206399</v>
      </c>
      <c r="E17" s="5">
        <f>(D17/$D$16)^2</f>
        <v>2.5626236916608618</v>
      </c>
      <c r="F17" s="5">
        <f>HLOOKUP("QTE-0.1-Empcov-GLM",inference!$D$1:$DR$96,$R$2,FALSE)</f>
        <v>0.90090090090090102</v>
      </c>
      <c r="G17" s="5">
        <f>HLOOKUP("QTE-0.1-ASSD-GLM",inference!$D$1:$DR$96,$R$2,FALSE)*2*1.96/SQRT(G$3)</f>
        <v>7.686255965396918</v>
      </c>
      <c r="H17" s="5">
        <f>G17/(2*1.96/SQRT(G$3))</f>
        <v>43.844364365027502</v>
      </c>
      <c r="I17" s="5">
        <f t="shared" si="4"/>
        <v>0.89002946406129557</v>
      </c>
      <c r="J17" s="5"/>
      <c r="K17" s="5"/>
      <c r="L17" s="5"/>
      <c r="M17" s="5"/>
      <c r="N17" s="5"/>
    </row>
    <row r="18" spans="1:18" s="4" customFormat="1" x14ac:dyDescent="0.25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</row>
    <row r="19" spans="1:18" x14ac:dyDescent="0.25">
      <c r="A19" s="2" t="s">
        <v>59</v>
      </c>
      <c r="B19" s="1" t="s">
        <v>3</v>
      </c>
      <c r="C19" s="5">
        <f>HLOOKUP("QTE-0.25-bias-IPS-exp",Point!$D$1:$DR$96,$R$2,FALSE)</f>
        <v>4.6719855122179701E-2</v>
      </c>
      <c r="D19" s="5">
        <f>HLOOKUP("QTE-0.25-RMSE-IPS-exp",Point!$D$1:$DR$96,$R$2,FALSE)</f>
        <v>1.15149369325996</v>
      </c>
      <c r="E19" s="5">
        <f>(D19/$D$23)^2</f>
        <v>0.7740603128836625</v>
      </c>
      <c r="F19" s="5">
        <f>HLOOKUP("QTE-0.25-Empcov-IPS-exp",inference!$D$1:$DR$96,$R$2,FALSE)</f>
        <v>0.96796796796796802</v>
      </c>
      <c r="G19" s="5">
        <f>HLOOKUP("QTE-0.25-ASSD-IPS-exp",inference!$D$1:$DR$96,$R$2,FALSE)*2*1.96/SQRT(G$3)</f>
        <v>5.1704857299764857</v>
      </c>
      <c r="H19" s="5">
        <f>G19/(2*1.96/SQRT(G$3))</f>
        <v>29.493769308469503</v>
      </c>
      <c r="I19" s="5">
        <f>($H$23/H19)^2</f>
        <v>1.7149624867064315</v>
      </c>
      <c r="J19" s="5"/>
      <c r="K19" s="5"/>
      <c r="L19" s="5"/>
      <c r="M19" s="5"/>
      <c r="N19" s="5"/>
    </row>
    <row r="20" spans="1:18" x14ac:dyDescent="0.25">
      <c r="B20" s="1" t="s">
        <v>5</v>
      </c>
      <c r="C20" s="5">
        <f>HLOOKUP("QTE-0.25-bias-IPS-ind",Point!$D$1:$DR$96,$R$2,FALSE)</f>
        <v>0.44150529384562498</v>
      </c>
      <c r="D20" s="5">
        <f>HLOOKUP("QTE-0.25-RMSE-IPS-ind",Point!$D$1:$DR$96,$R$2,FALSE)</f>
        <v>1.2717679142759499</v>
      </c>
      <c r="E20" s="5">
        <f t="shared" ref="E20:E24" si="6">(D20/$D$23)^2</f>
        <v>0.94420740385360791</v>
      </c>
      <c r="F20" s="5">
        <f>HLOOKUP("QTE-0.25-Empcov-IPS-ind",inference!$D$1:$DR$96,$R$2,FALSE)</f>
        <v>0.97697697697697705</v>
      </c>
      <c r="G20" s="5">
        <f>HLOOKUP("QTE-0.25-ASSD-IPS-ind",inference!$D$1:$DR$96,$R$2,FALSE)*2*1.96/SQRT(G$3)</f>
        <v>6.2216228261635607</v>
      </c>
      <c r="H20" s="5">
        <f t="shared" ref="H20:H23" si="7">G20/(2*1.96/SQRT(G$3))</f>
        <v>35.48972339200531</v>
      </c>
      <c r="I20" s="5">
        <f t="shared" ref="I20:I24" si="8">($H$23/H20)^2</f>
        <v>1.1844315131431167</v>
      </c>
      <c r="J20" s="5"/>
      <c r="K20" s="5"/>
      <c r="L20" s="5"/>
      <c r="M20" s="5"/>
      <c r="N20" s="5"/>
    </row>
    <row r="21" spans="1:18" x14ac:dyDescent="0.25">
      <c r="B21" s="1" t="s">
        <v>4</v>
      </c>
      <c r="C21" s="5">
        <f>HLOOKUP("QTE-0.25-bias-IPS-proj",Point!$D$1:$DR$96,$R$2,FALSE)</f>
        <v>0.121234214024074</v>
      </c>
      <c r="D21" s="5">
        <f>HLOOKUP("QTE-0.25-RMSE-IPS-proj",Point!$D$1:$DR$96,$R$2,FALSE)</f>
        <v>1.22350721006436</v>
      </c>
      <c r="E21" s="5">
        <f t="shared" si="6"/>
        <v>0.87390603753650342</v>
      </c>
      <c r="F21" s="6">
        <f>HLOOKUP("QTE-0.25-Empcov-IPS-proj",inference!$D$1:$DR$96,$R$2,FALSE)</f>
        <v>0.95695695695695704</v>
      </c>
      <c r="G21" s="6">
        <f>HLOOKUP("QTE-0.25-ASSD-IPS-proj",inference!$D$1:$DR$96,$R$2,FALSE)*2*1.96/SQRT(G$3)</f>
        <v>5.1664468243393786</v>
      </c>
      <c r="H21" s="5">
        <f t="shared" si="7"/>
        <v>29.470730360614201</v>
      </c>
      <c r="I21" s="5">
        <f t="shared" si="8"/>
        <v>1.7176449024317062</v>
      </c>
      <c r="J21" s="5"/>
      <c r="K21" s="5"/>
      <c r="L21" s="5"/>
      <c r="M21" s="5"/>
      <c r="N21" s="5"/>
    </row>
    <row r="22" spans="1:18" x14ac:dyDescent="0.25">
      <c r="B22" s="1" t="s">
        <v>88</v>
      </c>
      <c r="C22" s="5">
        <f>HLOOKUP("QTE-0.25-bias-CBPS-just",Point!$D$1:$DR$96,$R$2,FALSE)</f>
        <v>0.23891750555865601</v>
      </c>
      <c r="D22" s="5">
        <f>HLOOKUP("QTE-0.25-RMSE-CBPS-just",Point!$D$1:$DR$96,$R$2,FALSE)</f>
        <v>1.42271044965116</v>
      </c>
      <c r="E22" s="5">
        <f t="shared" si="6"/>
        <v>1.1816387282489158</v>
      </c>
      <c r="F22" s="5">
        <f>HLOOKUP("QTE-0.25-Empcov-CBPS-just",inference!$D$1:$DR$96,$R$2,FALSE)</f>
        <v>0.92992992992992995</v>
      </c>
      <c r="G22" s="5">
        <f>HLOOKUP("QTE-0.25-ASSD-CBPS-just",inference!$D$1:$DR$96,$R$2,FALSE)*2*1.96/SQRT(G$3)</f>
        <v>5.3287608930862911</v>
      </c>
      <c r="H22" s="5">
        <f t="shared" si="7"/>
        <v>30.396611206080198</v>
      </c>
      <c r="I22" s="5">
        <f t="shared" si="8"/>
        <v>1.6145996183756401</v>
      </c>
      <c r="J22" s="5"/>
      <c r="K22" s="5"/>
      <c r="L22" s="5"/>
      <c r="M22" s="5"/>
      <c r="N22" s="5"/>
    </row>
    <row r="23" spans="1:18" x14ac:dyDescent="0.25">
      <c r="B23" s="1" t="s">
        <v>89</v>
      </c>
      <c r="C23" s="5">
        <f>HLOOKUP("QTE-0.25-bias-CBPS-over",Point!$D$1:$DR$96,$R$2,FALSE)</f>
        <v>0.51067172246110604</v>
      </c>
      <c r="D23" s="5">
        <f>HLOOKUP("QTE-0.25-RMSE-CBPS-over",Point!$D$1:$DR$96,$R$2,FALSE)</f>
        <v>1.30880264223738</v>
      </c>
      <c r="E23" s="5">
        <f>(D23/$D$23)^2</f>
        <v>1</v>
      </c>
      <c r="F23" s="5">
        <f>HLOOKUP("QTE-0.25-Empcov-CBPS-over",inference!$D$1:$DR$96,$R$2,FALSE)</f>
        <v>0.98398398398398401</v>
      </c>
      <c r="G23" s="5">
        <f>HLOOKUP("QTE-0.25-ASSD-CBPS-over",inference!$D$1:$DR$96,$R$2,FALSE)*2*1.96/SQRT(G$3)</f>
        <v>6.7710910882502748</v>
      </c>
      <c r="H23" s="5">
        <f t="shared" si="7"/>
        <v>38.624030497884291</v>
      </c>
      <c r="I23" s="5">
        <f t="shared" si="8"/>
        <v>1</v>
      </c>
      <c r="J23" s="5"/>
      <c r="K23" s="5"/>
      <c r="L23" s="5"/>
      <c r="M23" s="5"/>
      <c r="N23" s="5"/>
    </row>
    <row r="24" spans="1:18" s="3" customFormat="1" x14ac:dyDescent="0.25">
      <c r="B24" s="3" t="s">
        <v>2</v>
      </c>
      <c r="C24" s="5">
        <f>HLOOKUP("QTE-0.25-bias-GLM",Point!$D$1:$DR$96,$R$2,FALSE)</f>
        <v>-4.8712819712246197E-2</v>
      </c>
      <c r="D24" s="5">
        <f>HLOOKUP("QTE-0.25-RMSE-GLM",Point!$D$1:$DR$96,$R$2,FALSE)</f>
        <v>2.1237594045697601</v>
      </c>
      <c r="E24" s="5">
        <f t="shared" si="6"/>
        <v>2.6330693874847024</v>
      </c>
      <c r="F24" s="5">
        <f>HLOOKUP("QTE-0.25-Empcov-GLM",inference!$D$1:$DR$96,$R$2,FALSE)</f>
        <v>0.96096096096096095</v>
      </c>
      <c r="G24" s="5">
        <f>HLOOKUP("QTE-0.25-ASSD-GLM",inference!$D$1:$DR$96,$R$2,FALSE)*2*1.96/SQRT(G$3)</f>
        <v>6.2417418941807403</v>
      </c>
      <c r="H24" s="5">
        <f>G24/(2*1.96/SQRT(G$3))</f>
        <v>35.604487687235803</v>
      </c>
      <c r="I24" s="5">
        <f t="shared" si="8"/>
        <v>1.1768082395787127</v>
      </c>
      <c r="J24" s="5"/>
      <c r="K24" s="5"/>
      <c r="L24" s="5"/>
      <c r="M24" s="5"/>
      <c r="N24" s="5"/>
    </row>
    <row r="25" spans="1:18" x14ac:dyDescent="0.25">
      <c r="A25" s="4"/>
      <c r="B25" s="4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4"/>
      <c r="P25" s="4"/>
      <c r="Q25" s="4"/>
      <c r="R25" s="4"/>
    </row>
    <row r="26" spans="1:18" x14ac:dyDescent="0.25">
      <c r="A26" s="2" t="s">
        <v>60</v>
      </c>
      <c r="B26" s="1" t="s">
        <v>3</v>
      </c>
      <c r="C26" s="5">
        <f>HLOOKUP("QTE-0.5-bias-IPS-exp",Point!$D$1:$DR$96,$R$2,FALSE)</f>
        <v>-0.133029049136933</v>
      </c>
      <c r="D26" s="5">
        <f>HLOOKUP("QTE-0.5-RMSE-IPS-exp",Point!$D$1:$DR$96,$R$2,FALSE)</f>
        <v>1.31183035945642</v>
      </c>
      <c r="E26" s="5">
        <f>(D26/$D$30)^2</f>
        <v>0.68828395745230697</v>
      </c>
      <c r="F26" s="5">
        <f>HLOOKUP("QTE-0.5-Empcov-IPS-exp",inference!$D$1:$DR$96,$R$2,FALSE)</f>
        <v>0.94494494494494496</v>
      </c>
      <c r="G26" s="5">
        <f>HLOOKUP("QTE-0.5-ASSD-IPS-exp",inference!$D$1:$DR$96,$R$2,FALSE)*2*1.96/SQRT(G$3)</f>
        <v>5.4415347460731258</v>
      </c>
      <c r="H26" s="5">
        <f>G26/(2*1.96/SQRT(G$3))</f>
        <v>31.0399020258841</v>
      </c>
      <c r="I26" s="5">
        <f>($H$30/H26)^2</f>
        <v>2.1796041760210643</v>
      </c>
      <c r="J26" s="5"/>
      <c r="K26"/>
      <c r="L26"/>
      <c r="M26"/>
      <c r="N26"/>
      <c r="O26"/>
      <c r="P26"/>
      <c r="Q26"/>
    </row>
    <row r="27" spans="1:18" x14ac:dyDescent="0.25">
      <c r="B27" s="1" t="s">
        <v>5</v>
      </c>
      <c r="C27" s="5">
        <f>HLOOKUP("QTE-0.5-bias-IPS-ind",Point!$D$1:$DR$96,$R$2,FALSE)</f>
        <v>0.40343610402200503</v>
      </c>
      <c r="D27" s="5">
        <f>HLOOKUP("QTE-0.5-RMSE-IPS-ind",Point!$D$1:$DR$96,$R$2,FALSE)</f>
        <v>1.72116679873127</v>
      </c>
      <c r="E27" s="5">
        <f t="shared" ref="E27:E31" si="9">(D27/$D$30)^2</f>
        <v>1.1848359202837682</v>
      </c>
      <c r="F27" s="5">
        <f>HLOOKUP("QTE-0.5-Empcov-IPS-ind",inference!$D$1:$DR$96,$R$2,FALSE)</f>
        <v>0.98898898898898902</v>
      </c>
      <c r="G27" s="5">
        <f>HLOOKUP("QTE-0.5-ASSD-IPS-ind",inference!$D$1:$DR$96,$R$2,FALSE)*2*1.96/SQRT(G$3)</f>
        <v>8.5467327768666568</v>
      </c>
      <c r="H27" s="5">
        <f t="shared" ref="H27:H30" si="10">G27/(2*1.96/SQRT(G$3))</f>
        <v>48.752743557651499</v>
      </c>
      <c r="I27" s="5">
        <f t="shared" ref="I27:I31" si="11">($H$30/H27)^2</f>
        <v>0.88352774836812542</v>
      </c>
      <c r="J27" s="5"/>
      <c r="K27" s="5"/>
      <c r="L27" s="5"/>
      <c r="M27" s="5"/>
      <c r="N27" s="5"/>
    </row>
    <row r="28" spans="1:18" x14ac:dyDescent="0.25">
      <c r="B28" s="1" t="s">
        <v>4</v>
      </c>
      <c r="C28" s="5">
        <f>HLOOKUP("QTE-0.5-bias-IPS-proj",Point!$D$1:$DR$96,$R$2,FALSE)</f>
        <v>-2.2050496126421799E-2</v>
      </c>
      <c r="D28" s="5">
        <f>HLOOKUP("QTE-0.5-RMSE-IPS-proj",Point!$D$1:$DR$96,$R$2,FALSE)</f>
        <v>1.37603947832233</v>
      </c>
      <c r="E28" s="5">
        <f t="shared" si="9"/>
        <v>0.75731067729847679</v>
      </c>
      <c r="F28" s="6">
        <f>HLOOKUP("QTE-0.5-Empcov-IPS-proj",inference!$D$1:$DR$96,$R$2,FALSE)</f>
        <v>0.94994994994994997</v>
      </c>
      <c r="G28" s="6">
        <f>HLOOKUP("QTE-0.5-ASSD-IPS-proj",inference!$D$1:$DR$96,$R$2,FALSE)*2*1.96/SQRT(G$3)</f>
        <v>5.7661061456771554</v>
      </c>
      <c r="H28" s="5">
        <f t="shared" si="10"/>
        <v>32.891340069422007</v>
      </c>
      <c r="I28" s="5">
        <f t="shared" si="11"/>
        <v>1.9411324906860532</v>
      </c>
      <c r="J28" s="5"/>
      <c r="K28" s="5"/>
      <c r="L28" s="5"/>
      <c r="M28" s="5"/>
      <c r="N28" s="5"/>
    </row>
    <row r="29" spans="1:18" x14ac:dyDescent="0.25">
      <c r="B29" s="1" t="s">
        <v>88</v>
      </c>
      <c r="C29" s="5">
        <f>HLOOKUP("QTE-0.5-bias-CBPS-just",Point!$D$1:$DR$96,$R$2,FALSE)</f>
        <v>0.25459636047325801</v>
      </c>
      <c r="D29" s="5">
        <f>HLOOKUP("QTE-0.5-RMSE-CBPS-just",Point!$D$1:$DR$96,$R$2,FALSE)</f>
        <v>1.6111983019482099</v>
      </c>
      <c r="E29" s="5">
        <f t="shared" si="9"/>
        <v>1.0382699463727536</v>
      </c>
      <c r="F29" s="5">
        <f>HLOOKUP("QTE-0.5-Empcov-CBPS-just",inference!$D$1:$DR$96,$R$2,FALSE)</f>
        <v>0.90590590590590603</v>
      </c>
      <c r="G29" s="5">
        <f>HLOOKUP("QTE-0.5-ASSD-CBPS-just",inference!$D$1:$DR$96,$R$2,FALSE)*2*1.96/SQRT(G$3)</f>
        <v>5.2889692599958167</v>
      </c>
      <c r="H29" s="5">
        <f t="shared" si="10"/>
        <v>30.169629582289303</v>
      </c>
      <c r="I29" s="5">
        <f t="shared" si="11"/>
        <v>2.3071634279505457</v>
      </c>
      <c r="J29" s="5"/>
      <c r="K29" s="5"/>
      <c r="L29" s="5"/>
      <c r="M29" s="5"/>
      <c r="N29" s="5"/>
    </row>
    <row r="30" spans="1:18" x14ac:dyDescent="0.25">
      <c r="B30" s="1" t="s">
        <v>89</v>
      </c>
      <c r="C30" s="5">
        <f>HLOOKUP("QTE-0.5-bias-CBPS-over",Point!$D$1:$DR$96,$R$2,FALSE)</f>
        <v>0.71659514369698396</v>
      </c>
      <c r="D30" s="5">
        <f>HLOOKUP("QTE-0.5-RMSE-CBPS-over",Point!$D$1:$DR$96,$R$2,FALSE)</f>
        <v>1.5812256618165099</v>
      </c>
      <c r="E30" s="5">
        <f t="shared" si="9"/>
        <v>1</v>
      </c>
      <c r="F30" s="5">
        <f>HLOOKUP("QTE-0.5-Empcov-CBPS-over",inference!$D$1:$DR$96,$R$2,FALSE)</f>
        <v>0.98798798798798804</v>
      </c>
      <c r="G30" s="5">
        <f>HLOOKUP("QTE-0.5-ASSD-CBPS-over",inference!$D$1:$DR$96,$R$2,FALSE)*2*1.96/SQRT(G$3)</f>
        <v>8.0336003379066039</v>
      </c>
      <c r="H30" s="5">
        <f t="shared" si="10"/>
        <v>45.825705254144005</v>
      </c>
      <c r="I30" s="5">
        <f t="shared" si="11"/>
        <v>1</v>
      </c>
      <c r="J30" s="5"/>
      <c r="K30" s="5"/>
      <c r="L30" s="5"/>
      <c r="M30" s="5"/>
      <c r="N30" s="5"/>
    </row>
    <row r="31" spans="1:18" x14ac:dyDescent="0.25">
      <c r="A31" s="3"/>
      <c r="B31" s="3" t="s">
        <v>2</v>
      </c>
      <c r="C31" s="5">
        <f>HLOOKUP("QTE-0.5-bias-GLM",Point!$D$1:$DR$96,$R$2,FALSE)</f>
        <v>-2.8242780805722801E-3</v>
      </c>
      <c r="D31" s="5">
        <f>HLOOKUP("QTE-0.5-RMSE-GLM",Point!$D$1:$DR$96,$R$2,FALSE)</f>
        <v>1.5705141692751601</v>
      </c>
      <c r="E31" s="5">
        <f t="shared" si="9"/>
        <v>0.98649754799748623</v>
      </c>
      <c r="F31" s="5">
        <f>HLOOKUP("QTE-0.5-Empcov-GLM",inference!$D$1:$DR$96,$R$2,FALSE)</f>
        <v>0.94694694694694703</v>
      </c>
      <c r="G31" s="5">
        <f>HLOOKUP("QTE-0.5-ASSD-GLM",inference!$D$1:$DR$96,$R$2,FALSE)*2*1.96/SQRT(G$3)</f>
        <v>6.1776308904561974</v>
      </c>
      <c r="H31" s="5">
        <f>G31/(2*1.96/SQRT(G$3))</f>
        <v>35.238782170823001</v>
      </c>
      <c r="I31" s="5">
        <f t="shared" si="11"/>
        <v>1.6911282046049065</v>
      </c>
      <c r="J31" s="5"/>
      <c r="K31" s="5"/>
      <c r="L31" s="5"/>
      <c r="M31" s="5"/>
      <c r="N31" s="5"/>
      <c r="O31" s="3"/>
      <c r="P31" s="3"/>
      <c r="Q31" s="3"/>
      <c r="R31" s="3"/>
    </row>
    <row r="32" spans="1:18" x14ac:dyDescent="0.25">
      <c r="H32" s="6"/>
      <c r="I32" s="6"/>
      <c r="J32" s="6"/>
    </row>
    <row r="33" spans="1:10" x14ac:dyDescent="0.25">
      <c r="A33" s="2" t="s">
        <v>62</v>
      </c>
      <c r="B33" s="1" t="s">
        <v>3</v>
      </c>
      <c r="C33" s="5">
        <f>HLOOKUP("QTE-0.75-bias-IPS-exp",Point!$D$1:$DR$96,$R$2,FALSE)</f>
        <v>-1.92656294343241E-2</v>
      </c>
      <c r="D33" s="5">
        <f>HLOOKUP("QTE-0.75-RMSE-IPS-exp",Point!$D$1:$DR$96,$R$2,FALSE)</f>
        <v>3.3897228766462901</v>
      </c>
      <c r="E33" s="5">
        <f>(D33/$D$37)^2</f>
        <v>0.58181060878296342</v>
      </c>
      <c r="F33" s="5">
        <f>HLOOKUP("QTE-0.75-Empcov-IPS-exp",inference!$D$1:$DR$96,$R$2,FALSE)</f>
        <v>0.963963963963964</v>
      </c>
      <c r="G33" s="5">
        <f>HLOOKUP("QTE-0.75-ASSD-IPS-exp",inference!$D$1:$DR$96,$R$2,FALSE)*2*1.96/SQRT(G$3)</f>
        <v>15.02628796088692</v>
      </c>
      <c r="H33" s="5">
        <f>G33/(2*1.96/SQRT(G$3))</f>
        <v>85.713778903137396</v>
      </c>
      <c r="I33" s="5">
        <f>($H$37/H33)^2</f>
        <v>1.9920154369725547</v>
      </c>
      <c r="J33" s="5"/>
    </row>
    <row r="34" spans="1:10" x14ac:dyDescent="0.25">
      <c r="B34" s="1" t="s">
        <v>5</v>
      </c>
      <c r="C34" s="5">
        <f>HLOOKUP("QTE-0.75-bias-IPS-ind",Point!$D$1:$DR$96,$R$2,FALSE)</f>
        <v>0.87598787036968395</v>
      </c>
      <c r="D34" s="5">
        <f>HLOOKUP("QTE-0.75-RMSE-IPS-ind",Point!$D$1:$DR$96,$R$2,FALSE)</f>
        <v>6.5771497563313304</v>
      </c>
      <c r="E34" s="5">
        <f t="shared" ref="E34:E38" si="12">(D34/$D$37)^2</f>
        <v>2.1904266174705924</v>
      </c>
      <c r="F34" s="5">
        <f>HLOOKUP("QTE-0.75-Empcov-IPS-ind",inference!$D$1:$DR$96,$R$2,FALSE)</f>
        <v>0.968968968968969</v>
      </c>
      <c r="G34" s="5">
        <f>HLOOKUP("QTE-0.75-ASSD-IPS-ind",inference!$D$1:$DR$96,$R$2,FALSE)*2*1.96/SQRT(G$3)</f>
        <v>30.448264745701728</v>
      </c>
      <c r="H34" s="5">
        <f t="shared" ref="H34:H37" si="13">G34/(2*1.96/SQRT(G$3))</f>
        <v>173.68466777627401</v>
      </c>
      <c r="I34" s="5">
        <f t="shared" ref="I34:I38" si="14">($H$37/H34)^2</f>
        <v>0.4851443970101581</v>
      </c>
      <c r="J34" s="5"/>
    </row>
    <row r="35" spans="1:10" x14ac:dyDescent="0.25">
      <c r="B35" s="1" t="s">
        <v>4</v>
      </c>
      <c r="C35" s="5">
        <f>HLOOKUP("QTE-0.75-bias-IPS-proj",Point!$D$1:$DR$96,$R$2,FALSE)</f>
        <v>-0.108373443460545</v>
      </c>
      <c r="D35" s="5">
        <f>HLOOKUP("QTE-0.75-RMSE-IPS-proj",Point!$D$1:$DR$96,$R$2,FALSE)</f>
        <v>3.5673959409988898</v>
      </c>
      <c r="E35" s="5">
        <f t="shared" si="12"/>
        <v>0.64440050919550385</v>
      </c>
      <c r="F35" s="6">
        <f>HLOOKUP("QTE-0.75-Empcov-IPS-proj",inference!$D$1:$DR$96,$R$2,FALSE)</f>
        <v>0.95795795795795802</v>
      </c>
      <c r="G35" s="6">
        <f>HLOOKUP("QTE-0.75-ASSD-IPS-proj",inference!$D$1:$DR$96,$R$2,FALSE)*2*1.96/SQRT(G$3)</f>
        <v>16.404559218170085</v>
      </c>
      <c r="H35" s="5">
        <f t="shared" si="13"/>
        <v>93.575789675380406</v>
      </c>
      <c r="I35" s="5">
        <f t="shared" si="14"/>
        <v>1.6713483734263612</v>
      </c>
      <c r="J35" s="5"/>
    </row>
    <row r="36" spans="1:10" x14ac:dyDescent="0.25">
      <c r="B36" s="1" t="s">
        <v>88</v>
      </c>
      <c r="C36" s="5">
        <f>HLOOKUP("QTE-0.75-bias-CBPS-just",Point!$D$1:$DR$96,$R$2,FALSE)</f>
        <v>0.480446818171817</v>
      </c>
      <c r="D36" s="5">
        <f>HLOOKUP("QTE-0.75-RMSE-CBPS-just",Point!$D$1:$DR$96,$R$2,FALSE)</f>
        <v>3.9798380318622799</v>
      </c>
      <c r="E36" s="5">
        <f t="shared" si="12"/>
        <v>0.80201786623964255</v>
      </c>
      <c r="F36" s="5">
        <f>HLOOKUP("QTE-0.75-Empcov-CBPS-just",inference!$D$1:$DR$96,$R$2,FALSE)</f>
        <v>0.83683683683683696</v>
      </c>
      <c r="G36" s="5">
        <f>HLOOKUP("QTE-0.75-ASSD-CBPS-just",inference!$D$1:$DR$96,$R$2,FALSE)*2*1.96/SQRT(G$3)</f>
        <v>11.360526387517254</v>
      </c>
      <c r="H36" s="5">
        <f t="shared" si="13"/>
        <v>64.803339955787507</v>
      </c>
      <c r="I36" s="5">
        <f t="shared" si="14"/>
        <v>3.4849712906264423</v>
      </c>
      <c r="J36" s="5"/>
    </row>
    <row r="37" spans="1:10" x14ac:dyDescent="0.25">
      <c r="B37" s="1" t="s">
        <v>89</v>
      </c>
      <c r="C37" s="5">
        <f>HLOOKUP("QTE-0.75-bias-CBPS-over",Point!$D$1:$DR$96,$R$2,FALSE)</f>
        <v>2.3414701499223298</v>
      </c>
      <c r="D37" s="5">
        <f>HLOOKUP("QTE-0.75-RMSE-CBPS-over",Point!$D$1:$DR$96,$R$2,FALSE)</f>
        <v>4.4439931042833098</v>
      </c>
      <c r="E37" s="5">
        <f t="shared" si="12"/>
        <v>1</v>
      </c>
      <c r="F37" s="5">
        <f>HLOOKUP("QTE-0.75-Empcov-CBPS-over",inference!$D$1:$DR$96,$R$2,FALSE)</f>
        <v>0.98498498498498499</v>
      </c>
      <c r="G37" s="5">
        <f>HLOOKUP("QTE-0.75-ASSD-CBPS-over",inference!$D$1:$DR$96,$R$2,FALSE)*2*1.96/SQRT(G$3)</f>
        <v>21.207919054721305</v>
      </c>
      <c r="H37" s="5">
        <f t="shared" si="13"/>
        <v>120.97537925426002</v>
      </c>
      <c r="I37" s="5">
        <f t="shared" si="14"/>
        <v>1</v>
      </c>
      <c r="J37" s="5"/>
    </row>
    <row r="38" spans="1:10" x14ac:dyDescent="0.25">
      <c r="A38" s="3"/>
      <c r="B38" s="3" t="s">
        <v>2</v>
      </c>
      <c r="C38" s="5">
        <f>HLOOKUP("QTE-0.75-bias-GLM",Point!$D$1:$DR$96,$R$2,FALSE)</f>
        <v>0.19626704086421601</v>
      </c>
      <c r="D38" s="5">
        <f>HLOOKUP("QTE-0.75-RMSE-GLM",Point!$D$1:$DR$96,$R$2,FALSE)</f>
        <v>4.0224962783942999</v>
      </c>
      <c r="E38" s="5">
        <f t="shared" si="12"/>
        <v>0.81930300768730002</v>
      </c>
      <c r="F38" s="5">
        <f>HLOOKUP("QTE-0.75-Empcov-GLM",inference!$D$1:$DR$96,$R$2,FALSE)</f>
        <v>0.87287287287287296</v>
      </c>
      <c r="G38" s="5">
        <f>HLOOKUP("QTE-0.75-ASSD-GLM",inference!$D$1:$DR$96,$R$2,FALSE)*2*1.96/SQRT(G$3)</f>
        <v>12.622564278324836</v>
      </c>
      <c r="H38" s="5">
        <f>G38/(2*1.96/SQRT(G$3))</f>
        <v>72.002325960956412</v>
      </c>
      <c r="I38" s="5">
        <f t="shared" si="14"/>
        <v>2.8229353512833182</v>
      </c>
      <c r="J38" s="5"/>
    </row>
    <row r="39" spans="1:10" x14ac:dyDescent="0.25">
      <c r="H39" s="7"/>
      <c r="I39" s="7"/>
      <c r="J39" s="7"/>
    </row>
    <row r="40" spans="1:10" x14ac:dyDescent="0.25">
      <c r="A40" s="2" t="s">
        <v>207</v>
      </c>
      <c r="B40" s="1" t="s">
        <v>3</v>
      </c>
      <c r="C40" s="5">
        <f>HLOOKUP("QTE-0.9-bias-IPS-exp",Point!$D$1:$DR$96,$R$2,FALSE)</f>
        <v>0.65943123768588296</v>
      </c>
      <c r="D40" s="5">
        <f>HLOOKUP("QTE-0.9-RMSE-IPS-exp",Point!$D$1:$DR$96,$R$2,FALSE)</f>
        <v>7.2410581335554598</v>
      </c>
      <c r="E40" s="5">
        <f t="shared" ref="E40:E45" si="15">(D40/$D$44)^2</f>
        <v>0.83951520411067793</v>
      </c>
      <c r="F40" s="5">
        <f>HLOOKUP("QTE-0.9-Empcov-IPS-exp",inference!$D$1:$DR$96,$R$2,FALSE)</f>
        <v>0.97697697697697705</v>
      </c>
      <c r="G40" s="5">
        <f>HLOOKUP("QTE-0.9-ASSD-IPS-exp",inference!$D$1:$DR$96,$R$2,FALSE)*2*1.96/SQRT(G$3)</f>
        <v>35.577093891686111</v>
      </c>
      <c r="H40" s="5">
        <f>G40/(2*1.96/SQRT(G$3))</f>
        <v>202.94081730536402</v>
      </c>
      <c r="I40" s="5">
        <f t="shared" ref="I40:I45" si="16">($H$44/H40)^2</f>
        <v>1.1724767742646487</v>
      </c>
      <c r="J40" s="5"/>
    </row>
    <row r="41" spans="1:10" x14ac:dyDescent="0.25">
      <c r="B41" s="1" t="s">
        <v>5</v>
      </c>
      <c r="C41" s="5">
        <f>HLOOKUP("QTE-0.9-bias-IPS-ind",Point!$D$1:$DR$96,$R$2,FALSE)</f>
        <v>1.4896807298065899</v>
      </c>
      <c r="D41" s="5">
        <f>HLOOKUP("QTE-0.9-RMSE-IPS-ind",Point!$D$1:$DR$96,$R$2,FALSE)</f>
        <v>14.069306270914399</v>
      </c>
      <c r="E41" s="5">
        <f t="shared" si="15"/>
        <v>3.1693475403811338</v>
      </c>
      <c r="F41" s="5">
        <f>HLOOKUP("QTE-0.9-Empcov-IPS-ind",inference!$D$1:$DR$96,$R$2,FALSE)</f>
        <v>0.97297297297297303</v>
      </c>
      <c r="G41" s="5">
        <f>HLOOKUP("QTE-0.9-ASSD-IPS-ind",inference!$D$1:$DR$96,$R$2,FALSE)*2*1.96/SQRT(G$3)</f>
        <v>70.654717968392433</v>
      </c>
      <c r="H41" s="5">
        <f t="shared" ref="H41:H44" si="17">G41/(2*1.96/SQRT(G$3))</f>
        <v>403.032531398983</v>
      </c>
      <c r="I41" s="5">
        <f t="shared" si="16"/>
        <v>0.2972780571563608</v>
      </c>
      <c r="J41" s="5"/>
    </row>
    <row r="42" spans="1:10" x14ac:dyDescent="0.25">
      <c r="B42" s="1" t="s">
        <v>4</v>
      </c>
      <c r="C42" s="5">
        <f>HLOOKUP("QTE-0.9-bias-IPS-proj",Point!$D$1:$DR$96,$R$2,FALSE)</f>
        <v>-0.66519396531934105</v>
      </c>
      <c r="D42" s="5">
        <f>HLOOKUP("QTE-0.9-RMSE-IPS-proj",Point!$D$1:$DR$96,$R$2,FALSE)</f>
        <v>7.1400459448767997</v>
      </c>
      <c r="E42" s="5">
        <f t="shared" si="15"/>
        <v>0.81625623252159751</v>
      </c>
      <c r="F42" s="6">
        <f>HLOOKUP("QTE-0.9-Empcov-IPS-proj",inference!$D$1:$DR$96,$R$2,FALSE)</f>
        <v>0.99399399399399402</v>
      </c>
      <c r="G42" s="6">
        <f>HLOOKUP("QTE-0.9-ASSD-IPS-proj",inference!$D$1:$DR$96,$R$2,FALSE)*2*1.96/SQRT(G$3)</f>
        <v>46.026577536079259</v>
      </c>
      <c r="H42" s="5">
        <f t="shared" si="17"/>
        <v>262.54733709780106</v>
      </c>
      <c r="I42" s="5">
        <f t="shared" si="16"/>
        <v>0.70053174934340157</v>
      </c>
      <c r="J42" s="5"/>
    </row>
    <row r="43" spans="1:10" x14ac:dyDescent="0.25">
      <c r="B43" s="1" t="s">
        <v>88</v>
      </c>
      <c r="C43" s="5">
        <f>HLOOKUP("QTE-0.9-bias-CBPS-just",Point!$D$1:$DR$96,$R$2,FALSE)</f>
        <v>0.31816699922686598</v>
      </c>
      <c r="D43" s="5">
        <f>HLOOKUP("QTE-0.9-RMSE-CBPS-just",Point!$D$1:$DR$96,$R$2,FALSE)</f>
        <v>7.68770297930556</v>
      </c>
      <c r="E43" s="5">
        <f t="shared" si="15"/>
        <v>0.94627570256377325</v>
      </c>
      <c r="F43" s="5">
        <f>HLOOKUP("QTE-0.9-Empcov-CBPS-just",inference!$D$1:$DR$96,$R$2,FALSE)</f>
        <v>0.90890890890890896</v>
      </c>
      <c r="G43" s="5">
        <f>HLOOKUP("QTE-0.9-ASSD-CBPS-just",inference!$D$1:$DR$96,$R$2,FALSE)*2*1.96/SQRT(G$3)</f>
        <v>26.909098312841099</v>
      </c>
      <c r="H43" s="5">
        <f t="shared" si="17"/>
        <v>153.49635979780001</v>
      </c>
      <c r="I43" s="5">
        <f t="shared" si="16"/>
        <v>2.0494951624454045</v>
      </c>
      <c r="J43" s="5"/>
    </row>
    <row r="44" spans="1:10" x14ac:dyDescent="0.25">
      <c r="B44" s="1" t="s">
        <v>89</v>
      </c>
      <c r="C44" s="5">
        <f>HLOOKUP("QTE-0.9-bias-CBPS-over",Point!$D$1:$DR$96,$R$2,FALSE)</f>
        <v>2.9240645041567399</v>
      </c>
      <c r="D44" s="5">
        <f>HLOOKUP("QTE-0.9-RMSE-CBPS-over",Point!$D$1:$DR$96,$R$2,FALSE)</f>
        <v>7.9029230124910201</v>
      </c>
      <c r="E44" s="5">
        <f t="shared" si="15"/>
        <v>1</v>
      </c>
      <c r="F44" s="5">
        <f>HLOOKUP("QTE-0.9-Empcov-CBPS-over",inference!$D$1:$DR$96,$R$2,FALSE)</f>
        <v>0.96996996996996998</v>
      </c>
      <c r="G44" s="5">
        <f>HLOOKUP("QTE-0.9-ASSD-CBPS-over",inference!$D$1:$DR$96,$R$2,FALSE)*2*1.96/SQRT(G$3)</f>
        <v>38.523221178447493</v>
      </c>
      <c r="H44" s="5">
        <f t="shared" si="17"/>
        <v>219.74627874303101</v>
      </c>
      <c r="I44" s="5">
        <f>($H$44/H44)^2</f>
        <v>1</v>
      </c>
      <c r="J44" s="5"/>
    </row>
    <row r="45" spans="1:10" x14ac:dyDescent="0.25">
      <c r="A45" s="3"/>
      <c r="B45" s="3" t="s">
        <v>2</v>
      </c>
      <c r="C45" s="5">
        <f>HLOOKUP("QTE-0.9-bias-GLM",Point!$D$1:$DR$96,$R$2,FALSE)</f>
        <v>0.392782793160944</v>
      </c>
      <c r="D45" s="5">
        <f>HLOOKUP("QTE-0.9-RMSE-GLM",Point!$D$1:$DR$96,$R$2,FALSE)</f>
        <v>6.9775692751662</v>
      </c>
      <c r="E45" s="5">
        <f t="shared" si="15"/>
        <v>0.77952996044890011</v>
      </c>
      <c r="F45" s="5">
        <f>HLOOKUP("QTE-0.9-Empcov-GLM",inference!$D$1:$DR$96,$R$2,FALSE)</f>
        <v>0.92892892892892898</v>
      </c>
      <c r="G45" s="5">
        <f>HLOOKUP("QTE-0.9-ASSD-GLM",inference!$D$1:$DR$96,$R$2,FALSE)*2*1.96/SQRT(G$3)</f>
        <v>26.621411347113064</v>
      </c>
      <c r="H45" s="5">
        <f>G45/(2*1.96/SQRT(G$3))</f>
        <v>151.85531997226803</v>
      </c>
      <c r="I45" s="5">
        <f t="shared" si="16"/>
        <v>2.0940306600743286</v>
      </c>
      <c r="J45" s="5"/>
    </row>
    <row r="46" spans="1:10" x14ac:dyDescent="0.25">
      <c r="H46" s="7"/>
      <c r="I46" s="7"/>
      <c r="J46" s="7"/>
    </row>
    <row r="47" spans="1:10" x14ac:dyDescent="0.25">
      <c r="H47" s="7"/>
      <c r="I47" s="7"/>
      <c r="J47" s="7"/>
    </row>
    <row r="48" spans="1:10" x14ac:dyDescent="0.25">
      <c r="H48" s="7"/>
      <c r="I48" s="7"/>
      <c r="J48" s="7"/>
    </row>
    <row r="49" spans="8:10" x14ac:dyDescent="0.25">
      <c r="H49" s="7"/>
      <c r="I49" s="7"/>
      <c r="J49" s="7"/>
    </row>
    <row r="50" spans="8:10" x14ac:dyDescent="0.25">
      <c r="H50" s="7"/>
      <c r="I50" s="7"/>
      <c r="J50" s="7"/>
    </row>
    <row r="51" spans="8:10" x14ac:dyDescent="0.25">
      <c r="H51" s="7"/>
      <c r="I51" s="7"/>
      <c r="J51" s="7"/>
    </row>
    <row r="52" spans="8:10" x14ac:dyDescent="0.25">
      <c r="H52" s="7"/>
      <c r="I52" s="7"/>
      <c r="J52" s="7"/>
    </row>
    <row r="53" spans="8:10" x14ac:dyDescent="0.25">
      <c r="H53" s="7"/>
      <c r="I53" s="7"/>
      <c r="J53" s="7"/>
    </row>
    <row r="54" spans="8:10" x14ac:dyDescent="0.25">
      <c r="H54" s="7"/>
      <c r="I54" s="7"/>
      <c r="J54" s="7"/>
    </row>
    <row r="55" spans="8:10" x14ac:dyDescent="0.25">
      <c r="H55" s="7"/>
      <c r="I55" s="7"/>
      <c r="J55" s="7"/>
    </row>
    <row r="56" spans="8:10" x14ac:dyDescent="0.25">
      <c r="H56" s="7"/>
      <c r="I56" s="7"/>
      <c r="J56" s="7"/>
    </row>
    <row r="57" spans="8:10" x14ac:dyDescent="0.25">
      <c r="H57" s="7"/>
      <c r="I57" s="7"/>
      <c r="J57" s="7"/>
    </row>
    <row r="58" spans="8:10" x14ac:dyDescent="0.25">
      <c r="H58" s="7"/>
      <c r="I58" s="7"/>
      <c r="J58" s="7"/>
    </row>
    <row r="59" spans="8:10" x14ac:dyDescent="0.25">
      <c r="H59" s="7"/>
      <c r="I59" s="7"/>
      <c r="J59" s="7"/>
    </row>
    <row r="60" spans="8:10" x14ac:dyDescent="0.25">
      <c r="H60" s="7"/>
      <c r="I60" s="7"/>
      <c r="J60" s="7"/>
    </row>
    <row r="61" spans="8:10" x14ac:dyDescent="0.25">
      <c r="H61" s="7"/>
      <c r="I61" s="7"/>
      <c r="J61" s="7"/>
    </row>
    <row r="62" spans="8:10" x14ac:dyDescent="0.25">
      <c r="H62" s="7"/>
      <c r="I62" s="7"/>
      <c r="J62" s="7"/>
    </row>
    <row r="63" spans="8:10" x14ac:dyDescent="0.25">
      <c r="H63" s="7"/>
      <c r="I63" s="7"/>
      <c r="J63" s="7"/>
    </row>
    <row r="64" spans="8:10" x14ac:dyDescent="0.25">
      <c r="H64" s="7"/>
      <c r="I64" s="7"/>
      <c r="J64" s="7"/>
    </row>
    <row r="65" spans="8:10" x14ac:dyDescent="0.25">
      <c r="H65" s="7"/>
      <c r="I65" s="7"/>
      <c r="J65" s="7"/>
    </row>
    <row r="66" spans="8:10" x14ac:dyDescent="0.25">
      <c r="H66" s="7"/>
      <c r="I66" s="7"/>
      <c r="J66" s="7"/>
    </row>
    <row r="67" spans="8:10" x14ac:dyDescent="0.25">
      <c r="H67" s="7"/>
      <c r="I67" s="7"/>
      <c r="J67" s="7"/>
    </row>
    <row r="68" spans="8:10" x14ac:dyDescent="0.25">
      <c r="H68" s="7"/>
      <c r="I68" s="7"/>
      <c r="J68" s="7"/>
    </row>
    <row r="69" spans="8:10" x14ac:dyDescent="0.25">
      <c r="H69" s="7"/>
      <c r="I69" s="7"/>
      <c r="J69" s="7"/>
    </row>
    <row r="70" spans="8:10" x14ac:dyDescent="0.25">
      <c r="H70" s="7"/>
      <c r="I70" s="7"/>
      <c r="J70" s="7"/>
    </row>
    <row r="71" spans="8:10" x14ac:dyDescent="0.25">
      <c r="H71" s="7"/>
      <c r="I71" s="7"/>
      <c r="J71" s="7"/>
    </row>
    <row r="72" spans="8:10" x14ac:dyDescent="0.25">
      <c r="H72" s="7"/>
      <c r="I72" s="7"/>
      <c r="J72" s="7"/>
    </row>
    <row r="73" spans="8:10" x14ac:dyDescent="0.25">
      <c r="H73" s="7"/>
      <c r="I73" s="7"/>
      <c r="J73" s="7"/>
    </row>
    <row r="74" spans="8:10" x14ac:dyDescent="0.25">
      <c r="H74" s="7"/>
      <c r="I74" s="7"/>
      <c r="J74" s="7"/>
    </row>
    <row r="75" spans="8:10" x14ac:dyDescent="0.25">
      <c r="H75" s="7"/>
      <c r="I75" s="7"/>
      <c r="J75" s="7"/>
    </row>
    <row r="76" spans="8:10" x14ac:dyDescent="0.25">
      <c r="H76" s="7"/>
      <c r="I76" s="7"/>
      <c r="J76" s="7"/>
    </row>
    <row r="77" spans="8:10" x14ac:dyDescent="0.25">
      <c r="H77" s="7"/>
      <c r="I77" s="7"/>
      <c r="J77" s="7"/>
    </row>
    <row r="78" spans="8:10" x14ac:dyDescent="0.25">
      <c r="H78" s="7"/>
      <c r="I78" s="7"/>
      <c r="J78" s="7"/>
    </row>
    <row r="79" spans="8:10" x14ac:dyDescent="0.25">
      <c r="H79" s="7"/>
      <c r="I79" s="7"/>
      <c r="J79" s="7"/>
    </row>
    <row r="80" spans="8:10" x14ac:dyDescent="0.25">
      <c r="H80" s="7"/>
      <c r="I80" s="7"/>
      <c r="J80" s="7"/>
    </row>
    <row r="81" spans="8:10" x14ac:dyDescent="0.25">
      <c r="H81" s="7"/>
      <c r="I81" s="7"/>
      <c r="J81" s="7"/>
    </row>
    <row r="82" spans="8:10" x14ac:dyDescent="0.25">
      <c r="H82" s="7"/>
      <c r="I82" s="7"/>
      <c r="J82" s="7"/>
    </row>
    <row r="83" spans="8:10" x14ac:dyDescent="0.25">
      <c r="H83" s="7"/>
      <c r="I83" s="7"/>
      <c r="J83" s="7"/>
    </row>
    <row r="84" spans="8:10" x14ac:dyDescent="0.25">
      <c r="H84" s="7"/>
      <c r="I84" s="7"/>
      <c r="J84" s="7"/>
    </row>
    <row r="85" spans="8:10" x14ac:dyDescent="0.25">
      <c r="H85" s="7"/>
      <c r="I85" s="7"/>
      <c r="J85" s="7"/>
    </row>
    <row r="86" spans="8:10" x14ac:dyDescent="0.25">
      <c r="H86" s="7"/>
      <c r="I86" s="7"/>
      <c r="J86" s="7"/>
    </row>
    <row r="87" spans="8:10" x14ac:dyDescent="0.25">
      <c r="H87" s="7"/>
      <c r="I87" s="7"/>
      <c r="J87" s="7"/>
    </row>
    <row r="88" spans="8:10" x14ac:dyDescent="0.25">
      <c r="H88" s="7"/>
      <c r="I88" s="7"/>
      <c r="J88" s="7"/>
    </row>
    <row r="89" spans="8:10" x14ac:dyDescent="0.25">
      <c r="H89" s="7"/>
      <c r="I89" s="7"/>
      <c r="J89" s="7"/>
    </row>
    <row r="90" spans="8:10" x14ac:dyDescent="0.25">
      <c r="H90" s="7"/>
      <c r="I90" s="7"/>
      <c r="J90" s="7"/>
    </row>
    <row r="91" spans="8:10" x14ac:dyDescent="0.25">
      <c r="H91" s="7"/>
      <c r="I91" s="7"/>
      <c r="J91" s="7"/>
    </row>
    <row r="92" spans="8:10" x14ac:dyDescent="0.25">
      <c r="H92" s="7"/>
      <c r="I92" s="7"/>
      <c r="J92" s="7"/>
    </row>
    <row r="93" spans="8:10" x14ac:dyDescent="0.25">
      <c r="H93" s="7"/>
      <c r="I93" s="7"/>
      <c r="J93" s="7"/>
    </row>
    <row r="94" spans="8:10" x14ac:dyDescent="0.25">
      <c r="H94" s="7"/>
      <c r="I94" s="7"/>
      <c r="J94" s="7"/>
    </row>
    <row r="95" spans="8:10" x14ac:dyDescent="0.25">
      <c r="H95" s="7"/>
      <c r="I95" s="7"/>
      <c r="J95" s="7"/>
    </row>
    <row r="96" spans="8:10" x14ac:dyDescent="0.25">
      <c r="H96" s="7"/>
      <c r="I96" s="7"/>
      <c r="J96" s="7"/>
    </row>
    <row r="97" spans="8:10" x14ac:dyDescent="0.25">
      <c r="H97" s="7"/>
      <c r="I97" s="7"/>
      <c r="J97" s="7"/>
    </row>
    <row r="98" spans="8:10" x14ac:dyDescent="0.25">
      <c r="H98" s="7"/>
      <c r="I98" s="7"/>
      <c r="J98" s="7"/>
    </row>
    <row r="99" spans="8:10" x14ac:dyDescent="0.25">
      <c r="H99" s="7"/>
      <c r="I99" s="7"/>
      <c r="J99" s="7"/>
    </row>
    <row r="100" spans="8:10" x14ac:dyDescent="0.25">
      <c r="H100" s="7"/>
      <c r="I100" s="7"/>
      <c r="J100" s="7"/>
    </row>
    <row r="101" spans="8:10" x14ac:dyDescent="0.25">
      <c r="H101" s="7"/>
      <c r="I101" s="7"/>
      <c r="J101" s="7"/>
    </row>
    <row r="102" spans="8:10" x14ac:dyDescent="0.25">
      <c r="H102" s="7"/>
      <c r="I102" s="7"/>
      <c r="J102" s="7"/>
    </row>
    <row r="103" spans="8:10" x14ac:dyDescent="0.25">
      <c r="H103" s="7"/>
      <c r="I103" s="7"/>
      <c r="J103" s="7"/>
    </row>
    <row r="104" spans="8:10" x14ac:dyDescent="0.25">
      <c r="H104" s="7"/>
      <c r="I104" s="7"/>
      <c r="J104" s="7"/>
    </row>
    <row r="105" spans="8:10" x14ac:dyDescent="0.25">
      <c r="H105" s="7"/>
      <c r="I105" s="7"/>
      <c r="J105" s="7"/>
    </row>
    <row r="106" spans="8:10" x14ac:dyDescent="0.25">
      <c r="H106" s="7"/>
      <c r="I106" s="7"/>
      <c r="J106" s="7"/>
    </row>
    <row r="107" spans="8:10" x14ac:dyDescent="0.25">
      <c r="H107" s="7"/>
      <c r="I107" s="7"/>
      <c r="J107" s="7"/>
    </row>
    <row r="108" spans="8:10" x14ac:dyDescent="0.25">
      <c r="H108" s="7"/>
      <c r="I108" s="7"/>
      <c r="J108" s="7"/>
    </row>
    <row r="109" spans="8:10" x14ac:dyDescent="0.25">
      <c r="H109" s="7"/>
      <c r="I109" s="7"/>
      <c r="J109" s="7"/>
    </row>
    <row r="110" spans="8:10" x14ac:dyDescent="0.25">
      <c r="H110" s="7"/>
      <c r="I110" s="7"/>
      <c r="J110" s="7"/>
    </row>
    <row r="111" spans="8:10" x14ac:dyDescent="0.25">
      <c r="H111" s="7"/>
      <c r="I111" s="7"/>
      <c r="J111" s="7"/>
    </row>
    <row r="112" spans="8:10" x14ac:dyDescent="0.25">
      <c r="H112" s="7"/>
      <c r="I112" s="7"/>
      <c r="J112" s="7"/>
    </row>
    <row r="113" spans="8:10" x14ac:dyDescent="0.25">
      <c r="H113" s="7"/>
      <c r="I113" s="7"/>
      <c r="J113" s="7"/>
    </row>
    <row r="114" spans="8:10" x14ac:dyDescent="0.25">
      <c r="H114" s="7"/>
      <c r="I114" s="7"/>
      <c r="J114" s="7"/>
    </row>
    <row r="115" spans="8:10" x14ac:dyDescent="0.25">
      <c r="H115" s="7"/>
      <c r="I115" s="7"/>
      <c r="J115" s="7"/>
    </row>
    <row r="116" spans="8:10" x14ac:dyDescent="0.25">
      <c r="H116" s="7"/>
      <c r="I116" s="7"/>
      <c r="J116" s="7"/>
    </row>
    <row r="117" spans="8:10" x14ac:dyDescent="0.25">
      <c r="H117" s="7"/>
      <c r="I117" s="7"/>
      <c r="J117" s="7"/>
    </row>
    <row r="118" spans="8:10" x14ac:dyDescent="0.25">
      <c r="H118" s="7"/>
      <c r="I118" s="7"/>
      <c r="J118" s="7"/>
    </row>
    <row r="119" spans="8:10" x14ac:dyDescent="0.25">
      <c r="H119" s="7"/>
      <c r="I119" s="7"/>
      <c r="J119" s="7"/>
    </row>
    <row r="120" spans="8:10" x14ac:dyDescent="0.25">
      <c r="H120" s="7"/>
      <c r="I120" s="7"/>
      <c r="J120" s="7"/>
    </row>
  </sheetData>
  <mergeCells count="1">
    <mergeCell ref="C1:G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inference</vt:lpstr>
      <vt:lpstr>balance</vt:lpstr>
      <vt:lpstr>Point</vt:lpstr>
      <vt:lpstr>Tables-n=200</vt:lpstr>
      <vt:lpstr>Tables-n=500</vt:lpstr>
      <vt:lpstr>Tables-n=1000</vt:lpstr>
      <vt:lpstr>Table-n=200-corr</vt:lpstr>
      <vt:lpstr>Table-n=200-miss</vt:lpstr>
      <vt:lpstr>Table-n=500-corr</vt:lpstr>
      <vt:lpstr>Table-n=500-miss</vt:lpstr>
      <vt:lpstr>Table-n=1000-corr</vt:lpstr>
      <vt:lpstr>Table-n=1000-miss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Sant'Anna, Pedro H. C.</dc:creator>
  <cp:lastModifiedBy>Pedro Sant'Anna</cp:lastModifiedBy>
  <dcterms:created xsi:type="dcterms:W3CDTF">2018-05-09T02:04:09Z</dcterms:created>
  <dcterms:modified xsi:type="dcterms:W3CDTF">2021-10-22T20:29:29Z</dcterms:modified>
</cp:coreProperties>
</file>